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<sst xmlns="http://schemas.openxmlformats.org/spreadsheetml/2006/main" count="15092" uniqueCount="2131">
  <si>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</si>
  <si>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</si>
  <si>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</si>
  <si>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</si>
  <si>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</si>
  <si>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</si>
  <si>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</si>
  <si>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</si>
  <si>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</si>
  <si>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</si>
  <si>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</si>
  <si>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</si>
  <si>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</si>
  <si>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</si>
  <si>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</si>
  <si>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</si>
  <si>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</si>
  <si>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</si>
  <si>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</si>
  <si>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</si>
  <si>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</si>
  <si>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</si>
  <si>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</si>
  <si>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</si>
  <si>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</si>
  <si>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</si>
  <si>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</si>
  <si>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</si>
  <si>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</si>
  <si>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</si>
  <si>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</si>
  <si>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</si>
  <si>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</si>
  <si>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</si>
  <si>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</si>
  <si>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</si>
  <si>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</si>
  <si>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</si>
  <si>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</si>
  <si>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</si>
  <si>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</si>
  <si>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</si>
  <si>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</si>
  <si>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</si>
  <si>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</si>
  <si>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</si>
  <si>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</si>
  <si>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</si>
  <si>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</si>
  <si>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</si>
  <si>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</si>
  <si>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</si>
  <si>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</si>
  <si>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</si>
  <si>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</si>
  <si>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</si>
  <si>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</si>
  <si>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</si>
  <si>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</si>
  <si>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</si>
  <si>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</si>
  <si>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</si>
  <si>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</si>
  <si>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</si>
  <si>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</si>
  <si>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</si>
  <si>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</si>
  <si>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</si>
  <si>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</si>
  <si>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</si>
  <si>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</si>
  <si>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</si>
  <si>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</si>
  <si>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</si>
  <si>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</si>
  <si>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</si>
  <si>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</si>
  <si>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</si>
  <si>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</si>
  <si>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</si>
  <si>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</si>
  <si>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</si>
  <si>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</si>
  <si>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</si>
  <si>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</si>
  <si>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</si>
  <si>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</si>
  <si>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</si>
  <si>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</si>
  <si>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</si>
  <si>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</si>
  <si>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</si>
  <si>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</si>
  <si>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</si>
  <si>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</si>
  <si>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</si>
  <si>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</si>
  <si>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</si>
  <si>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</si>
  <si>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</si>
  <si>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</si>
  <si>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</si>
  <si>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</si>
  <si>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</si>
  <si>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</si>
  <si>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</si>
  <si>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</si>
  <si>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</si>
  <si>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</si>
  <si>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</si>
  <si>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</si>
  <si>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</si>
  <si>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</si>
  <si>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</si>
  <si>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</si>
  <si>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</si>
  <si>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</si>
  <si>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</si>
  <si>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</si>
  <si>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</si>
  <si>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</si>
  <si>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</si>
  <si>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</si>
  <si>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</si>
  <si>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</si>
  <si>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</si>
  <si>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</si>
  <si>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</si>
  <si>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</si>
  <si>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</si>
  <si>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</si>
  <si>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</si>
  <si>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</si>
  <si>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</si>
  <si>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</si>
  <si>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</si>
  <si>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</si>
  <si>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</si>
  <si>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</si>
  <si>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</si>
  <si>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</si>
  <si>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</si>
  <si>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</si>
  <si>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</si>
  <si>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</si>
  <si>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</si>
  <si>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</si>
  <si>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</si>
  <si>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</si>
  <si>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</si>
  <si>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</si>
  <si>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</si>
  <si>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</si>
  <si>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</si>
  <si>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</si>
  <si>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</si>
  <si>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</si>
  <si>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</si>
  <si>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</si>
  <si>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</si>
  <si>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</si>
  <si>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</si>
  <si>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</si>
  <si>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</si>
  <si>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</si>
  <si>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</si>
  <si>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</si>
  <si>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</si>
  <si>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</si>
  <si>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</si>
  <si>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</si>
  <si>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</si>
  <si>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</si>
  <si>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</si>
  <si>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</si>
  <si>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</si>
  <si>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</si>
  <si>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</si>
  <si>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</si>
  <si>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</si>
  <si>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t>
  </si>
  <si>
    <t>Workbook Settings 5</t>
  </si>
  <si>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39 #39 a á à â å ä ã ab aber able ableabout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si sí sich side sides sido sie siempre similar similarly sin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t>
  </si>
  <si>
    <t>Workbook Settings 6</t>
  </si>
  <si>
    <t>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t>
  </si>
  <si>
    <t>Workbook Settings 7</t>
  </si>
  <si>
    <t>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t>
  </si>
  <si>
    <t>Workbook Settings 8</t>
  </si>
  <si>
    <t>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t>
  </si>
  <si>
    <t>Workbook Settings 9</t>
  </si>
  <si>
    <t>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t>
  </si>
  <si>
    <t>Workbook Settings 10</t>
  </si>
  <si>
    <t>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t>
  </si>
  <si>
    <t>Workbook Settings 11</t>
  </si>
  <si>
    <t>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t>
  </si>
  <si>
    <t>Workbook Settings 12</t>
  </si>
  <si>
    <t>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
  </si>
  <si>
    <t>Workbook Settings 13</t>
  </si>
  <si>
    <t>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t>
  </si>
  <si>
    <t>Workbook Settings 14</t>
  </si>
  <si>
    <t>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t>
  </si>
  <si>
    <t>Workbook Settings 15</t>
  </si>
  <si>
    <t>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t>
  </si>
  <si>
    <t>Workbook Settings 16</t>
  </si>
  <si>
    <t>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t>
  </si>
  <si>
    <t>Workbook Settings 17</t>
  </si>
  <si>
    <t>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t>
  </si>
  <si>
    <t>Workbook Settings 18</t>
  </si>
  <si>
    <t>Workbook Settings 19</t>
  </si>
  <si>
    <t>Autofill Workbook Results</t>
  </si>
  <si>
    <t>Graph History</t>
  </si>
  <si>
    <t>Relationship</t>
  </si>
  <si>
    <t>EgJcflR_Dic</t>
  </si>
  <si>
    <t>lSClgMg6nrY</t>
  </si>
  <si>
    <t>wjrTq0dEvGI</t>
  </si>
  <si>
    <t>uGZbbC0Smi4</t>
  </si>
  <si>
    <t>fK1_SH3X2ek</t>
  </si>
  <si>
    <t>vktuZrWS5IQ</t>
  </si>
  <si>
    <t>vawW1_p2p64</t>
  </si>
  <si>
    <t>UTSf09Huz70</t>
  </si>
  <si>
    <t>jTe8gnsHQ-Q</t>
  </si>
  <si>
    <t>PG_9tDm705g</t>
  </si>
  <si>
    <t>3HR8nhiLSLU</t>
  </si>
  <si>
    <t>pfKPJasaDSY</t>
  </si>
  <si>
    <t>uGHwpg-fJvc</t>
  </si>
  <si>
    <t>thiV4-BWHlU</t>
  </si>
  <si>
    <t>Uuk8iIhq-Do</t>
  </si>
  <si>
    <t>q0scBynXQL8</t>
  </si>
  <si>
    <t>LUaRo6u4AbE</t>
  </si>
  <si>
    <t>OXo_D_scuDk</t>
  </si>
  <si>
    <t>TAO_rztPO80</t>
  </si>
  <si>
    <t>Na5VOjJAjCI</t>
  </si>
  <si>
    <t>eoRbJqpWwo0</t>
  </si>
  <si>
    <t>da8iw9hvQX4</t>
  </si>
  <si>
    <t>LBkXQ_mBO3Q</t>
  </si>
  <si>
    <t>MWk8XJWEiO4</t>
  </si>
  <si>
    <t>lruYVSGcxHs</t>
  </si>
  <si>
    <t>Q9L7ZQPc8EA</t>
  </si>
  <si>
    <t>v-t1Z5-oPtU</t>
  </si>
  <si>
    <t>4NXL_diV-Dw</t>
  </si>
  <si>
    <t>2JWku3Kjpq0</t>
  </si>
  <si>
    <t>5Q411ntL0jQ</t>
  </si>
  <si>
    <t>8919Zm8Gi4U</t>
  </si>
  <si>
    <t>xS_txj05aTQ</t>
  </si>
  <si>
    <t>XCrY7fd4L8Y</t>
  </si>
  <si>
    <t>K8Vhl194ikA</t>
  </si>
  <si>
    <t>3jW6A2lt31E</t>
  </si>
  <si>
    <t>6bZVEf1OrTU</t>
  </si>
  <si>
    <t>nt3rLUSRgIo</t>
  </si>
  <si>
    <t>fNaAisFiPdU</t>
  </si>
  <si>
    <t>9At0j07G7-o</t>
  </si>
  <si>
    <t>9H2SvxvaA04</t>
  </si>
  <si>
    <t>voM51OT9XVs</t>
  </si>
  <si>
    <t>y5JHiT-wVTs</t>
  </si>
  <si>
    <t>xDDFV7Sovvs</t>
  </si>
  <si>
    <t>YciV60j-PXQ</t>
  </si>
  <si>
    <t>Iq_LtZ2lE6k</t>
  </si>
  <si>
    <t>ZAS6V_YJCWE</t>
  </si>
  <si>
    <t>8PH4JYfF4Ns</t>
  </si>
  <si>
    <t>fSEFXl2XQpc</t>
  </si>
  <si>
    <t>fV9GhfbBec4</t>
  </si>
  <si>
    <t>iv6pTx_QUVM</t>
  </si>
  <si>
    <t>5Vwe--IDdso</t>
  </si>
  <si>
    <t>oC9M1dquXA8</t>
  </si>
  <si>
    <t>cdwfQtEvyac</t>
  </si>
  <si>
    <t>3U4QU2WwUXU</t>
  </si>
  <si>
    <t>LseJ60oNa_k</t>
  </si>
  <si>
    <t>3FmQaLFgep8</t>
  </si>
  <si>
    <t>2GOnF26Zlcs</t>
  </si>
  <si>
    <t>rDmarJf_gio</t>
  </si>
  <si>
    <t>11XcwRA_Lv8</t>
  </si>
  <si>
    <t>V8LnNXsUaUQ</t>
  </si>
  <si>
    <t>HFPwIhMOvbQ</t>
  </si>
  <si>
    <t>X2WiIHZZfTU</t>
  </si>
  <si>
    <t>FyVl3lg6mUY</t>
  </si>
  <si>
    <t>ZxUmspb1DmY</t>
  </si>
  <si>
    <t>keYtWNAJY64</t>
  </si>
  <si>
    <t>PzfLDi-sL3w</t>
  </si>
  <si>
    <t>bGBamfWasNQ</t>
  </si>
  <si>
    <t>LTba_3QkwNw</t>
  </si>
  <si>
    <t>pvcV7kixo1Y</t>
  </si>
  <si>
    <t>fYFD0GFFlpM</t>
  </si>
  <si>
    <t>R-AP27BfRJs</t>
  </si>
  <si>
    <t>3Bous2-OQtc</t>
  </si>
  <si>
    <t>nwxy9FLBMjk</t>
  </si>
  <si>
    <t>lGzyZyQoN8Y</t>
  </si>
  <si>
    <t>HtTGz65uvNw</t>
  </si>
  <si>
    <t>Qf92l7FPyKo</t>
  </si>
  <si>
    <t>iUH01HObtsE</t>
  </si>
  <si>
    <t>4zeZEw8RBq8</t>
  </si>
  <si>
    <t>1j7h-GHaKo4</t>
  </si>
  <si>
    <t>WJUcZPqgEXU</t>
  </si>
  <si>
    <t>Recommended Video (1.5)</t>
  </si>
  <si>
    <t>Recommended Video (1.0)</t>
  </si>
  <si>
    <t>Title</t>
  </si>
  <si>
    <t>Description</t>
  </si>
  <si>
    <t>Tags</t>
  </si>
  <si>
    <t>Author</t>
  </si>
  <si>
    <t>Created Date (UTC)</t>
  </si>
  <si>
    <t>Views</t>
  </si>
  <si>
    <t>Comments</t>
  </si>
  <si>
    <t>Likes Count</t>
  </si>
  <si>
    <t>Dislikes Count</t>
  </si>
  <si>
    <t>Custom Menu Item Text</t>
  </si>
  <si>
    <t>Custom Menu Item Action</t>
  </si>
  <si>
    <t>Transmission of HIV | Infectious diseases | NCLEX-RN | Khan Academy</t>
  </si>
  <si>
    <t>Preventing Communicable Diseases</t>
  </si>
  <si>
    <t>WISH18 POLICY BRIEFING NON COMMUNICABLE DISEASES</t>
  </si>
  <si>
    <t>Preventing Non-communicable Diseases</t>
  </si>
  <si>
    <t>Decreasing Global Noncommunicable Disease by Reducing Risky Behaviors</t>
  </si>
  <si>
    <t>WHO highlights need for countries to scale up action on noncommunicable diseases</t>
  </si>
  <si>
    <t>Noncommunicable Diseases and their Risk Factors (animated video)</t>
  </si>
  <si>
    <t>WHO Global Conference on NCDs: Statement by WHO Director-General Dr Tedros</t>
  </si>
  <si>
    <t>United Nations Interagency Task Force on the prevention and control of noncommunicable diseases</t>
  </si>
  <si>
    <t>Investing in NCDs prevention and control saves lives and money</t>
  </si>
  <si>
    <t>NCDFREE: Mythbusting with Dr Alessandro Demaio</t>
  </si>
  <si>
    <t>Non-communicable diseases - why should we be worried?</t>
  </si>
  <si>
    <t>The Challenge of Non-Communicable Diseases</t>
  </si>
  <si>
    <t>Non-Communicable Diseases</t>
  </si>
  <si>
    <t>Non-communicable Diseases</t>
  </si>
  <si>
    <t>NPCDCS Program for Prevention &amp; Control of Cancer, Diabetes, Cardiovascular diseases and Stroke.</t>
  </si>
  <si>
    <t>Scale up for the prevention and control of noncommunicable diseases</t>
  </si>
  <si>
    <t>Noncommunicable diseases explained in one minute</t>
  </si>
  <si>
    <t>2. Overview of NCDs and Related Risk Factors | CPP NCD Epidemiology</t>
  </si>
  <si>
    <t>Non-Communicable Disease - Eng</t>
  </si>
  <si>
    <t>Noncommunicable Diseases and Youth</t>
  </si>
  <si>
    <t>WHO: Noncommunicable Diseases - Interview at "World Health +SocialGood"</t>
  </si>
  <si>
    <t>Tackling non-communicable diseases in LMICs</t>
  </si>
  <si>
    <t>Chronic Diseases: Everyone’s Business</t>
  </si>
  <si>
    <t>COMMUNICABLE DISEASES | What? Why? How?</t>
  </si>
  <si>
    <t>WHO: Noncommunicable diseases – High-level action needed to meet the SDGs and beat NCDs</t>
  </si>
  <si>
    <t>Blood Pressure - Basics</t>
  </si>
  <si>
    <t>Hepatitis A and B</t>
  </si>
  <si>
    <t>How does asthma work? - Christopher E. Gaw</t>
  </si>
  <si>
    <t>How stress affects your body - Sharon Horesh Bergquist</t>
  </si>
  <si>
    <t>HOW TO PREVENT NON COMMUNICABLE  DISEASES: NCDs 365   PHASE 2 EPISODE 4</t>
  </si>
  <si>
    <t>Infectious Diseases - How do we control them?</t>
  </si>
  <si>
    <t>What is the difference between communicable and non communicable Diseases lDr Vipan Goyal l Study IQ</t>
  </si>
  <si>
    <t>Types of Diseases | Infectious Diseases | Human Health and Diseases | Disorders</t>
  </si>
  <si>
    <t>A Holistic Approach to the Crisis of Non-Communicable Diseases | Dr Jone Hawea | TEDxSuva</t>
  </si>
  <si>
    <t>Speak like a leader | Simon Lancaster | TEDxVerona</t>
  </si>
  <si>
    <t>NeurIPS/ML4D 2020 Accepted Paper - Rajius Idzalika, Pulse Lab Jakarta</t>
  </si>
  <si>
    <t>Social listening for public health in Africa using radio</t>
  </si>
  <si>
    <t>Modelling the spread of COVID-19 and the impact of health interventions in Cox’s Bazar settlement</t>
  </si>
  <si>
    <t>NeurIPS/ML4D 2020 Accepted Paper - Muhammad Rizal Khaefi, Pulse Lab Jakarta</t>
  </si>
  <si>
    <t>Colloqumotion 2018 Series - Non Communicable Diseases and Maternal Health (November)</t>
  </si>
  <si>
    <t>FOCUS ON NON-COMMUNICABLE DISEASES</t>
  </si>
  <si>
    <t>How Bacteria Cause Disease</t>
  </si>
  <si>
    <t>Global Health Security: Delivered by Women During COVID-19 and Beyond</t>
  </si>
  <si>
    <t>Adolescent Girls and Young Women Want Smarter Digital SRH Resources and Services</t>
  </si>
  <si>
    <t>The Code Blue Series | A Growing Threat: Non-Communicable Diseases on Maternal Health</t>
  </si>
  <si>
    <t>Yalda Hakim with Sadhguru on Religion, Politics &amp; Human Society</t>
  </si>
  <si>
    <t>Rheumatoid Arthritis: Primarily an Autoimmune Disease</t>
  </si>
  <si>
    <t>Approach to the Patient with Abnormal Liver Function Studies</t>
  </si>
  <si>
    <t>Chronic Stress Can Damage Your Health</t>
  </si>
  <si>
    <t>Heartburn, Acid Reflux and GERD – The Differences Decoded</t>
  </si>
  <si>
    <t>Pulmonary Rehab: Daily Fitness &amp; Exercise</t>
  </si>
  <si>
    <t>A Mitochondrial Etiology of Metabolic and Degenerative Diseases, Cancer and Aging</t>
  </si>
  <si>
    <t>Claire Fraser - The Human Gut Microbiome in Health and Disease</t>
  </si>
  <si>
    <t>The Power of Now: Taking stock of where we stand and what opportunities and challenges lie ahead</t>
  </si>
  <si>
    <t>Davos 2019 - The Future of Science and Technology in Society</t>
  </si>
  <si>
    <t>Social Enterprise Pitch - Christelle Kwizera</t>
  </si>
  <si>
    <t>The PBA Film Project Teaser</t>
  </si>
  <si>
    <t>Dr. Gabor Maté: How stress can cause disease.</t>
  </si>
  <si>
    <t>My Aching Joints</t>
  </si>
  <si>
    <t>Social Determinants of Health - an introduction</t>
  </si>
  <si>
    <t>Immune System</t>
  </si>
  <si>
    <t>Webinar: Storytelling with a Gender Lens for Humanitarian Advocacy</t>
  </si>
  <si>
    <t>Breaking barriers and building bridges to advance girls’ and women’s health and rights—ENGLISH</t>
  </si>
  <si>
    <t>Webinar: We Have Always Been Here</t>
  </si>
  <si>
    <t>Grounding Health Systems in Gender Equality to Achieve Universal Health Coverage</t>
  </si>
  <si>
    <t>Virtual Launch Event Recording: Citizens Call for A Gender-Equal World</t>
  </si>
  <si>
    <t>WEBINAR: Going Global - Advocating for More Localized &amp; Feminist Humanitarian Action</t>
  </si>
  <si>
    <t>Youth Zone - Maram Barakat Speech</t>
  </si>
  <si>
    <t>No 'Health for All' without Gender Equality: Sustaining Momentum on Girls' and Women's Rights in UHC</t>
  </si>
  <si>
    <t>Inspire Interview: Dr. Jim Yong Kim, President, World Bank Group</t>
  </si>
  <si>
    <t>Youth Zone - Kinga Wisniewska Speech</t>
  </si>
  <si>
    <t>Women Deliver Humanitarian Advocates Program | #Humanitarian4Her</t>
  </si>
  <si>
    <t>Social Enterprise Pitch - Arushi Chowdhury Khanna</t>
  </si>
  <si>
    <t>Youth Zone - Olaoluwa Abagun Speech</t>
  </si>
  <si>
    <t>A look back at WD2019: Power. Progress. Change.</t>
  </si>
  <si>
    <t>The Next Big Idea: Tackling NCDs with Effective Advocacy</t>
  </si>
  <si>
    <t>Social Enterprise Pitch - Matt Dickson</t>
  </si>
  <si>
    <t>Dr  Hema Divakar | Obstetrician &amp; Gynaecologist in Bangalore | Gynaecologist - Know Your Doctor</t>
  </si>
  <si>
    <t>Preventing Non-Communicable Diseases</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</si>
  <si>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Vishal Punwani.
Watch the next lesson: https://www.khanacademy.org/test-prep/nclex-rn/rn-infectious-diseases/rn-hiv-and-aids/v/how-hiv-infects-us-mucous-membranes-dendritic-cells-and-lymph-nodes?utm_source=YT&amp;utm_medium=Desc&amp;utm_campaign=Nclex-rn
Missed the previous lesson? https://www.khanacademy.org/test-prep/nclex-rn/rn-infectious-diseases/rn-hiv-and-aids/v/how-hiv-infects-us-mucous-membranes-dendritic-cells-and-lymph-nodes?utm_source=YT&amp;utm_medium=Desc&amp;utm_campaign=Nclex-rn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</si>
  <si>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A list and description of various strategies useful for preventing the spread of infectious diseases.</t>
  </si>
  <si>
    <t>Dr. C. James Hospedales , the Executive Director of CARPHA, talks about preventing NCDs</t>
  </si>
  <si>
    <t>Presentation on The Challenge of Noncommunicable Disease in Resource-Poor Regions by the Senior Advisor for Global NCDs, Center for Global Health, CDC.</t>
  </si>
  <si>
    <t>As world leaders gather at the United Nations General Assembly to assess efforts made since 2011 in controlling noncommunicable diseases (NCDs) like heart disease, cancer, diabetes and chronic lung disease, the new WHO "Noncommunicable diseases country profiles 2014" show insufficient and uneven progress. The report provides an updated overview of the NCD situation including recent trends and government responses in 194 countries.
Soundtrack for this video is by Dexter Britain - www.dexterbritain.co.uk
Disclaimer: This video may contain links and references to third party-websites. WHO is not responsible for, and does not endorse or promote, the content of any of these websites and the use thereof</t>
  </si>
  <si>
    <t>https://www.paho.org/nmh
This video explains why noncommunicable diseases pose a threat to countries in the Region of the Americas and what are the main strategies to prevent them by reducing associated risk factors and improving the control and care of people who suffer from them .
Each year, approximately 5.2 million people die from noncommunicable diseases (NCDs), mainly cardiovascular diseases, cancer, diabetes and chronic respiratory diseases in the Region of the Americas. Of these, 35% occur in people who have not yet reached 70 years of age. These diseases have a major impact on life, well-being and the ability to work for people who suffer from them, while posing a major challenge to countries' health systems and economies.
The countries of the Region of the Americas have committed to reduce premature mortality by NCD by one third by 2030. To achieve this, there are cost-effective measures that have proven effective in reducing tobacco use and harmful Alcohol, promote healthy eating and physical activity and integrate interventions for the management of noncommunicable diseases in the health system at primary care level.</t>
  </si>
  <si>
    <t>WHO Director-General Dr Tedros Adhanom Ghebreyesus says intensified action is needed to respond to the global epidemics of noncommunicable diseases (NCDs), primarily heart and lung diseases, cancers and diabetes. The 18-20 October 2017 WHO Global Conference on NCDs in Uruguay will focus on ensuring government policies are geared to promoting health and preventing and treating NCDs, and to support achievement of Sustainable Development Goal target 3.4 to reduce premature deaths from NCDs by one-third by 2030.
More information: www.who.int/montevideo2017</t>
  </si>
  <si>
    <t>Joint mission to India - 08-12 December 2014</t>
  </si>
  <si>
    <t>Countries can reduce the staggering burden of noncommunicable diseases (NCDs), and save and generate resources for health and other services, by investing in measures to prevent and treat conditions like heart and lung disease, cancer and diabetes. The UN Interagency Task Force on NCDs, co-led by WHO and UNDP, is conducting investment cases in countries to demonstrate the massive costs associated with NCDs and cost-effective measures that can be taken to promote health and reduce human suffering and economic losses from these diseases.
More information: www.who.int/ncds/un-task-force/en</t>
  </si>
  <si>
    <t>The inside scoop on NCDs.</t>
  </si>
  <si>
    <t>Nearly 70% of the world's population dies from non-communicable diseases such as cancer, diabetes, cardiovascular and respiratory disease. Health Sciences student Hannah Burgess asks the Liggins Institute's Professor Sir Peter Gluckman what we can do about the problem.
Find out more about the Liggins Institute: http://www.liggins.auckland.ac.nz
Find out more about LENScience - bringing students and scientists together: http://www.lenscience.auckland.ac.nz</t>
  </si>
  <si>
    <t>ORIGINALLY RECORDED July 21, 2011
Experts discuss the importance of prevention and control of  non-communicable diseases, as well as the need for the United States and  the United Nations to play a larger role.
SPEAKERS:
Nils Daulaire, U.S. Representative, Executive Board, World Health Organization; Director, Office of Global Affairs, Office of the Secretary,  U.S. Department of Health and Human Services
 Babatunde Osotimehin, Executive Director, United Nations Population Fund; Undersecretary-General, United Nations
 Derek Yach, Senior Vice President of Global Health and Agriculture Policy, PepsiCo
PRESIDER:
Sheri L. Fink, Bernard L. Schwartz Senior Fellow, New America Foundation
http://www.cfr.org/health-and-disease/challenge-non-communicable-diseases-video/p25526</t>
  </si>
  <si>
    <t>On this weeks episode, we are joined by Jordan Jarvis of the Young Professionals Chronic Disease Network (YP-CDN) to discuss the growing burden of Non-Communicable Disease and the latest WHO status report on the issue.
-~-~~-~~~-~~-~-
Please watch: "Know how interpret an epidemic curve?" 
https://www.youtube.com/watch?v=7SM4PN7Yg1s
-~-~~-~~~-~~-~-</t>
  </si>
  <si>
    <t>A description of the causes of non-communicable diseases including a list of examples.  Specifically highlights asthma and heart disease as examples of non-communicable diseases.  Stresses the importance of disease management plans for chronic conditions.</t>
  </si>
  <si>
    <t>This video is about NPCDCS.  National Program for Prevention &amp; Control of Cancer, Diabetes, Cardiovascular diseases and stroke including all UPDATES &amp; INITIATIVES.
How body uses medicines.
Click the link below to find out!
http://youtube.com/channel/UC51SQXWlkoQAKPmCzQqSMQA</t>
  </si>
  <si>
    <t>This animated infographic highlights the need for countries to scale up implementation of the UN Political Declaration on the prevention and control of noncommunicable diseases, guided by the Regional framework for action. The framework is a road map that provides countries with strategic interventions to implement in four areas, and includes a set of indicators to measure progress made in these areas. The infographic also lists tools and guidance developed by WHO to facilitate action in each of the framework’s four areas of intervention.</t>
  </si>
  <si>
    <t>A quick explanation of noncommunicable diseases. Join the Healthy Lifestyle Community to learn more: https://ifrcstage.appspot.com.</t>
  </si>
  <si>
    <t>This lesson is going to provide you with an overview of the four WHO priority NCDs and their related risk factors. These include cardiovascular disease (CVD), type 2 diabetes, lifestyle-based cancers, and chronic respiratory diseases.  At the conclusion of this lecture, you should be able to describe the following elements for your country or region: the burden of disease of the four main NCDs; How risk factors affect the burden of disease; the definition and characteristics of NCDs; global trends in NCDs; definition of risk factors and metabolic risk factors; common risk factors for NCDs; and be able to define and discuss the global burden and health effects of the four leading NCDs, four lifestyle risk factors, and four metabolic risk factors.</t>
  </si>
  <si>
    <t>Protect your family today from vaccine preventable diseases.
Immunise today. Immunise for LIFE!</t>
  </si>
  <si>
    <t>Noncommunicable diseases such as cancer, cardiovascular disease, and diabetes—the most common causes of deaths in wealthier countries—are increasingly common in developing countries. NCDs now account for most deaths and their prevalence is rising. Both the risk factors that contribute to and the positive health behaviors that can prevent NCDs typically start in youth. This video outlines the global rise in NCDs and what measures taken during youth can prevent future NCDs.
PRB informs people around the world about population, health and the environment, and empowers them to use that information to advance the well-being of current and future generations. Find out more about PRB at our website, www.prb.org.</t>
  </si>
  <si>
    <t>Dr. Ala Alwan and Silvana Luciani WHO's Regional Director, Eastern Mediterranean Regional Office, and Advisor, Department of Noncommunicable Diseases and Mental Health, PAHO, respectively, were interviewed on 21st of May during the World Health Assembly 2015, as part of the webcast entitled "World Health +SocialGood". Together they discuss how can we better protect against the #1 killer in the world.</t>
  </si>
  <si>
    <t>41 million people die each year of non-communicable diseases (NCDs) such as heart disease, stroke, diabetes, kidney disease and cancer. More than three-quarters of these deaths occur in low and middle-income countries. Our workshop with the National Academy of Sciences of Sri Lanka looks at the problem and ways to tackle it. 
Worldwide the number of people dying from non-communicable diseases is rising as a result of urbanisation, diet, alcohol and tobacco use, sedentary lifestyles and population ageing. Tackling these root causes will be a key way to improve health for people around the world and meet the World Health Organisation’s Sustainable Development Goals. 
We need to focus on early life, diet, the risks of tobacco and alcohol, exercise and indoor and outdoor air pollution. Targeting these factors together, and collaboration for research across countries, has the potential to make a huge impact. 
Read more about the meeting and download the full report on our website:
https://acmedsci.ac.uk/policy/policy-projects/non-communicable-diseases-in-south-asia-and-beyond
This work is part of our Global Challenges Research Fund series of workshops on how scientific evidence can help improve health in developing countries. Find out more:
https://acmedsci.ac.uk/policy/policy-projects/gcrf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</si>
  <si>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Subtitles available in: Bulgarian, Czech, Danish, German, Greek, Italian, Lithuanian, Maltese, Portugese and Slovenian. 
Chronic diseases are everyone’s business. Nearly 1 in 4 Europeans suffer from a longstanding problem which restricts their daily activities. There are answers all across Europe that can reduce the burden of chronic diseases, by better using the existing knowledge and good practices on effective, efficient and holistic ways to manage chronic diseases. The European Joint Action CHRODIS brings together over 60 organisations across the EU that are working together to facilitate the exchange of good practices on the prevention and care of chronic diseases across Europe. 
More information about JA-CHRODIS here: www.chrodis.eu</t>
  </si>
  <si>
    <t>Take a look at what Communicable diseases are, what causes them and how they are transmitted.
The National Institute for Communicable Diseases is a resource of knowledge and expertise in regionally relevant communicable diseases to the South African Government, to SADC countries and the African continent.
#CommunicableDiseases #InfectiousDiseases #NICD</t>
  </si>
  <si>
    <t>Beat the drum to beat NCDs!
On 18-20 October, 2017, WHO and the Presidency of Uruguay staged the Global Conference on NCDs in Montevideo. The focus of the conference was on accelerating all-of-government action to help achieve the 2030 Agenda for Sustainable Development, promote health and achieve Sustainable Development Goal target 3.4, which is to achieve a one-third reduction by 2030 in premature death from NCDs, primarily cardiovascular diseases, cancers, lung diseases and diabetes. The highlight of the Conference was the launch of the Montevideo Roadmap on NCDs as a Sustainable Development Priority.
More information: www.who.int/montevideo2017
Montevideo Roadmap for NCDs 
http://www.who.int/conferences/global-ncd-conference/Roadmap.pdf</t>
  </si>
  <si>
    <t>To license this video for patient education or content marketing, visit: https://healthcare.nucleusmedicalmedia.com/contact-nucleus  Ref: ANH13094
This video, created by Nucleus Medical Media, describes Hepatitis A and B.  This animation begins by showing a healthy liver and explaining its function. The animation then goes on to explain the causes of Hepatitis A and B, how these viruses may be transmitted, the effects the virus can have on the liver as well as possible treatments.
#HepatitisA #HepatitisB #Liver</t>
  </si>
  <si>
    <t>View full lesson: http://ed.ted.com/lessons/how-does-asthma-work-christopher-e-gaw
More than 300 million people around the world suffer from asthma, and around 250,000 people die from it each year. But why do people get asthma, and how can this disease be deadly? Christopher E. Gaw describes the main symptoms and treatments of asthma. 
Lesson by Christopher E. Gaw, animation by Zedem Media.</t>
  </si>
  <si>
    <t>View full lesson: http://ed.ted.com/lessons/how-stress-affects-your-body-sharon-horesh-bergquist
 Our hard-wired stress response is designed to gives us the quick burst of heightened alertness and energy needed to perform our best. But stress isn’t all good. When activated too long or too often, stress can damage virtually every part of our body. Sharon Horesh Bergquist gives us a look at what goes on inside our body when we are chronically stressed.
Lesson by Sharon Horesh Bergquist, animation by Adriatic Animation.</t>
  </si>
  <si>
    <t>In this week's episode, we will look at how to prevent non-communicable diseases.
For more information, download our app for free on the link below
https://play.google.com/store/apps/details?id=com.stowelink.mcure
Music: https://www.bensound.com</t>
  </si>
  <si>
    <t>This video takes a look at how infectious diseases are transmitted and a look at the different tools we have to control them. We take a quick look at how we can use behavior change, vaccines, surveillance, environmental changes, infection control and medication to control the spread of infectious diseases
This video was created by Ranil Appuhamy
Voiceover - James Clark
For more information about infectious diseases, have a look at these websites:
http://www.who.int/topics/infectious_diseases/en/
https://www.cdc.gov/diseasesconditions/ 
https://wwwnc.cdc.gov/eid/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</si>
  <si>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Click here https://bit.ly/2wJs0SV to Download our Android APP to have access to 1000's of #Smart_Courses covering length and breadth of almost all competitive exams in India.  
UPSC/CSE - This is our Flagship &amp; Most Selling Course. This course covered Length &amp; Breadth of UPSC vast syllabus and made by Elite &amp; Very best faculties from all over India with StudyIQ Trust. #Download_StudyIQ_APP https://bit.ly/2wJs0SV to watch Demo Videos, Course Content, Authors, Etc. 
SSC &amp; Bank - This is our oldest Course, made by Founders of StudyIQ. 1000+ videos so far and new videos added every week. Download the app https://bit.ly/2wJs0SV to watch Demo Videos, Course Content, Authors, Etc.
UPSC Optionals - We have covered almost all major UPSC Optionals. Download the app https://bit.ly/2wJs0SV to watch Demo Videos, Course Content, Authors, Etc.
State Exams PSCs - Currently we have 18 States covered, More to come, Choose your state. Download the app https://bit.ly/2wJs0SV to watch Demo Videos, Course Content, Authors, Etc.
Defense Exams - CDS, NDA, CAPF, SSB, AFCAT, Airforce. Download the app https://bit.ly/2wJs0SV to watch Demo Videos, Course Content, Authors, Etc.
SSC JE Exams - Civil, Mechanical, Electrical, Electronics. Download the app https://bit.ly/2wJs0SV to watch Demo Videos, Course Content, Authors, Etc.
RBI Grade B - Grade B is the most popular Job after IAS. This course made by well-experienced faculties of Study IQ. Download the app https://bit.ly/2wJs0SV to watch Demo Videos, Course Content, Authors, Etc.
NTA NET - Start your preparation for UGC(NTA) NET prestigious exam. We have courses for both Paper 1 &amp; 2. Download the app https://bit.ly/2wJs0SV to watch Demo Videos, Course Content, Authors, Etc. 
UPSC Prelim Test Series 2020 - Our flagship test series for UPSC Prelims. More than 55-60% Success rate in 2018-19. Download the app https://bit.ly/2wJs0SV to watch Demo Videos, Course Content, Authors, Etc. 
DMRC Exams - Courses for Delhi Metro Technical &amp; Non-Technical Exams. Download the app https://bit.ly/2wJs0SV to watch Demo Videos, Course Content, Authors, Etc.
Insurance Exams - LIC, NICL, and other insurance exams. Download the app https://bit.ly/2wJs0SV to watch Demo Videos, Course Content, Authors, Etc.
Law Exams - Find courses for Undergraduate and Judiciary Exams. Download the app https://bit.ly/2wJs0SV to watch Demo Videos, Course Content, Authors, Etc.
Railway Jobs - More than 1.5 Lac jobs to come this year. Start your preparation with us for Tech or Non-Tech posts. Download the app https://bit.ly/2wJs0SV to watch Demo Videos, Course Content, Authors, Etc.
Teaching Jobs - CTET, DSSSB. Download the app https://bit.ly/2wJs0SV to watch Demo Videos, Course Content, Authors, Etc.
NABARD Grade A - Download the app https://bit.ly/2wJs0SV to watch Demo Videos, Course Content, Authors, Etc.
Have a doubt? Click here http://bit.ly/2qWhdOI to start instant Chat with our Sale team or you can call 95-8004-8004
Download POKET NEWS app - http://bit.ly/2J3IxV3
STUDYIQ on Instagram - http://bit.ly/2K0uXEH
STUDYIQ [OFFICIAL] Telegram - https://t.me/Studyiqeducation
UPSCIQ Magazine (For Serious UPSC Aspirants) - http://bit.ly/2DH1ZWq 
UPSC Mains Answer Writing Practice - http://bit.ly/2IB9LTo
Bank IQ Magazine - http://bit.ly/2QxyNmJ
Daily Current Affairs  - http://bit.ly/2t68FG1
Download All Videos PDFs - https://goo.gl/X8UMwF
Monthly Current Affairs - http://bit.ly/2GtcCuP
Topic Wise Current Affairs - http://bit.ly/2VHxiZw
Free PDFs - https://goo.gl/cJufZc 
Free Quiz - https://goo.gl/wCxZsy 
Free Video Courses - https://goo.gl/jtMKP9"
Follow us on Facebook - https://goo.gl/iAhPDJ
Telegram - https://t.me/Studyiqeducation
The Hindu Editorial Analysis - https://goo.gl/vmvHjG
Current Affairs by Dr Gaurav Garg - https://goo.gl/bqfkXe
UPSC/IAS Burning Issues analysis- https://goo.gl/2NG7vP
World History for UPSC - https://goo.gl/J7DLXv
Indian History  - https://goo.gl/kVwB79
UPSC/IAS past papers questions - https://goo.gl/F5gyWH
SSC CGL + IBPS Quantitative tricks - https://goo.gl/C6d9n8
English Vocabulary - https://goo.gl/G9e04H
Reasoning tricks for Bank PO + SSC CGL- https://goo.gl/a68WRN
Error spotting / Sentence correction  https://goo.gl/6RbdjC
Static GK complete- https://goo.gl/kB0uAo
Complete GK + Current Affairs for all exams- https://goo.gl/MKEoLy
World History - UPSC / IAS - https://goo.gl/kwU9jC
Learn English for SSC CGL, Bank PO https://goo.gl/MoL2it
Science and Technology for UPSC/IAS - https://goo.gl/Jm4h8j
Philosophy for UPSC/IAS - https://goo.gl/FH9p3n
Yojana Magazine analysis -https://goo.gl/8oK1gy
History for SSC CGL + Railways NTPC - https://goo.gl/7939eV</t>
  </si>
  <si>
    <t>Any idea why some Diseases spread easily through contact, while some do not spread at all? Why are some Diseases contagious while others do not get caught with mere communication? 
Watch this video to find the answers and to understand types of Diseases, Infectious diseases, non-infectious diseases, chronic diseases, and disorders. 
Don’t Memorise brings learning to life through its captivating educational videos. To Know More, visit https://DontMemorise.com
New videos every week. To stay updated, subscribe to our YouTube channel: http://bit.ly/DontMemoriseYouTube
Register on our website to gain access to all videos and quizzes:
https://dontmemorise.com/register/
Join us on Facebook: http://bit.ly/DontMemoriseFacebook
Follow us on Twitter: https://twitter.com/dontmemorise
Follow us: http://bit.ly/DontMemoriseBlog
#Diseases #InfectiousDiseases #NonInfectiousDiseases</t>
  </si>
  <si>
    <t>Fiji and the wider Pacific Region are facing a crisis of Non-Communicable Disease.  In Fiji there is one diabetic amputation every 12 hours.  This is devastating for a country with a population around 1 million.  
Dr Jone Hawea spent many years as a surgeon only to familiar with this this statistic.  During this time he began to explore more holistic options to prevention of diabetes and many other so called "life style" diseases.  Including options that have sustained the health of Pacific people for generations.
In this talk, Dr Jone takes us on his journey to find this more holistic preventative approach.  He offers a simple and refreshing idea on what we can do to give ourselves a better chance to beat the Non-Communicable Disease crisis we face in the Pacific and live better lives.
Dr Jone Hawea is a medical surgeon who has served in all major hospitals in Fiji.  Much of his work has revolved around diabetic amputations.  He has also served as Medical Officer in various Peace Keeping Missions and has done medical stints in Niue and in New Zealand.  
Dr Jone Hawea is currently the Medical Director of the SMILE Health Initiative of FRIEND, a home grown Fijian NGO.  He is also the associate Director of Foundation for Rural Integrated Enterprises &amp; Development, a local NGO that works towards empowering communities through social, economic and health programs. 
He is a keen rugby player and has been organizing a mix of sports in communities to ensure that men and women of all ages participate to ensure physical health.
Dr Jone is also a heartfulness meditation trainer and has been offering this service free of charge to ensure his patients find relief from stresses known to be contributing factors to non-communicable diseases.
This talk was given at a TEDx event using the TED conference format but independently organized by a local community. Learn more at http://ted.com/tedx</t>
  </si>
  <si>
    <t>Did you know there is a secret language of leadership that determines who reaches the top in politics and business?
In this fast-paced and frequently funny TEDx talk, top speechwriter, Simon Lancaster, sets out the techniques that you can use to speak like a leader. The talk culminates in Simon Lancaster instantly improvising a powerful leadership speech based on an idea suggested by the audience.
Simon Lancaster is one of the world’s top speechwriters. He started working as a speechwriter in the late 1990s to members of Tony Blair’s Cabinet and now writes speeches for the CEOs of some of the biggest companies in the world including Unilever, Intercontinental Hotels and HSBC. He is a visiting lecturer at Cambridge University, Henley Business School and author of two best-selling books on communication: Speechwriting: The Expert Guide and Winning Minds: Secrets from the Language of Leadership. His award winning workshops on the language of leadership have been run to great acclaim around the world: for more information, see www.bespokeleadershipdevelopment.com.
This talk was given at a TEDx event using the TED conference format but independently organized by a local community. Learn more at http://ted.com/tedx</t>
  </si>
  <si>
    <t>Who is More Ready to Get Back in Shape?</t>
  </si>
  <si>
    <t>This presentation of UN Global Pulse's work together with the WHO to develop a global radio platform for infodemic management took place during the 4th Infodemic Management Conference organized by the WHO in May 2021. Joseph Aylett-Bullock is an AI Research Fellow at UN Global Pulse.</t>
  </si>
  <si>
    <t>To support data-driven decision making in response to the COVID-19 pandemic, a team made up of Cox’s Bazar public health and information management professionals, scientists and domain experts from UN Global Pulse, UNHCR Innovation, OCHA, and academics from Durham University and IBM/MIT are working to model the impact of possible public health operational interventions in the Cox’s Bazar settlement. 
The Cox’s Bazar settlement in Bangladesh houses the Kutupalong-Balukhali Expansion Site, a collection of camps which form the most densely populated and interconnected site in the settlement. The area hosts almost 600,000 Rohingya refugees, with more than 44,000 people estimated to be living per square kilometer.</t>
  </si>
  <si>
    <t>Inferring High Spatiotemporal Air Quality Index- A Study in Bangkok</t>
  </si>
  <si>
    <t>The World Health Organization estimates that Non Communicable Diseases (NCDs) will affect around 52 million people worldwide by 2030 - doubling the 1980 figures. Indonesia is also witnessing a rise in the number of NCD cases, with stroke, diabetes, ischemic heart disease, and chronic respiratory diseases being among the leading causes of death based on the country’s official mortality statistics.
In November’s edition of Colloqumotion, Dr. Budi Wiweko (an Obstetrics and Gynecology specialist) explained the relationship between NCDs and maternal health, neonatal and infant mortality; and Dr. Nunik Kusumawardani, S.Km, M.Sc from the Ministry of Health who discussed projects, policies and other steps the Indonesian Government were working to put in place to address the problem in line with SDG #3- Good Health and Well-Being.</t>
  </si>
  <si>
    <t>In the Caribbean non communicable diseases account for three out of four deaths. The morbid statistic has had health officials from these Caribbean states, as well as regional and international health organizations worried about the growing epidemic.
The St Lucia Diabetes and Hypertension Association, who attends to the welfare of diabetic and hypertensive patients, believes that the growing numbers of these cases could be reversed through effective educational campaigns. Zane Romulus reports</t>
  </si>
  <si>
    <t>Join Warren Levinson to learn about the various agents that cause infectious diseases: bacteria, viruses, fungi, protozoa and worms, with a focus on how bacteria are transmitted and cause disease, and how exotoxins and endotoxins cause symptoms of disease. Series: "UCSF Mini Medical School for the Public" [2/2007] [Health and Medicine] [Show ID: 12104]</t>
  </si>
  <si>
    <t>This webinar highlights perspectives on a people-centric and human rights-based approach to health security that is focused on delivering health for all through stronger health systems, a properly-equipped and financed health workforce, and responding to health crises while maintaining core women’s health services. Speakers shared recommendations and actions to propel advocacy to support investments in and commitments to women in the health workforce.
Speakers include:
•        Michèle Boccoz, World Health Organization (WHO)
•        Howard Catton, International Council of Nurses (ICN)
•        Dr. Gvantsa Khizanishvili, Tbilisi City Manager of the City Cancer Challenge (C/Can) (Georgia)
•        Opening remarks from Sarah Hillware, Women in Global Health
•        Closing remarks from Susan Papp, Women Deliver
•        Moderator: Mwenya Kasonde, Gender Equity Hub and Women in Global Health</t>
  </si>
  <si>
    <t>In this research study, Women Deliver and Girl Effect worked together to understand how adolescent girls and young women in India, Malawi, and Rwanda are using digital platforms to learn about their sexual and reproductive health. The study found that adolescent girls and young women are using digital platforms as a one-stop shop to find information about their bodies, their health, and their relationships. However, they aren’t acting on the information partially due to a lack of trust and fear of social stigma. 
The study is especially unique because young people were meaningfully engaged throughout the whole process, including: in shaping the research questions, in collecting the data, discussing the results, and generating recommendations.
Read the report here: https://womendeliver.org/publications/going-online-for-sexual-and-reproductive-health-meaningfully-engaging-adolescent-girls-and-young-women-for-smarter-digital-interventions/</t>
  </si>
  <si>
    <t>Some 18 million women of reproductive age die each year from non-communicable diseases (NCDs). The compounding effects of NCDs complicate women’s experiences in many unseen ways, and the rise and gravity of NCDs pose a growing and often overlooked challenge to maternal health worldwide. The CODE BLUE series will highlight seven NCDs most threatening to maternal health: cardiovascular disease, diabetes, hypertension, thyroid disease, cancer, multiple sclerosis, and mental health disorders. 
Please join the Wilson Center’s Maternal Health Initiative, in partnership with EMD Serono, a business of Merck KGaA, Darmstadt, Germany, in our first public event of the CODE BLUE series. Hear from experts on the effects of NCDs on women of reproductive age and maternal mortality, smart innovations and programs designed to reduce the burden of NCDs, as well as gaps in research, policy, and funding.</t>
  </si>
  <si>
    <t>BBC World News host Yalda Hakim interacts with Sadhguru. Their conversation covers a spectrum of issues relevant today including religious violence, political correctness and artificial intelligence.
#HeadTalks #YaldaHakim
#Sadhguru
Yogi, mystic and visionary, Sadhguru is a spiritual master with a difference. An arresting blend of profundity and pragmatism, his life and work serves as a reminder that yoga is a contemporary science, vitally relevant to our times. 
Sadhguru Exclusive (Register Now)
⚡ http://isha.co/ex-yt 
Sadhguru App (Download)
_xD83D__xDCF1_http://onelink.to/sadhguru__app
Official Sadhguru Website 
_xD83C__xDF0E_ http://isha.sadhguru.org 
Donate Towards Crafting A Conscious Planet
_xD83D__xDE4F_ https://isha.sadhguru.org/sanghamitra
Offerings from Sadhguru in Challenging Times 
_xD83C__xDF3C_ https://isha.sadhguru.org/sadhana-support
Guided Yoga &amp; Meditations by Sadhguru (Free Online)
_xD83C__xDF3C_ http://isha.sadhguru.org/5-min-practices
_xD83C__xDF3C_ http://isha.sadhguru.org/IshaKriya
Inner Engineering Online Program
50% off  | FREE for COVID Warriors
_xD83C__xDF3C_ http://isha.co/IEO-YT (Register Now)
Official Social Profiles of Sadhguru  (Subscribe)
_xD83C__xDF10_ https://youtube.com/sadhguru?sub_confirmation=1
_xD83C__xDF10_ https://facebook.com/sadhguru
_xD83C__xDF10_ https://instagram.com/sadhguru
_xD83C__xDF10_ https://twitter.com/SadhguruJV
_xD83C__xDF10_ https://t.me/Sadhguru</t>
  </si>
  <si>
    <t>To receive credit, visit: http://www.freece.com/FreeCE/CECatalog_Details.aspx?ID=85967692-a805-4edc-9fff-7ddebbaa2fee
Program Overview 
Rheumatoid arthritis (RA) is an inflammatory type of arthritis characterized by severe joint pain, inflammation and loss of mobility -- particularly within the hands of middle age to elderly women. Symptoms often come and go and can affect other body parts, such as the eyes, mouth and lungs. The causes of RA is unknown, although it's categorized as an autoimmune disease because it appears that the immune system is attacking its own tissues. Genetics, hormones, environment, diet and gastrointestinal health are all related factors. An estimated 1.5 to 2 million American adults currently suffer from RA. There are natural remedies, lifestyle changes and pharmaceutical treatments that help reduce the symptoms of RA and slow its progression. 
Pharmacist Educational Objectives
- Describe the pathophysiology, frequency and implications of rheumatoid arthritis (RA)
-Outline the non-pharmacological methods used to treat RA
-Compare and contrast the most common pharmaceuticals used to treat RA, including mechanism of action and potential side effects
Accreditation 
Pharmacist 0798-0000-13-252-H01-P
Disclaimer:
The Content and Program Materials contained are provided by FreeCE/PharmCon as a service to its registrants and to the public.
THE INFORMATION OFFERED IS FOR GENERAL EDUCATIONAL AND INFORMATIONAL PURPOSES ONLY. THIS IS NOT INTENDED TO PROVIDE INFORMATION OR ADVICE CONCERNING SPECIFIC PROBLEMS OF SITUATIONS.
IT IS NOT INTENDED AS A SUBSTITUTE FOR THE PROFESSIONALS OWN RESEARCH, OR FOR HIS OWN PROFESSIONAL JUDGMENT OR ADVICE FOR A SPECIFIC PROBLEM OF SITUATION.
NEITHER FREECE/PHARMCON NOR ANY CONTENT PROVIDER INTENDS TO OR SHOULD BE CONSIDERED TO BE RENDERING MEDICAL, PHARMACEUTICAL OR OTHER PROFESSIONAL ADVICE. WHILE FREECE/PHARMCON AND ITS CONTENT PROVIDERS HAVE EXERCISED CARE IN PROVIDING INFORMATION, NO GUARANTEE OF ITS ACCURACY, TIMELINESS OR APPLICABILITY CAN BE OR IS MADE. YOU ASSUME ALL RISKS AND RESPONSIBILITIES WITH RESPECT TO ANY DECISIONS OR ADVICE MADE OR GIVEN AS A RESULT OF THE USE OF THE PROGRAM, PROGRAM MATERIALS, FREECE WEBSITE OR INTERACTION WITH CONTENT PROVIDERS.
IF MEDICAL OR OTHER EXPERT ASSISTANCE IS REQUIRED, YOU SHOULD OBTAIN THE SERVICES OF A COMPETENT PROFESSIONAL.
-----------------------------------------------------------------------------------------------
Learn more about freeCE:
Website: https://www.freece.com/
Webcasts: https://www.freece.com/Home/CECataLogOnDemand
Facebook - https://www.facebook.com/freeCEonline/
Twitter - https://twitter.com/freeCEonline
Instagram - https://www.instagram.com/freeceonline 
LinkedIn - https://www.linkedin.com/company/freece---a-subsidiary-of-pharmcon/
-----------------------------------------------------------------------------------------------</t>
  </si>
  <si>
    <t>On The Doctors, Freda Lewis-Hall, M.D. and Travis Stork, M.D. talk about how chronic stress can impact your health. Check your local CBS Listings to see the whole show and learn more at http://www.GetHealthyStayHealthy.com.
Chronic Stress Can Damage Your Health</t>
  </si>
  <si>
    <t>On The Doctors,  Pfizer’s Chief Medical Officer Freda Lewis-Hall, M.D. discusses the differences between heartburn, acid reflux and GERD – conditions often confused for each other – and some do’s and don’ts that can help if you are experiencing symptoms.
Visit http://on.pfizer.com/1z17tDW to learn more.
Heartburn, Acid Reflux and GERD – The Differences Decoded</t>
  </si>
  <si>
    <t>The Toronto Western Hospital Pulmonary Rehabilitation Home Exercise DVD was created to help people with chronic lung disease learn to:
- Be more active
- Stay active 
- Keep their independence
- Improve their quality of life 
Symptoms of fatigue and shortness of breath can make people with chronic lung disease feel disabled. The TWH Pulmonary Rehabilitation Home Exercise DVD teaches you how to use breathing techniques while working on gradually building momentum. The exercise DVD combines gentle movements, stretches, strength training, balance and flexibility movements that you can follow at your own pace. 
The information within this video is not intended to replace any advice provided to you by your health care team. For your safety, we ask that you do not act on the information within these videos without first discussing your treatment or healthy living plan with your qualified health care providers. 
For more information about UHN Patient &amp; Family Education, visit http://www.uhnpatienteducation.ca.</t>
  </si>
  <si>
    <t>A Mitochondrial Etiology of Metabolic and Degenerative Diseases, Cancer and Aging
Air date: Wednesday, April 02, 2014, 3:00:00 PM
Category: Wednesday Afternoon Lectures
Runtime: 01:10:05 
Description: Wednesday Afternoon Lecture Series 
For half a millennium Western medicine has focused on anatomy and for the past century on nuclear DNA (nDNA), Mendelian, genetics. While these concepts have permitted many biomedical advances, they have proven insufficient for understanding the common "complex" diseases. Life requires energy, 90 percent of which comes from the mitochondrion. The mitochondrial genome consists of thousands of copies of the maternally inherited mitochondrial DNA (mtDNA) plus 1,000--2,000 nDNA genes. The mtDNA has a very high mutation rate, but the most deleterious mutations are removed by an ovarian prefertilization selection system. Hence, functional mtDNA variants are constantly being introduced into the human population, the more deleterious resulting in recent maternally inherited diseases. The milder mtDNA variants have accumulated sequentially as women spread throughout Africa and migrated out to colonize Eurasia and the Americas. Some ancient mtDNA variants alter mitochondrial energy metabolism in ways that were beneficial in different regional environments. In alternative environments and/or with age these same adaptive variants can be maladaptive and increase the risk for disease. For example, one variant increases the penetrance of mutations associated with an inherited form of vision loss, but is adaptive for survival at high altitudes. Mutations in the mtDNAs also accumulate with age in both stem and somatic tissue cells and can be associated with various forms of cancer. The introduction of mtDNA variants into the mouse germline via female embryonic stem cells has confirmed the causal role of mitochondrial deficiency in diseases. Hence, the pathophysiology of some common diseases may be bioenergetic dysfunction and their genetic complexity the result of thousands of nDNA and mtDNA bioenergetic gene variants interacting.
For more information go to http://wals.od.nih.gov
Author: Douglas Wallace, Perelman School of Medicine at the University of Pennsylvania 
Permanent link: http://videocast.nih.gov/launch.asp?18367</t>
  </si>
  <si>
    <t>This lecture is part of the IHMC Evening Lecture series.
https://www.ihmc.us/life/evening_lectures/
Human beings are colonized with a diverse collection of microorganisms that inhabit every surface and cavity of the body. This collection of microbes, known as the human microbiome, is made up of nearly one thousand different bacterial species and exists in a mutualistic relationship with us as its host. Indeed, we could not survive without our microbial partners.
Claire M. Fraser, Ph.D. is Director of the Institute for Genome Sciences at the University of Maryland School of Medicine in Baltimore, MD. She has joint faculty appointments at the University of Maryland School of Medicine in the department of Medicine and Microbiology/Immunology. 
She helped launch the new field of microbial genomics and revolutionized the way microbiology has been studied. Until 2007, she was President and Director of The Institute for Genomic Research (TIGR) in Rockville, MD, and led the teams that sequenced the genomes of several microbial organisms, including important human and animal pathogens. Her current research is focused on characterization of the human gut microbiome in health and disease. 
Her work on the Amerithrax investigation led to the identification of four genetic mutations in the anthrax spores that allowed the FBI to trace the material back to its original source. She is one of the world’s experts in microbial forensics and the growing concern about dual uses – research that can provide knowledge and technologies that could be misapplied. 
Dr. Fraser has authored more than 300 publications, edited three books, and served on the editorial boards of nine scientific journals. Between 1997 and 2008, she was the most highly cited investigator in the field of microbiology and has been recognized for numerous awards. 
She has served on many advisory panels for all of the major Federal funding agencies, the National Research Council, the Department of Defense, and the intelligence community. In addition, she has contributed her time as a Board member for universities, research institutes, and other non-profit groups because of her commitment to the education of our next generation of scientists.</t>
  </si>
  <si>
    <t>The Power of Now will include a dynamic discussion between leaders from civil society, the UN, government, and private sector, on opportunities and challenges ahead in achieving the Sustainable Development Goals.</t>
  </si>
  <si>
    <t>Public confidence in the scientific community is higher than other groups, and yet public trust in technology companies has eroded, according to US-based studies by the Pew Research Center. How are changing perceptions about science and technology reshaping politics, business and public policy?
Speakers:
· Sarah bint Yousif Al Amiri, Minister of State for Advanced Sciences of the United Arab Emirates.
· Carlos Moedas, Commissioner for Research, Science and Innovation, European Commission, Brussels.
· Brian Schmidt, Vice-Chancellor, Australian National University, Australia.
· Lars Rebien Sorensen, Chairman of the Board of Directors, Novo Nordisk Foundation, Denmark.
· Ulrich Spiesshofer, President and Chief Executive Officer, ABB, Switzerland.
Moderated by:
· Magdalena Skipper, Editor-in-Chief, Nature, Nature Research, USA.
http://www.weforum.org/</t>
  </si>
  <si>
    <t>Christelle Kwizera, Water Access Rwanda
Water scarcity and youth unemployment are two significant issues facing Rwanda. Water Access Rwanda is tackling both issues by employing young people to help revolutionize the country’s water sector with decentralized infrastructure that offers reliable, safe water at a fraction of the usual cost.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</si>
  <si>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Avanir Pharmaceuticals, Inc. (NASDAQ: AVNR) today announced the initiation of production of The PBA Film Project (working title), the first-ever documentary to provide an intimate look at real people living with a little-known neurologic condition called PseudoBulbar Affect (PBA). The award-winning filmmaker team of The PBA Film Project includes co-directors Doug Blush and Lisa Klein (Of Two Minds) and producer Julian Cautherley (The Crash Reel). 
To view the Multimedia News Release, go to http://www.multivu.com/players/English/7266955-avanir-pharmaceuticals-pseudobulbar-affect-pba-documentary/</t>
  </si>
  <si>
    <t>Dr. Gabor Maté talks about how hidden stress from childhood and beyond can impact overall health and even evoke diseases like cancer and multiple sclerosis.</t>
  </si>
  <si>
    <t>(April 6, 2010) Stanford University Professor of Medicine Mark Genovese address the different types of arthritis that are prevalent in today's society. He also discusses both possible preventative measures as well as treatment.
During the final quarter of the Stanford Mini Med School, some of the most timely and important topics in contemporary medicine and the biosciences are addressed.  
Stanford Mini Med School is a series arranged and directed by Stanford's School of Medicine and presented by the Stanford Continuing Studies program.  
Stanford University:
http://www.stanford.edu
Stanford Medical School:
http://med.stanford.edu/
Stanford Continuing Studies:
http://continuingstudies.stanford.edu/
Stanford University Channel on YouTube:
http://www.youtube.com/stanford/</t>
  </si>
  <si>
    <t>The Social Determinants of Health are the conditions in which people are born, grow, live and age. They have a large influence on our health. It also determines health inequities, which is the unfair and avoidable health difference between different groups of people In this video we take a look at the social determinants of health..what they are, how it impacts health and a useful framework to understand it.
This video was created by Ranil Appuhamy
Voiceover - James Clark
For more information have a look at these resources:
http://www.who.int/social_determinants/en/ 
http://www.who.int/social_determinants/thecommission/en/ 
https://www.cdc.gov/socialdeterminants/ 
http://www.ucl.ac.uk/whitehallII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</si>
  <si>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Explore the basics about the immune system with The Amoeba Sisters! This video talks about the three lines of defense and also compares cell-mediated response with the humoral response.
***************************
Factual References:
Clark, M. A., Douglas, M., &amp; Choi, J. (2018). Biology 2e. Houston, TX: Biology Stax. https://openstax.org/details/books/biology-2e
Reece, J. B., &amp; Campbell, N. A. (2011). Campbell biology. Boston: Benjamin Cummings / Pearson.
***************************
Further Reading Suggestions:
Discover many other types of white blood cells here! https://openstax.org/books/biology-2e/pages/42-1-innate-immune-response
More about antibody classes? https://openstax.org/books/biology-2e/pages/42-3-antibodies
More detail about the cell-mediated and humoral response? https://openstax.org/books/biology-2e/pages/42-2-adaptive-immune-response
***************************
The Amoeba Sisters videos demystify science with humor and relevance. The videos center on Pinky's certification and experience in teaching biology at the high school level. Amoeba Sisters videos only cover concepts that Pinky is certified to teach, and they focus on her specialty: secondary life science. Learn more about our videos here: https://www.amoebasisters.com/our-videos
Support Us? https://www.amoebasisters.com/support-us
Our Resources:
Biology Playlist: https://www.youtube.com/playlist?list=PLwL0Myd7Dk1F0iQPGrjehze3eDpco1eVz
GIFs: https://www.amoebasisters.com/gifs.html
Handouts: https://www.amoebasisters.com/handouts.html
Comics: https://www.amoebasisters.com/parameciumparlorcomics
Unlectured Series: https://www.amoebasisters.com/unlectured
Connect with us!
Website: http://www.AmoebaSisters.com
Twitter: http://www.twitter.com/AmoebaSisters
Facebook: http://www.facebook.com/AmoebaSisters
Tumblr: http://www.amoebasisters.tumblr.com
Pinterest: http://www.pinterest.com/AmoebaSister­s
Instagram: https://www.instagram.com/amoebasistersofficial/
Visit our Redbubble store at https://www.amoebasisters.com/store
TIPS FOR VIEWING EDU YOUTUBE VIDEOS:
Want to learn tips for viewing edu YouTube videos including changing the speed, language, viewing the transcript, etc? https://www.amoebasisters.com/pinkys-ed-tech-favorites/10-youtube-tips-from-an-edu-youtuber-duo
MUSIC:
Our intro music designed and performed by Jeremiah Cheshire.
End music in this video is listed free to use/no attribution required from the YouTube audio library https://www.youtube.com/audiolibrary/music?feature=blog
COMMUNITY:
We take pride in our AWESOME community, and we welcome feedback and discussion.  However, please remember that this is an education channel. See YouTube's community guidelines and how YouTube handles comments that are reported by the community. We also reserve the right to remove comments.
TRANSLATIONS:
Thank you to Proseanchin Tudor-Ioan for translating the subtitles in Romanian!
While we don't allow dubbing of our videos, we do gladly accept subtitle translations from our community. Some translated subtitles on our videos were translated by the community using YouTube's community-contributed subtitle feature. After the feature was discontinued by YouTube, we have another option for submitting translated subtitles here:  https://www.amoebasisters.com/pinkys-ed-tech-favorites/community-contributed-subtitles We want to thank our amazing community for the generosity of their time in continuing to create translated subtitles. If you have a concern about community contributed contributions, please contact us.</t>
  </si>
  <si>
    <t>This webinar offers storytelling techniques for advocacy in humanitarian crises, specifically focusing on respectful, safe, and effective methods for sharing the lived experiences of girls and women in a way that promotes their agency, without highlighting victimization or risking re-traumatization.
SPEAKERS: 
- Aanjalie Roane, Senior Associate for Humanitarian Communications, Women Deliver 
- Sue Mbaya, African Union Director, Crisis Action 
- Elizabeth Ashamu Deng, Regional Rights in Crisis Advocacy Adviser, Oxfam (Horn, East and Central Africa Region) 
- Olivia Nightingale, Program Officer for Civil and Political Rights and Humanitarian Response, American Jewish World Service</t>
  </si>
  <si>
    <t>A part of the Advocacy Academy Webinar Series, originally aired 14 May 2019. Moderated by Rachel Wilson of Catalysts for Change.
References:
https://womendeliver.org/publications/breaking-barriers-and-building-bridges-to-advance-girls-and-womens-health-and-rights/</t>
  </si>
  <si>
    <t>We Have Always Been Here: The power of feminist civil society organizations in addressing compounded humanitarian crises
Today, nearly all crises are complex, founded on not just a single armed con­flict or natural disaster, but the compilation of multiple compounded crises. Local feminist civil society organizations (CSOs) have served as frontline responders during these crises, but still lack the support they need. They have always been there, at the heart of all humanitarian emergencies, and it’s time to shift more power and funding to them. Hear from feminist CSOs responding to two compounding crises – in Lebanon and Bangladesh – who share what a more feminist and localized approach to addressing complex humanitarian situations must look like.
Moderator:
Marcy Hersh, Senior Manager, Humanitarian Advocacy, Women Deliver
Welcome Remarks:
Vivian Onano, Gender Equality Advocate, Speaker, Entrepreneur, Women Deliver Board Member
Opening Keynote:
Diana Abou Abbas, Executive Director, Marsa Sexual Health Center
Lebanon Presenters:
Cecilia Chami, Programs Director, Lebanon Family Planning Association for Development + Family Empowerment (LFPADE)
Dr. Olfat Mahmoud, Founder, Palestinian Women's Humanitarian Organization
Rola Alrokbi, Country Manager, Women Now for Development
Hayat Mirshad, Head of Communications &amp; Campaigning, Lebanese Women Democratic Gathering (RDFL)
Bangladesh Presenters:
Tanjila Mazumder Drishti, Senior Manager, BRAC, Women Deliver Young Leader
Lipi Rahman, Executive Director, Badabon Sangho
Statements from Humanitarian Donors:
Valerie Nkamgang Bemo, Deputy Director of Emergency Response, Global Development, Bill &amp; Melinda Gates Foundation
Naved Chowdhury, Senior Policy Adviser, Civil Society Team, UK Foreign, Commonwealth, and Development Office
Closing Keynote:
Sarah Noble, Director of External Relations, The New Humanitarian</t>
  </si>
  <si>
    <t>Recorded in May 2020, this webinar highlights opportunities to sustain momentum and action for gender equality in Universal Health Coverage (UHC), examine progress in building UHC systems that prioritize gender equality, and emphasize how health systems grounded in gender-responsive UHC – inclusive of sexual and reproductive health and rights (SRHR) – are stronger and more resilient for the long term.
The speakers discuss how health systems based on UHC will improve health outcomes for all and foster resiliency to withstand crises, such as the current COVID-19 pandemic, and deliver for the long term. They also underscore why continued commitments and investments for gender equality and SRHR in UHC are as critical now as ever.
Moderator: Deepa; Director, Sama Resource Group for Women and Health, India
Speakers:
Dr. Princess Nothemba (Nono) Simelela; Special Adviser to the Director-General, Strategic Programmatic Priorities, World Health Organization
Ms. Rosario Valdes Fernandez; President, Sindika Foundation and midwife, Chile
Dr. Lia Tadesse; Minister of Health, Ethiopia
Mr. Arush Lal; Board of Directors, Women in Global Health
Ms. Patricia Nudi Orawo; Advocacy and Policy Lead, Kisumu Medical and Education Trust (KMET), Kenya</t>
  </si>
  <si>
    <t>On 28 January 2021, Women Deliver and Focus 2030 hosted a virtual launch event which brought together advocates from around the world to unveil the findings of a first-of-its-kind international survey on public perceptions of gender equality. 
This groundbreaking global public perception survey was launched in 17 countries against the backdrop of the COVID-19 pandemic. Together, these countries account for half of the world’s population and are home to more than half of the world’s girls and women. 
As the world sets the stage for a gender-equal future during 2021's Generation Equality Forum, this new data offers a roadmap for concrete actions that leaders in government, the private sector, and civil society must take together to galvanize the progress needed to advance girls and women’s rights and opportunities around the world.   
Watch the recording to hear from influential decision-makers and advocates, including: 
Phumzile Mlambo-Ngcuka, Executive Director of UN Women;  Ambassador Delphine O, French Ambassador and Secretary General of the Generation Equality Forum; Dr. Nadine Gasman, President of National Institute of Women (INMUJERES) in Mexico; Chouaib El Hajjaji, Women Deliver Young Leader and Vice President at Attalaki in Tunisia; and Wangechi Wachira, Executive Director of the Center for Rights Education and Awareness (CREAW) in Kenya.</t>
  </si>
  <si>
    <t>International decision-making spaces – including global conferences and UN meetings – are powerful platforms to push for the localization of humanitarian aid, including greater support to grassroots women’s organizations in humanitarian settings. However, navigating and negotiating access to these global spaces can be challenging. This webinar for grassroots organizations in humanitarian settings will share best practices for international advocacy and storytelling with a gender lens, including how to craft compelling messages and campaigns to drive impact. It will also provide an opportunity to share strategies for continued advocacy during COVID-19, when travelling to international meetings is limited.</t>
  </si>
  <si>
    <t>Young Leaders Speak: Harnessing Creativity to Move the Needle for Girls and Women
Young people are at the forefront of addressing the issues that exist in their communities and countries. Women Deliver Young Leader Maram Barakat shares pivotal moments when she used creativity in her advocacy efforts for the health and rights of girls and women.</t>
  </si>
  <si>
    <t>This webinar features advocates and leaders from organizations on the frontlines of upholding gender equality sexual and reproductive health and rights (SRHR) in Universal Health Coverage (UHC). Civil society organizations and other stakeholders have a vital role to play to hold governments accountable for established commitments, and to ensure gender equality and SRHR remain central in UHC discussions, decision-making, and action. Speakers share experiences, best practices, and tools to inspire and guide advocacy in global and national contexts.
Speakers include:
•                  Eleanor Blomstrom, International Women’s Health Coalition (USA)
•                  SM Shaikat, SERAC-Bangladesh (Bangladesh)
•                  Faridah Luyiga Mwanje, White Ribbon Alliance (Uganda)
•                  Deepa, Sama Resource Group for Women and Health (India)
•                  Moderator: Courtney Carson, Women Deliver (USA)
Resources:
0:02:48 &amp; 1:28:26
Data2x Gender and Data Resources: https://data2x.org/resource-center/gender-and-data-resources-related-to-covid-19/
0:21:23 and 1:28:26
Resources on gender equality and SRHR in UHC: From the Alliance for Gender Equality and UHC:
• 7th Ask: Commit to Gender Equality and Women’s Rights: https://www.dropbox.com/s/g7yk7hzz8yl60s1/Alliance%20for%20Gender%20Equality%20and%20UHC_7th%20Ask5.22.19.pdf?dl=0·
• UHC Policy Priorities: https://www.dropbox.com/s/ak0u3780jzxcsyw/Alliance%20for%20Gender%20Equality%20and%20UHC_Policy%20Prioirities5.22.19.pdf?dl=0·
• Link to join the Alliance: https://docs.google.com/forms/d/e/1FAIpQLScwQOpLD-lSnJ2BRlwJkHAzFKLCcfRFS0TSqJI45lQft4DQ0A/viewform
• From IWHC: UHC for Women and Girls Fact Sheet: https://iwhc.org/resources/uhc-women-and-girls/
• From IPPF: UHC Key Asks: https://www.ippf.org/sites/default/files/UHC%20HLM%20Key%20Asks%20IPPF%20%281%29.pdf
• From UN: UHC Political Declaration:
https://www.un.org/pga/73/wp-content/uploads/sites/53/2019/07/FINAL-draft-UHC-Political-Declaration.pdf</t>
  </si>
  <si>
    <t>- Captured Live on Ustream at http://www.ustream.tv/channel/BTcsV9ecxMX with the Ustream Mobile App</t>
  </si>
  <si>
    <t>Young Leaders Speak: Harnessing Creativity to Move the Needle for Girls and Women
Young people are at the forefront of addressing the issues that exist in their communities and countries. Women Deliver Young Leader Kinga Wisniewska shares pivotal moments when she used creativity in her advocacy efforts for the health and rights of girls and women.</t>
  </si>
  <si>
    <t>Women-focused civil society organizations (CSOs) are unsung heroes in humanitarian settings. They are first responders, community leaders, and agents of change – but are still overlooked and underfunded when it matters most.
Women Deliver’s Humanitarian Advocates Program partners with five amazing women-focused civil society organizations from Lebanon who lead humanitarian activities for girls and women across the country. These five organizations receive training and speaking opportunities to become stronger and more visible advocates for girls and women in their communities.
More: https://womendeliver.org/humanitarianadvocates/</t>
  </si>
  <si>
    <t>Arushi Chowdhury Khanna, LoomKatha
India is home to the largest number of skilled handloom weavers and handicraft artisans in the world. While global demand for handicrafts and textiles is growing, the majority of these artisans live below the poverty line. Hear how LoomKatha plans to help bolster traditional supply chains and connect these rural artisans to the global market.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</si>
  <si>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Young Leaders Speak: Harnessing Creativity to Move the Needle for Girls and Women
Young people are at the forefront of addressing the issues that exist in their communities and countries. Women Deliver Young Leader Olaoluwa Abagun shares pivotal moments when she used creativity in her advocacy efforts for the health and rights of girls and women.</t>
  </si>
  <si>
    <t>Featuring Dr. Hema Divaker, Senior Consultant and Medical Director, Divakers Speciality Hospital, India - Captured Live on Ustream at http://www.ustream.tv/channel/BTcsV9ecxMX with the Ustream Mobile App</t>
  </si>
  <si>
    <t>Matt Dickson, Eggpreneur
Unemployment is high in rural communities in Kenya, particularly among women – which affects the health and welfare of entire families. Eggpreneur provides flexible yet stable income-generating opportunities to rural mothers with young children through small backyard poultry production.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</si>
  <si>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Dr. Hema Divakar, MD - Obstetrics &amp; Gynaecology, MBBS
Appointment booking number: 080 4085 3500
Consultant Obstetrician &amp; Gynaecologist
Divakars Speciality Hospital, Bangalore
Mon - Fri 
11:00 AM - 1:30 PM 
Dr. Hema Divakar is a Consultant Obstetrician &amp; Gynaecologist working in Divakars Speciality Hospital, Bangalore for the past 30 years. She is MD - Obstetrics &amp; Gynaecology, MBBS. She also happens to be on the technical advisory group to the Ministry of Heath, Government of India  and the family planning section and was also the President of the  Federation of Obstetrics &amp; Gynaecologists in India in the year 2013 and currently is an ambassador  to the international arena of Women’s health care. She has received Lifetime Achievement award by Karnataka State Gynaecologists Association, Lifetime Achievement award by Bengaluru Society of Obgyns  and The Honorary Fellowship by Royal College London, which is a rare honour for any Indian. She has also been awarded the Lifetime Achievement award by World Diabetic Foundation,  FIGO Women Achievers Award. She deals with High-Risk Pregnancy Care, Fetal medicine, fetal malformation, genetic counseling, Fibroid,  Infertility, Adolescent care, teenage care, Menopausal Care, Gestational Diabetes Management, Recurrent miscarriage care. Divakars Speciality Hospital gives a special edge to the patients who are seeking help for various gynecological issues.
Like us on Facebook: 
https://www.facebook.com/doctorscircleindia/
SUBSCRIBE to Doctors' Circle- 
https://www.youtube.com/user/DoctorsCircleindia
Please watch Dr. Hema Divakar’s Health videos
https://www.youtube.com/watch?v=KOsSUAm-fp8
https://www.youtube.com/watch?v=M-scKIP-gVI
Get to know your specialist personally
https://www.youtube.com/channel/UCkoWFmP6D0fZsfBbSJFyO-w</t>
  </si>
  <si>
    <t>A list of strategies for preventing and managing non-communicable diseases.</t>
  </si>
  <si>
    <t>Transmission Health (Industry)</t>
  </si>
  <si>
    <t>Communicable disease infectious disease prevention hygiene immunization vaccine food safety cross-contamination risky behavior HIV AIDS</t>
  </si>
  <si>
    <t>global health NCD noncommunicable disease chronic disease resource-poor medical care Yale Global Health public health disease sickness illness medicine medical school grand rounds</t>
  </si>
  <si>
    <t>Diabetes cancer cardiovascular disease heart disease chronic obstructed pulmonary disease lung disease NCDs noncommunicable diseases tobacco control physical activity healthy diets alcohol world health organization Uruguay united nations SDGs 3.4 Vazquez Tedros Montevideo</t>
  </si>
  <si>
    <t>Disease (Cause Of Death) United Nations (Membership Organization) Non-communicable Disease (Disease Or Medical Condition) Preventive Medicine (Medical Specialty) Health (Industry)</t>
  </si>
  <si>
    <t>Diabetes cancer cardiovascular disease heart disease chronic obstructed pulmonary disease lung disease NCDs noncommunicable diseases tobacco control physical activity healthy diets alcohol world health organization UNIATF united nations</t>
  </si>
  <si>
    <t>global health ncdfree NCDs mythbusting poverty development diabetes cancer heart disease mental health health</t>
  </si>
  <si>
    <t>the university of auckland auckland uni auckland university uoa university of auckland liggins institue health sciences non-communicable diseases cancer diabetes cardiovascular disease respiratory disease Professor Sir Peter Gluckman health nutrition exercise</t>
  </si>
  <si>
    <t>CFR Council on Foreign Relations Nils Daulaire Babatunde Osotimehin Derek Yach Sheri L. Fink Health and Disease</t>
  </si>
  <si>
    <t>#hangoutsonair Hangouts On Air #hoa Non-communicable Disease (Disease Or Medical Condition) global health Public Health (Medical Specialty) World Health Organization (Membership Organization) This Week in Global Health #TWiGH Disease (Cause Of Death) Health (Industry)</t>
  </si>
  <si>
    <t>Non-communicable disease genetic disorder lifestyle behavior environment degenerative disease asthma heart disease health management plan</t>
  </si>
  <si>
    <t>NPCDCS nATIONAL PROGRAM FOR PREVENTION OF CANCER National program for prevention of cancer diabetes cardiovascular diseases stroke national health programs updates &amp; initiatives Vivek jain commun</t>
  </si>
  <si>
    <t>Noncommunicable diseases NCDs WHO Regional Office Eastern Mediterranean Regional framework for action governance prevention reduction of risk factors surveillance health care cardiovascular diseases cancers diabetes chronic lung disease tobacco use physical inactivity unhealthy diet harmful use of alcohol cost-effective interventions best buys UN Political Declaration prevention and control strategic interventions progress indicators</t>
  </si>
  <si>
    <t>join the healthy lifestyle community healthy lifestyle community Shaun's tobacco use story Reda's unhealthy diet story noncommunicable disease world health World Health Organization (Membership Organization) affects of an unhealthy diet health Health (Industry)</t>
  </si>
  <si>
    <t>Noncommunicable diseases Non-communicable diseases NCD NCDs Cardiovascular disease CVD Type 2 diabetes Diabetes Chronic respiratory disease Asthma COPD STroke Peripheral Vascular Disease Risk factors Metabolic risk factors Epidemiology Public Health Continuing Professional Development</t>
  </si>
  <si>
    <t>noncommunicable diseases NCDs youth health cancer diabetes obesity smoking alcohol demography demographics</t>
  </si>
  <si>
    <t>Non-communicable Disease (Disease Or Medical Condition) Disease (Cause Of Death) Obesity (Disease Or Medical Condition) Hypertension (Disease Or Medical Condition) Diabetes Mellitus (Disease Or Medical Condition) Tobacco Smoking (Disease Cause) Alcoholism (Disease Or Medical Condition) World Health Organization (Membership Organization)</t>
  </si>
  <si>
    <t>academy of medical sciences NCDs research South Asia Diabetes mental health GCRF LMICs science communicable non-communicable NCD disease diseases heart cardiac cancer kidney respiratory cardiovascular tobacco exercise environment health population Sri Lanka low-income middle-income LMIC diet ageing sedentary policy medical international</t>
  </si>
  <si>
    <t>Chronic Diseases JA-CHRODIS Europe European Commission Healthy Ageing Kroniska sjukdomar</t>
  </si>
  <si>
    <t>NCDs emergencies humanitarian cancer cardiovascular lung diseases diabetes tobacco insulin hypertension Syria #beatNCDs</t>
  </si>
  <si>
    <t>liver virus hep Hepatitis A Hepatitis B Hep A Hep B Hepatocytes sinusoids central hepatic venule macrophage chemical blood filter rbis red blood cells immune cells bacteria clotting nutrients bile gallbladder small intestine digestion vaccine hepatocytes apoptosis scar tissue fibroblasts collagen cirrhosis nodules 3d Medical Health Hepatitis (Disease Or Medical Condition) nucleus medical media health literacy health literacy video</t>
  </si>
  <si>
    <t>TED TED-Ed TED Education TED Ed Chris Gaw Zedem Media asthma breathing asthma attak respiratory system bronchioles smoke pollen lungs mucosa mucosal lining constriction wheezing chest tightness hyperinflation inhaler beta-agonist corticosteroids</t>
  </si>
  <si>
    <t>TED TED-Ed TEDx TED Animation Stress Health Body Mind Cortisol Epinephrine Norepinephrine (Drug) Hypertension Brain Weight Weight gain Obesity Fatigue Irritability Headache Adriatic Animation Sharon Horesh Bergquist</t>
  </si>
  <si>
    <t>infectious diseases vector control environmental changes environmental health surveillance one health vaccines behaviour change health promotion communicable diseases anitbiotics antimicrobials antimicrobial resistance outbreaks</t>
  </si>
  <si>
    <t>communicable and non communicable disease Difference difference between communicable and non communicable disease GS by Dr Vipan Goyal Study IQ Coronavirus Hanta Virus Viral Diseases Bacterial Diseases protozoan Diseases Diseases Medicine Health upsc ssc pcs cds nda competitive exams vipin goyal gs Dr vipan goyal Study IQ communicable non communicable disease</t>
  </si>
  <si>
    <t>Diseases Infectious diseases disease infectious disease communicable diseases infectious disease specialist health disorders human health and diseases what are types of diseases Disorders Top 5 Deadliest Diseases common diseases list of diseases types of diseases diseases types non-infectious diseases human diseases types of human diseases human diseases tricks different types of diseases disorders in human deadliest diseases chronic disease human health</t>
  </si>
  <si>
    <t>TEDxTalks English Fiji Health Behavior Disability Disease Happiness Meditation Public health</t>
  </si>
  <si>
    <t>TEDxTalks English Italy Life Culture Education Speech</t>
  </si>
  <si>
    <t>bacteria disease health</t>
  </si>
  <si>
    <t>Wilson Center foreign policy international affairs foreign affairs</t>
  </si>
  <si>
    <t>Sadhguru 2019 sad guru Sadguru satguru sathguru jaggi vasudev jakki isha yoga spirituality wisdom mysticism seeking head talks yalda hakim sadhguru yalda hakim bbc yalda hakim interview</t>
  </si>
  <si>
    <t>CE pharmacy pharmacist technician healthcare pharmaceuticals continuing education pharmacy tech pharm tech what does a pharmacist do freeCE free ce online pharmacy education PharmCon online ce for pharmacists online ce for pharmacy technicians online ce for pharmacy techs pharmacy professional pharmacy careers Surgent CPE pharmacology careers continuing education for pharmacists ce for pharmacists webinar freece webinars rheumatoid arthritis autoimmune disease</t>
  </si>
  <si>
    <t>Freda Lewis-Hall The Doctors Pfizer Travis Stork stress chronic stress health wellness</t>
  </si>
  <si>
    <t>Gastroesophageal Reflux Disease (Disease Or Medical Condition) Heartburn (Symptom) Pfizer (Business Operation) Dr. Freda Lewis-Hall Dr. Freda The Doctors (TV Program) Travis Lane Stork (TV Producer) Health (Industry) acid reflux GERD health wellness</t>
  </si>
  <si>
    <t>Healthy TGH Canada Network Wellness University Toronto Western Hospital Survivorship Community Nutrition Connections Ontario Princess Margaret Cancer Foundation University Health Network UHN Hospital care Princess Margaret Hospital Health Education TWH PMH Community Connections Toronto Patient Toronto General Hospital</t>
  </si>
  <si>
    <t>NIH</t>
  </si>
  <si>
    <t>World Economic Forum Davos WEF2019 Davos 2019 politics finance economy news leadership democracy education 4IR technology tech AI automation work future</t>
  </si>
  <si>
    <t>Avanir Pharmaceuticals PBA Film Project PseudoBulbar Affect PBA uncontrollable laughing crying neurologic conditions brain injury film documentary healthcare MultiVu MultiVu 7266955</t>
  </si>
  <si>
    <t>TVO TVOntario TVOKids TVOParents parents Cheryl Jackson your voice parenting teachers baby children toddlers preschoolers high school Parents &amp; Education Science &amp; Nature Health and Research physical health Health and Family body anxiety human body health and development attachment</t>
  </si>
  <si>
    <t>human health medicine science biology immune system arthritis joints inflammation autoimmune disease disability tissue bone density rheumatoid osteoarthritis medication therapy steroid deformity innate adaptive cartilage synov</t>
  </si>
  <si>
    <t>social determinants of health health determinants public health health education</t>
  </si>
  <si>
    <t>Pathogen types of pathogens white blood cells mast cells immune system complement system macrophages nonspecific response specific response adaptive response memory cells B cells T cells cytotoxic t cell cell-mediated response humoral response helper t cell antibodies antigens how the immune system works introduction cartoon animation TEKS apoptosis perforin allergies inflammation histamine amoeba sisters ameba sisters amoba sisters ameeba sisters</t>
  </si>
  <si>
    <t>storytelling webinar humanitarian advocacy gender girls women refugee crisis photography voices women deliver emergency response communications youth meaningful engagement speaking feminist</t>
  </si>
  <si>
    <t>humanitarian gender equality localization lebanon beirut women deliver unga csw feminist crisis emergency power real life heroes</t>
  </si>
  <si>
    <t>Dr. Hema Divakar Consultant Obstetrician &amp; Gynaecologist Divakars Speciality Hospital High-Risk Pregnancy Care Fetal medicine fetal malformation genetic counseling Fibroid Infertility Adolescent care teenage care Menopausal Care Gestational Diabetes Management Recurrent miscarriage care best gynecologist in India famous gynecologist in India renowned gynecologist in India best gynecologist in Bangalore best gynecological hospital in bangalore</t>
  </si>
  <si>
    <t>Non-communicable disease prevention diet nutrition exercise genetic conditions genetic counseling cancer screening test early detection health care warning signs</t>
  </si>
  <si>
    <t>khanacademymedicine</t>
  </si>
  <si>
    <t>Florida PASS Program</t>
  </si>
  <si>
    <t>WISH Qatar</t>
  </si>
  <si>
    <t>CARPHACampus</t>
  </si>
  <si>
    <t>YaleUniversity</t>
  </si>
  <si>
    <t>World Health Organization (WHO)</t>
  </si>
  <si>
    <t>PAHO TV</t>
  </si>
  <si>
    <t>World Health Organization South-East Asia Region - WHO SEARO</t>
  </si>
  <si>
    <t>NCDFREEtv</t>
  </si>
  <si>
    <t>University of Auckland</t>
  </si>
  <si>
    <t>Council on Foreign Relations</t>
  </si>
  <si>
    <t>Global Health with Greg Martin</t>
  </si>
  <si>
    <t>Dr Neha Taneja's Community Medicine</t>
  </si>
  <si>
    <t>WHO Eastern Mediterranean Region</t>
  </si>
  <si>
    <t>Healthy Lifestyle Community</t>
  </si>
  <si>
    <t>Brian P. Mangum</t>
  </si>
  <si>
    <t>Immunise4Life</t>
  </si>
  <si>
    <t>Population Reference Bureau</t>
  </si>
  <si>
    <t>acmedsci</t>
  </si>
  <si>
    <t>EU CHRODISplus</t>
  </si>
  <si>
    <t>National Institute for Communicable Diseases</t>
  </si>
  <si>
    <t>Dr Matt &amp; Dr Mike</t>
  </si>
  <si>
    <t>Nucleus Medical Media</t>
  </si>
  <si>
    <t>TED-Ed</t>
  </si>
  <si>
    <t>NCDs Champions</t>
  </si>
  <si>
    <t>Let's Learn Public Health</t>
  </si>
  <si>
    <t>Study IQ education</t>
  </si>
  <si>
    <t>Don't Memorise</t>
  </si>
  <si>
    <t>TEDx Talks</t>
  </si>
  <si>
    <t>UN Global Pulse</t>
  </si>
  <si>
    <t>MBC PRIME NEWS - SAINT LUCIA</t>
  </si>
  <si>
    <t>University of California Television (UCTV)</t>
  </si>
  <si>
    <t>Women Deliver</t>
  </si>
  <si>
    <t>WoodrowWilsonCenter</t>
  </si>
  <si>
    <t>Sadhguru</t>
  </si>
  <si>
    <t>freeCE</t>
  </si>
  <si>
    <t>GIHepatologyAcademy</t>
  </si>
  <si>
    <t>Pfizer</t>
  </si>
  <si>
    <t>UHN Patient Education</t>
  </si>
  <si>
    <t>NIH VideoCast</t>
  </si>
  <si>
    <t>TheIHMC</t>
  </si>
  <si>
    <t>World Economic Forum</t>
  </si>
  <si>
    <t>MultiVu</t>
  </si>
  <si>
    <t>tvoparents</t>
  </si>
  <si>
    <t>Stanford</t>
  </si>
  <si>
    <t>Amoeba Sisters</t>
  </si>
  <si>
    <t>Doctors' Circle - Know Your Doctor</t>
  </si>
  <si>
    <t>2015-06-26T18:28:12Z</t>
  </si>
  <si>
    <t>2016-12-06T22:20:52Z</t>
  </si>
  <si>
    <t>2019-05-30T07:56:13Z</t>
  </si>
  <si>
    <t>2014-07-09T16:17:55Z</t>
  </si>
  <si>
    <t>2013-07-09T13:52:39Z</t>
  </si>
  <si>
    <t>2014-07-11T09:23:17Z</t>
  </si>
  <si>
    <t>2017-04-11T17:45:32Z</t>
  </si>
  <si>
    <t>2017-09-07T04:38:02Z</t>
  </si>
  <si>
    <t>2015-06-12T04:50:48Z</t>
  </si>
  <si>
    <t>2017-07-11T09:03:37Z</t>
  </si>
  <si>
    <t>2014-02-07T04:15:28Z</t>
  </si>
  <si>
    <t>2012-10-04T01:48:31Z</t>
  </si>
  <si>
    <t>2011-07-26T20:38:46Z</t>
  </si>
  <si>
    <t>2015-02-18T19:40:50Z</t>
  </si>
  <si>
    <t>2017-01-12T21:01:50Z</t>
  </si>
  <si>
    <t>2019-07-24T03:04:54Z</t>
  </si>
  <si>
    <t>2016-06-10T11:27:14Z</t>
  </si>
  <si>
    <t>2014-09-22T09:08:24Z</t>
  </si>
  <si>
    <t>2016-03-10T20:59:54Z</t>
  </si>
  <si>
    <t>2018-12-05T09:25:39Z</t>
  </si>
  <si>
    <t>2012-07-18T20:53:12Z</t>
  </si>
  <si>
    <t>2015-05-28T13:54:40Z</t>
  </si>
  <si>
    <t>2020-08-11T08:00:13Z</t>
  </si>
  <si>
    <t>2015-09-02T11:14:26Z</t>
  </si>
  <si>
    <t>2019-02-01T09:15:19Z</t>
  </si>
  <si>
    <t>2017-10-18T13:51:58Z</t>
  </si>
  <si>
    <t>2016-08-09T23:50:48Z</t>
  </si>
  <si>
    <t>2013-05-01T15:28:18Z</t>
  </si>
  <si>
    <t>2017-05-11T15:01:09Z</t>
  </si>
  <si>
    <t>2015-10-22T15:09:39Z</t>
  </si>
  <si>
    <t>2021-01-27T18:02:11Z</t>
  </si>
  <si>
    <t>2017-02-26T09:44:22Z</t>
  </si>
  <si>
    <t>2020-03-25T03:47:59Z</t>
  </si>
  <si>
    <t>2020-04-13T11:30:01Z</t>
  </si>
  <si>
    <t>2016-05-31T16:10:11Z</t>
  </si>
  <si>
    <t>2016-05-23T03:14:12Z</t>
  </si>
  <si>
    <t>2020-11-30T06:21:47Z</t>
  </si>
  <si>
    <t>2021-05-21T13:36:18Z</t>
  </si>
  <si>
    <t>2021-02-02T09:10:06Z</t>
  </si>
  <si>
    <t>2020-11-30T06:25:48Z</t>
  </si>
  <si>
    <t>2018-12-11T11:22:31Z</t>
  </si>
  <si>
    <t>2017-05-23T13:30:23Z</t>
  </si>
  <si>
    <t>2008-02-29T20:32:24Z</t>
  </si>
  <si>
    <t>2020-04-09T16:52:14Z</t>
  </si>
  <si>
    <t>2020-08-10T11:45:01Z</t>
  </si>
  <si>
    <t>2019-11-06T19:16:59Z</t>
  </si>
  <si>
    <t>2019-05-05T18:58:16Z</t>
  </si>
  <si>
    <t>2014-07-22T14:02:16Z</t>
  </si>
  <si>
    <t>2013-05-23T18:39:58Z</t>
  </si>
  <si>
    <t>2013-04-30T13:59:28Z</t>
  </si>
  <si>
    <t>2015-04-24T15:03:34Z</t>
  </si>
  <si>
    <t>2014-11-20T18:50:14Z</t>
  </si>
  <si>
    <t>2014-04-04T20:18:47Z</t>
  </si>
  <si>
    <t>2017-02-13T17:31:21Z</t>
  </si>
  <si>
    <t>2019-07-11T21:11:34Z</t>
  </si>
  <si>
    <t>2019-02-09T18:19:30Z</t>
  </si>
  <si>
    <t>2019-07-09T22:54:02Z</t>
  </si>
  <si>
    <t>2014-12-09T23:36:50Z</t>
  </si>
  <si>
    <t>2012-05-09T16:54:35Z</t>
  </si>
  <si>
    <t>2010-07-16T04:52:05Z</t>
  </si>
  <si>
    <t>2017-06-25T09:22:14Z</t>
  </si>
  <si>
    <t>2020-03-13T01:00:04Z</t>
  </si>
  <si>
    <t>2019-09-09T14:24:44Z</t>
  </si>
  <si>
    <t>2020-07-08T20:26:44Z</t>
  </si>
  <si>
    <t>2020-10-15T13:47:24Z</t>
  </si>
  <si>
    <t>2020-05-22T14:05:34Z</t>
  </si>
  <si>
    <t>2021-03-11T17:45:36Z</t>
  </si>
  <si>
    <t>2020-04-17T17:44:36Z</t>
  </si>
  <si>
    <t>2019-07-11T14:59:11Z</t>
  </si>
  <si>
    <t>2020-04-03T19:38:43Z</t>
  </si>
  <si>
    <t>2016-07-06T21:17:49Z</t>
  </si>
  <si>
    <t>2019-07-11T14:59:16Z</t>
  </si>
  <si>
    <t>2020-08-17T20:53:49Z</t>
  </si>
  <si>
    <t>2019-07-09T22:53:37Z</t>
  </si>
  <si>
    <t>2019-07-11T14:59:21Z</t>
  </si>
  <si>
    <t>2021-05-10T21:27:28Z</t>
  </si>
  <si>
    <t>2016-07-06T20:58:03Z</t>
  </si>
  <si>
    <t>2019-07-09T22:53:45Z</t>
  </si>
  <si>
    <t>2018-12-04T09:11:26Z</t>
  </si>
  <si>
    <t>2016-12-06T22:47:10Z</t>
  </si>
  <si>
    <t>Play Video in Browser</t>
  </si>
  <si>
    <t>Directed</t>
  </si>
  <si>
    <t>-xefhMU-kPA</t>
  </si>
  <si>
    <t>h6n7IZoTlkY</t>
  </si>
  <si>
    <t>vpEAos0blyw</t>
  </si>
  <si>
    <t>xztaFt0XqKU</t>
  </si>
  <si>
    <t>Td1itX2lMss</t>
  </si>
  <si>
    <t>D9c3qPQP3yA</t>
  </si>
  <si>
    <t>fu_2VRAfDP0</t>
  </si>
  <si>
    <t>NcmcFQC6Sc0</t>
  </si>
  <si>
    <t>-Um-b9tiF_8</t>
  </si>
  <si>
    <t>GLa3k3DzpeA</t>
  </si>
  <si>
    <t>MpgpRBvptqQ</t>
  </si>
  <si>
    <t>_gn-E3JIGo0</t>
  </si>
  <si>
    <t>sQl29JkZMzg</t>
  </si>
  <si>
    <t>s6MAJ5um0k4</t>
  </si>
  <si>
    <t>f0ETgRlnXQ8</t>
  </si>
  <si>
    <t>7z307dsXQt0</t>
  </si>
  <si>
    <t>gzW28B4rCoQ</t>
  </si>
  <si>
    <t>ReCvreRPdeY</t>
  </si>
  <si>
    <t>xjZmCZnRmsI</t>
  </si>
  <si>
    <t>C0o9Qr6HoxE</t>
  </si>
  <si>
    <t>YEGISWTEgyU</t>
  </si>
  <si>
    <t>PUwmA3Q0_OE</t>
  </si>
  <si>
    <t>B6SCwLvOVdk</t>
  </si>
  <si>
    <t>fuNmvM5BvDM</t>
  </si>
  <si>
    <t>mDZ7NOeM6SY</t>
  </si>
  <si>
    <t>B5kMgmK0bnw</t>
  </si>
  <si>
    <t>rrqhDiqCPKQ</t>
  </si>
  <si>
    <t>oQ235E1gvrU</t>
  </si>
  <si>
    <t>pIDmePznLBo</t>
  </si>
  <si>
    <t>wSuS9p8zJis</t>
  </si>
  <si>
    <t>B3Bd34q-Q0U</t>
  </si>
  <si>
    <t>Ima-SYUNRSQ</t>
  </si>
  <si>
    <t>yovSGyDEWaY</t>
  </si>
  <si>
    <t>MbuT_TY51_E</t>
  </si>
  <si>
    <t>Human Behaviors that Dogs Hate and Wish You Wouldn't Do</t>
  </si>
  <si>
    <t>Technology for sustainable health &amp; social care | Professor John Rogers</t>
  </si>
  <si>
    <t>AI, eye health &amp; Google DeepMind | Dr Pearse Kane</t>
  </si>
  <si>
    <t>Welcome to your COVID career support space</t>
  </si>
  <si>
    <t>The epidemic of chronic disease and understanding epigenetics | Kent Thornburg | TEDxPortland</t>
  </si>
  <si>
    <t>WHO: Addressing the non-communicable diseases in Republic of Moldova</t>
  </si>
  <si>
    <t>Nutrition and Non-Communicable Diseases in Aging Populations</t>
  </si>
  <si>
    <t>Why Sustainable Food Systems Matter | Future of Food</t>
  </si>
  <si>
    <t>Human Population Through Time</t>
  </si>
  <si>
    <t>Learn more about chronic diseases</t>
  </si>
  <si>
    <t>Health Vocabulary: Common Diseases and Different Types of Doctors</t>
  </si>
  <si>
    <t>Health system gaps in addressing NCDs</t>
  </si>
  <si>
    <t>Journey of the Heart | 19-Year-Old Organ Donor Saves Life | UW Health Transplant Program</t>
  </si>
  <si>
    <t>Youth and NCDs</t>
  </si>
  <si>
    <t>Coronary Artery Disease - Ischemic Heart Disease - Angina</t>
  </si>
  <si>
    <t>Mcqs on communicable and Non-Communicable Diseases</t>
  </si>
  <si>
    <t>Non Communicable Disease part 1</t>
  </si>
  <si>
    <t>Is it Communicable or Non-communicable?</t>
  </si>
  <si>
    <t>What is gastroenteritis? | Gastrointestinal system diseases | NCLEX-RN | Khan Academy</t>
  </si>
  <si>
    <t>10 Most Common Communicable Diseases Your Child Can Pick Up at School</t>
  </si>
  <si>
    <t>NON-COMMUNICABLE DISEASES GCSE Biology 9-1 | Combined Sci (Revision &amp; Questions)</t>
  </si>
  <si>
    <t>Fighting non-communicable diseases in Indonesia / Melawan 'NCD' di Indonesia</t>
  </si>
  <si>
    <t>Classification of Diseases - Common Diseases (CBSE Grade 8 Biology)</t>
  </si>
  <si>
    <t>Global Diabetes Symposium, 2 of 12: Global Non-communicable Diseases</t>
  </si>
  <si>
    <t>The Social Determinants of NCDs - by Sandro</t>
  </si>
  <si>
    <t>Non-communicable diseases (NCDs): The challenges for people living with HIV</t>
  </si>
  <si>
    <t>Asthma Symptoms, Causes &amp; Treatment | अस्थमा ( दमा ) लक्षण, कारण, बचाव ; ऐसे करें बचाव | Jeevan Kosh</t>
  </si>
  <si>
    <t>Communicable to Non Communicable Diseases: The paradigm shift | Rajratna Ramteke | TEDxGHRCE</t>
  </si>
  <si>
    <t>Non-Communicable Diseases (NCD) Care Continuum UN Panel Highlights 2018 -- A Caretaker's View</t>
  </si>
  <si>
    <t>אקמול פוקוס מבית טבע</t>
  </si>
  <si>
    <t>נוטרילון – מותג תזונת התינוקות במרקם הקליל. חסות בית קפה.</t>
  </si>
  <si>
    <t>Meet the Expert with Dr. Josh Cohen</t>
  </si>
  <si>
    <t>UNICEF Youth Panel on Preventing NCDs in Indonesia supported by AstraZeneca’s Young Health Programme</t>
  </si>
  <si>
    <t>What do you know about noncommunicable diseases?</t>
  </si>
  <si>
    <t>In this video, we’ll discuss the top 23 human behaviors that dogs hate and wish you wouldn’t do.
There are certain human behaviors that dogs secretly hate. Here are some things that you didn't realize annoy your dog. 
Dinner Time Interruptions 
If someone kept touching you during your dinner time, you’d get annoyed. When your dog is eating, respect their bliss and let them be. Place the dish in a low-traffic area, and instruct all your family members to let the dog eat in peace. 
Same food over and over
Dogs don’t like it when you eat the best food, and all they get is dog food. Prepare a special meal for your dog. 
Luckily, you do not need to drastically change your dog’s food on a daily basis. Dogs have only a fraction of the taste buds that humans have, which means they don’t get bored of eating the same food as often as humans do.
Being Put Away When Friends come over
Dogs are very social animals. Keeping your dog in the backyard and ignoring them when your friends come over is like solitary confinement for your dog. 
Cleaning them too often
Dogs keep themselves clean in their own especial way and their body scent is a way of communicating with other dogs or animals. If you wash your dog too frequently when they aren’t actually dirty, you’re doing them no favors. 
The smell of scented shampoos on their fur may send them running straight outside to roll on the stinkiest thing they can find. 
Being scolded without understanding why
dogs don’t understand what they have done wrong or what is going on. By scolding your pet, you are passing your angry and negativity without addressing the main problem. 
Forced Socialization 
Just like humans, dogs simply don’t like bonding with certain dogs. 
Over Exercise
extended runs or exercise can be hard or harmful for certain breeds or senior dogs. For instance, short-nosed breeds like pugs and bulldogs have respiratory issues and are not good for running long distances. 
Summer Heat
Unlike humans, dogs don't sweat so they don't tolerate high temperatures as well as humans do.
While your dog does have some sweat glands in their paws, these do little to help regulate their body temperature. Instead, A dog's primary cooling mechanism is panting. 
Roughhousing
Children can sometimes agitate or annoy a dog. Kids may pull on a dog’s ears or tail, poke its eyes, or try to ride a big dog. 
Teasing them with treats
Treats should be used as reward, but not an instrument to tease or trick your pet.
The Baby Treatment
Many dog owners confuse caring for their dogs with treating them like babies. 
Expecting a dog to do things he simply cannot or has no understanding of may lead to anxiety and confusion. 
A common example is a dog who chews expensive furniture or defecates in the house.  In reality, the dog could be stressed, have separation anxiety, is sick or is not properly house-trained. 
Loud Music
Loud noises are stressful for your dog because canines can hear sounds four times as far as humans. Thunder, fireworks, police sirens, and loud vehicles are probably the most common noise phobia triggers. People who listen to loud music in their cars with their dogs in the car are probably harming their dogs. 
Arguing in Front of Them
When you are fighting with your spouse or a friend, dogs may try to break up a fight by barking or coming over to you with a toy.  Some dogs will also steal your favorite belongings because they know you will leave the argument to chase them down. 
Ignoring Them After You Have A Baby
Some pet owners ignore their dogs when they bring a baby into their home. 
This can be a difficult time for a dog because they’re no longer the center of the attention.
Too Much Alone Time
Dogs are very social animals and those who left alone in a home for ten or more hours each day can develop behavioral and psychological issues such as separation anxiety, destructive behavior, excessive barking, digging, or even escaping. 
You Give up
There are times when it’s best to rehome a dog. But then there are the owners who give up without trying to address whatever issues they have with their pets. Unwanted behaviors such as destructive separation anxiety, leash aggression, or going potty inside can get better with training and age. 
And the vast majority of dogs in shelters don't make it out alive. 
Being Upset
Recent studies have shown that when humans cry, their dogs also feel distress.
if you are going through a period of depression or stress, it is bound to affect your dog. 
Being the Potty Police
Canines want nothing more than to stop, sniff and explore their surroundings. 
Rushing your dog through a walk without allowing them to stop and sniff is unkind.
A Tight Leash!
Dogs can read humans tension levels through their leash. 
If you are keeping a loose leash, you are telling your dog that everything is fine and relaxed. A tight leash, on the other hand, means you are tense or nervous.
Dogs get irritated if they are being pulled on their leash all the time.</t>
  </si>
  <si>
    <t>How can technology support stretched healthcare professionals? Professor John Rogers explains how his work can help free up time for doctors and nurses through making routine tasks like monitoring more accurate and more efficient.
In this talk, he explains his work on robust, flexible skin sensors that can be worn outside the hospital to understand how illnesses impact people’s daily lives. Such non-invasive sensors are already valuable tools for neonatal doctors and nurses, helping them closely monitor and respond to the needs of very premature babies.
Professor John Rogers is Louis Simpson and Kimberly Querrey Professor of Materials Science and Engineering, Biomedical Engineering and Medicine at Northwestern University, USA. He previously served as Director for the Bell Laboratories Condensed Matter Physics Research Department and is also Director of Northwestern University's Institute for Bioelectronics.  
Professor Rogers gave the 2020 FORUM Annual Lecture, ‘Technology to support the sustainability of health and social care systems’, on 12 October 2020. Find out more about the Academy's FORUM programme connecting industry, the NHS and academia: 
http://acmedsci.ac.uk/policy/forum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</si>
  <si>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Dr Kane outlines his work using artificial intelligence to improve detection and treatment of eye disease through bringing together Moorfields Eye Hospital and Google DeepMind.
Dr Kane's work using AI algorithms for the earlier detection and treatment of retinal disease has been used to create an early warning system for age-related macular degeneration, one of the commonest cause of blindness. 
Dr Pearse Keane is a consultant ophthalmologist at Moorfields Eye Hospital and Associate Professor at the UCL Institute of Ophthalmology.
He gave this talk as part of the FORUM Annual Lecture programme 2020. Find out more about the Academy's FORUM programme connecting industry, the NHS and academia: 
http://acmedsci.ac.uk/policy/forum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</si>
  <si>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Academy of Medical Sciences Vice-President Professor Paul Stewart FMedSci explains what the COVID Career Support Space can offer, and why it's so important. https://acmedsci.ac.uk/grants-and-schemes/whats-available-to-me/career-support-space
This video is part of our work supporting medical and health researchers through the COVID-19 pandemic. 
We invite you to explore our resources on key topics, from challenging inequalities to leading a research team, stress and loneliness. We want to reassure researchers that we will have 'COVID memory' and ensure we mitigate the impacts of this pandemic on career trajectories going forward.
There's still a long way to go on this journey, and we still want to hear from you. We want to hear where you think you need help, from laboratory re-entry to fears around being asked to return to the clinical frontline once more. 
Finally, a big thank you to all researchers out there for all that you are doing in what remain really challenging circumstances. It is truly appreciated and we at the Academy are here to try and help you the best we can. 
We are the independent body in the UK representing the diversity of medical science. Our mission is to advance biomedical and health research and its translation into benefits for society.
Follow the Academy of Medical Sciences' Careers Team on Twitter:
http://twitter.com/AMS_Careers
Find the Academy of Medical Sciences online:
Website: http://acmedsci.ac.uk/
Twitter: http://twitter.com/AcMedSci
Facebook: http://www.facebook.com/acmedsci
Instagram: http://www.instagram.com/acmedsci/</t>
  </si>
  <si>
    <t>When will we decide to conquer chronic disease? The moment we realize the future’s not only in our genes but also in our hands with the choices we make regarding food and nutrition. We now know how we grow before we are born, matters. A woman who is pregnant with a daughter is nourishing the egg that may someday become her grandchild. We must  remove the vulnerability for developing chronic disease before it starts. Through the right choices in Family, School, Workplace &amp; Policy - we can position humanity towards a sustainable, more livable answer.
Dr. Kent L. Thornburg received his PhD in Developmental Physiology and studied Cardiovascular Physiology as a National Institutes of Health (NIH) Postdoctoral Fellow at Oregon Health &amp; Science University (OHSU). He participates in co-funded projects with scientists in England, New Zealand, France, Finland and Australia. He serves regularly on advisory panels at the NIH, the American Heart Association and the Children’s Heart Foundation and recently served as Co-Chair of the task force to determine the 10-year vision of the developmental origins of health and disease for the National Institute of Child Health and Human Development.
This talk was given at a TEDx event using the TED conference format but independently organized by a local community. Learn more at http://ted.com/tedx</t>
  </si>
  <si>
    <t>Republic of Moldova has built foundation to tackle non-communicable diseases (NCDs) since 2011. 
In 2011 health sector leaders in the Republic of Moldova used public and media discussions on alcohol consumption and tobacco use as an opportunity to highlight the role of risk factors to non-communicable diseases prevalence and need for action.
Both, the Parliament took the leading role and adopted in 2012 after consultations the national Strategy for the Prevention and Control of NCDs, and the Government prepared under Ministry of Health leadership two key National Programs as the National Programs on Tobacco Control 2012-2016 and National Program on Alcohol Control 2012-2020 with multi-sectorial and whole-of-government approach. Further, selected legislative measures are adopted to improve population health, evidence generated and national capacities developed to tackle these risk factors. In addition to national efforts there exists continuous support from international partners on tackling NCDs in the country.
This video prepared in 2013 provides summary to explain the national context, the changes and further directions. 
For more information on WHO activities in Republic of Moldova: http://www.euro.who.int/moldova</t>
  </si>
  <si>
    <t>In this Ask the Expert video, we met with Dr. Peter Van Dael, SVP Nutrition Science &amp; Advocacy at DSM, to discuss the growing problem of NCDs and the role that nutrition can play in aging populations.</t>
  </si>
  <si>
    <t>What does it take to grow enough food for all of us? How do we create food systems that meet the needs of our changing world—and what role does technology play? A wide-ranging panel discussion explores global issues of food sustainability.
➡ Subscribe: http://bit.ly/NatGeoSubscribe
About National Geographic:
National Geographic is the world's premium destination for science, exploration, and adventure. Through their world-class scientists, photographers, journalists, and filmmakers, Nat Geo gets you closer to the stories that matter and past the edge of what's possible.
Get More National Geographic:
Official Site: http://bit.ly/NatGeoOfficialSite
Facebook: http://bit.ly/FBNatGeo
Twitter: http://bit.ly/NatGeoTwitter
Instagram: http://bit.ly/NatGeoInsta
MODERATOR:
Joel Bourne - Journalist
PARTICIPANTS:
Jerry Glover - Senior Adviser, USAID
Nadine Azzu - Global Project Coordinator, FAO
Ben R. Jordan - Director of Supplier Sustainability, Coca-Cola Company
José Andrés - Chef, Author, Educator
At National Geographic's Future of Food forum on May 2, 2014, leading experts gathered to discuss how we can feed a global population set to top nine billion by 2050.
Click here for National Geographic's eight-month series on the future of food:
http://food.nationalgeographic.com.
Why Sustainable Food Systems Matter | Future of Food
https://youtu.be/YEGISWTEgyU
National Geographic
https://www.youtube.com/natgeo</t>
  </si>
  <si>
    <t>It took 200,000 years for our human population to reach 1 billion—and only 200 years to reach 7 billion. But growth has begun slowing, as women have fewer babies on average. When will our global population peak? And how can we minimize our impact on Earth’s resources, even as we approach 11 billion?
#humans #population #humanevolution #overpopulation
Download the video in HD: 
http://media.amnh.org/sciencebulletins/AMNH_HumanPopulation_DOWNLOAD.mp4
Related content:
Population Connection
http://worldpopulationhistory.org/map/1/mercator/1/0/25/
UN World Population Prospects
https://esa.un.org/unpd/wpp/
Real-time population counter
http://www.worldometers.info/world-population/
NASA EarthData
https://earthdata.nasa.gov
NASA Socioeconomic Data and Applications Center 
http://sedac.ciesin.columbia.edu
Video credits:
Writer/Producer
AMNH/L. Moustakerski
Animator
AMNH/S. Krasinski
Sound Design
AMNH/J. Morfoot
Scientific Advisors
AMNH/S. Macey
AMNH/J. Zichello
Center for Biodiversity and Conservation
Images
PhyloPic
David Hillis, Derrick Zwickl, and Robin Gutell, University of Texas
World Population used courtesy of Population Connection, ©2015
Other Population Data Sources
Population Connection
United Nations, “World Population Prospects: 2015 Revision”
US Census Bureau
Maps and Event Sources
Encyclopedia Britannica
Inner Asian &amp; Uralic National Resource Center
NASA
NOAA
Needham, J. Science and Civilisation in China
TimeMaps
Trans-Atlantic Slave Trade Database
***
Subscribe to our channel:
http://www.youtube.com/subscription_center?add_user=AMNHOrg
Check out our full video catalog:
‪http://www.youtube.com/user/AMNHorg‬‬‬‬ ‬‬
Facebook: ‪http://fb.com/naturalhistory‬‬‬‬‬‬
Twitter: ‪http://twitter.com/amnh‬‬‬‬‬‬
Tumblr: ‪http://amnhnyc.tumblr.com/‬‬‬‬‬‬
Instagram: ‪http://instagram.com/amnh‬‬‬‬‬‬
This video and all media incorporated herein (including text, images, and audio) are the property of the American Museum of Natural History or its licensors, all rights reserved. The Museum has made this video available for your personal, educational use. You may not use this video, or any part of it, for commercial purposes, nor may you reproduce, distribute, publish, prepare derivative works from, or publicly display it without the prior written consent of the Museum.
© American Museum of Natural History, New York, NY</t>
  </si>
  <si>
    <t>In the U.S., there are roughly 133 million adults suffering from at least one chronic disease. Learn what chronic disease is and some common preventable causes.</t>
  </si>
  <si>
    <t>Health Vocabulary! https://7esl.com/health-healthcare-vocabulary-english/
Learn common names of illnesses and diseases in English, i.e. asthma, a backache, a broken leg, a cold, a cough, an earache, a fever, the flu, a headache...
---------------------------------------------------------------------------------------- 
WATCH MORE: 
★ Grammar: https://goo.gl/7n226T
★ Vocabulary: https://goo.gl/E5Ty4T
★ Expressions: https://goo.gl/JBpgCF
★ Phrasal Verbs: https://goo.gl/Ux3fip
★ Idioms: https://goo.gl/y7wNjN
★ Conversations: https://goo.gl/pmdpQT
★ English Writing: https://goo.gl/46gmY7
★ IELTS: https://goo.gl/Tg2U4v
★ TOEFL: https://goo.gl/8Zwvic
★ British vs. American English: https://goo.gl/VHa5W8
★ Pronunciation: https://goo.gl/P4eR39
★ Business English: https://goo.gl/r7jqtB
---------------------------------------------------------------------------------------- 
OUR SOCIAL MEDIA:
Pinterest: https://www.pinterest.com/7english/
Facebook: https://www.fb.com/7ESLLearningEnglish/
----------------------------------------------------------------------------------------
For more videos and lessons visit: 
https://7esl.com/</t>
  </si>
  <si>
    <t>An educational video to highlight some of the health system gaps in addressing noncommunicable diseases.</t>
  </si>
  <si>
    <t>Carol Wright was running out of time to get a life-saving heart transplant. Brooke Dawkins' decision years earlier to become an organ donor saved Carol's life. 
Request information about the UW Health Transplant Program: https://www.uwhealth.org/52539
See other patient stories: https://www.uwhealth.org/10600 
Sign up to be a living donor: https://www.uwhealth.org/52328</t>
  </si>
  <si>
    <t>A global database on the prevalence of risk behaviors among youth for noncommunicable diseases (NCDs) highlights the need to focus on young people to tackle the growing NCD epidemic—especially in low- and middle-income countries.
Population Reference Bureau (PRB), with support from the AstraZeneca Young Health Programme, launched the Youth and NCDs Data Center, an interactive data and visualization tool focusing on the four key risk factors for NCDs among youth: tobacco use, alcohol use, unhealthy diet, and physical inactivity. The data cover more than 200 countries.
youthandncds.org</t>
  </si>
  <si>
    <t>Like this video? Sign up now on our website at https://www.DrNajeebLectures.com to access 800+ Exclusive videos on Basic Medical Sciences &amp; Clinical Medicine. These are premium videos (NOT FROM YOUTUBE). All these videos come with English subtitles &amp; download options. Sign up now! Get Lifetime Access for a one-time payment of $99 ONLY! 
Why sign up for premium membership? Here's why!
Membership Features for premium website members.
1. More than 800+ Medical Lectures. 
2. Basic Medical Sciences &amp; Clinical Medicine.
3. Mobile-friendly interface with android and iOS apps.
4. English subtitles and new videos every week.
5. Download option for offline video playback.
6. Fanatic customer support and that's 24/7.
7. Fast video playback option to learn faster.
8. Trusted by over 2M+ students in 190 countries.</t>
  </si>
  <si>
    <t>JKSSB FAA
------------------------------------------------------------------------
_xD83E__xDDEE_Telegram link _xD83D__xDCCE__xD83D__xDC49_ :- Ocean of Knowledge
https://t.me/oceanofknowledge02</t>
  </si>
  <si>
    <t>This is a video lecture on the " NON COMMUNICABLE DISEASES " Chapter from the PARK TEXTBOOK of COMMUNITY MEDICINE.
It covers the topics of 
1. Risk Factors for NON COMMUNICABLE DISEASES
2.Prevention of NON COMMUNICABLE DISEASES
3.Cardiovascular Diseases
4.Coronary Heart Disease
5.Hypertension</t>
  </si>
  <si>
    <t>Explains the difference between communicable and non-communicable diseases, and lists the causes and examples of each.  Describes the field of epidemiology.</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</si>
  <si>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Jaffer Naqvi.
Watch the next lesson: https://www.khanacademy.org/test-prep/nclex-rn/gastrointestinal-diseases/gastroenteritis-rn/v/what-is-viral-gastroenteritis?utm_source=YT&amp;utm_medium=Desc&amp;utm_campaign=Nclex-rn
Missed the previous lesson? https://www.khanacademy.org/test-prep/nclex-rn/rn-gastrointestinal-system/rn-the-gastrointestinal-system/v/control-of-the-gi-tract?utm_source=YT&amp;utm_medium=Desc&amp;utm_campaign=Nclex-rn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</si>
  <si>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Are you aware that your child can be exposed to numerous contagious diseases at school? Watch this video on common communicable diseases in children that your child can pick up at school and how to treat them. 
School is not just a place of education, but where your child comes in contact with many other children. This increases the chances of coming into direct contact with parasites, viruses, and bacteria, making your child more susceptible to catching various kinds of contagious diseases in children. This video gives you information on common communicable diseases in schools, how to treat them, and ways to reduce exposure to harmful bacteria and viruses. 
#CommunicableDiseasesInChildren #ContagiousDiseasesInChildren
For More Information :
https://parenting.firstcry.com/articles/10-common-communicable-diseases-your-child-can-pick-up-at-school/
Like, comment, and share with family and friends.
FirstcryTV helps you through your journey of Getting Pregnant, Pregnancy &amp; Parenting. Happy Parenting!
Subscribe Now :  https://www.youtube.com/c/firstcryparenting
Connect with FirstCry Parenting
Download Our App
Android : https://bit.ly/2Vqtvjl
iOS : https://apple.co/2IKcmv0
Website : https://parenting.firstcry.com/
Like Us on Facebook @ 
https://facebook.com/FirstCryParenting/
Follow Us on Instagram @ https://www.instagram.com/firstcryParenting/
Follow Us on Twitter @ 
https://twitter.com/firstcryindia
Follow Us on Pinterest @ 
https://in.pinterest.com/FirstCryIN/
Disclaimer:
Content used in this video is for informational purpose only  and should not be considered as a substitute for advice from doctors or any health professional. We strongly recommend seeking medical advice before proceeding.</t>
  </si>
  <si>
    <t>Non-communicable diseases cause more deaths than infectious, or communicable, diseases every year. Complete tasks while you watch with my Studyalong Workbook and Mindmaps.
Workbook: https://emmatheteachie.com/product/studyalong-workbook-gcse-biology-topic-2-organisation/
Mindmap: https://emmatheteachie.com/product/mindmaps-organisation-topic/
In this video, we’ll look at the causal mechanisms for six communicable diseases / conditions. We’ll also cover the difference between correlation and causation.
We’ll cover some quick questions, including a graph question. It’s important to practice Maths and data analysis skills often as this is 10% of the AQA GCSE Biology / Combined Science paper. And it’s likely to come up in the diseases part of the specification.
I hope this video helped you learn something new! If you want to get the most out of it &amp; all of the other videos in this topic, head over to my website to view the Organisation Studyalong Workbook - it has tasks for every video and includes all of the graphics you see in my videos (for visual learning) - plus there are over 30 exam-style questions with full answers and a bonus fun activity! See it on www.emmatheteachie.com - shop.
Emma the teachie
www.emmatheteachie.com</t>
  </si>
  <si>
    <t>Transform Health Leadership Program
Melbourne, 26 February - 7 March, 2018
English:
Nine Indonesian health professionals came together in Melbourne for a week of learning and discussion around the prevention of non-communicable diseases in Indonesia.
We asked the delegates some questions about what’s happening, and what’s to be done.
Read more about the program here:
http://australiaindonesiacentre.org/indonesian-health-professionals-learn-together-transform-leadership-program/
Bahasa Indonesia:
Transform Health Leadership Program
Melbourne, 26 Februari - 7 Maret 2018
Sembilan ahli kesehatan Indonesia berkumpul di Melbourne selama satu minggu untuk belajar dan berdiskusi tentang pencegahan penyakit tidak menular di Indonesia.
Kami bertanya kepada para delegasi tenang situasi saat ini terkait NCD, dan apa yang masih perlu dilakukan.
Baca lebih lanjut tentang program ini di sini (Bahasa Inggris):
http://australiaindonesiacentre.org/indonesian-health-professionals-learn-together-transform-leadership-program/</t>
  </si>
  <si>
    <t>Communicable diseases refer to diseases that can be transmitted and make people ill. Non-communicable diseases (NCDs) are chronic medical conditions or diseases which are non-infectious. Common examples include stroke, heart attacks, diabetes, cancer, asthma and depression.
Grade 8 
Subject: Biology
Lesson :Common Diseases
Topic: CLASSIFICATION OF DISEASES
Useful for CBSE, ICSE, NCERT &amp; International Students</t>
  </si>
  <si>
    <t>http://www.einstein.yu.edu - K.M. Venkat Narayan, M.D., M.B.A., Ruth and OC Hubert professor of global health &amp; epidemiology at the Rollins School of Public Health, Emory University, discusses global non-communicable diseases at the Global Diabetes Symposium: Finding the Way to Global Action. The event, presented by the Global Health Center at Albert Einstein College of Medicine and the International Diabetes Federation, took place September 18, 2011.</t>
  </si>
  <si>
    <t>Walk the streets of Copenhagen, Denmark, as Sandro explains the Social Determinants of NCDs and Global Health</t>
  </si>
  <si>
    <t>FRSY05: Non-communicable diseases (NCDs): The challenges for people living with HIV. N Kumarasamy. Judith Currier. . Presented at the 22nd International AIDS Conference (AIDS 2018). https://www.aids2018.org</t>
  </si>
  <si>
    <t>#Asthma #AsthmaTreatment #Health
Asthma is a chronic disease that affects breathing passage of lungs. It is caused by the inflammation of lungs passage. It makes breathing difficult. Today we have our expert Dr. Shikha J. Gupta, Chest Specialist, who will explain symptoms of Asthma, causes, and treatment. 
अस्थमा ( दमा ) एक गंभीर बिमारी है जो सांस की नली को प्रभावित करती है |  इसमें साँस की नाली में सुजन आ जाती है और साँस लेने में दिक्कत होती है | लेकिन ये लाइलाज नहीं है -  डॉक्टर शिखा जे गुप्ता, चेस्ट स्पेशलिस्ट आज हमें बताएंगी अस्थमा यानि दमा होने के कारण , लक्षण और बचाव | जानिए कैसे आप इस बीमारी से निजाद पा कर स्वस्थ जीवन जी सकते हैं | _________________________________________________________________
Subscribe to Kosh to stay tuned to stay healthy mentally and physically.
YouTube: https://bit.ly/2KOc5XI
Like us on Facebook
https://www.facebook.com/Kosh-112487213446835/
Follow us on Twitter
https://twitter.com/KoshMedia</t>
  </si>
  <si>
    <t>Advising people on having a healthy lifestyle and importance of a regular health checkup she spread awareness on communicable and non-communicable diseases- the paradigm shift. MBBS, MD physiology, PG dip. Dietetics, PGDPC, Assistant Professor, Physiology at GMC Nagpur This talk was given at a TEDx event using the TED conference format but independently organized by a local community. Learn more at https://www.ted.com/tedx</t>
  </si>
  <si>
    <t>Joining forces to address a global health challenge:
A panel of leaders from the public and private sector gathered to discuss the growing challenge of non-communicable diseases (NCDs) such as heart disease, cancer, diabetes, respiratory diseases and mental health. We recognized the need for greater collaboration to bring our expertise and resources together in a concerted focus on patients.  The meeting coincided with the United Nations High-Level Meeting on Non-Communicable Diseases.
View highlights from the panel discussion in this video, and learn more about Teva's efforts to address the challenge of NCDs:
https://www.tevapharm.com/featuredsto... 
Teva would like to thank our event co-hosts, Intel and the International Association of Patient Organizations (IAPO), as well as our dynamic panel of public and private sector leaders to discuss the NCD Care Continuum:  
Amalia Adler-Waxman, Teva VP of Social Impact and Responsibility 
Dr. Sania Nishtar, Co-Chair, WHO High-Level Commission on Non-Communicable Diseases
Dr. Sandeep Kishore, Associate Director, Arnhold Institute for Global Health, Icahn School of Medicine, Mount Sinai Health
Penney Cowan, Chair of the International Association of Patient Organizations (IAPO)
David Barash, Chief Medical Officer, GE
Jennifer Esposito, General Manager, Global Health &amp; Life Sciences, Intel Corporation 
Sir George Alleyne, Director Emeritus, Pan American Health Organization (PAHO)</t>
  </si>
  <si>
    <t>נוטרילון מותג תזונת התינוקות במרקם הקליל, בעל כמות גבוהה של פרביוטיקה מסוג GOS ו- FOS.
נוטרילון הביטחון שבחרתם נכון. מבית טבע ונוטרישה. https://nutriclubisrael.co.il/
*לתשומת לב, חלב אם הוא המזון הטוב ביותר לתינוק
*בהתבסס על מחקר צרכנים שנערך בינואר 2021
*כמות פרביוטיקה מסוג GOS ו- FOS : 0.8 גרם עבור 100 מ"ל
*האמור מכוון לבחירה במותג תמ"ל</t>
  </si>
  <si>
    <t>Meet Dr Joshua Cohen. As Teva’s Senior Medical Lead for the Migraine and Headache Therapeutic Area, its Josh’s job to help build awareness about the impact of a disease that affects more than one billion people around the world.</t>
  </si>
  <si>
    <t>Non-communicable diseases (NCDs) like cancer, diabetes and heart disease are the leading cause of death worldwide and are linked to behaviours which first begin in youth. UNICEF and AstraZeneca’s Young Health Programme sat down with young people in Indonesia to discuss the major health issues facing adolescents in the country, and how we can work together to prevent NCDs, empower young people and equip them with the information and skills they need to make the right choices for themselves and create a healthier future.
Young Health Programme: https://www.younghealthprogrammeyhp.com/ 
Global site: https://www.astrazeneca.com/
Careers site: https://careers.astrazeneca.com/ 
Follow us:
Twitter: https://twitter.com/AstraZeneca
LinkedIn: https://www.linkedin.com/company/astrazeneca/
Instagram: https://www.instagram.com/astrazeneca/ 
Facebook: https://www.facebook.com/astrazenecacareers/</t>
  </si>
  <si>
    <t>The menace of noncommunicable diseases (NCDs) like cardiovascular disease, diabetes and cancer in the developing world is increasing. New solutions are needed to ensure more people are trained to prevent, diagnose and treat these diseases, and patients have access to affordable quality medicines. 
To learn more visit: http://socialbusiness.novartis.com
© 2015 Novartis AG</t>
  </si>
  <si>
    <t>academy of medical sciences health tech sensors sensor wearable biotech medtech john rogers northwestern skin sensors skin sensor monitor electronic device technology bioelectronics science research future track body skin engineering medicine forum neonatal home</t>
  </si>
  <si>
    <t>academy of medical sciences deepmind google moorfields eye hospital tech optical health healthcare FORUM patient AI artificial intelligence learning virtual iris scan doctor pearse kane</t>
  </si>
  <si>
    <t>academy of medical sciences medical sciences health</t>
  </si>
  <si>
    <t>TEDxTalks English United States Health Big problems Decision making Disease Genetics Heart health Medicine Self Self improvement Self-help</t>
  </si>
  <si>
    <t>risk factors risk risk communications risk communication moldova non-communicable diseases member states ministry of health EURO tobacco control anti tobacco stakeholder partnership</t>
  </si>
  <si>
    <t>medical nutrition DSM dsm NDCs non-communicable diseases nutrition for health aging healthy aging nutriiton solutions</t>
  </si>
  <si>
    <t>national geographic nat geo natgeo animals wildlife science explore discover survival nature documentary #hangoutsonair Hangouts On Air #hoa</t>
  </si>
  <si>
    <t>American Museum Of Natural History Museum New York City Human Population Human Growth Human Evolution Evolution Earth Science AMNH Global Population Overpopulation 7 Billion Population Peak Humans People Time Future Long term Human Life Change</t>
  </si>
  <si>
    <t>chronic disease stroke cancer arthritis heart disease diabetes</t>
  </si>
  <si>
    <t>Health Problems Health and Health Care Vocabulary Health and Health Care English Vocabulary for Health at the doctors vocabulary doctor vocabulary words hospital vocabulary list at the doctor english lesson esl doctor vocabulary illness vocabulary in english basic medical vocabulary medical hospital vocabulary esl health vocabulary health words a-z health care english topic</t>
  </si>
  <si>
    <t>NCD stroke health india world organization noncommunicable diseases disease</t>
  </si>
  <si>
    <t>transplant uw health uw hospital and clinics UWHealthWI madison wisconsin organ donor organ donation organ transplant heart transplant heart transplant surgery heart surgery heart transplant journey heart transplantation successful heart transplant surgery heart organ donors becoming an organ donor how to becoming an organ donor donor organ transplants</t>
  </si>
  <si>
    <t>ihd cad ischemic heart disease coronary artery disease heart myocardial infarction heart failure ischemia heart attack cardiology heart disease congestive heart failure dr najeeb dr najeeb lectures medical lectures armando hasudungan usmle usmle step 1 angina cardiovascular disease clinical medicine medschool medicine medical school chest pain signs symptoms treatment pathology khan academy medicine internal medicine</t>
  </si>
  <si>
    <t>Non Communicable Diseases Non Communicable Disease Non-Communicable Diseases Prevention of Non Communicable Diseases Community Medicine videos PARK abmbbs Non Communicable Diseases lecture Non Communicable Diseases video Non Communicable Diseases psm Non Communicable Diseases animation non communicable diseases and their prevention non communicable diseases causes and prevention non communicable diseases</t>
  </si>
  <si>
    <t>Communicable disease non-communicable disease pathogen contagious parasite virus bacterium protozoan fungus worm infectious vaccine immunization antibiotics epidemic epidemiologist epidemiology pandemic endemic genetic disorder</t>
  </si>
  <si>
    <t>Gastroenteritis (Disease Or Medical Condition) Health (Industry)</t>
  </si>
  <si>
    <t>communicable diseases in children common communicable diseases in children common communicable diseases in schools contagious diseases in children communicable diseases in kids</t>
  </si>
  <si>
    <t>Gcse biology diseases gcse biology non-communicable gcse biology communicable biology revision gcse biology 9-1 gcse biology revision gcse communicable diseases gcse non-communicable diseases gcse biology lifestyle gcse biology organisation topic</t>
  </si>
  <si>
    <t>NCDs non-communicable diseases penyakit tidak menular adolescents remaja</t>
  </si>
  <si>
    <t>Classification of Diseases Common Diseases cbse cbse class 8 biology science</t>
  </si>
  <si>
    <t>Global Diabetes Obesity K.M. Venkat Narayan Type Non-communicable diseases cardiovascular disease public health global meeting international conference community council summit event education</t>
  </si>
  <si>
    <t>Social Determinants Of Health Health (Literary Genre) Copenhagen (City/Town/Village) Health Care (Issue) Denmark (Country) Non-communicable Disease (Disease Or Medical Condition) Medicine (Field Of Study) Disease (Organization Sector)</t>
  </si>
  <si>
    <t>AIDS 2018 International AIDS Conference International AIDS Society IAS N Kumarasamy. Judith Currier. HIV AIDS HIV/AIDS 22nd International AIDS Conference Amsterdam</t>
  </si>
  <si>
    <t>jeevan kosh asthma treatment asthma attack asthma ka ilaj asthma symptoms asthma symptoms in children asthma symptoms diagnosis and treatment asthma precautions asthma precautions in hindi asthma precaution and treatment asthma treatment in hindi Doctor advice on asthma kosh health healthy lifestyle</t>
  </si>
  <si>
    <t>TEDxTalks English Health Disease Medicine</t>
  </si>
  <si>
    <t>AstraZeneca AZN Pascal Soriot zeneca MedImmune pharma NCDs young people youth adolescents YHP UNICEF advocacy disease prevention healthy lifestyle cancer diabetes obesity nutrition tobacco alcohol</t>
  </si>
  <si>
    <t>Novartis Sandoz Novartis Access access access to medicines access to healthcare noncommunicable diseases NCDs cardiovascular disease diabetes cancer developing world developing countries chronic disease diagnosis chronic diseaseprevention chronic disease treatment chronic diseases</t>
  </si>
  <si>
    <t>Jaw-Dropping Facts</t>
  </si>
  <si>
    <t>Talking Nutrition</t>
  </si>
  <si>
    <t>National Geographic</t>
  </si>
  <si>
    <t>American Museum of Natural History</t>
  </si>
  <si>
    <t>Transforming Health</t>
  </si>
  <si>
    <t>7ESL Learning English</t>
  </si>
  <si>
    <t>UW Health</t>
  </si>
  <si>
    <t>Dr. Najeeb Lectures</t>
  </si>
  <si>
    <t>Ocean of Knowledge YT</t>
  </si>
  <si>
    <t>AB Mbbs</t>
  </si>
  <si>
    <t>FirstCry Parenting</t>
  </si>
  <si>
    <t>emmatheteachie</t>
  </si>
  <si>
    <t>The Australia-Indonesia Centre</t>
  </si>
  <si>
    <t>CBSE</t>
  </si>
  <si>
    <t>Albert Einstein College of Medicine</t>
  </si>
  <si>
    <t>Dr Sandro Demaio</t>
  </si>
  <si>
    <t>International AIDS Conference</t>
  </si>
  <si>
    <t>Jeevan Kosh</t>
  </si>
  <si>
    <t>Teva Pharmaceutical Industries Ltd.</t>
  </si>
  <si>
    <t>astrazeneca</t>
  </si>
  <si>
    <t>Novartis</t>
  </si>
  <si>
    <t>2020-09-13T14:15:01Z</t>
  </si>
  <si>
    <t>2021-01-07T09:23:34Z</t>
  </si>
  <si>
    <t>2021-01-07T10:44:37Z</t>
  </si>
  <si>
    <t>2020-10-22T11:02:16Z</t>
  </si>
  <si>
    <t>2015-07-28T18:55:21Z</t>
  </si>
  <si>
    <t>2013-11-20T17:40:29Z</t>
  </si>
  <si>
    <t>2019-04-03T17:05:57Z</t>
  </si>
  <si>
    <t>2014-08-14T18:33:16Z</t>
  </si>
  <si>
    <t>2016-11-04T15:40:02Z</t>
  </si>
  <si>
    <t>2014-02-27T18:42:19Z</t>
  </si>
  <si>
    <t>2018-05-04T05:46:49Z</t>
  </si>
  <si>
    <t>2017-10-25T03:29:56Z</t>
  </si>
  <si>
    <t>2016-09-27T17:42:08Z</t>
  </si>
  <si>
    <t>2018-09-25T15:11:17Z</t>
  </si>
  <si>
    <t>2018-12-06T12:11:31Z</t>
  </si>
  <si>
    <t>2021-02-15T04:32:33Z</t>
  </si>
  <si>
    <t>2017-04-24T19:28:47Z</t>
  </si>
  <si>
    <t>2016-12-01T22:42:59Z</t>
  </si>
  <si>
    <t>2015-09-04T21:28:25Z</t>
  </si>
  <si>
    <t>2019-09-23T13:30:05Z</t>
  </si>
  <si>
    <t>2019-10-27T12:33:22Z</t>
  </si>
  <si>
    <t>2018-07-02T00:52:49Z</t>
  </si>
  <si>
    <t>2015-12-18T13:37:06Z</t>
  </si>
  <si>
    <t>2011-09-26T19:13:13Z</t>
  </si>
  <si>
    <t>2014-05-09T16:37:10Z</t>
  </si>
  <si>
    <t>2018-07-27T13:26:14Z</t>
  </si>
  <si>
    <t>2019-08-31T11:52:37Z</t>
  </si>
  <si>
    <t>2019-03-13T14:16:32Z</t>
  </si>
  <si>
    <t>2018-12-12T22:40:28Z</t>
  </si>
  <si>
    <t>2021-04-12T12:54:12Z</t>
  </si>
  <si>
    <t>2021-06-13T09:16:28Z</t>
  </si>
  <si>
    <t>2021-04-29T14:15:57Z</t>
  </si>
  <si>
    <t>2020-10-20T13:37:09Z</t>
  </si>
  <si>
    <t>2015-09-24T05:33:05Z</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</si>
  <si>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</si>
  <si>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</si>
  <si>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</si>
  <si>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</si>
  <si>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</si>
  <si>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</si>
  <si>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</si>
  <si>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</si>
  <si>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</si>
  <si>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</si>
  <si>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</si>
  <si>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</si>
  <si>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</si>
  <si>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</si>
  <si>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</si>
  <si>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</si>
  <si>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</si>
  <si>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</si>
  <si>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</si>
  <si>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</si>
  <si>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</si>
  <si>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health</t>
  </si>
  <si>
    <t>diseases</t>
  </si>
  <si>
    <t>women</t>
  </si>
  <si>
    <t>ncds</t>
  </si>
  <si>
    <t>communicable</t>
  </si>
  <si>
    <t>disease</t>
  </si>
  <si>
    <t>global</t>
  </si>
  <si>
    <t>medical</t>
  </si>
  <si>
    <t>people</t>
  </si>
  <si>
    <t>world</t>
  </si>
  <si>
    <t>content</t>
  </si>
  <si>
    <t>dr</t>
  </si>
  <si>
    <t>information</t>
  </si>
  <si>
    <t>director</t>
  </si>
  <si>
    <t>download</t>
  </si>
  <si>
    <t>academy</t>
  </si>
  <si>
    <t>young</t>
  </si>
  <si>
    <t>national</t>
  </si>
  <si>
    <t>dogs</t>
  </si>
  <si>
    <t>dog</t>
  </si>
  <si>
    <t>like</t>
  </si>
  <si>
    <t>course</t>
  </si>
  <si>
    <t>diabetes</t>
  </si>
  <si>
    <t>chronic</t>
  </si>
  <si>
    <t>countries</t>
  </si>
  <si>
    <t>research</t>
  </si>
  <si>
    <t>app</t>
  </si>
  <si>
    <t>science</t>
  </si>
  <si>
    <t>medicine</t>
  </si>
  <si>
    <t>population</t>
  </si>
  <si>
    <t>learn</t>
  </si>
  <si>
    <t>community</t>
  </si>
  <si>
    <t>advice</t>
  </si>
  <si>
    <t>social</t>
  </si>
  <si>
    <t>girls</t>
  </si>
  <si>
    <t>cancer</t>
  </si>
  <si>
    <t>including</t>
  </si>
  <si>
    <t>risk</t>
  </si>
  <si>
    <t>factors</t>
  </si>
  <si>
    <t>etc</t>
  </si>
  <si>
    <t>school</t>
  </si>
  <si>
    <t>humanitarian</t>
  </si>
  <si>
    <t>noncommunicable</t>
  </si>
  <si>
    <t>program</t>
  </si>
  <si>
    <t>website</t>
  </si>
  <si>
    <t>facebook</t>
  </si>
  <si>
    <t>demo</t>
  </si>
  <si>
    <t>authors</t>
  </si>
  <si>
    <t>gender</t>
  </si>
  <si>
    <t>sciences</t>
  </si>
  <si>
    <t>heart</t>
  </si>
  <si>
    <t>care</t>
  </si>
  <si>
    <t>common</t>
  </si>
  <si>
    <t>society</t>
  </si>
  <si>
    <t>twitter</t>
  </si>
  <si>
    <t>upsc</t>
  </si>
  <si>
    <t>public</t>
  </si>
  <si>
    <t>international</t>
  </si>
  <si>
    <t>deliver</t>
  </si>
  <si>
    <t>help</t>
  </si>
  <si>
    <t>issues</t>
  </si>
  <si>
    <t>time</t>
  </si>
  <si>
    <t>university</t>
  </si>
  <si>
    <t>advocacy</t>
  </si>
  <si>
    <t>uhc</t>
  </si>
  <si>
    <t>food</t>
  </si>
  <si>
    <t>स</t>
  </si>
  <si>
    <t>khan</t>
  </si>
  <si>
    <t>center</t>
  </si>
  <si>
    <t>life</t>
  </si>
  <si>
    <t>work</t>
  </si>
  <si>
    <t>support</t>
  </si>
  <si>
    <t>development</t>
  </si>
  <si>
    <t>human</t>
  </si>
  <si>
    <t>series</t>
  </si>
  <si>
    <t>instagram</t>
  </si>
  <si>
    <t>organizations</t>
  </si>
  <si>
    <t>rights</t>
  </si>
  <si>
    <t>equality</t>
  </si>
  <si>
    <t>questions</t>
  </si>
  <si>
    <t>senior</t>
  </si>
  <si>
    <t>leaders</t>
  </si>
  <si>
    <t>well</t>
  </si>
  <si>
    <t>being</t>
  </si>
  <si>
    <t>action</t>
  </si>
  <si>
    <t>discuss</t>
  </si>
  <si>
    <t>body</t>
  </si>
  <si>
    <t>exams</t>
  </si>
  <si>
    <t>visit</t>
  </si>
  <si>
    <t>lesson</t>
  </si>
  <si>
    <t>united</t>
  </si>
  <si>
    <t>history</t>
  </si>
  <si>
    <t>government</t>
  </si>
  <si>
    <t>control</t>
  </si>
  <si>
    <t>cardiovascular</t>
  </si>
  <si>
    <t>impact</t>
  </si>
  <si>
    <t>conference</t>
  </si>
  <si>
    <t>india</t>
  </si>
  <si>
    <t>professor</t>
  </si>
  <si>
    <t>current</t>
  </si>
  <si>
    <t>civil</t>
  </si>
  <si>
    <t>talk</t>
  </si>
  <si>
    <t>data</t>
  </si>
  <si>
    <t>infectious</t>
  </si>
  <si>
    <t>country</t>
  </si>
  <si>
    <t>age</t>
  </si>
  <si>
    <t>resources</t>
  </si>
  <si>
    <t>institute</t>
  </si>
  <si>
    <t>speakers</t>
  </si>
  <si>
    <t>growing</t>
  </si>
  <si>
    <t>part</t>
  </si>
  <si>
    <t>business</t>
  </si>
  <si>
    <t>english</t>
  </si>
  <si>
    <t>event</t>
  </si>
  <si>
    <t>high</t>
  </si>
  <si>
    <t>क</t>
  </si>
  <si>
    <t>professional</t>
  </si>
  <si>
    <t>treatment</t>
  </si>
  <si>
    <t>technology</t>
  </si>
  <si>
    <t>executive</t>
  </si>
  <si>
    <t>million</t>
  </si>
  <si>
    <t>systems</t>
  </si>
  <si>
    <t>reduce</t>
  </si>
  <si>
    <t>focus</t>
  </si>
  <si>
    <t>sustainable</t>
  </si>
  <si>
    <t>mission</t>
  </si>
  <si>
    <t>experts</t>
  </si>
  <si>
    <t>prevention</t>
  </si>
  <si>
    <t>president</t>
  </si>
  <si>
    <t>foundation</t>
  </si>
  <si>
    <t>asthma</t>
  </si>
  <si>
    <t>family</t>
  </si>
  <si>
    <t>future</t>
  </si>
  <si>
    <t>stress</t>
  </si>
  <si>
    <t>best</t>
  </si>
  <si>
    <t>educational</t>
  </si>
  <si>
    <t>access</t>
  </si>
  <si>
    <t>live</t>
  </si>
  <si>
    <t>crises</t>
  </si>
  <si>
    <t>sadhguru</t>
  </si>
  <si>
    <t>hospital</t>
  </si>
  <si>
    <t>stanford</t>
  </si>
  <si>
    <t>humans</t>
  </si>
  <si>
    <t>ह</t>
  </si>
  <si>
    <t>ज</t>
  </si>
  <si>
    <t>provide</t>
  </si>
  <si>
    <t>intended</t>
  </si>
  <si>
    <t>learning</t>
  </si>
  <si>
    <t>study</t>
  </si>
  <si>
    <t>challenge</t>
  </si>
  <si>
    <t>co</t>
  </si>
  <si>
    <t>prevent</t>
  </si>
  <si>
    <t>burden</t>
  </si>
  <si>
    <t>problem</t>
  </si>
  <si>
    <t>role</t>
  </si>
  <si>
    <t>policy</t>
  </si>
  <si>
    <t>lecture</t>
  </si>
  <si>
    <t>youth</t>
  </si>
  <si>
    <t>subtitles</t>
  </si>
  <si>
    <t>working</t>
  </si>
  <si>
    <t>education</t>
  </si>
  <si>
    <t>symptoms</t>
  </si>
  <si>
    <t>response</t>
  </si>
  <si>
    <t>contained</t>
  </si>
  <si>
    <t>team</t>
  </si>
  <si>
    <t>served</t>
  </si>
  <si>
    <t>home</t>
  </si>
  <si>
    <t>local</t>
  </si>
  <si>
    <t>communities</t>
  </si>
  <si>
    <t>leadership</t>
  </si>
  <si>
    <t>covid</t>
  </si>
  <si>
    <t>hear</t>
  </si>
  <si>
    <t>ra</t>
  </si>
  <si>
    <t>american</t>
  </si>
  <si>
    <t>mtdna</t>
  </si>
  <si>
    <t>panel</t>
  </si>
  <si>
    <t>biology</t>
  </si>
  <si>
    <t>addressing</t>
  </si>
  <si>
    <t>forum</t>
  </si>
  <si>
    <t>amnh</t>
  </si>
  <si>
    <t>न</t>
  </si>
  <si>
    <t>org</t>
  </si>
  <si>
    <t>related</t>
  </si>
  <si>
    <t>purposes</t>
  </si>
  <si>
    <t>substitute</t>
  </si>
  <si>
    <t>read</t>
  </si>
  <si>
    <t>created</t>
  </si>
  <si>
    <t>nclex</t>
  </si>
  <si>
    <t>rn</t>
  </si>
  <si>
    <t>available</t>
  </si>
  <si>
    <t>offers</t>
  </si>
  <si>
    <t>tackle</t>
  </si>
  <si>
    <t>art</t>
  </si>
  <si>
    <t>state</t>
  </si>
  <si>
    <t>museum</t>
  </si>
  <si>
    <t>various</t>
  </si>
  <si>
    <t>spread</t>
  </si>
  <si>
    <t>nations</t>
  </si>
  <si>
    <t>efforts</t>
  </si>
  <si>
    <t>2011</t>
  </si>
  <si>
    <t>lung</t>
  </si>
  <si>
    <t>ncd</t>
  </si>
  <si>
    <t>uk</t>
  </si>
  <si>
    <t>explains</t>
  </si>
  <si>
    <t>region</t>
  </si>
  <si>
    <t>respiratory</t>
  </si>
  <si>
    <t>major</t>
  </si>
  <si>
    <t>2030</t>
  </si>
  <si>
    <t>effective</t>
  </si>
  <si>
    <t>measures</t>
  </si>
  <si>
    <t>tobacco</t>
  </si>
  <si>
    <t>alcohol</t>
  </si>
  <si>
    <t>healthy</t>
  </si>
  <si>
    <t>management</t>
  </si>
  <si>
    <t>system</t>
  </si>
  <si>
    <t>deaths</t>
  </si>
  <si>
    <t>treat</t>
  </si>
  <si>
    <t>conditions</t>
  </si>
  <si>
    <t>organization</t>
  </si>
  <si>
    <t>affairs</t>
  </si>
  <si>
    <t>highlights</t>
  </si>
  <si>
    <t>regional</t>
  </si>
  <si>
    <t>based</t>
  </si>
  <si>
    <t>leading</t>
  </si>
  <si>
    <t>advance</t>
  </si>
  <si>
    <t>improve</t>
  </si>
  <si>
    <t>exercise</t>
  </si>
  <si>
    <t>biomedical</t>
  </si>
  <si>
    <t>online</t>
  </si>
  <si>
    <t>000</t>
  </si>
  <si>
    <t>music</t>
  </si>
  <si>
    <t>ssc</t>
  </si>
  <si>
    <t>ias</t>
  </si>
  <si>
    <t>2020</t>
  </si>
  <si>
    <t>19</t>
  </si>
  <si>
    <t>idea</t>
  </si>
  <si>
    <t>ensure</t>
  </si>
  <si>
    <t>leader</t>
  </si>
  <si>
    <t>award</t>
  </si>
  <si>
    <t>indonesia</t>
  </si>
  <si>
    <t>association</t>
  </si>
  <si>
    <t>webinar</t>
  </si>
  <si>
    <t>10</t>
  </si>
  <si>
    <t>variants</t>
  </si>
  <si>
    <t>sector</t>
  </si>
  <si>
    <t>creativity</t>
  </si>
  <si>
    <t>children</t>
  </si>
  <si>
    <t>leash</t>
  </si>
  <si>
    <t>programme</t>
  </si>
  <si>
    <t>collection</t>
  </si>
  <si>
    <t>covered</t>
  </si>
  <si>
    <t>states</t>
  </si>
  <si>
    <t>nasa</t>
  </si>
  <si>
    <t>resource</t>
  </si>
  <si>
    <t>disclaimer</t>
  </si>
  <si>
    <t>suffer</t>
  </si>
  <si>
    <t>18</t>
  </si>
  <si>
    <t>scientists</t>
  </si>
  <si>
    <t>board</t>
  </si>
  <si>
    <t>department</t>
  </si>
  <si>
    <t>professionals</t>
  </si>
  <si>
    <t>link</t>
  </si>
  <si>
    <t>join</t>
  </si>
  <si>
    <t>lifestyle</t>
  </si>
  <si>
    <t>include</t>
  </si>
  <si>
    <t>affect</t>
  </si>
  <si>
    <t>effects</t>
  </si>
  <si>
    <t>behaviors</t>
  </si>
  <si>
    <t>better</t>
  </si>
  <si>
    <t>key</t>
  </si>
  <si>
    <t>potential</t>
  </si>
  <si>
    <t>good</t>
  </si>
  <si>
    <t>transmitted</t>
  </si>
  <si>
    <t>relevant</t>
  </si>
  <si>
    <t>patient</t>
  </si>
  <si>
    <t>media</t>
  </si>
  <si>
    <t>animation</t>
  </si>
  <si>
    <t>view</t>
  </si>
  <si>
    <t>long</t>
  </si>
  <si>
    <t>author</t>
  </si>
  <si>
    <t>complete</t>
  </si>
  <si>
    <t>2018</t>
  </si>
  <si>
    <t>understand</t>
  </si>
  <si>
    <t>jone</t>
  </si>
  <si>
    <t>approach</t>
  </si>
  <si>
    <t>lives</t>
  </si>
  <si>
    <t>officer</t>
  </si>
  <si>
    <t>programs</t>
  </si>
  <si>
    <t>patients</t>
  </si>
  <si>
    <t>tedx</t>
  </si>
  <si>
    <t>organized</t>
  </si>
  <si>
    <t>place</t>
  </si>
  <si>
    <t>decision</t>
  </si>
  <si>
    <t>pandemic</t>
  </si>
  <si>
    <t>bangladesh</t>
  </si>
  <si>
    <t>site</t>
  </si>
  <si>
    <t>living</t>
  </si>
  <si>
    <t>maternal</t>
  </si>
  <si>
    <t>address</t>
  </si>
  <si>
    <t>focused</t>
  </si>
  <si>
    <t>manager</t>
  </si>
  <si>
    <t>moderator</t>
  </si>
  <si>
    <t>reproductive</t>
  </si>
  <si>
    <t>receive</t>
  </si>
  <si>
    <t>freece</t>
  </si>
  <si>
    <t>doctors</t>
  </si>
  <si>
    <t>mitochondrial</t>
  </si>
  <si>
    <t>md</t>
  </si>
  <si>
    <t>discussion</t>
  </si>
  <si>
    <t>opportunities</t>
  </si>
  <si>
    <t>water</t>
  </si>
  <si>
    <t>transform</t>
  </si>
  <si>
    <t>share</t>
  </si>
  <si>
    <t>srhr</t>
  </si>
  <si>
    <t>advocates</t>
  </si>
  <si>
    <t>child</t>
  </si>
  <si>
    <t>billion</t>
  </si>
  <si>
    <t>strategies</t>
  </si>
  <si>
    <t>preventing</t>
  </si>
  <si>
    <t>khanacademy</t>
  </si>
  <si>
    <t>test</t>
  </si>
  <si>
    <t>mcat</t>
  </si>
  <si>
    <t>informational</t>
  </si>
  <si>
    <t>seeking</t>
  </si>
  <si>
    <t>practice</t>
  </si>
  <si>
    <t>learners</t>
  </si>
  <si>
    <t>math</t>
  </si>
  <si>
    <t>guide</t>
  </si>
  <si>
    <t>adaptive</t>
  </si>
  <si>
    <t>gaps</t>
  </si>
  <si>
    <t>2014</t>
  </si>
  <si>
    <t>progress</t>
  </si>
  <si>
    <t>report</t>
  </si>
  <si>
    <t>promote</t>
  </si>
  <si>
    <t>americas</t>
  </si>
  <si>
    <t>main</t>
  </si>
  <si>
    <t>associated</t>
  </si>
  <si>
    <t>die</t>
  </si>
  <si>
    <t>premature</t>
  </si>
  <si>
    <t>mortality</t>
  </si>
  <si>
    <t>achieve</t>
  </si>
  <si>
    <t>level</t>
  </si>
  <si>
    <t>achievement</t>
  </si>
  <si>
    <t>joint</t>
  </si>
  <si>
    <t>services</t>
  </si>
  <si>
    <t>play</t>
  </si>
  <si>
    <t>office</t>
  </si>
  <si>
    <t>vice</t>
  </si>
  <si>
    <t>examples</t>
  </si>
  <si>
    <t>stroke</t>
  </si>
  <si>
    <t>click</t>
  </si>
  <si>
    <t>scale</t>
  </si>
  <si>
    <t>political</t>
  </si>
  <si>
    <t>framework</t>
  </si>
  <si>
    <t>tools</t>
  </si>
  <si>
    <t>quick</t>
  </si>
  <si>
    <t>developing</t>
  </si>
  <si>
    <t>start</t>
  </si>
  <si>
    <t>prb</t>
  </si>
  <si>
    <t>2015</t>
  </si>
  <si>
    <t>worldwide</t>
  </si>
  <si>
    <t>diet</t>
  </si>
  <si>
    <t>scientific</t>
  </si>
  <si>
    <t>independent</t>
  </si>
  <si>
    <t>representing</t>
  </si>
  <si>
    <t>diversity</t>
  </si>
  <si>
    <t>translation</t>
  </si>
  <si>
    <t>benefits</t>
  </si>
  <si>
    <t>daily</t>
  </si>
  <si>
    <t>knowledge</t>
  </si>
  <si>
    <t>practices</t>
  </si>
  <si>
    <t>highlight</t>
  </si>
  <si>
    <t>viruses</t>
  </si>
  <si>
    <t>change</t>
  </si>
  <si>
    <t>sources</t>
  </si>
  <si>
    <t>loss</t>
  </si>
  <si>
    <t>studyiq</t>
  </si>
  <si>
    <t>trust</t>
  </si>
  <si>
    <t>bank</t>
  </si>
  <si>
    <t>week</t>
  </si>
  <si>
    <t>grade</t>
  </si>
  <si>
    <t>courses</t>
  </si>
  <si>
    <t>analysis</t>
  </si>
  <si>
    <t>past</t>
  </si>
  <si>
    <t>cgl</t>
  </si>
  <si>
    <t>contact</t>
  </si>
  <si>
    <t>stay</t>
  </si>
  <si>
    <t>crisis</t>
  </si>
  <si>
    <t>diabetic</t>
  </si>
  <si>
    <t>explore</t>
  </si>
  <si>
    <t>associate</t>
  </si>
  <si>
    <t>rural</t>
  </si>
  <si>
    <t>ted</t>
  </si>
  <si>
    <t>format</t>
  </si>
  <si>
    <t>independently</t>
  </si>
  <si>
    <t>language</t>
  </si>
  <si>
    <t>speak</t>
  </si>
  <si>
    <t>expert</t>
  </si>
  <si>
    <t>driven</t>
  </si>
  <si>
    <t>obstetrics</t>
  </si>
  <si>
    <t>bacteria</t>
  </si>
  <si>
    <t>rwanda</t>
  </si>
  <si>
    <t>sexual</t>
  </si>
  <si>
    <t>difference</t>
  </si>
  <si>
    <t>times</t>
  </si>
  <si>
    <t>challenging</t>
  </si>
  <si>
    <t>arthritis</t>
  </si>
  <si>
    <t>natural</t>
  </si>
  <si>
    <t>chief</t>
  </si>
  <si>
    <t>mutations</t>
  </si>
  <si>
    <t>microbial</t>
  </si>
  <si>
    <t>important</t>
  </si>
  <si>
    <t>private</t>
  </si>
  <si>
    <t>studies</t>
  </si>
  <si>
    <t>usa</t>
  </si>
  <si>
    <t>featuring</t>
  </si>
  <si>
    <t>cover</t>
  </si>
  <si>
    <t>translated</t>
  </si>
  <si>
    <t>create</t>
  </si>
  <si>
    <t>adviser</t>
  </si>
  <si>
    <t>feminist</t>
  </si>
  <si>
    <t>lebanon</t>
  </si>
  <si>
    <t>lead</t>
  </si>
  <si>
    <t>26</t>
  </si>
  <si>
    <t>ustream</t>
  </si>
  <si>
    <t>hema</t>
  </si>
  <si>
    <t>consultant</t>
  </si>
  <si>
    <t>speciality</t>
  </si>
  <si>
    <t>lifetime</t>
  </si>
  <si>
    <t>ll</t>
  </si>
  <si>
    <t>anxiety</t>
  </si>
  <si>
    <t>loud</t>
  </si>
  <si>
    <t>physiology</t>
  </si>
  <si>
    <t>geographic</t>
  </si>
  <si>
    <t>premium</t>
  </si>
  <si>
    <t>sign</t>
  </si>
  <si>
    <t>melbourne</t>
  </si>
  <si>
    <t>म</t>
  </si>
  <si>
    <t>प</t>
  </si>
  <si>
    <t>त</t>
  </si>
  <si>
    <t>ल</t>
  </si>
  <si>
    <t>list</t>
  </si>
  <si>
    <t>healthcare</t>
  </si>
  <si>
    <t>qualified</t>
  </si>
  <si>
    <t>provider</t>
  </si>
  <si>
    <t>condition</t>
  </si>
  <si>
    <t>attribution</t>
  </si>
  <si>
    <t>license</t>
  </si>
  <si>
    <t>empower</t>
  </si>
  <si>
    <t>pace</t>
  </si>
  <si>
    <t>missions</t>
  </si>
  <si>
    <t>offer</t>
  </si>
  <si>
    <t>description</t>
  </si>
  <si>
    <t>useful</t>
  </si>
  <si>
    <t>james</t>
  </si>
  <si>
    <t>talks</t>
  </si>
  <si>
    <t>show</t>
  </si>
  <si>
    <t>overview</t>
  </si>
  <si>
    <t>references</t>
  </si>
  <si>
    <t>websites</t>
  </si>
  <si>
    <t>cost</t>
  </si>
  <si>
    <t>harmful</t>
  </si>
  <si>
    <t>eating</t>
  </si>
  <si>
    <t>physical</t>
  </si>
  <si>
    <t>interventions</t>
  </si>
  <si>
    <t>cancers</t>
  </si>
  <si>
    <t>october</t>
  </si>
  <si>
    <t>12</t>
  </si>
  <si>
    <t>task</t>
  </si>
  <si>
    <t>force</t>
  </si>
  <si>
    <t>led</t>
  </si>
  <si>
    <t>cases</t>
  </si>
  <si>
    <t>costs</t>
  </si>
  <si>
    <t>students</t>
  </si>
  <si>
    <t>importance</t>
  </si>
  <si>
    <t>fellow</t>
  </si>
  <si>
    <t>epidemic</t>
  </si>
  <si>
    <t>includes</t>
  </si>
  <si>
    <t>metabolic</t>
  </si>
  <si>
    <t>account</t>
  </si>
  <si>
    <t>prevalence</t>
  </si>
  <si>
    <t>rise</t>
  </si>
  <si>
    <t>mental</t>
  </si>
  <si>
    <t>middle</t>
  </si>
  <si>
    <t>income</t>
  </si>
  <si>
    <t>result</t>
  </si>
  <si>
    <t>tackling</t>
  </si>
  <si>
    <t>meet</t>
  </si>
  <si>
    <t>air</t>
  </si>
  <si>
    <t>meeting</t>
  </si>
  <si>
    <t>challenges</t>
  </si>
  <si>
    <t>activities</t>
  </si>
  <si>
    <t>answers</t>
  </si>
  <si>
    <t>holistic</t>
  </si>
  <si>
    <t>chrodis</t>
  </si>
  <si>
    <t>african</t>
  </si>
  <si>
    <t>beat</t>
  </si>
  <si>
    <t>montevideo</t>
  </si>
  <si>
    <t>death</t>
  </si>
  <si>
    <t>launch</t>
  </si>
  <si>
    <t>roadmap</t>
  </si>
  <si>
    <t>describes</t>
  </si>
  <si>
    <t>explain</t>
  </si>
  <si>
    <t>treatments</t>
  </si>
  <si>
    <t>designed</t>
  </si>
  <si>
    <t>energy</t>
  </si>
  <si>
    <t>changes</t>
  </si>
  <si>
    <t>clark</t>
  </si>
  <si>
    <t>accurate</t>
  </si>
  <si>
    <t>accept</t>
  </si>
  <si>
    <t>responsibility</t>
  </si>
  <si>
    <t>android</t>
  </si>
  <si>
    <t>defense</t>
  </si>
  <si>
    <t>technical</t>
  </si>
  <si>
    <t>jobs</t>
  </si>
  <si>
    <t>news</t>
  </si>
  <si>
    <t>telegram</t>
  </si>
  <si>
    <t>magazine</t>
  </si>
  <si>
    <t>topic</t>
  </si>
  <si>
    <t>vocabulary</t>
  </si>
  <si>
    <t>contagious</t>
  </si>
  <si>
    <t>types</t>
  </si>
  <si>
    <t>register</t>
  </si>
  <si>
    <t>fiji</t>
  </si>
  <si>
    <t>pacific</t>
  </si>
  <si>
    <t>facing</t>
  </si>
  <si>
    <t>hawea</t>
  </si>
  <si>
    <t>options</t>
  </si>
  <si>
    <t>journey</t>
  </si>
  <si>
    <t>keeping</t>
  </si>
  <si>
    <t>service</t>
  </si>
  <si>
    <t>simon</t>
  </si>
  <si>
    <t>lancaster</t>
  </si>
  <si>
    <t>techniques</t>
  </si>
  <si>
    <t>members</t>
  </si>
  <si>
    <t>winning</t>
  </si>
  <si>
    <t>2021</t>
  </si>
  <si>
    <t>cox</t>
  </si>
  <si>
    <t>bazar</t>
  </si>
  <si>
    <t>settlement</t>
  </si>
  <si>
    <t>quality</t>
  </si>
  <si>
    <t>specialist</t>
  </si>
  <si>
    <t>ministry</t>
  </si>
  <si>
    <t>hypertension</t>
  </si>
  <si>
    <t>mini</t>
  </si>
  <si>
    <t>stronger</t>
  </si>
  <si>
    <t>commitments</t>
  </si>
  <si>
    <t>nurses</t>
  </si>
  <si>
    <t>remarks</t>
  </si>
  <si>
    <t>sarah</t>
  </si>
  <si>
    <t>adolescent</t>
  </si>
  <si>
    <t>platforms</t>
  </si>
  <si>
    <t>stop</t>
  </si>
  <si>
    <t>experiences</t>
  </si>
  <si>
    <t>multiple</t>
  </si>
  <si>
    <t>funding</t>
  </si>
  <si>
    <t>intelligence</t>
  </si>
  <si>
    <t>engineering</t>
  </si>
  <si>
    <t>lungs</t>
  </si>
  <si>
    <t>materials</t>
  </si>
  <si>
    <t>pharmcon</t>
  </si>
  <si>
    <t>providers</t>
  </si>
  <si>
    <t>discusses</t>
  </si>
  <si>
    <t>dvd</t>
  </si>
  <si>
    <t>breathing</t>
  </si>
  <si>
    <t>training</t>
  </si>
  <si>
    <t>ask</t>
  </si>
  <si>
    <t>wednesday</t>
  </si>
  <si>
    <t>00</t>
  </si>
  <si>
    <t>ndna</t>
  </si>
  <si>
    <t>understanding</t>
  </si>
  <si>
    <t>complex</t>
  </si>
  <si>
    <t>inherited</t>
  </si>
  <si>
    <t>cells</t>
  </si>
  <si>
    <t>genetic</t>
  </si>
  <si>
    <t>partners</t>
  </si>
  <si>
    <t>microbiology</t>
  </si>
  <si>
    <t>field</t>
  </si>
  <si>
    <t>advisory</t>
  </si>
  <si>
    <t>contributed</t>
  </si>
  <si>
    <t>groups</t>
  </si>
  <si>
    <t>generation</t>
  </si>
  <si>
    <t>power</t>
  </si>
  <si>
    <t>changing</t>
  </si>
  <si>
    <t>directors</t>
  </si>
  <si>
    <t>enterprise</t>
  </si>
  <si>
    <t>pitch</t>
  </si>
  <si>
    <t>competition</t>
  </si>
  <si>
    <t>outstanding</t>
  </si>
  <si>
    <t>entrepreneurs</t>
  </si>
  <si>
    <t>held</t>
  </si>
  <si>
    <t>contestant</t>
  </si>
  <si>
    <t>minutes</t>
  </si>
  <si>
    <t>convince</t>
  </si>
  <si>
    <t>product</t>
  </si>
  <si>
    <t>winners</t>
  </si>
  <si>
    <t>cash</t>
  </si>
  <si>
    <t>prize</t>
  </si>
  <si>
    <t>pba</t>
  </si>
  <si>
    <t>project</t>
  </si>
  <si>
    <t>topics</t>
  </si>
  <si>
    <t>presented</t>
  </si>
  <si>
    <t>continuing</t>
  </si>
  <si>
    <t>determinants</t>
  </si>
  <si>
    <t>grow</t>
  </si>
  <si>
    <t>amoeba</t>
  </si>
  <si>
    <t>sisters</t>
  </si>
  <si>
    <t>connect</t>
  </si>
  <si>
    <t>tumblr</t>
  </si>
  <si>
    <t>pinterest</t>
  </si>
  <si>
    <t>viewing</t>
  </si>
  <si>
    <t>right</t>
  </si>
  <si>
    <t>option</t>
  </si>
  <si>
    <t>csos</t>
  </si>
  <si>
    <t>group</t>
  </si>
  <si>
    <t>special</t>
  </si>
  <si>
    <t>kenya</t>
  </si>
  <si>
    <t>28</t>
  </si>
  <si>
    <t>ambassador</t>
  </si>
  <si>
    <t>awareness</t>
  </si>
  <si>
    <t>settings</t>
  </si>
  <si>
    <t>harnessing</t>
  </si>
  <si>
    <t>needle</t>
  </si>
  <si>
    <t>forefront</t>
  </si>
  <si>
    <t>exist</t>
  </si>
  <si>
    <t>shares</t>
  </si>
  <si>
    <t>pivotal</t>
  </si>
  <si>
    <t>moments</t>
  </si>
  <si>
    <t>alliance</t>
  </si>
  <si>
    <t>mobile</t>
  </si>
  <si>
    <t>artisans</t>
  </si>
  <si>
    <t>affects</t>
  </si>
  <si>
    <t>divakar</t>
  </si>
  <si>
    <t>mbbs</t>
  </si>
  <si>
    <t>divakars</t>
  </si>
  <si>
    <t>30</t>
  </si>
  <si>
    <t>friends</t>
  </si>
  <si>
    <t>animals</t>
  </si>
  <si>
    <t>running</t>
  </si>
  <si>
    <t>pet</t>
  </si>
  <si>
    <t>try</t>
  </si>
  <si>
    <t>baby</t>
  </si>
  <si>
    <t>owners</t>
  </si>
  <si>
    <t>babies</t>
  </si>
  <si>
    <t>separation</t>
  </si>
  <si>
    <t>rogers</t>
  </si>
  <si>
    <t>tasks</t>
  </si>
  <si>
    <t>matter</t>
  </si>
  <si>
    <t>sustainability</t>
  </si>
  <si>
    <t>eye</t>
  </si>
  <si>
    <t>researchers</t>
  </si>
  <si>
    <t>clinical</t>
  </si>
  <si>
    <t>choices</t>
  </si>
  <si>
    <t>nutrition</t>
  </si>
  <si>
    <t>chair</t>
  </si>
  <si>
    <t>republic</t>
  </si>
  <si>
    <t>moldova</t>
  </si>
  <si>
    <t>2012</t>
  </si>
  <si>
    <t>200</t>
  </si>
  <si>
    <t>connection</t>
  </si>
  <si>
    <t>parenting</t>
  </si>
  <si>
    <t>workbook</t>
  </si>
  <si>
    <t>ग</t>
  </si>
  <si>
    <t>र</t>
  </si>
  <si>
    <t>teva</t>
  </si>
  <si>
    <t>prep</t>
  </si>
  <si>
    <t>diagnosis</t>
  </si>
  <si>
    <t>seek</t>
  </si>
  <si>
    <t>disregard</t>
  </si>
  <si>
    <t>delay</t>
  </si>
  <si>
    <t>missed</t>
  </si>
  <si>
    <t>previous</t>
  </si>
  <si>
    <t>creative</t>
  </si>
  <si>
    <t>commons</t>
  </si>
  <si>
    <t>noncommercial</t>
  </si>
  <si>
    <t>sharealike</t>
  </si>
  <si>
    <t>exercises</t>
  </si>
  <si>
    <t>instructional</t>
  </si>
  <si>
    <t>personalized</t>
  </si>
  <si>
    <t>dashboard</t>
  </si>
  <si>
    <t>classroom</t>
  </si>
  <si>
    <t>computer</t>
  </si>
  <si>
    <t>programming</t>
  </si>
  <si>
    <t>economics</t>
  </si>
  <si>
    <t>kindergarten</t>
  </si>
  <si>
    <t>calculus</t>
  </si>
  <si>
    <t>identifies</t>
  </si>
  <si>
    <t>strengths</t>
  </si>
  <si>
    <t>partnered</t>
  </si>
  <si>
    <t>institutions</t>
  </si>
  <si>
    <t>modern</t>
  </si>
  <si>
    <t>california</t>
  </si>
  <si>
    <t>specialized</t>
  </si>
  <si>
    <t>#youcanlearnanything</t>
  </si>
  <si>
    <t>presentation</t>
  </si>
  <si>
    <t>advisor</t>
  </si>
  <si>
    <t>assembly</t>
  </si>
  <si>
    <t>profiles</t>
  </si>
  <si>
    <t>insufficient</t>
  </si>
  <si>
    <t>updated</t>
  </si>
  <si>
    <t>situation</t>
  </si>
  <si>
    <t>trends</t>
  </si>
  <si>
    <t>pose</t>
  </si>
  <si>
    <t>reducing</t>
  </si>
  <si>
    <t>occur</t>
  </si>
  <si>
    <t>70</t>
  </si>
  <si>
    <t>proven</t>
  </si>
  <si>
    <t>activity</t>
  </si>
  <si>
    <t>primary</t>
  </si>
  <si>
    <t>respond</t>
  </si>
  <si>
    <t>20</t>
  </si>
  <si>
    <t>2017</t>
  </si>
  <si>
    <t>uruguay</t>
  </si>
  <si>
    <t>policies</t>
  </si>
  <si>
    <t>treating</t>
  </si>
  <si>
    <t>goal</t>
  </si>
  <si>
    <t>target</t>
  </si>
  <si>
    <t>montevideo2017</t>
  </si>
  <si>
    <t>suffering</t>
  </si>
  <si>
    <t>economic</t>
  </si>
  <si>
    <t>world's</t>
  </si>
  <si>
    <t>asks</t>
  </si>
  <si>
    <t>liggins</t>
  </si>
  <si>
    <t>sir</t>
  </si>
  <si>
    <t>peter</t>
  </si>
  <si>
    <t>bringing</t>
  </si>
  <si>
    <t>originally</t>
  </si>
  <si>
    <t>recorded</t>
  </si>
  <si>
    <t>21</t>
  </si>
  <si>
    <t>secretary</t>
  </si>
  <si>
    <t>fund</t>
  </si>
  <si>
    <t>episode</t>
  </si>
  <si>
    <t>jordan</t>
  </si>
  <si>
    <t>specifically</t>
  </si>
  <si>
    <t>stresses</t>
  </si>
  <si>
    <t>plans</t>
  </si>
  <si>
    <t>medicines</t>
  </si>
  <si>
    <t>infographic</t>
  </si>
  <si>
    <t>declaration</t>
  </si>
  <si>
    <t>guided</t>
  </si>
  <si>
    <t>strategic</t>
  </si>
  <si>
    <t>set</t>
  </si>
  <si>
    <t>lists</t>
  </si>
  <si>
    <t>developed</t>
  </si>
  <si>
    <t>facilitate</t>
  </si>
  <si>
    <t>priority</t>
  </si>
  <si>
    <t>type</t>
  </si>
  <si>
    <t>describe</t>
  </si>
  <si>
    <t>definition</t>
  </si>
  <si>
    <t>protect</t>
  </si>
  <si>
    <t>preventable</t>
  </si>
  <si>
    <t>immunise</t>
  </si>
  <si>
    <t>rising</t>
  </si>
  <si>
    <t>outlines</t>
  </si>
  <si>
    <t>environment</t>
  </si>
  <si>
    <t>generations</t>
  </si>
  <si>
    <t>paho</t>
  </si>
  <si>
    <t>organisation</t>
  </si>
  <si>
    <t>goals</t>
  </si>
  <si>
    <t>risks</t>
  </si>
  <si>
    <t>collaboration</t>
  </si>
  <si>
    <t>workshops</t>
  </si>
  <si>
    <t>evidence</t>
  </si>
  <si>
    <t>europe</t>
  </si>
  <si>
    <t>efficient</t>
  </si>
  <si>
    <t>european</t>
  </si>
  <si>
    <t>brings</t>
  </si>
  <si>
    <t>60</t>
  </si>
  <si>
    <t>eu</t>
  </si>
  <si>
    <t>expertise</t>
  </si>
  <si>
    <t>#infectiousdiseases</t>
  </si>
  <si>
    <t>hepatitis</t>
  </si>
  <si>
    <t>liver</t>
  </si>
  <si>
    <t>300</t>
  </si>
  <si>
    <t>christopher</t>
  </si>
  <si>
    <t>gaw</t>
  </si>
  <si>
    <t>hard</t>
  </si>
  <si>
    <t>damage</t>
  </si>
  <si>
    <t>sharon</t>
  </si>
  <si>
    <t>horesh</t>
  </si>
  <si>
    <t>bergquist</t>
  </si>
  <si>
    <t>stressed</t>
  </si>
  <si>
    <t>takes</t>
  </si>
  <si>
    <t>behavior</t>
  </si>
  <si>
    <t>ranil</t>
  </si>
  <si>
    <t>appuhamy</t>
  </si>
  <si>
    <t>voiceover</t>
  </si>
  <si>
    <t>users</t>
  </si>
  <si>
    <t>rely</t>
  </si>
  <si>
    <t>solely</t>
  </si>
  <si>
    <t>warrant</t>
  </si>
  <si>
    <t>represent</t>
  </si>
  <si>
    <t>legal</t>
  </si>
  <si>
    <t>liability</t>
  </si>
  <si>
    <t>damages</t>
  </si>
  <si>
    <t>expenses</t>
  </si>
  <si>
    <t>incurred</t>
  </si>
  <si>
    <t>reliance</t>
  </si>
  <si>
    <t>interpretation</t>
  </si>
  <si>
    <t>length</t>
  </si>
  <si>
    <t>breadth</t>
  </si>
  <si>
    <t>flagship</t>
  </si>
  <si>
    <t>selling</t>
  </si>
  <si>
    <t>vast</t>
  </si>
  <si>
    <t>faculties</t>
  </si>
  <si>
    <t>far</t>
  </si>
  <si>
    <t>optionals</t>
  </si>
  <si>
    <t>job</t>
  </si>
  <si>
    <t>iq</t>
  </si>
  <si>
    <t>nta</t>
  </si>
  <si>
    <t>preparation</t>
  </si>
  <si>
    <t>exam</t>
  </si>
  <si>
    <t>paper</t>
  </si>
  <si>
    <t>rate</t>
  </si>
  <si>
    <t>insurance</t>
  </si>
  <si>
    <t>tech</t>
  </si>
  <si>
    <t>teaching</t>
  </si>
  <si>
    <t>8004</t>
  </si>
  <si>
    <t>answer</t>
  </si>
  <si>
    <t>writing</t>
  </si>
  <si>
    <t>pdfs</t>
  </si>
  <si>
    <t>editorial</t>
  </si>
  <si>
    <t>indian</t>
  </si>
  <si>
    <t>tricks</t>
  </si>
  <si>
    <t>po</t>
  </si>
  <si>
    <t>gk</t>
  </si>
  <si>
    <t>communication</t>
  </si>
  <si>
    <t>disorders</t>
  </si>
  <si>
    <t>surgeon</t>
  </si>
  <si>
    <t>statistic</t>
  </si>
  <si>
    <t>called</t>
  </si>
  <si>
    <t>style</t>
  </si>
  <si>
    <t>preventative</t>
  </si>
  <si>
    <t>peace</t>
  </si>
  <si>
    <t>zealand</t>
  </si>
  <si>
    <t>initiative</t>
  </si>
  <si>
    <t>friend</t>
  </si>
  <si>
    <t>ngo</t>
  </si>
  <si>
    <t>works</t>
  </si>
  <si>
    <t>determines</t>
  </si>
  <si>
    <t>politics</t>
  </si>
  <si>
    <t>fast</t>
  </si>
  <si>
    <t>frequently</t>
  </si>
  <si>
    <t>speechwriter</t>
  </si>
  <si>
    <t>sets</t>
  </si>
  <si>
    <t>powerful</t>
  </si>
  <si>
    <t>companies</t>
  </si>
  <si>
    <t>books</t>
  </si>
  <si>
    <t>minds</t>
  </si>
  <si>
    <t>develop</t>
  </si>
  <si>
    <t>infodemic</t>
  </si>
  <si>
    <t>ai</t>
  </si>
  <si>
    <t>pulse</t>
  </si>
  <si>
    <t>innovation</t>
  </si>
  <si>
    <t>form</t>
  </si>
  <si>
    <t>hosts</t>
  </si>
  <si>
    <t>estimated</t>
  </si>
  <si>
    <t>relationship</t>
  </si>
  <si>
    <t>neonatal</t>
  </si>
  <si>
    <t>projects</t>
  </si>
  <si>
    <t>indonesian</t>
  </si>
  <si>
    <t>line</t>
  </si>
  <si>
    <t>caribbean</t>
  </si>
  <si>
    <t>welfare</t>
  </si>
  <si>
    <t>campaigns</t>
  </si>
  <si>
    <t>agents</t>
  </si>
  <si>
    <t>2007</t>
  </si>
  <si>
    <t>properly</t>
  </si>
  <si>
    <t>workforce</t>
  </si>
  <si>
    <t>responding</t>
  </si>
  <si>
    <t>recommendations</t>
  </si>
  <si>
    <t>actions</t>
  </si>
  <si>
    <t>investments</t>
  </si>
  <si>
    <t>council</t>
  </si>
  <si>
    <t>city</t>
  </si>
  <si>
    <t>opening</t>
  </si>
  <si>
    <t>closing</t>
  </si>
  <si>
    <t>digital</t>
  </si>
  <si>
    <t>shop</t>
  </si>
  <si>
    <t>lack</t>
  </si>
  <si>
    <t>discussing</t>
  </si>
  <si>
    <t>generating</t>
  </si>
  <si>
    <t>compounding</t>
  </si>
  <si>
    <t>overlooked</t>
  </si>
  <si>
    <t>code</t>
  </si>
  <si>
    <t>blue</t>
  </si>
  <si>
    <t>sclerosis</t>
  </si>
  <si>
    <t>wilson</t>
  </si>
  <si>
    <t>host</t>
  </si>
  <si>
    <t>covers</t>
  </si>
  <si>
    <t>artificial</t>
  </si>
  <si>
    <t>serves</t>
  </si>
  <si>
    <t>yoga</t>
  </si>
  <si>
    <t>contemporary</t>
  </si>
  <si>
    <t>exclusive</t>
  </si>
  <si>
    <t>rheumatoid</t>
  </si>
  <si>
    <t>inflammation</t>
  </si>
  <si>
    <t>hands</t>
  </si>
  <si>
    <t>eyes</t>
  </si>
  <si>
    <t>immune</t>
  </si>
  <si>
    <t>genetics</t>
  </si>
  <si>
    <t>adults</t>
  </si>
  <si>
    <t>pharmaceutical</t>
  </si>
  <si>
    <t>pharmacist</t>
  </si>
  <si>
    <t>pathophysiology</t>
  </si>
  <si>
    <t>methods</t>
  </si>
  <si>
    <t>pharmaceuticals</t>
  </si>
  <si>
    <t>mechanism</t>
  </si>
  <si>
    <t>specific</t>
  </si>
  <si>
    <t>situations</t>
  </si>
  <si>
    <t>considered</t>
  </si>
  <si>
    <t>respect</t>
  </si>
  <si>
    <t>required</t>
  </si>
  <si>
    <t>linkedin</t>
  </si>
  <si>
    <t>freda</t>
  </si>
  <si>
    <t>lewis</t>
  </si>
  <si>
    <t>hall</t>
  </si>
  <si>
    <t>check</t>
  </si>
  <si>
    <t>differences</t>
  </si>
  <si>
    <t>heartburn</t>
  </si>
  <si>
    <t>acid</t>
  </si>
  <si>
    <t>reflux</t>
  </si>
  <si>
    <t>gerd</t>
  </si>
  <si>
    <t>western</t>
  </si>
  <si>
    <t>pulmonary</t>
  </si>
  <si>
    <t>rehabilitation</t>
  </si>
  <si>
    <t>active</t>
  </si>
  <si>
    <t>keep</t>
  </si>
  <si>
    <t>feel</t>
  </si>
  <si>
    <t>building</t>
  </si>
  <si>
    <t>momentum</t>
  </si>
  <si>
    <t>movements</t>
  </si>
  <si>
    <t>aging</t>
  </si>
  <si>
    <t>april</t>
  </si>
  <si>
    <t>02</t>
  </si>
  <si>
    <t>afternoon</t>
  </si>
  <si>
    <t>lectures</t>
  </si>
  <si>
    <t>dna</t>
  </si>
  <si>
    <t>concepts</t>
  </si>
  <si>
    <t>genome</t>
  </si>
  <si>
    <t>thousands</t>
  </si>
  <si>
    <t>maternally</t>
  </si>
  <si>
    <t>genes</t>
  </si>
  <si>
    <t>deleterious</t>
  </si>
  <si>
    <t>africa</t>
  </si>
  <si>
    <t>environments</t>
  </si>
  <si>
    <t>increases</t>
  </si>
  <si>
    <t>vision</t>
  </si>
  <si>
    <t>stem</t>
  </si>
  <si>
    <t>causal</t>
  </si>
  <si>
    <t>bioenergetic</t>
  </si>
  <si>
    <t>douglas</t>
  </si>
  <si>
    <t>microbiome</t>
  </si>
  <si>
    <t>exists</t>
  </si>
  <si>
    <t>fraser</t>
  </si>
  <si>
    <t>maryland</t>
  </si>
  <si>
    <t>helped</t>
  </si>
  <si>
    <t>studied</t>
  </si>
  <si>
    <t>concern</t>
  </si>
  <si>
    <t>recognized</t>
  </si>
  <si>
    <t>numerous</t>
  </si>
  <si>
    <t>panels</t>
  </si>
  <si>
    <t>addition</t>
  </si>
  <si>
    <t>member</t>
  </si>
  <si>
    <t>institutes</t>
  </si>
  <si>
    <t>dynamic</t>
  </si>
  <si>
    <t>perceptions</t>
  </si>
  <si>
    <t>minister</t>
  </si>
  <si>
    <t>commission</t>
  </si>
  <si>
    <t>australia</t>
  </si>
  <si>
    <t>denmark</t>
  </si>
  <si>
    <t>moderated</t>
  </si>
  <si>
    <t>nature</t>
  </si>
  <si>
    <t>unemployment</t>
  </si>
  <si>
    <t>safe</t>
  </si>
  <si>
    <t>fraction</t>
  </si>
  <si>
    <t>production</t>
  </si>
  <si>
    <t>film</t>
  </si>
  <si>
    <t>real</t>
  </si>
  <si>
    <t>producer</t>
  </si>
  <si>
    <t>med</t>
  </si>
  <si>
    <t>born</t>
  </si>
  <si>
    <t>impacts</t>
  </si>
  <si>
    <t>cell</t>
  </si>
  <si>
    <t>mediated</t>
  </si>
  <si>
    <t>humoral</t>
  </si>
  <si>
    <t>campbell</t>
  </si>
  <si>
    <t>white</t>
  </si>
  <si>
    <t>tips</t>
  </si>
  <si>
    <t>audio</t>
  </si>
  <si>
    <t>welcome</t>
  </si>
  <si>
    <t>youtube's</t>
  </si>
  <si>
    <t>comments</t>
  </si>
  <si>
    <t>remove</t>
  </si>
  <si>
    <t>translations</t>
  </si>
  <si>
    <t>subtitle</t>
  </si>
  <si>
    <t>feature</t>
  </si>
  <si>
    <t>amazing</t>
  </si>
  <si>
    <t>storytelling</t>
  </si>
  <si>
    <t>focusing</t>
  </si>
  <si>
    <t>communications</t>
  </si>
  <si>
    <t>central</t>
  </si>
  <si>
    <t>compounded</t>
  </si>
  <si>
    <t>frontline</t>
  </si>
  <si>
    <t>responders</t>
  </si>
  <si>
    <t>shift</t>
  </si>
  <si>
    <t>keynote</t>
  </si>
  <si>
    <t>presenters</t>
  </si>
  <si>
    <t>planning</t>
  </si>
  <si>
    <t>head</t>
  </si>
  <si>
    <t>chowdhury</t>
  </si>
  <si>
    <t>universal</t>
  </si>
  <si>
    <t>coverage</t>
  </si>
  <si>
    <t>term</t>
  </si>
  <si>
    <t>continued</t>
  </si>
  <si>
    <t>deepa</t>
  </si>
  <si>
    <t>sama</t>
  </si>
  <si>
    <t>priorities</t>
  </si>
  <si>
    <t>survey</t>
  </si>
  <si>
    <t>launched</t>
  </si>
  <si>
    <t>nadine</t>
  </si>
  <si>
    <t>spaces</t>
  </si>
  <si>
    <t>meetings</t>
  </si>
  <si>
    <t>greater</t>
  </si>
  <si>
    <t>grassroots</t>
  </si>
  <si>
    <t>opportunity</t>
  </si>
  <si>
    <t>features</t>
  </si>
  <si>
    <t>remain</t>
  </si>
  <si>
    <t>discussions</t>
  </si>
  <si>
    <t>23</t>
  </si>
  <si>
    <t>captured</t>
  </si>
  <si>
    <t>matters</t>
  </si>
  <si>
    <t>loomkatha</t>
  </si>
  <si>
    <t>majority</t>
  </si>
  <si>
    <t>eggpreneur</t>
  </si>
  <si>
    <t>flexible</t>
  </si>
  <si>
    <t>backyard</t>
  </si>
  <si>
    <t>gynaecology</t>
  </si>
  <si>
    <t>obstetrician</t>
  </si>
  <si>
    <t>gynaecologist</t>
  </si>
  <si>
    <t>bangalore</t>
  </si>
  <si>
    <t>11</t>
  </si>
  <si>
    <t>federation</t>
  </si>
  <si>
    <t>gynaecologists</t>
  </si>
  <si>
    <t>2013</t>
  </si>
  <si>
    <t>received</t>
  </si>
  <si>
    <t>college</t>
  </si>
  <si>
    <t>pregnancy</t>
  </si>
  <si>
    <t>fetal</t>
  </si>
  <si>
    <t>edge</t>
  </si>
  <si>
    <t>hate</t>
  </si>
  <si>
    <t>things</t>
  </si>
  <si>
    <t>realize</t>
  </si>
  <si>
    <t>annoy</t>
  </si>
  <si>
    <t>dinner</t>
  </si>
  <si>
    <t>eat</t>
  </si>
  <si>
    <t>prepare</t>
  </si>
  <si>
    <t>ignoring</t>
  </si>
  <si>
    <t>simply</t>
  </si>
  <si>
    <t>breeds</t>
  </si>
  <si>
    <t>sweat</t>
  </si>
  <si>
    <t>big</t>
  </si>
  <si>
    <t>treats</t>
  </si>
  <si>
    <t>house</t>
  </si>
  <si>
    <t>trained</t>
  </si>
  <si>
    <t>canines</t>
  </si>
  <si>
    <t>police</t>
  </si>
  <si>
    <t>barking</t>
  </si>
  <si>
    <t>coming</t>
  </si>
  <si>
    <t>down</t>
  </si>
  <si>
    <t>bring</t>
  </si>
  <si>
    <t>difficult</t>
  </si>
  <si>
    <t>destructive</t>
  </si>
  <si>
    <t>potty</t>
  </si>
  <si>
    <t>depression</t>
  </si>
  <si>
    <t>sniff</t>
  </si>
  <si>
    <t>walk</t>
  </si>
  <si>
    <t>tight</t>
  </si>
  <si>
    <t>john</t>
  </si>
  <si>
    <t>sensors</t>
  </si>
  <si>
    <t>illnesses</t>
  </si>
  <si>
    <t>northwestern</t>
  </si>
  <si>
    <t>annual</t>
  </si>
  <si>
    <t>academy's</t>
  </si>
  <si>
    <t>connecting</t>
  </si>
  <si>
    <t>industry</t>
  </si>
  <si>
    <t>nhs</t>
  </si>
  <si>
    <t>academia</t>
  </si>
  <si>
    <t>detection</t>
  </si>
  <si>
    <t>moorfields</t>
  </si>
  <si>
    <t>earlier</t>
  </si>
  <si>
    <t>career</t>
  </si>
  <si>
    <t>asked</t>
  </si>
  <si>
    <t>careers</t>
  </si>
  <si>
    <t>pregnant</t>
  </si>
  <si>
    <t>developmental</t>
  </si>
  <si>
    <t>nih</t>
  </si>
  <si>
    <t>adopted</t>
  </si>
  <si>
    <t>prepared</t>
  </si>
  <si>
    <t>stories</t>
  </si>
  <si>
    <t>geographic's</t>
  </si>
  <si>
    <t>gathered</t>
  </si>
  <si>
    <t>reach</t>
  </si>
  <si>
    <t>prospects</t>
  </si>
  <si>
    <t>images</t>
  </si>
  <si>
    <t>david</t>
  </si>
  <si>
    <t>bureau</t>
  </si>
  <si>
    <t>database</t>
  </si>
  <si>
    <t>headache</t>
  </si>
  <si>
    <t>transplant</t>
  </si>
  <si>
    <t>donor</t>
  </si>
  <si>
    <t>800</t>
  </si>
  <si>
    <t>basic</t>
  </si>
  <si>
    <t>membership</t>
  </si>
  <si>
    <t>ios</t>
  </si>
  <si>
    <t>playback</t>
  </si>
  <si>
    <t>epidemiology</t>
  </si>
  <si>
    <t>studyalong</t>
  </si>
  <si>
    <t>skills</t>
  </si>
  <si>
    <t>bahasa</t>
  </si>
  <si>
    <t>dan</t>
  </si>
  <si>
    <t>tentang</t>
  </si>
  <si>
    <t>ini</t>
  </si>
  <si>
    <t>aids</t>
  </si>
  <si>
    <t>passage</t>
  </si>
  <si>
    <t>अस</t>
  </si>
  <si>
    <t>थम</t>
  </si>
  <si>
    <t>दम</t>
  </si>
  <si>
    <t>ब</t>
  </si>
  <si>
    <t>व</t>
  </si>
  <si>
    <t>और</t>
  </si>
  <si>
    <t>द</t>
  </si>
  <si>
    <t>य</t>
  </si>
  <si>
    <t>ट</t>
  </si>
  <si>
    <t>ए</t>
  </si>
  <si>
    <t>intel</t>
  </si>
  <si>
    <t>iapo</t>
  </si>
  <si>
    <t>נוטרילון</t>
  </si>
  <si>
    <t>כמות</t>
  </si>
  <si>
    <t>פרביוטיקה</t>
  </si>
  <si>
    <t>מסוג</t>
  </si>
  <si>
    <t>gos</t>
  </si>
  <si>
    <t>ו</t>
  </si>
  <si>
    <t>fos</t>
  </si>
  <si>
    <t>ל</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</si>
  <si>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</si>
  <si>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</si>
  <si>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</si>
  <si>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</si>
  <si>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</si>
  <si>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</si>
  <si>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</si>
  <si>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</si>
  <si>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</si>
  <si>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</si>
  <si>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</si>
  <si>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</si>
  <si>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</si>
  <si>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</si>
  <si>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</si>
  <si>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</si>
  <si>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</si>
  <si>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</si>
  <si>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</si>
  <si>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</si>
  <si>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</si>
  <si>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</si>
  <si>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</si>
  <si>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</si>
  <si>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</si>
  <si>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</si>
  <si>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</si>
  <si>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</si>
  <si>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</si>
  <si>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</si>
  <si>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</si>
  <si>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</si>
  <si>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</si>
  <si>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</si>
  <si>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</si>
  <si>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</si>
  <si>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</si>
  <si>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</si>
  <si>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</si>
  <si>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</si>
  <si>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</si>
  <si>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</si>
  <si>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</si>
  <si>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</si>
  <si>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</si>
  <si>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</si>
  <si>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</si>
  <si>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</si>
  <si>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</si>
  <si>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</si>
  <si>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</si>
  <si>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</si>
  <si>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</si>
  <si>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</si>
  <si>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</si>
  <si>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</si>
  <si>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</si>
  <si>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</si>
  <si>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</si>
  <si>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</si>
  <si>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</si>
  <si>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</si>
  <si>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</si>
  <si>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Words in Tags in Entire Graph</t>
  </si>
  <si>
    <t>Entire Graph Count</t>
  </si>
  <si>
    <t>Top Words in Tags in G1</t>
  </si>
  <si>
    <t>Top Words in Tags in G2</t>
  </si>
  <si>
    <t>G1 Count</t>
  </si>
  <si>
    <t>gcse</t>
  </si>
  <si>
    <t>Top Words in Tags in G3</t>
  </si>
  <si>
    <t>G2 Count</t>
  </si>
  <si>
    <t>gynecologist</t>
  </si>
  <si>
    <t>Top Words in Tags in G4</t>
  </si>
  <si>
    <t>G3 Count</t>
  </si>
  <si>
    <t>pharmacy</t>
  </si>
  <si>
    <t>G4 Count</t>
  </si>
  <si>
    <t>Top Words in Tags</t>
  </si>
  <si>
    <t>disease health diseases heart medical communicable asthma diabetes organization vocabulary</t>
  </si>
  <si>
    <t>communicable diseases health disease biology gcse medical aids prevention international</t>
  </si>
  <si>
    <t>care gynecologist best india women hospital fetal bangalore humanitarian gender</t>
  </si>
  <si>
    <t>health pharmacy ted disease education hospital medical online freda stress</t>
  </si>
  <si>
    <t>Top Word Pairs in Tags in Entire Graph</t>
  </si>
  <si>
    <t>communicable,diseases</t>
  </si>
  <si>
    <t>communicable,disease</t>
  </si>
  <si>
    <t>disease,medical</t>
  </si>
  <si>
    <t>medical,condition</t>
  </si>
  <si>
    <t>health,health</t>
  </si>
  <si>
    <t>cardiovascular,disease</t>
  </si>
  <si>
    <t>heart,disease</t>
  </si>
  <si>
    <t>noncommunicable,diseases</t>
  </si>
  <si>
    <t>gcse,biology</t>
  </si>
  <si>
    <t>health,care</t>
  </si>
  <si>
    <t>Top Word Pairs in Tags in G1</t>
  </si>
  <si>
    <t>world,health</t>
  </si>
  <si>
    <t>public,health</t>
  </si>
  <si>
    <t>global,health</t>
  </si>
  <si>
    <t>Top Word Pairs in Tags in G2</t>
  </si>
  <si>
    <t>medical,sciences</t>
  </si>
  <si>
    <t>academy,medical</t>
  </si>
  <si>
    <t>international,aids</t>
  </si>
  <si>
    <t>tedxtalks,english</t>
  </si>
  <si>
    <t>diseases,gcse</t>
  </si>
  <si>
    <t>diseases,prevention</t>
  </si>
  <si>
    <t>prevention,communicable</t>
  </si>
  <si>
    <t>Top Word Pairs in Tags in G3</t>
  </si>
  <si>
    <t>gynecologist,india</t>
  </si>
  <si>
    <t>best,gynecologist</t>
  </si>
  <si>
    <t>women,deliver</t>
  </si>
  <si>
    <t>Top Word Pairs in Tags in G4</t>
  </si>
  <si>
    <t>online,pharmacy</t>
  </si>
  <si>
    <t>yalda,hakim</t>
  </si>
  <si>
    <t>ted,ed</t>
  </si>
  <si>
    <t>autoimmune,disease</t>
  </si>
  <si>
    <t>freda,lewis</t>
  </si>
  <si>
    <t>lewis,hall</t>
  </si>
  <si>
    <t>stress,health</t>
  </si>
  <si>
    <t>health,wellness</t>
  </si>
  <si>
    <t>princess,margaret</t>
  </si>
  <si>
    <t>Top Word Pairs in Tags</t>
  </si>
  <si>
    <t>communicable,disease  disease,medical  medical,condition  heart,disease  noncommunicable,diseases  world,health  health,health  public,health  cardiovascular,disease  global,health</t>
  </si>
  <si>
    <t>communicable,diseases  gcse,biology  medical,sciences  communicable,disease  academy,medical  international,aids  tedxtalks,english  diseases,gcse  diseases,prevention  prevention,communicable</t>
  </si>
  <si>
    <t>gynecologist,india  best,gynecologist  women,deliver</t>
  </si>
  <si>
    <t>online,pharmacy  yalda,hakim  ted,ed  autoimmune,disease  freda,lewis  lewis,hall  stress,health  health,wellness  princess,margaret  disease,medical</t>
  </si>
  <si>
    <t>Top Words in Tags by Count</t>
  </si>
  <si>
    <t/>
  </si>
  <si>
    <t>Top Words in Tags by Salience</t>
  </si>
  <si>
    <t>Top Word Pairs in Tags by Count</t>
  </si>
  <si>
    <t>Top Word Pairs in Tags by Salience</t>
  </si>
  <si>
    <t>128, 128, 128</t>
  </si>
  <si>
    <t>193, 62, 62</t>
  </si>
  <si>
    <t>Red</t>
  </si>
  <si>
    <t>G1: disease health diseases heart medical communicable asthma diabetes organization vocabulary</t>
  </si>
  <si>
    <t>G2: communicable diseases health disease biology gcse medical aids prevention international</t>
  </si>
  <si>
    <t>G3: care gynecologist best india women hospital fetal bangalore humanitarian gender</t>
  </si>
  <si>
    <t>G4: health pharmacy ted disease education hospital medical online freda stress</t>
  </si>
  <si>
    <t>Edge Weight▓1▓3▓0▓True▓Gray▓Red▓▓Edge Weight▓1▓1▓0▓3▓10▓False▓Edge Weight▓1▓1▓0▓40▓15▓False▓▓0▓0▓0▓True▓Black▓Black▓▓Betweenness Centrality▓0▓601.913503▓3▓150▓1000▓False▓▓0▓0▓0▓0▓0▓False▓▓0▓0▓0▓0▓0▓False▓▓0▓0▓0▓0▓0▓False</t>
  </si>
  <si>
    <t>GraphSource░YouTubeVideo▓GraphTerm░Video IDs▓ImportDescription░The graph represents the network of YouTube videos whose title, keywords, description, categories, or author's username contain "NodeXL".  The network was obtained from YouTube on Tuesday, 15 June 2021 at 12:03 UTC.
The network was limited to 100 videos.
There is an edge for each pair of videos that have the same category.▓ImportSuggestedTitle░YouTube Video IDs ▓ImportSuggestedFileNameNoExtension░2021-06-15 12-03-23 NodeXL YouTube Video IDs ▓GroupingDescription░The graph's vertices were grouped by cluster using the Clauset-Newman-Moore cluster algorithm.▓LayoutAlgorithm░The graph was laid out using the Harel-Koren Fast Multiscale layout algorithm.▓GraphDirectedness░The graph is directed.</t>
  </si>
  <si>
    <t>&lt;value&gt;Microsoft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</si>
  <si>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YouTubeVideo</t>
  </si>
  <si>
    <t>Video IDs</t>
  </si>
  <si>
    <t>The graph represents the network of YouTube videos whose title, keywords, description, categories, or author's username contain "NodeXL".  The network was obtained from YouTube on Tuesday, 15 June 2021 at 12:03 UTC.
The network was limited to 100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</si>
  <si>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</si>
  <si>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</si>
  <si>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https://nodexlgraphgallery.org/Pages/Graph.aspx?graphID=256948</t>
  </si>
  <si>
    <t>https://nodexlgraphgallery.org/Images/Image.ashx?graphID=256948&amp;type=f</t>
  </si>
  <si>
    <t xml:space="preserve">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</si>
</sst>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10" fillId="0" borderId="0" xfId="28" applyFill="1" applyAlignment="1">
      <alignment/>
    </xf>
    <xf numFmtId="0" fontId="10" fillId="0" borderId="0" xfId="28"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082996"/>
        <c:axId val="43202645"/>
      </c:barChart>
      <c:catAx>
        <c:axId val="42082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02645"/>
        <c:crosses val="autoZero"/>
        <c:auto val="1"/>
        <c:lblOffset val="100"/>
        <c:noMultiLvlLbl val="0"/>
      </c:catAx>
      <c:valAx>
        <c:axId val="4320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279486"/>
        <c:axId val="9753327"/>
      </c:barChart>
      <c:catAx>
        <c:axId val="53279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53327"/>
        <c:crosses val="autoZero"/>
        <c:auto val="1"/>
        <c:lblOffset val="100"/>
        <c:noMultiLvlLbl val="0"/>
      </c:catAx>
      <c:valAx>
        <c:axId val="9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71080"/>
        <c:axId val="51821993"/>
      </c:barChart>
      <c:catAx>
        <c:axId val="20671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21993"/>
        <c:crosses val="autoZero"/>
        <c:auto val="1"/>
        <c:lblOffset val="100"/>
        <c:noMultiLvlLbl val="0"/>
      </c:catAx>
      <c:valAx>
        <c:axId val="51821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744754"/>
        <c:axId val="36831875"/>
      </c:barChart>
      <c:catAx>
        <c:axId val="63744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31875"/>
        <c:crosses val="autoZero"/>
        <c:auto val="1"/>
        <c:lblOffset val="100"/>
        <c:noMultiLvlLbl val="0"/>
      </c:catAx>
      <c:valAx>
        <c:axId val="3683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4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51420"/>
        <c:axId val="30591869"/>
      </c:barChart>
      <c:catAx>
        <c:axId val="63051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91869"/>
        <c:crosses val="autoZero"/>
        <c:auto val="1"/>
        <c:lblOffset val="100"/>
        <c:noMultiLvlLbl val="0"/>
      </c:catAx>
      <c:valAx>
        <c:axId val="3059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91366"/>
        <c:axId val="62022295"/>
      </c:barChart>
      <c:catAx>
        <c:axId val="6891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22295"/>
        <c:crosses val="autoZero"/>
        <c:auto val="1"/>
        <c:lblOffset val="100"/>
        <c:noMultiLvlLbl val="0"/>
      </c:catAx>
      <c:valAx>
        <c:axId val="6202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329744"/>
        <c:axId val="57749969"/>
      </c:barChart>
      <c:catAx>
        <c:axId val="213297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49969"/>
        <c:crosses val="autoZero"/>
        <c:auto val="1"/>
        <c:lblOffset val="100"/>
        <c:noMultiLvlLbl val="0"/>
      </c:catAx>
      <c:valAx>
        <c:axId val="57749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29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87674"/>
        <c:axId val="47235883"/>
      </c:barChart>
      <c:catAx>
        <c:axId val="49987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35883"/>
        <c:crosses val="autoZero"/>
        <c:auto val="1"/>
        <c:lblOffset val="100"/>
        <c:noMultiLvlLbl val="0"/>
      </c:catAx>
      <c:valAx>
        <c:axId val="4723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7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69764"/>
        <c:axId val="901285"/>
      </c:barChart>
      <c:catAx>
        <c:axId val="22469764"/>
        <c:scaling>
          <c:orientation val="minMax"/>
        </c:scaling>
        <c:axPos val="b"/>
        <c:delete val="1"/>
        <c:majorTickMark val="out"/>
        <c:minorTickMark val="none"/>
        <c:tickLblPos val="none"/>
        <c:crossAx val="901285"/>
        <c:crosses val="autoZero"/>
        <c:auto val="1"/>
        <c:lblOffset val="100"/>
        <c:noMultiLvlLbl val="0"/>
      </c:catAx>
      <c:valAx>
        <c:axId val="901285"/>
        <c:scaling>
          <c:orientation val="minMax"/>
        </c:scaling>
        <c:axPos val="l"/>
        <c:delete val="1"/>
        <c:majorTickMark val="out"/>
        <c:minorTickMark val="none"/>
        <c:tickLblPos val="none"/>
        <c:crossAx val="224697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982" totalsRowShown="0" headerRowDxfId="203" dataDxfId="162">
  <autoFilter ref="A2:AA982"/>
  <tableColumns count="27">
    <tableColumn id="1" name="Vertex 1" dataDxfId="176"/>
    <tableColumn id="2" name="Vertex 2" dataDxfId="175"/>
    <tableColumn id="3" name="Color" dataDxfId="174"/>
    <tableColumn id="4" name="Width" dataDxfId="173"/>
    <tableColumn id="11" name="Style" dataDxfId="172"/>
    <tableColumn id="5" name="Opacity" dataDxfId="171"/>
    <tableColumn id="6" name="Visibility" dataDxfId="170"/>
    <tableColumn id="10" name="Label" dataDxfId="169"/>
    <tableColumn id="12" name="Label Text Color" dataDxfId="168"/>
    <tableColumn id="13" name="Label Font Size" dataDxfId="167"/>
    <tableColumn id="14" name="Reciprocated?" dataDxfId="107"/>
    <tableColumn id="7" name="ID" dataDxfId="166"/>
    <tableColumn id="9" name="Dynamic Filter" dataDxfId="165"/>
    <tableColumn id="8" name="Add Your Own Columns Here" dataDxfId="164"/>
    <tableColumn id="15" name="Relationship" dataDxfId="163"/>
    <tableColumn id="16" name="Edge Weight"/>
    <tableColumn id="17" name="Vertex 1 Group" dataDxfId="122">
      <calculatedColumnFormula>REPLACE(INDEX(GroupVertices[Group], MATCH(Edges[[#This Row],[Vertex 1]],GroupVertices[Vertex],0)),1,1,"")</calculatedColumnFormula>
    </tableColumn>
    <tableColumn id="18" name="Vertex 2 Group" dataDxfId="83">
      <calculatedColumnFormula>REPLACE(INDEX(GroupVertices[Group], MATCH(Edges[[#This Row],[Vertex 2]],GroupVertices[Vertex],0)),1,1,"")</calculatedColumnFormula>
    </tableColumn>
    <tableColumn id="19" name="Sentiment List #1: List1 Word Count" dataDxfId="82"/>
    <tableColumn id="20" name="Sentiment List #1: List1 Word Percentage (%)" dataDxfId="81"/>
    <tableColumn id="21" name="Sentiment List #2: List2 Word Count" dataDxfId="80"/>
    <tableColumn id="22" name="Sentiment List #2: List2 Word Percentage (%)" dataDxfId="79"/>
    <tableColumn id="23" name="Sentiment List #3: List3 Word Count" dataDxfId="78"/>
    <tableColumn id="24" name="Sentiment List #3: List3 Word Percentage (%)" dataDxfId="77"/>
    <tableColumn id="25" name="Non-categorized Word Count" dataDxfId="76"/>
    <tableColumn id="26" name="Non-categorized Word Percentage (%)" dataDxfId="75"/>
    <tableColumn id="27"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9" totalsRowShown="0" headerRowDxfId="106" dataDxfId="105">
  <autoFilter ref="A1:G2369"/>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1" totalsRowShown="0" headerRowDxfId="97" dataDxfId="96">
  <autoFilter ref="A1:L1091"/>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55" dataDxfId="54">
  <autoFilter ref="A2:C14"/>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Tags in Entire Graph" dataDxfId="29"/>
    <tableColumn id="2" name="Entire Graph Count" dataDxfId="28"/>
    <tableColumn id="3" name="Top Words in Tags in G1" dataDxfId="27"/>
    <tableColumn id="4" name="G1 Count" dataDxfId="26"/>
    <tableColumn id="5" name="Top Words in Tags in G2" dataDxfId="25"/>
    <tableColumn id="6" name="G2 Count" dataDxfId="24"/>
    <tableColumn id="7" name="Top Words in Tags in G3" dataDxfId="23"/>
    <tableColumn id="8" name="G3 Count" dataDxfId="22"/>
    <tableColumn id="9" name="Top Words in Tags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Tags in Entire Graph" dataDxfId="16"/>
    <tableColumn id="2" name="Entire Graph Count" dataDxfId="15"/>
    <tableColumn id="3" name="Top Word Pairs in Tags in G1" dataDxfId="14"/>
    <tableColumn id="4" name="G1 Count" dataDxfId="13"/>
    <tableColumn id="5" name="Top Word Pairs in Tags in G2" dataDxfId="12"/>
    <tableColumn id="6" name="G2 Count" dataDxfId="11"/>
    <tableColumn id="7" name="Top Word Pairs in Tags in G3" dataDxfId="10"/>
    <tableColumn id="8" name="G3 Count" dataDxfId="9"/>
    <tableColumn id="9" name="Top Word Pairs in Tags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16" totalsRowShown="0" headerRowDxfId="202" dataDxfId="148">
  <autoFilter ref="A2:BB116"/>
  <tableColumns count="54">
    <tableColumn id="1" name="Vertex" dataDxfId="161"/>
    <tableColumn id="2" name="Color" dataDxfId="160"/>
    <tableColumn id="5" name="Shape" dataDxfId="159"/>
    <tableColumn id="6" name="Size" dataDxfId="158"/>
    <tableColumn id="4" name="Opacity" dataDxfId="135"/>
    <tableColumn id="7" name="Image File" dataDxfId="133"/>
    <tableColumn id="3" name="Visibility" dataDxfId="134"/>
    <tableColumn id="10" name="Label" dataDxfId="157"/>
    <tableColumn id="16" name="Label Fill Color" dataDxfId="156"/>
    <tableColumn id="9" name="Label Position" dataDxfId="147"/>
    <tableColumn id="8" name="Tooltip" dataDxfId="145"/>
    <tableColumn id="18" name="Layout Order" dataDxfId="146"/>
    <tableColumn id="13" name="X" dataDxfId="155"/>
    <tableColumn id="14" name="Y" dataDxfId="154"/>
    <tableColumn id="12" name="Locked?" dataDxfId="153"/>
    <tableColumn id="19" name="Polar R" dataDxfId="152"/>
    <tableColumn id="20" name="Polar Angle" dataDxfId="151"/>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0"/>
    <tableColumn id="28" name="Dynamic Filter" dataDxfId="149"/>
    <tableColumn id="17" name="Add Your Own Columns Here" dataDxfId="144"/>
    <tableColumn id="30" name="Title" dataDxfId="143"/>
    <tableColumn id="31" name="Description" dataDxfId="142"/>
    <tableColumn id="32" name="Tags" dataDxfId="141"/>
    <tableColumn id="33" name="Author" dataDxfId="140"/>
    <tableColumn id="34" name="Created Date (UTC)" dataDxfId="139"/>
    <tableColumn id="35" name="Views" dataDxfId="138"/>
    <tableColumn id="36" name="Comments" dataDxfId="137"/>
    <tableColumn id="37" name="Likes Count" dataDxfId="136"/>
    <tableColumn id="38" name="Dislikes Count" dataDxfId="132"/>
    <tableColumn id="39" name="Custom Menu Item Text" dataDxfId="131"/>
    <tableColumn id="40" name="Custom Menu Item Action" dataDxfId="123"/>
    <tableColumn id="41" name="Vertex Group" dataDxfId="73">
      <calculatedColumnFormula>REPLACE(INDEX(GroupVertices[Group], MATCH(Vertices[[#This Row],[Vertex]],GroupVertices[Vertex],0)),1,1,"")</calculatedColumnFormula>
    </tableColumn>
    <tableColumn id="42" name="Sentiment List #1: List1 Word Count" dataDxfId="72"/>
    <tableColumn id="43" name="Sentiment List #1: List1 Word Percentage (%)" dataDxfId="71"/>
    <tableColumn id="44" name="Sentiment List #2: List2 Word Count" dataDxfId="70"/>
    <tableColumn id="45" name="Sentiment List #2: List2 Word Percentage (%)" dataDxfId="69"/>
    <tableColumn id="46" name="Sentiment List #3: List3 Word Count" dataDxfId="68"/>
    <tableColumn id="47" name="Sentiment List #3: List3 Word Percentage (%)" dataDxfId="67"/>
    <tableColumn id="48" name="Non-categorized Word Count" dataDxfId="66"/>
    <tableColumn id="49" name="Non-categorized Word Percentage (%)" dataDxfId="65"/>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01">
  <autoFilter ref="A2:AI6"/>
  <tableColumns count="35">
    <tableColumn id="1" name="Group" dataDxfId="130"/>
    <tableColumn id="2" name="Vertex Color" dataDxfId="129"/>
    <tableColumn id="3" name="Vertex Shape" dataDxfId="127"/>
    <tableColumn id="22" name="Visibility" dataDxfId="128"/>
    <tableColumn id="4" name="Collapsed?"/>
    <tableColumn id="18" name="Label" dataDxfId="200"/>
    <tableColumn id="20" name="Collapsed X"/>
    <tableColumn id="21" name="Collapsed Y"/>
    <tableColumn id="6" name="ID" dataDxfId="199"/>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198" dataDxfId="197">
  <autoFilter ref="A1:C115"/>
  <tableColumns count="3">
    <tableColumn id="1" name="Group" dataDxfId="126"/>
    <tableColumn id="2" name="Vertex" dataDxfId="125"/>
    <tableColumn id="3" name="Vertex ID" dataDxfId="1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96"/>
    <tableColumn id="2" name="Degree Frequency" dataDxfId="195">
      <calculatedColumnFormula>COUNTIF(Vertices[Degree], "&gt;= " &amp; D2) - COUNTIF(Vertices[Degree], "&gt;=" &amp; D3)</calculatedColumnFormula>
    </tableColumn>
    <tableColumn id="3" name="In-Degree Bin" dataDxfId="194"/>
    <tableColumn id="4" name="In-Degree Frequency" dataDxfId="193">
      <calculatedColumnFormula>COUNTIF(Vertices[In-Degree], "&gt;= " &amp; F2) - COUNTIF(Vertices[In-Degree], "&gt;=" &amp; F3)</calculatedColumnFormula>
    </tableColumn>
    <tableColumn id="5" name="Out-Degree Bin" dataDxfId="192"/>
    <tableColumn id="6" name="Out-Degree Frequency" dataDxfId="191">
      <calculatedColumnFormula>COUNTIF(Vertices[Out-Degree], "&gt;= " &amp; H2) - COUNTIF(Vertices[Out-Degree], "&gt;=" &amp; H3)</calculatedColumnFormula>
    </tableColumn>
    <tableColumn id="7" name="Betweenness Centrality Bin" dataDxfId="190"/>
    <tableColumn id="8" name="Betweenness Centrality Frequency" dataDxfId="189">
      <calculatedColumnFormula>COUNTIF(Vertices[Betweenness Centrality], "&gt;= " &amp; J2) - COUNTIF(Vertices[Betweenness Centrality], "&gt;=" &amp; J3)</calculatedColumnFormula>
    </tableColumn>
    <tableColumn id="9" name="Closeness Centrality Bin" dataDxfId="188"/>
    <tableColumn id="10" name="Closeness Centrality Frequency" dataDxfId="187">
      <calculatedColumnFormula>COUNTIF(Vertices[Closeness Centrality], "&gt;= " &amp; L2) - COUNTIF(Vertices[Closeness Centrality], "&gt;=" &amp; L3)</calculatedColumnFormula>
    </tableColumn>
    <tableColumn id="11" name="Eigenvector Centrality Bin" dataDxfId="186"/>
    <tableColumn id="12" name="Eigenvector Centrality Frequency" dataDxfId="185">
      <calculatedColumnFormula>COUNTIF(Vertices[Eigenvector Centrality], "&gt;= " &amp; N2) - COUNTIF(Vertices[Eigenvector Centrality], "&gt;=" &amp; N3)</calculatedColumnFormula>
    </tableColumn>
    <tableColumn id="18" name="PageRank Bin" dataDxfId="184"/>
    <tableColumn id="17" name="PageRank Frequency" dataDxfId="183">
      <calculatedColumnFormula>COUNTIF(Vertices[Eigenvector Centrality], "&gt;= " &amp; P2) - COUNTIF(Vertices[Eigenvector Centrality], "&gt;=" &amp; P3)</calculatedColumnFormula>
    </tableColumn>
    <tableColumn id="13" name="Clustering Coefficient Bin" dataDxfId="182"/>
    <tableColumn id="14" name="Clustering Coefficient Frequency" dataDxfId="181">
      <calculatedColumnFormula>COUNTIF(Vertices[Clustering Coefficient], "&gt;= " &amp; R2) - COUNTIF(Vertices[Clustering Coefficient], "&gt;=" &amp; R3)</calculatedColumnFormula>
    </tableColumn>
    <tableColumn id="15" name="Dynamic Filter Bin" dataDxfId="180"/>
    <tableColumn id="16" name="Dynamic Filter Frequency" dataDxfId="1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7" t="s">
        <v>39</v>
      </c>
      <c r="D1" s="18"/>
      <c r="E1" s="18"/>
      <c r="F1" s="18"/>
      <c r="G1" s="17"/>
      <c r="H1" s="15" t="s">
        <v>43</v>
      </c>
      <c r="I1" s="52"/>
      <c r="J1" s="52"/>
      <c r="K1" s="34" t="s">
        <v>42</v>
      </c>
      <c r="L1" s="19" t="s">
        <v>40</v>
      </c>
      <c r="M1" s="19"/>
      <c r="N1" s="16"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t="s">
        <v>819</v>
      </c>
      <c r="Q2" s="13" t="s">
        <v>829</v>
      </c>
      <c r="R2" s="13" t="s">
        <v>830</v>
      </c>
      <c r="S2" s="54" t="s">
        <v>2003</v>
      </c>
      <c r="T2" s="54" t="s">
        <v>2004</v>
      </c>
      <c r="U2" s="54" t="s">
        <v>2005</v>
      </c>
      <c r="V2" s="54" t="s">
        <v>2006</v>
      </c>
      <c r="W2" s="54" t="s">
        <v>2007</v>
      </c>
      <c r="X2" s="54" t="s">
        <v>2008</v>
      </c>
      <c r="Y2" s="54" t="s">
        <v>2009</v>
      </c>
      <c r="Z2" s="54" t="s">
        <v>2010</v>
      </c>
      <c r="AA2" s="54" t="s">
        <v>2011</v>
      </c>
    </row>
    <row r="3" spans="1:27" ht="15" customHeight="1">
      <c r="A3" s="65" t="s">
        <v>236</v>
      </c>
      <c r="B3" s="65" t="s">
        <v>291</v>
      </c>
      <c r="C3" s="66" t="s">
        <v>2113</v>
      </c>
      <c r="D3" s="67">
        <v>3</v>
      </c>
      <c r="E3" s="68"/>
      <c r="F3" s="69">
        <v>40</v>
      </c>
      <c r="G3" s="66"/>
      <c r="H3" s="70"/>
      <c r="I3" s="71"/>
      <c r="J3" s="71"/>
      <c r="K3" s="35" t="s">
        <v>65</v>
      </c>
      <c r="L3" s="72">
        <v>3</v>
      </c>
      <c r="M3" s="72"/>
      <c r="N3" s="73"/>
      <c r="O3" s="80" t="s">
        <v>293</v>
      </c>
      <c r="P3">
        <v>1</v>
      </c>
      <c r="Q3" s="80" t="str">
        <f>REPLACE(INDEX(GroupVertices[Group],MATCH(Edges[[#This Row],[Vertex 1]],GroupVertices[Vertex],0)),1,1,"")</f>
        <v>2</v>
      </c>
      <c r="R3" s="80" t="str">
        <f>REPLACE(INDEX(GroupVertices[Group],MATCH(Edges[[#This Row],[Vertex 2]],GroupVertices[Vertex],0)),1,1,"")</f>
        <v>2</v>
      </c>
      <c r="S3" s="35"/>
      <c r="T3" s="35"/>
      <c r="U3" s="35"/>
      <c r="V3" s="35"/>
      <c r="W3" s="35"/>
      <c r="X3" s="35"/>
      <c r="Y3" s="35"/>
      <c r="Z3" s="35"/>
      <c r="AA3" s="35"/>
    </row>
    <row r="4" spans="1:27" ht="15" customHeight="1">
      <c r="A4" s="65" t="s">
        <v>212</v>
      </c>
      <c r="B4" s="65" t="s">
        <v>275</v>
      </c>
      <c r="C4" s="66" t="s">
        <v>2113</v>
      </c>
      <c r="D4" s="67">
        <v>3</v>
      </c>
      <c r="E4" s="68"/>
      <c r="F4" s="69">
        <v>40</v>
      </c>
      <c r="G4" s="66"/>
      <c r="H4" s="70"/>
      <c r="I4" s="71"/>
      <c r="J4" s="71"/>
      <c r="K4" s="35" t="s">
        <v>65</v>
      </c>
      <c r="L4" s="79">
        <v>4</v>
      </c>
      <c r="M4" s="79"/>
      <c r="N4" s="73"/>
      <c r="O4" s="81" t="s">
        <v>292</v>
      </c>
      <c r="P4">
        <v>1</v>
      </c>
      <c r="Q4" s="80" t="str">
        <f>REPLACE(INDEX(GroupVertices[Group],MATCH(Edges[[#This Row],[Vertex 1]],GroupVertices[Vertex],0)),1,1,"")</f>
        <v>1</v>
      </c>
      <c r="R4" s="80" t="str">
        <f>REPLACE(INDEX(GroupVertices[Group],MATCH(Edges[[#This Row],[Vertex 2]],GroupVertices[Vertex],0)),1,1,"")</f>
        <v>1</v>
      </c>
      <c r="S4" s="35"/>
      <c r="T4" s="35"/>
      <c r="U4" s="35"/>
      <c r="V4" s="35"/>
      <c r="W4" s="35"/>
      <c r="X4" s="35"/>
      <c r="Y4" s="35"/>
      <c r="Z4" s="35"/>
      <c r="AA4" s="35"/>
    </row>
    <row r="5" spans="1:27" ht="15">
      <c r="A5" s="65" t="s">
        <v>213</v>
      </c>
      <c r="B5" s="65" t="s">
        <v>275</v>
      </c>
      <c r="C5" s="66" t="s">
        <v>2113</v>
      </c>
      <c r="D5" s="67">
        <v>3</v>
      </c>
      <c r="E5" s="68"/>
      <c r="F5" s="69">
        <v>40</v>
      </c>
      <c r="G5" s="66"/>
      <c r="H5" s="70"/>
      <c r="I5" s="71"/>
      <c r="J5" s="71"/>
      <c r="K5" s="35" t="s">
        <v>65</v>
      </c>
      <c r="L5" s="79">
        <v>5</v>
      </c>
      <c r="M5" s="79"/>
      <c r="N5" s="73"/>
      <c r="O5" s="81" t="s">
        <v>292</v>
      </c>
      <c r="P5">
        <v>1</v>
      </c>
      <c r="Q5" s="80" t="str">
        <f>REPLACE(INDEX(GroupVertices[Group],MATCH(Edges[[#This Row],[Vertex 1]],GroupVertices[Vertex],0)),1,1,"")</f>
        <v>1</v>
      </c>
      <c r="R5" s="80" t="str">
        <f>REPLACE(INDEX(GroupVertices[Group],MATCH(Edges[[#This Row],[Vertex 2]],GroupVertices[Vertex],0)),1,1,"")</f>
        <v>1</v>
      </c>
      <c r="S5" s="35"/>
      <c r="T5" s="35"/>
      <c r="U5" s="35"/>
      <c r="V5" s="35"/>
      <c r="W5" s="35"/>
      <c r="X5" s="35"/>
      <c r="Y5" s="35"/>
      <c r="Z5" s="35"/>
      <c r="AA5" s="35"/>
    </row>
    <row r="6" spans="1:27" ht="15">
      <c r="A6" s="65" t="s">
        <v>214</v>
      </c>
      <c r="B6" s="65" t="s">
        <v>275</v>
      </c>
      <c r="C6" s="66" t="s">
        <v>2113</v>
      </c>
      <c r="D6" s="67">
        <v>3</v>
      </c>
      <c r="E6" s="68"/>
      <c r="F6" s="69">
        <v>40</v>
      </c>
      <c r="G6" s="66"/>
      <c r="H6" s="70"/>
      <c r="I6" s="71"/>
      <c r="J6" s="71"/>
      <c r="K6" s="35" t="s">
        <v>65</v>
      </c>
      <c r="L6" s="79">
        <v>6</v>
      </c>
      <c r="M6" s="79"/>
      <c r="N6" s="73"/>
      <c r="O6" s="81" t="s">
        <v>292</v>
      </c>
      <c r="P6">
        <v>1</v>
      </c>
      <c r="Q6" s="80" t="str">
        <f>REPLACE(INDEX(GroupVertices[Group],MATCH(Edges[[#This Row],[Vertex 1]],GroupVertices[Vertex],0)),1,1,"")</f>
        <v>1</v>
      </c>
      <c r="R6" s="80" t="str">
        <f>REPLACE(INDEX(GroupVertices[Group],MATCH(Edges[[#This Row],[Vertex 2]],GroupVertices[Vertex],0)),1,1,"")</f>
        <v>1</v>
      </c>
      <c r="S6" s="35"/>
      <c r="T6" s="35"/>
      <c r="U6" s="35"/>
      <c r="V6" s="35"/>
      <c r="W6" s="35"/>
      <c r="X6" s="35"/>
      <c r="Y6" s="35"/>
      <c r="Z6" s="35"/>
      <c r="AA6" s="35"/>
    </row>
    <row r="7" spans="1:27" ht="15">
      <c r="A7" s="65" t="s">
        <v>215</v>
      </c>
      <c r="B7" s="65" t="s">
        <v>275</v>
      </c>
      <c r="C7" s="66" t="s">
        <v>2113</v>
      </c>
      <c r="D7" s="67">
        <v>3</v>
      </c>
      <c r="E7" s="68"/>
      <c r="F7" s="69">
        <v>40</v>
      </c>
      <c r="G7" s="66"/>
      <c r="H7" s="70"/>
      <c r="I7" s="71"/>
      <c r="J7" s="71"/>
      <c r="K7" s="35" t="s">
        <v>65</v>
      </c>
      <c r="L7" s="79">
        <v>7</v>
      </c>
      <c r="M7" s="79"/>
      <c r="N7" s="73"/>
      <c r="O7" s="81" t="s">
        <v>292</v>
      </c>
      <c r="P7">
        <v>1</v>
      </c>
      <c r="Q7" s="80" t="str">
        <f>REPLACE(INDEX(GroupVertices[Group],MATCH(Edges[[#This Row],[Vertex 1]],GroupVertices[Vertex],0)),1,1,"")</f>
        <v>1</v>
      </c>
      <c r="R7" s="80" t="str">
        <f>REPLACE(INDEX(GroupVertices[Group],MATCH(Edges[[#This Row],[Vertex 2]],GroupVertices[Vertex],0)),1,1,"")</f>
        <v>1</v>
      </c>
      <c r="S7" s="35"/>
      <c r="T7" s="35"/>
      <c r="U7" s="35"/>
      <c r="V7" s="35"/>
      <c r="W7" s="35"/>
      <c r="X7" s="35"/>
      <c r="Y7" s="35"/>
      <c r="Z7" s="35"/>
      <c r="AA7" s="35"/>
    </row>
    <row r="8" spans="1:27" ht="15">
      <c r="A8" s="65" t="s">
        <v>216</v>
      </c>
      <c r="B8" s="65" t="s">
        <v>275</v>
      </c>
      <c r="C8" s="66" t="s">
        <v>2113</v>
      </c>
      <c r="D8" s="67">
        <v>3</v>
      </c>
      <c r="E8" s="68"/>
      <c r="F8" s="69">
        <v>40</v>
      </c>
      <c r="G8" s="66"/>
      <c r="H8" s="70"/>
      <c r="I8" s="71"/>
      <c r="J8" s="71"/>
      <c r="K8" s="35" t="s">
        <v>65</v>
      </c>
      <c r="L8" s="79">
        <v>8</v>
      </c>
      <c r="M8" s="79"/>
      <c r="N8" s="73"/>
      <c r="O8" s="81" t="s">
        <v>292</v>
      </c>
      <c r="P8">
        <v>1</v>
      </c>
      <c r="Q8" s="80" t="str">
        <f>REPLACE(INDEX(GroupVertices[Group],MATCH(Edges[[#This Row],[Vertex 1]],GroupVertices[Vertex],0)),1,1,"")</f>
        <v>1</v>
      </c>
      <c r="R8" s="80" t="str">
        <f>REPLACE(INDEX(GroupVertices[Group],MATCH(Edges[[#This Row],[Vertex 2]],GroupVertices[Vertex],0)),1,1,"")</f>
        <v>1</v>
      </c>
      <c r="S8" s="35"/>
      <c r="T8" s="35"/>
      <c r="U8" s="35"/>
      <c r="V8" s="35"/>
      <c r="W8" s="35"/>
      <c r="X8" s="35"/>
      <c r="Y8" s="35"/>
      <c r="Z8" s="35"/>
      <c r="AA8" s="35"/>
    </row>
    <row r="9" spans="1:27" ht="15">
      <c r="A9" s="65" t="s">
        <v>217</v>
      </c>
      <c r="B9" s="65" t="s">
        <v>275</v>
      </c>
      <c r="C9" s="66" t="s">
        <v>2113</v>
      </c>
      <c r="D9" s="67">
        <v>3</v>
      </c>
      <c r="E9" s="68"/>
      <c r="F9" s="69">
        <v>40</v>
      </c>
      <c r="G9" s="66"/>
      <c r="H9" s="70"/>
      <c r="I9" s="71"/>
      <c r="J9" s="71"/>
      <c r="K9" s="35" t="s">
        <v>65</v>
      </c>
      <c r="L9" s="79">
        <v>9</v>
      </c>
      <c r="M9" s="79"/>
      <c r="N9" s="73"/>
      <c r="O9" s="81" t="s">
        <v>292</v>
      </c>
      <c r="P9">
        <v>1</v>
      </c>
      <c r="Q9" s="80" t="str">
        <f>REPLACE(INDEX(GroupVertices[Group],MATCH(Edges[[#This Row],[Vertex 1]],GroupVertices[Vertex],0)),1,1,"")</f>
        <v>1</v>
      </c>
      <c r="R9" s="80" t="str">
        <f>REPLACE(INDEX(GroupVertices[Group],MATCH(Edges[[#This Row],[Vertex 2]],GroupVertices[Vertex],0)),1,1,"")</f>
        <v>1</v>
      </c>
      <c r="S9" s="35"/>
      <c r="T9" s="35"/>
      <c r="U9" s="35"/>
      <c r="V9" s="35"/>
      <c r="W9" s="35"/>
      <c r="X9" s="35"/>
      <c r="Y9" s="35"/>
      <c r="Z9" s="35"/>
      <c r="AA9" s="35"/>
    </row>
    <row r="10" spans="1:27" ht="15">
      <c r="A10" s="65" t="s">
        <v>218</v>
      </c>
      <c r="B10" s="65" t="s">
        <v>275</v>
      </c>
      <c r="C10" s="66" t="s">
        <v>2113</v>
      </c>
      <c r="D10" s="67">
        <v>3</v>
      </c>
      <c r="E10" s="68"/>
      <c r="F10" s="69">
        <v>40</v>
      </c>
      <c r="G10" s="66"/>
      <c r="H10" s="70"/>
      <c r="I10" s="71"/>
      <c r="J10" s="71"/>
      <c r="K10" s="35" t="s">
        <v>65</v>
      </c>
      <c r="L10" s="79">
        <v>10</v>
      </c>
      <c r="M10" s="79"/>
      <c r="N10" s="73"/>
      <c r="O10" s="81" t="s">
        <v>292</v>
      </c>
      <c r="P10">
        <v>1</v>
      </c>
      <c r="Q10" s="80" t="str">
        <f>REPLACE(INDEX(GroupVertices[Group],MATCH(Edges[[#This Row],[Vertex 1]],GroupVertices[Vertex],0)),1,1,"")</f>
        <v>1</v>
      </c>
      <c r="R10" s="80" t="str">
        <f>REPLACE(INDEX(GroupVertices[Group],MATCH(Edges[[#This Row],[Vertex 2]],GroupVertices[Vertex],0)),1,1,"")</f>
        <v>1</v>
      </c>
      <c r="S10" s="35"/>
      <c r="T10" s="35"/>
      <c r="U10" s="35"/>
      <c r="V10" s="35"/>
      <c r="W10" s="35"/>
      <c r="X10" s="35"/>
      <c r="Y10" s="35"/>
      <c r="Z10" s="35"/>
      <c r="AA10" s="35"/>
    </row>
    <row r="11" spans="1:27" ht="15">
      <c r="A11" s="65" t="s">
        <v>219</v>
      </c>
      <c r="B11" s="65" t="s">
        <v>275</v>
      </c>
      <c r="C11" s="66" t="s">
        <v>2113</v>
      </c>
      <c r="D11" s="67">
        <v>3</v>
      </c>
      <c r="E11" s="68"/>
      <c r="F11" s="69">
        <v>40</v>
      </c>
      <c r="G11" s="66"/>
      <c r="H11" s="70"/>
      <c r="I11" s="71"/>
      <c r="J11" s="71"/>
      <c r="K11" s="35" t="s">
        <v>65</v>
      </c>
      <c r="L11" s="79">
        <v>11</v>
      </c>
      <c r="M11" s="79"/>
      <c r="N11" s="73"/>
      <c r="O11" s="81" t="s">
        <v>292</v>
      </c>
      <c r="P11">
        <v>1</v>
      </c>
      <c r="Q11" s="80" t="str">
        <f>REPLACE(INDEX(GroupVertices[Group],MATCH(Edges[[#This Row],[Vertex 1]],GroupVertices[Vertex],0)),1,1,"")</f>
        <v>1</v>
      </c>
      <c r="R11" s="80" t="str">
        <f>REPLACE(INDEX(GroupVertices[Group],MATCH(Edges[[#This Row],[Vertex 2]],GroupVertices[Vertex],0)),1,1,"")</f>
        <v>1</v>
      </c>
      <c r="S11" s="35"/>
      <c r="T11" s="35"/>
      <c r="U11" s="35"/>
      <c r="V11" s="35"/>
      <c r="W11" s="35"/>
      <c r="X11" s="35"/>
      <c r="Y11" s="35"/>
      <c r="Z11" s="35"/>
      <c r="AA11" s="35"/>
    </row>
    <row r="12" spans="1:27" ht="15">
      <c r="A12" s="65" t="s">
        <v>220</v>
      </c>
      <c r="B12" s="65" t="s">
        <v>275</v>
      </c>
      <c r="C12" s="66" t="s">
        <v>2113</v>
      </c>
      <c r="D12" s="67">
        <v>3</v>
      </c>
      <c r="E12" s="68"/>
      <c r="F12" s="69">
        <v>40</v>
      </c>
      <c r="G12" s="66"/>
      <c r="H12" s="70"/>
      <c r="I12" s="71"/>
      <c r="J12" s="71"/>
      <c r="K12" s="35" t="s">
        <v>65</v>
      </c>
      <c r="L12" s="79">
        <v>12</v>
      </c>
      <c r="M12" s="79"/>
      <c r="N12" s="73"/>
      <c r="O12" s="81" t="s">
        <v>292</v>
      </c>
      <c r="P12">
        <v>1</v>
      </c>
      <c r="Q12" s="80" t="str">
        <f>REPLACE(INDEX(GroupVertices[Group],MATCH(Edges[[#This Row],[Vertex 1]],GroupVertices[Vertex],0)),1,1,"")</f>
        <v>1</v>
      </c>
      <c r="R12" s="80" t="str">
        <f>REPLACE(INDEX(GroupVertices[Group],MATCH(Edges[[#This Row],[Vertex 2]],GroupVertices[Vertex],0)),1,1,"")</f>
        <v>1</v>
      </c>
      <c r="S12" s="35"/>
      <c r="T12" s="35"/>
      <c r="U12" s="35"/>
      <c r="V12" s="35"/>
      <c r="W12" s="35"/>
      <c r="X12" s="35"/>
      <c r="Y12" s="35"/>
      <c r="Z12" s="35"/>
      <c r="AA12" s="35"/>
    </row>
    <row r="13" spans="1:27" ht="15">
      <c r="A13" s="65" t="s">
        <v>221</v>
      </c>
      <c r="B13" s="65" t="s">
        <v>275</v>
      </c>
      <c r="C13" s="66" t="s">
        <v>2113</v>
      </c>
      <c r="D13" s="67">
        <v>3</v>
      </c>
      <c r="E13" s="68"/>
      <c r="F13" s="69">
        <v>40</v>
      </c>
      <c r="G13" s="66"/>
      <c r="H13" s="70"/>
      <c r="I13" s="71"/>
      <c r="J13" s="71"/>
      <c r="K13" s="35" t="s">
        <v>65</v>
      </c>
      <c r="L13" s="79">
        <v>13</v>
      </c>
      <c r="M13" s="79"/>
      <c r="N13" s="73"/>
      <c r="O13" s="81" t="s">
        <v>292</v>
      </c>
      <c r="P13">
        <v>1</v>
      </c>
      <c r="Q13" s="80" t="str">
        <f>REPLACE(INDEX(GroupVertices[Group],MATCH(Edges[[#This Row],[Vertex 1]],GroupVertices[Vertex],0)),1,1,"")</f>
        <v>1</v>
      </c>
      <c r="R13" s="80" t="str">
        <f>REPLACE(INDEX(GroupVertices[Group],MATCH(Edges[[#This Row],[Vertex 2]],GroupVertices[Vertex],0)),1,1,"")</f>
        <v>1</v>
      </c>
      <c r="S13" s="35"/>
      <c r="T13" s="35"/>
      <c r="U13" s="35"/>
      <c r="V13" s="35"/>
      <c r="W13" s="35"/>
      <c r="X13" s="35"/>
      <c r="Y13" s="35"/>
      <c r="Z13" s="35"/>
      <c r="AA13" s="35"/>
    </row>
    <row r="14" spans="1:27" ht="15">
      <c r="A14" s="65" t="s">
        <v>222</v>
      </c>
      <c r="B14" s="65" t="s">
        <v>275</v>
      </c>
      <c r="C14" s="66" t="s">
        <v>2113</v>
      </c>
      <c r="D14" s="67">
        <v>3</v>
      </c>
      <c r="E14" s="68"/>
      <c r="F14" s="69">
        <v>40</v>
      </c>
      <c r="G14" s="66"/>
      <c r="H14" s="70"/>
      <c r="I14" s="71"/>
      <c r="J14" s="71"/>
      <c r="K14" s="35" t="s">
        <v>65</v>
      </c>
      <c r="L14" s="79">
        <v>14</v>
      </c>
      <c r="M14" s="79"/>
      <c r="N14" s="73"/>
      <c r="O14" s="81" t="s">
        <v>292</v>
      </c>
      <c r="P14">
        <v>1</v>
      </c>
      <c r="Q14" s="80" t="str">
        <f>REPLACE(INDEX(GroupVertices[Group],MATCH(Edges[[#This Row],[Vertex 1]],GroupVertices[Vertex],0)),1,1,"")</f>
        <v>1</v>
      </c>
      <c r="R14" s="80" t="str">
        <f>REPLACE(INDEX(GroupVertices[Group],MATCH(Edges[[#This Row],[Vertex 2]],GroupVertices[Vertex],0)),1,1,"")</f>
        <v>1</v>
      </c>
      <c r="S14" s="35"/>
      <c r="T14" s="35"/>
      <c r="U14" s="35"/>
      <c r="V14" s="35"/>
      <c r="W14" s="35"/>
      <c r="X14" s="35"/>
      <c r="Y14" s="35"/>
      <c r="Z14" s="35"/>
      <c r="AA14" s="35"/>
    </row>
    <row r="15" spans="1:27" ht="15">
      <c r="A15" s="65" t="s">
        <v>223</v>
      </c>
      <c r="B15" s="65" t="s">
        <v>275</v>
      </c>
      <c r="C15" s="66" t="s">
        <v>2113</v>
      </c>
      <c r="D15" s="67">
        <v>3</v>
      </c>
      <c r="E15" s="68"/>
      <c r="F15" s="69">
        <v>40</v>
      </c>
      <c r="G15" s="66"/>
      <c r="H15" s="70"/>
      <c r="I15" s="71"/>
      <c r="J15" s="71"/>
      <c r="K15" s="35" t="s">
        <v>65</v>
      </c>
      <c r="L15" s="79">
        <v>15</v>
      </c>
      <c r="M15" s="79"/>
      <c r="N15" s="73"/>
      <c r="O15" s="81" t="s">
        <v>292</v>
      </c>
      <c r="P15">
        <v>1</v>
      </c>
      <c r="Q15" s="80" t="str">
        <f>REPLACE(INDEX(GroupVertices[Group],MATCH(Edges[[#This Row],[Vertex 1]],GroupVertices[Vertex],0)),1,1,"")</f>
        <v>1</v>
      </c>
      <c r="R15" s="80" t="str">
        <f>REPLACE(INDEX(GroupVertices[Group],MATCH(Edges[[#This Row],[Vertex 2]],GroupVertices[Vertex],0)),1,1,"")</f>
        <v>1</v>
      </c>
      <c r="S15" s="35"/>
      <c r="T15" s="35"/>
      <c r="U15" s="35"/>
      <c r="V15" s="35"/>
      <c r="W15" s="35"/>
      <c r="X15" s="35"/>
      <c r="Y15" s="35"/>
      <c r="Z15" s="35"/>
      <c r="AA15" s="35"/>
    </row>
    <row r="16" spans="1:27" ht="15">
      <c r="A16" s="65" t="s">
        <v>224</v>
      </c>
      <c r="B16" s="65" t="s">
        <v>275</v>
      </c>
      <c r="C16" s="66" t="s">
        <v>2113</v>
      </c>
      <c r="D16" s="67">
        <v>3</v>
      </c>
      <c r="E16" s="68"/>
      <c r="F16" s="69">
        <v>40</v>
      </c>
      <c r="G16" s="66"/>
      <c r="H16" s="70"/>
      <c r="I16" s="71"/>
      <c r="J16" s="71"/>
      <c r="K16" s="35" t="s">
        <v>65</v>
      </c>
      <c r="L16" s="79">
        <v>16</v>
      </c>
      <c r="M16" s="79"/>
      <c r="N16" s="73"/>
      <c r="O16" s="81" t="s">
        <v>292</v>
      </c>
      <c r="P16">
        <v>1</v>
      </c>
      <c r="Q16" s="80" t="str">
        <f>REPLACE(INDEX(GroupVertices[Group],MATCH(Edges[[#This Row],[Vertex 1]],GroupVertices[Vertex],0)),1,1,"")</f>
        <v>1</v>
      </c>
      <c r="R16" s="80" t="str">
        <f>REPLACE(INDEX(GroupVertices[Group],MATCH(Edges[[#This Row],[Vertex 2]],GroupVertices[Vertex],0)),1,1,"")</f>
        <v>1</v>
      </c>
      <c r="S16" s="35"/>
      <c r="T16" s="35"/>
      <c r="U16" s="35"/>
      <c r="V16" s="35"/>
      <c r="W16" s="35"/>
      <c r="X16" s="35"/>
      <c r="Y16" s="35"/>
      <c r="Z16" s="35"/>
      <c r="AA16" s="35"/>
    </row>
    <row r="17" spans="1:27" ht="15">
      <c r="A17" s="65" t="s">
        <v>225</v>
      </c>
      <c r="B17" s="65" t="s">
        <v>275</v>
      </c>
      <c r="C17" s="66" t="s">
        <v>2113</v>
      </c>
      <c r="D17" s="67">
        <v>3</v>
      </c>
      <c r="E17" s="68"/>
      <c r="F17" s="69">
        <v>40</v>
      </c>
      <c r="G17" s="66"/>
      <c r="H17" s="70"/>
      <c r="I17" s="71"/>
      <c r="J17" s="71"/>
      <c r="K17" s="35" t="s">
        <v>65</v>
      </c>
      <c r="L17" s="79">
        <v>17</v>
      </c>
      <c r="M17" s="79"/>
      <c r="N17" s="73"/>
      <c r="O17" s="81" t="s">
        <v>292</v>
      </c>
      <c r="P17">
        <v>1</v>
      </c>
      <c r="Q17" s="80" t="str">
        <f>REPLACE(INDEX(GroupVertices[Group],MATCH(Edges[[#This Row],[Vertex 1]],GroupVertices[Vertex],0)),1,1,"")</f>
        <v>1</v>
      </c>
      <c r="R17" s="80" t="str">
        <f>REPLACE(INDEX(GroupVertices[Group],MATCH(Edges[[#This Row],[Vertex 2]],GroupVertices[Vertex],0)),1,1,"")</f>
        <v>1</v>
      </c>
      <c r="S17" s="35"/>
      <c r="T17" s="35"/>
      <c r="U17" s="35"/>
      <c r="V17" s="35"/>
      <c r="W17" s="35"/>
      <c r="X17" s="35"/>
      <c r="Y17" s="35"/>
      <c r="Z17" s="35"/>
      <c r="AA17" s="35"/>
    </row>
    <row r="18" spans="1:27" ht="15">
      <c r="A18" s="65" t="s">
        <v>226</v>
      </c>
      <c r="B18" s="65" t="s">
        <v>275</v>
      </c>
      <c r="C18" s="66" t="s">
        <v>2113</v>
      </c>
      <c r="D18" s="67">
        <v>3</v>
      </c>
      <c r="E18" s="68"/>
      <c r="F18" s="69">
        <v>40</v>
      </c>
      <c r="G18" s="66"/>
      <c r="H18" s="70"/>
      <c r="I18" s="71"/>
      <c r="J18" s="71"/>
      <c r="K18" s="35" t="s">
        <v>65</v>
      </c>
      <c r="L18" s="79">
        <v>18</v>
      </c>
      <c r="M18" s="79"/>
      <c r="N18" s="73"/>
      <c r="O18" s="81" t="s">
        <v>292</v>
      </c>
      <c r="P18">
        <v>1</v>
      </c>
      <c r="Q18" s="80" t="str">
        <f>REPLACE(INDEX(GroupVertices[Group],MATCH(Edges[[#This Row],[Vertex 1]],GroupVertices[Vertex],0)),1,1,"")</f>
        <v>1</v>
      </c>
      <c r="R18" s="80" t="str">
        <f>REPLACE(INDEX(GroupVertices[Group],MATCH(Edges[[#This Row],[Vertex 2]],GroupVertices[Vertex],0)),1,1,"")</f>
        <v>1</v>
      </c>
      <c r="S18" s="35"/>
      <c r="T18" s="35"/>
      <c r="U18" s="35"/>
      <c r="V18" s="35"/>
      <c r="W18" s="35"/>
      <c r="X18" s="35"/>
      <c r="Y18" s="35"/>
      <c r="Z18" s="35"/>
      <c r="AA18" s="35"/>
    </row>
    <row r="19" spans="1:27" ht="15">
      <c r="A19" s="65" t="s">
        <v>227</v>
      </c>
      <c r="B19" s="65" t="s">
        <v>275</v>
      </c>
      <c r="C19" s="66" t="s">
        <v>2113</v>
      </c>
      <c r="D19" s="67">
        <v>3</v>
      </c>
      <c r="E19" s="68"/>
      <c r="F19" s="69">
        <v>40</v>
      </c>
      <c r="G19" s="66"/>
      <c r="H19" s="70"/>
      <c r="I19" s="71"/>
      <c r="J19" s="71"/>
      <c r="K19" s="35" t="s">
        <v>65</v>
      </c>
      <c r="L19" s="79">
        <v>19</v>
      </c>
      <c r="M19" s="79"/>
      <c r="N19" s="73"/>
      <c r="O19" s="81" t="s">
        <v>292</v>
      </c>
      <c r="P19">
        <v>1</v>
      </c>
      <c r="Q19" s="80" t="str">
        <f>REPLACE(INDEX(GroupVertices[Group],MATCH(Edges[[#This Row],[Vertex 1]],GroupVertices[Vertex],0)),1,1,"")</f>
        <v>1</v>
      </c>
      <c r="R19" s="80" t="str">
        <f>REPLACE(INDEX(GroupVertices[Group],MATCH(Edges[[#This Row],[Vertex 2]],GroupVertices[Vertex],0)),1,1,"")</f>
        <v>1</v>
      </c>
      <c r="S19" s="35"/>
      <c r="T19" s="35"/>
      <c r="U19" s="35"/>
      <c r="V19" s="35"/>
      <c r="W19" s="35"/>
      <c r="X19" s="35"/>
      <c r="Y19" s="35"/>
      <c r="Z19" s="35"/>
      <c r="AA19" s="35"/>
    </row>
    <row r="20" spans="1:27" ht="15">
      <c r="A20" s="65" t="s">
        <v>228</v>
      </c>
      <c r="B20" s="65" t="s">
        <v>275</v>
      </c>
      <c r="C20" s="66" t="s">
        <v>2113</v>
      </c>
      <c r="D20" s="67">
        <v>3</v>
      </c>
      <c r="E20" s="68"/>
      <c r="F20" s="69">
        <v>40</v>
      </c>
      <c r="G20" s="66"/>
      <c r="H20" s="70"/>
      <c r="I20" s="71"/>
      <c r="J20" s="71"/>
      <c r="K20" s="35" t="s">
        <v>65</v>
      </c>
      <c r="L20" s="79">
        <v>20</v>
      </c>
      <c r="M20" s="79"/>
      <c r="N20" s="73"/>
      <c r="O20" s="81" t="s">
        <v>292</v>
      </c>
      <c r="P20">
        <v>1</v>
      </c>
      <c r="Q20" s="80" t="str">
        <f>REPLACE(INDEX(GroupVertices[Group],MATCH(Edges[[#This Row],[Vertex 1]],GroupVertices[Vertex],0)),1,1,"")</f>
        <v>1</v>
      </c>
      <c r="R20" s="80" t="str">
        <f>REPLACE(INDEX(GroupVertices[Group],MATCH(Edges[[#This Row],[Vertex 2]],GroupVertices[Vertex],0)),1,1,"")</f>
        <v>1</v>
      </c>
      <c r="S20" s="35"/>
      <c r="T20" s="35"/>
      <c r="U20" s="35"/>
      <c r="V20" s="35"/>
      <c r="W20" s="35"/>
      <c r="X20" s="35"/>
      <c r="Y20" s="35"/>
      <c r="Z20" s="35"/>
      <c r="AA20" s="35"/>
    </row>
    <row r="21" spans="1:27" ht="15">
      <c r="A21" s="65" t="s">
        <v>229</v>
      </c>
      <c r="B21" s="65" t="s">
        <v>275</v>
      </c>
      <c r="C21" s="66" t="s">
        <v>2113</v>
      </c>
      <c r="D21" s="67">
        <v>3</v>
      </c>
      <c r="E21" s="68"/>
      <c r="F21" s="69">
        <v>40</v>
      </c>
      <c r="G21" s="66"/>
      <c r="H21" s="70"/>
      <c r="I21" s="71"/>
      <c r="J21" s="71"/>
      <c r="K21" s="35" t="s">
        <v>65</v>
      </c>
      <c r="L21" s="79">
        <v>21</v>
      </c>
      <c r="M21" s="79"/>
      <c r="N21" s="73"/>
      <c r="O21" s="81" t="s">
        <v>292</v>
      </c>
      <c r="P21">
        <v>1</v>
      </c>
      <c r="Q21" s="80" t="str">
        <f>REPLACE(INDEX(GroupVertices[Group],MATCH(Edges[[#This Row],[Vertex 1]],GroupVertices[Vertex],0)),1,1,"")</f>
        <v>1</v>
      </c>
      <c r="R21" s="80" t="str">
        <f>REPLACE(INDEX(GroupVertices[Group],MATCH(Edges[[#This Row],[Vertex 2]],GroupVertices[Vertex],0)),1,1,"")</f>
        <v>1</v>
      </c>
      <c r="S21" s="35"/>
      <c r="T21" s="35"/>
      <c r="U21" s="35"/>
      <c r="V21" s="35"/>
      <c r="W21" s="35"/>
      <c r="X21" s="35"/>
      <c r="Y21" s="35"/>
      <c r="Z21" s="35"/>
      <c r="AA21" s="35"/>
    </row>
    <row r="22" spans="1:27" ht="15">
      <c r="A22" s="65" t="s">
        <v>230</v>
      </c>
      <c r="B22" s="65" t="s">
        <v>275</v>
      </c>
      <c r="C22" s="66" t="s">
        <v>2113</v>
      </c>
      <c r="D22" s="67">
        <v>3</v>
      </c>
      <c r="E22" s="68"/>
      <c r="F22" s="69">
        <v>40</v>
      </c>
      <c r="G22" s="66"/>
      <c r="H22" s="70"/>
      <c r="I22" s="71"/>
      <c r="J22" s="71"/>
      <c r="K22" s="35" t="s">
        <v>65</v>
      </c>
      <c r="L22" s="79">
        <v>22</v>
      </c>
      <c r="M22" s="79"/>
      <c r="N22" s="73"/>
      <c r="O22" s="81" t="s">
        <v>292</v>
      </c>
      <c r="P22">
        <v>1</v>
      </c>
      <c r="Q22" s="80" t="str">
        <f>REPLACE(INDEX(GroupVertices[Group],MATCH(Edges[[#This Row],[Vertex 1]],GroupVertices[Vertex],0)),1,1,"")</f>
        <v>1</v>
      </c>
      <c r="R22" s="80" t="str">
        <f>REPLACE(INDEX(GroupVertices[Group],MATCH(Edges[[#This Row],[Vertex 2]],GroupVertices[Vertex],0)),1,1,"")</f>
        <v>1</v>
      </c>
      <c r="S22" s="35"/>
      <c r="T22" s="35"/>
      <c r="U22" s="35"/>
      <c r="V22" s="35"/>
      <c r="W22" s="35"/>
      <c r="X22" s="35"/>
      <c r="Y22" s="35"/>
      <c r="Z22" s="35"/>
      <c r="AA22" s="35"/>
    </row>
    <row r="23" spans="1:27" ht="15">
      <c r="A23" s="65" t="s">
        <v>231</v>
      </c>
      <c r="B23" s="65" t="s">
        <v>275</v>
      </c>
      <c r="C23" s="66" t="s">
        <v>2113</v>
      </c>
      <c r="D23" s="67">
        <v>3</v>
      </c>
      <c r="E23" s="68"/>
      <c r="F23" s="69">
        <v>40</v>
      </c>
      <c r="G23" s="66"/>
      <c r="H23" s="70"/>
      <c r="I23" s="71"/>
      <c r="J23" s="71"/>
      <c r="K23" s="35" t="s">
        <v>65</v>
      </c>
      <c r="L23" s="79">
        <v>23</v>
      </c>
      <c r="M23" s="79"/>
      <c r="N23" s="73"/>
      <c r="O23" s="81" t="s">
        <v>292</v>
      </c>
      <c r="P23">
        <v>1</v>
      </c>
      <c r="Q23" s="80" t="str">
        <f>REPLACE(INDEX(GroupVertices[Group],MATCH(Edges[[#This Row],[Vertex 1]],GroupVertices[Vertex],0)),1,1,"")</f>
        <v>1</v>
      </c>
      <c r="R23" s="80" t="str">
        <f>REPLACE(INDEX(GroupVertices[Group],MATCH(Edges[[#This Row],[Vertex 2]],GroupVertices[Vertex],0)),1,1,"")</f>
        <v>1</v>
      </c>
      <c r="S23" s="35"/>
      <c r="T23" s="35"/>
      <c r="U23" s="35"/>
      <c r="V23" s="35"/>
      <c r="W23" s="35"/>
      <c r="X23" s="35"/>
      <c r="Y23" s="35"/>
      <c r="Z23" s="35"/>
      <c r="AA23" s="35"/>
    </row>
    <row r="24" spans="1:27" ht="15">
      <c r="A24" s="65" t="s">
        <v>232</v>
      </c>
      <c r="B24" s="65" t="s">
        <v>275</v>
      </c>
      <c r="C24" s="66" t="s">
        <v>2114</v>
      </c>
      <c r="D24" s="67">
        <v>3</v>
      </c>
      <c r="E24" s="68"/>
      <c r="F24" s="69">
        <v>40</v>
      </c>
      <c r="G24" s="66"/>
      <c r="H24" s="70"/>
      <c r="I24" s="71"/>
      <c r="J24" s="71"/>
      <c r="K24" s="35" t="s">
        <v>65</v>
      </c>
      <c r="L24" s="79">
        <v>24</v>
      </c>
      <c r="M24" s="79"/>
      <c r="N24" s="73"/>
      <c r="O24" s="81" t="s">
        <v>292</v>
      </c>
      <c r="P24">
        <v>2</v>
      </c>
      <c r="Q24" s="80" t="str">
        <f>REPLACE(INDEX(GroupVertices[Group],MATCH(Edges[[#This Row],[Vertex 1]],GroupVertices[Vertex],0)),1,1,"")</f>
        <v>2</v>
      </c>
      <c r="R24" s="80" t="str">
        <f>REPLACE(INDEX(GroupVertices[Group],MATCH(Edges[[#This Row],[Vertex 2]],GroupVertices[Vertex],0)),1,1,"")</f>
        <v>1</v>
      </c>
      <c r="S24" s="35"/>
      <c r="T24" s="35"/>
      <c r="U24" s="35"/>
      <c r="V24" s="35"/>
      <c r="W24" s="35"/>
      <c r="X24" s="35"/>
      <c r="Y24" s="35"/>
      <c r="Z24" s="35"/>
      <c r="AA24" s="35"/>
    </row>
    <row r="25" spans="1:27" ht="15">
      <c r="A25" s="65" t="s">
        <v>233</v>
      </c>
      <c r="B25" s="65" t="s">
        <v>275</v>
      </c>
      <c r="C25" s="66" t="s">
        <v>2113</v>
      </c>
      <c r="D25" s="67">
        <v>3</v>
      </c>
      <c r="E25" s="68"/>
      <c r="F25" s="69">
        <v>40</v>
      </c>
      <c r="G25" s="66"/>
      <c r="H25" s="70"/>
      <c r="I25" s="71"/>
      <c r="J25" s="71"/>
      <c r="K25" s="35" t="s">
        <v>65</v>
      </c>
      <c r="L25" s="79">
        <v>25</v>
      </c>
      <c r="M25" s="79"/>
      <c r="N25" s="73"/>
      <c r="O25" s="81" t="s">
        <v>292</v>
      </c>
      <c r="P25">
        <v>1</v>
      </c>
      <c r="Q25" s="80" t="str">
        <f>REPLACE(INDEX(GroupVertices[Group],MATCH(Edges[[#This Row],[Vertex 1]],GroupVertices[Vertex],0)),1,1,"")</f>
        <v>1</v>
      </c>
      <c r="R25" s="80" t="str">
        <f>REPLACE(INDEX(GroupVertices[Group],MATCH(Edges[[#This Row],[Vertex 2]],GroupVertices[Vertex],0)),1,1,"")</f>
        <v>1</v>
      </c>
      <c r="S25" s="35"/>
      <c r="T25" s="35"/>
      <c r="U25" s="35"/>
      <c r="V25" s="35"/>
      <c r="W25" s="35"/>
      <c r="X25" s="35"/>
      <c r="Y25" s="35"/>
      <c r="Z25" s="35"/>
      <c r="AA25" s="35"/>
    </row>
    <row r="26" spans="1:27" ht="15">
      <c r="A26" s="65" t="s">
        <v>234</v>
      </c>
      <c r="B26" s="65" t="s">
        <v>275</v>
      </c>
      <c r="C26" s="66" t="s">
        <v>2113</v>
      </c>
      <c r="D26" s="67">
        <v>3</v>
      </c>
      <c r="E26" s="68"/>
      <c r="F26" s="69">
        <v>40</v>
      </c>
      <c r="G26" s="66"/>
      <c r="H26" s="70"/>
      <c r="I26" s="71"/>
      <c r="J26" s="71"/>
      <c r="K26" s="35" t="s">
        <v>65</v>
      </c>
      <c r="L26" s="79">
        <v>26</v>
      </c>
      <c r="M26" s="79"/>
      <c r="N26" s="73"/>
      <c r="O26" s="81" t="s">
        <v>292</v>
      </c>
      <c r="P26">
        <v>1</v>
      </c>
      <c r="Q26" s="80" t="str">
        <f>REPLACE(INDEX(GroupVertices[Group],MATCH(Edges[[#This Row],[Vertex 1]],GroupVertices[Vertex],0)),1,1,"")</f>
        <v>1</v>
      </c>
      <c r="R26" s="80" t="str">
        <f>REPLACE(INDEX(GroupVertices[Group],MATCH(Edges[[#This Row],[Vertex 2]],GroupVertices[Vertex],0)),1,1,"")</f>
        <v>1</v>
      </c>
      <c r="S26" s="35"/>
      <c r="T26" s="35"/>
      <c r="U26" s="35"/>
      <c r="V26" s="35"/>
      <c r="W26" s="35"/>
      <c r="X26" s="35"/>
      <c r="Y26" s="35"/>
      <c r="Z26" s="35"/>
      <c r="AA26" s="35"/>
    </row>
    <row r="27" spans="1:27" ht="15">
      <c r="A27" s="65" t="s">
        <v>235</v>
      </c>
      <c r="B27" s="65" t="s">
        <v>275</v>
      </c>
      <c r="C27" s="66" t="s">
        <v>2114</v>
      </c>
      <c r="D27" s="67">
        <v>3</v>
      </c>
      <c r="E27" s="68"/>
      <c r="F27" s="69">
        <v>40</v>
      </c>
      <c r="G27" s="66"/>
      <c r="H27" s="70"/>
      <c r="I27" s="71"/>
      <c r="J27" s="71"/>
      <c r="K27" s="35" t="s">
        <v>65</v>
      </c>
      <c r="L27" s="79">
        <v>27</v>
      </c>
      <c r="M27" s="79"/>
      <c r="N27" s="73"/>
      <c r="O27" s="81" t="s">
        <v>292</v>
      </c>
      <c r="P27">
        <v>2</v>
      </c>
      <c r="Q27" s="80" t="str">
        <f>REPLACE(INDEX(GroupVertices[Group],MATCH(Edges[[#This Row],[Vertex 1]],GroupVertices[Vertex],0)),1,1,"")</f>
        <v>1</v>
      </c>
      <c r="R27" s="80" t="str">
        <f>REPLACE(INDEX(GroupVertices[Group],MATCH(Edges[[#This Row],[Vertex 2]],GroupVertices[Vertex],0)),1,1,"")</f>
        <v>1</v>
      </c>
      <c r="S27" s="35"/>
      <c r="T27" s="35"/>
      <c r="U27" s="35"/>
      <c r="V27" s="35"/>
      <c r="W27" s="35"/>
      <c r="X27" s="35"/>
      <c r="Y27" s="35"/>
      <c r="Z27" s="35"/>
      <c r="AA27" s="35"/>
    </row>
    <row r="28" spans="1:27" ht="15">
      <c r="A28" s="65" t="s">
        <v>236</v>
      </c>
      <c r="B28" s="65" t="s">
        <v>275</v>
      </c>
      <c r="C28" s="66" t="s">
        <v>2113</v>
      </c>
      <c r="D28" s="67">
        <v>3</v>
      </c>
      <c r="E28" s="68"/>
      <c r="F28" s="69">
        <v>40</v>
      </c>
      <c r="G28" s="66"/>
      <c r="H28" s="70"/>
      <c r="I28" s="71"/>
      <c r="J28" s="71"/>
      <c r="K28" s="35" t="s">
        <v>65</v>
      </c>
      <c r="L28" s="79">
        <v>28</v>
      </c>
      <c r="M28" s="79"/>
      <c r="N28" s="73"/>
      <c r="O28" s="81" t="s">
        <v>293</v>
      </c>
      <c r="P28">
        <v>1</v>
      </c>
      <c r="Q28" s="80" t="str">
        <f>REPLACE(INDEX(GroupVertices[Group],MATCH(Edges[[#This Row],[Vertex 1]],GroupVertices[Vertex],0)),1,1,"")</f>
        <v>2</v>
      </c>
      <c r="R28" s="80" t="str">
        <f>REPLACE(INDEX(GroupVertices[Group],MATCH(Edges[[#This Row],[Vertex 2]],GroupVertices[Vertex],0)),1,1,"")</f>
        <v>1</v>
      </c>
      <c r="S28" s="35"/>
      <c r="T28" s="35"/>
      <c r="U28" s="35"/>
      <c r="V28" s="35"/>
      <c r="W28" s="35"/>
      <c r="X28" s="35"/>
      <c r="Y28" s="35"/>
      <c r="Z28" s="35"/>
      <c r="AA28" s="35"/>
    </row>
    <row r="29" spans="1:27" ht="15">
      <c r="A29" s="65" t="s">
        <v>236</v>
      </c>
      <c r="B29" s="65" t="s">
        <v>276</v>
      </c>
      <c r="C29" s="66" t="s">
        <v>2113</v>
      </c>
      <c r="D29" s="67">
        <v>3</v>
      </c>
      <c r="E29" s="68"/>
      <c r="F29" s="69">
        <v>40</v>
      </c>
      <c r="G29" s="66"/>
      <c r="H29" s="70"/>
      <c r="I29" s="71"/>
      <c r="J29" s="71"/>
      <c r="K29" s="35" t="s">
        <v>65</v>
      </c>
      <c r="L29" s="79">
        <v>29</v>
      </c>
      <c r="M29" s="79"/>
      <c r="N29" s="73"/>
      <c r="O29" s="81" t="s">
        <v>293</v>
      </c>
      <c r="P29">
        <v>1</v>
      </c>
      <c r="Q29" s="80" t="str">
        <f>REPLACE(INDEX(GroupVertices[Group],MATCH(Edges[[#This Row],[Vertex 1]],GroupVertices[Vertex],0)),1,1,"")</f>
        <v>2</v>
      </c>
      <c r="R29" s="80" t="str">
        <f>REPLACE(INDEX(GroupVertices[Group],MATCH(Edges[[#This Row],[Vertex 2]],GroupVertices[Vertex],0)),1,1,"")</f>
        <v>2</v>
      </c>
      <c r="S29" s="35"/>
      <c r="T29" s="35"/>
      <c r="U29" s="35"/>
      <c r="V29" s="35"/>
      <c r="W29" s="35"/>
      <c r="X29" s="35"/>
      <c r="Y29" s="35"/>
      <c r="Z29" s="35"/>
      <c r="AA29" s="35"/>
    </row>
    <row r="30" spans="1:27" ht="15">
      <c r="A30" s="65" t="s">
        <v>237</v>
      </c>
      <c r="B30" s="65" t="s">
        <v>277</v>
      </c>
      <c r="C30" s="66" t="s">
        <v>2113</v>
      </c>
      <c r="D30" s="67">
        <v>3</v>
      </c>
      <c r="E30" s="68"/>
      <c r="F30" s="69">
        <v>40</v>
      </c>
      <c r="G30" s="66"/>
      <c r="H30" s="70"/>
      <c r="I30" s="71"/>
      <c r="J30" s="71"/>
      <c r="K30" s="35" t="s">
        <v>65</v>
      </c>
      <c r="L30" s="79">
        <v>30</v>
      </c>
      <c r="M30" s="79"/>
      <c r="N30" s="73"/>
      <c r="O30" s="81" t="s">
        <v>292</v>
      </c>
      <c r="P30">
        <v>1</v>
      </c>
      <c r="Q30" s="80" t="str">
        <f>REPLACE(INDEX(GroupVertices[Group],MATCH(Edges[[#This Row],[Vertex 1]],GroupVertices[Vertex],0)),1,1,"")</f>
        <v>4</v>
      </c>
      <c r="R30" s="80" t="str">
        <f>REPLACE(INDEX(GroupVertices[Group],MATCH(Edges[[#This Row],[Vertex 2]],GroupVertices[Vertex],0)),1,1,"")</f>
        <v>4</v>
      </c>
      <c r="S30" s="35"/>
      <c r="T30" s="35"/>
      <c r="U30" s="35"/>
      <c r="V30" s="35"/>
      <c r="W30" s="35"/>
      <c r="X30" s="35"/>
      <c r="Y30" s="35"/>
      <c r="Z30" s="35"/>
      <c r="AA30" s="35"/>
    </row>
    <row r="31" spans="1:27" ht="15">
      <c r="A31" s="65" t="s">
        <v>238</v>
      </c>
      <c r="B31" s="65" t="s">
        <v>277</v>
      </c>
      <c r="C31" s="66" t="s">
        <v>2113</v>
      </c>
      <c r="D31" s="67">
        <v>3</v>
      </c>
      <c r="E31" s="68"/>
      <c r="F31" s="69">
        <v>40</v>
      </c>
      <c r="G31" s="66"/>
      <c r="H31" s="70"/>
      <c r="I31" s="71"/>
      <c r="J31" s="71"/>
      <c r="K31" s="35" t="s">
        <v>65</v>
      </c>
      <c r="L31" s="79">
        <v>31</v>
      </c>
      <c r="M31" s="79"/>
      <c r="N31" s="73"/>
      <c r="O31" s="81" t="s">
        <v>292</v>
      </c>
      <c r="P31">
        <v>1</v>
      </c>
      <c r="Q31" s="80" t="str">
        <f>REPLACE(INDEX(GroupVertices[Group],MATCH(Edges[[#This Row],[Vertex 1]],GroupVertices[Vertex],0)),1,1,"")</f>
        <v>4</v>
      </c>
      <c r="R31" s="80" t="str">
        <f>REPLACE(INDEX(GroupVertices[Group],MATCH(Edges[[#This Row],[Vertex 2]],GroupVertices[Vertex],0)),1,1,"")</f>
        <v>4</v>
      </c>
      <c r="S31" s="35"/>
      <c r="T31" s="35"/>
      <c r="U31" s="35"/>
      <c r="V31" s="35"/>
      <c r="W31" s="35"/>
      <c r="X31" s="35"/>
      <c r="Y31" s="35"/>
      <c r="Z31" s="35"/>
      <c r="AA31" s="35"/>
    </row>
    <row r="32" spans="1:27" ht="15">
      <c r="A32" s="65" t="s">
        <v>236</v>
      </c>
      <c r="B32" s="65" t="s">
        <v>277</v>
      </c>
      <c r="C32" s="66" t="s">
        <v>2113</v>
      </c>
      <c r="D32" s="67">
        <v>3</v>
      </c>
      <c r="E32" s="68"/>
      <c r="F32" s="69">
        <v>40</v>
      </c>
      <c r="G32" s="66"/>
      <c r="H32" s="70"/>
      <c r="I32" s="71"/>
      <c r="J32" s="71"/>
      <c r="K32" s="35" t="s">
        <v>65</v>
      </c>
      <c r="L32" s="79">
        <v>32</v>
      </c>
      <c r="M32" s="79"/>
      <c r="N32" s="73"/>
      <c r="O32" s="81" t="s">
        <v>293</v>
      </c>
      <c r="P32">
        <v>1</v>
      </c>
      <c r="Q32" s="80" t="str">
        <f>REPLACE(INDEX(GroupVertices[Group],MATCH(Edges[[#This Row],[Vertex 1]],GroupVertices[Vertex],0)),1,1,"")</f>
        <v>2</v>
      </c>
      <c r="R32" s="80" t="str">
        <f>REPLACE(INDEX(GroupVertices[Group],MATCH(Edges[[#This Row],[Vertex 2]],GroupVertices[Vertex],0)),1,1,"")</f>
        <v>4</v>
      </c>
      <c r="S32" s="35"/>
      <c r="T32" s="35"/>
      <c r="U32" s="35"/>
      <c r="V32" s="35"/>
      <c r="W32" s="35"/>
      <c r="X32" s="35"/>
      <c r="Y32" s="35"/>
      <c r="Z32" s="35"/>
      <c r="AA32" s="35"/>
    </row>
    <row r="33" spans="1:27" ht="15">
      <c r="A33" s="65" t="s">
        <v>239</v>
      </c>
      <c r="B33" s="65" t="s">
        <v>212</v>
      </c>
      <c r="C33" s="66" t="s">
        <v>2113</v>
      </c>
      <c r="D33" s="67">
        <v>3</v>
      </c>
      <c r="E33" s="68"/>
      <c r="F33" s="69">
        <v>40</v>
      </c>
      <c r="G33" s="66"/>
      <c r="H33" s="70"/>
      <c r="I33" s="71"/>
      <c r="J33" s="71"/>
      <c r="K33" s="35" t="s">
        <v>65</v>
      </c>
      <c r="L33" s="79">
        <v>33</v>
      </c>
      <c r="M33" s="79"/>
      <c r="N33" s="73"/>
      <c r="O33" s="81" t="s">
        <v>292</v>
      </c>
      <c r="P33">
        <v>1</v>
      </c>
      <c r="Q33" s="80" t="str">
        <f>REPLACE(INDEX(GroupVertices[Group],MATCH(Edges[[#This Row],[Vertex 1]],GroupVertices[Vertex],0)),1,1,"")</f>
        <v>1</v>
      </c>
      <c r="R33" s="80" t="str">
        <f>REPLACE(INDEX(GroupVertices[Group],MATCH(Edges[[#This Row],[Vertex 2]],GroupVertices[Vertex],0)),1,1,"")</f>
        <v>1</v>
      </c>
      <c r="S33" s="35"/>
      <c r="T33" s="35"/>
      <c r="U33" s="35"/>
      <c r="V33" s="35"/>
      <c r="W33" s="35"/>
      <c r="X33" s="35"/>
      <c r="Y33" s="35"/>
      <c r="Z33" s="35"/>
      <c r="AA33" s="35"/>
    </row>
    <row r="34" spans="1:27" ht="15">
      <c r="A34" s="65" t="s">
        <v>213</v>
      </c>
      <c r="B34" s="65" t="s">
        <v>212</v>
      </c>
      <c r="C34" s="66" t="s">
        <v>2113</v>
      </c>
      <c r="D34" s="67">
        <v>3</v>
      </c>
      <c r="E34" s="68"/>
      <c r="F34" s="69">
        <v>40</v>
      </c>
      <c r="G34" s="66"/>
      <c r="H34" s="70"/>
      <c r="I34" s="71"/>
      <c r="J34" s="71"/>
      <c r="K34" s="35" t="s">
        <v>65</v>
      </c>
      <c r="L34" s="79">
        <v>34</v>
      </c>
      <c r="M34" s="79"/>
      <c r="N34" s="73"/>
      <c r="O34" s="81" t="s">
        <v>292</v>
      </c>
      <c r="P34">
        <v>1</v>
      </c>
      <c r="Q34" s="80" t="str">
        <f>REPLACE(INDEX(GroupVertices[Group],MATCH(Edges[[#This Row],[Vertex 1]],GroupVertices[Vertex],0)),1,1,"")</f>
        <v>1</v>
      </c>
      <c r="R34" s="80" t="str">
        <f>REPLACE(INDEX(GroupVertices[Group],MATCH(Edges[[#This Row],[Vertex 2]],GroupVertices[Vertex],0)),1,1,"")</f>
        <v>1</v>
      </c>
      <c r="S34" s="35"/>
      <c r="T34" s="35"/>
      <c r="U34" s="35"/>
      <c r="V34" s="35"/>
      <c r="W34" s="35"/>
      <c r="X34" s="35"/>
      <c r="Y34" s="35"/>
      <c r="Z34" s="35"/>
      <c r="AA34" s="35"/>
    </row>
    <row r="35" spans="1:27" ht="15">
      <c r="A35" s="65" t="s">
        <v>214</v>
      </c>
      <c r="B35" s="65" t="s">
        <v>212</v>
      </c>
      <c r="C35" s="66" t="s">
        <v>2113</v>
      </c>
      <c r="D35" s="67">
        <v>3</v>
      </c>
      <c r="E35" s="68"/>
      <c r="F35" s="69">
        <v>40</v>
      </c>
      <c r="G35" s="66"/>
      <c r="H35" s="70"/>
      <c r="I35" s="71"/>
      <c r="J35" s="71"/>
      <c r="K35" s="35" t="s">
        <v>65</v>
      </c>
      <c r="L35" s="79">
        <v>35</v>
      </c>
      <c r="M35" s="79"/>
      <c r="N35" s="73"/>
      <c r="O35" s="81" t="s">
        <v>292</v>
      </c>
      <c r="P35">
        <v>1</v>
      </c>
      <c r="Q35" s="80" t="str">
        <f>REPLACE(INDEX(GroupVertices[Group],MATCH(Edges[[#This Row],[Vertex 1]],GroupVertices[Vertex],0)),1,1,"")</f>
        <v>1</v>
      </c>
      <c r="R35" s="80" t="str">
        <f>REPLACE(INDEX(GroupVertices[Group],MATCH(Edges[[#This Row],[Vertex 2]],GroupVertices[Vertex],0)),1,1,"")</f>
        <v>1</v>
      </c>
      <c r="S35" s="35"/>
      <c r="T35" s="35"/>
      <c r="U35" s="35"/>
      <c r="V35" s="35"/>
      <c r="W35" s="35"/>
      <c r="X35" s="35"/>
      <c r="Y35" s="35"/>
      <c r="Z35" s="35"/>
      <c r="AA35" s="35"/>
    </row>
    <row r="36" spans="1:27" ht="15">
      <c r="A36" s="65" t="s">
        <v>215</v>
      </c>
      <c r="B36" s="65" t="s">
        <v>212</v>
      </c>
      <c r="C36" s="66" t="s">
        <v>2113</v>
      </c>
      <c r="D36" s="67">
        <v>3</v>
      </c>
      <c r="E36" s="68"/>
      <c r="F36" s="69">
        <v>40</v>
      </c>
      <c r="G36" s="66"/>
      <c r="H36" s="70"/>
      <c r="I36" s="71"/>
      <c r="J36" s="71"/>
      <c r="K36" s="35" t="s">
        <v>65</v>
      </c>
      <c r="L36" s="79">
        <v>36</v>
      </c>
      <c r="M36" s="79"/>
      <c r="N36" s="73"/>
      <c r="O36" s="81" t="s">
        <v>292</v>
      </c>
      <c r="P36">
        <v>1</v>
      </c>
      <c r="Q36" s="80" t="str">
        <f>REPLACE(INDEX(GroupVertices[Group],MATCH(Edges[[#This Row],[Vertex 1]],GroupVertices[Vertex],0)),1,1,"")</f>
        <v>1</v>
      </c>
      <c r="R36" s="80" t="str">
        <f>REPLACE(INDEX(GroupVertices[Group],MATCH(Edges[[#This Row],[Vertex 2]],GroupVertices[Vertex],0)),1,1,"")</f>
        <v>1</v>
      </c>
      <c r="S36" s="35"/>
      <c r="T36" s="35"/>
      <c r="U36" s="35"/>
      <c r="V36" s="35"/>
      <c r="W36" s="35"/>
      <c r="X36" s="35"/>
      <c r="Y36" s="35"/>
      <c r="Z36" s="35"/>
      <c r="AA36" s="35"/>
    </row>
    <row r="37" spans="1:27" ht="15">
      <c r="A37" s="65" t="s">
        <v>216</v>
      </c>
      <c r="B37" s="65" t="s">
        <v>212</v>
      </c>
      <c r="C37" s="66" t="s">
        <v>2113</v>
      </c>
      <c r="D37" s="67">
        <v>3</v>
      </c>
      <c r="E37" s="68"/>
      <c r="F37" s="69">
        <v>40</v>
      </c>
      <c r="G37" s="66"/>
      <c r="H37" s="70"/>
      <c r="I37" s="71"/>
      <c r="J37" s="71"/>
      <c r="K37" s="35" t="s">
        <v>65</v>
      </c>
      <c r="L37" s="79">
        <v>37</v>
      </c>
      <c r="M37" s="79"/>
      <c r="N37" s="73"/>
      <c r="O37" s="81" t="s">
        <v>292</v>
      </c>
      <c r="P37">
        <v>1</v>
      </c>
      <c r="Q37" s="80" t="str">
        <f>REPLACE(INDEX(GroupVertices[Group],MATCH(Edges[[#This Row],[Vertex 1]],GroupVertices[Vertex],0)),1,1,"")</f>
        <v>1</v>
      </c>
      <c r="R37" s="80" t="str">
        <f>REPLACE(INDEX(GroupVertices[Group],MATCH(Edges[[#This Row],[Vertex 2]],GroupVertices[Vertex],0)),1,1,"")</f>
        <v>1</v>
      </c>
      <c r="S37" s="35"/>
      <c r="T37" s="35"/>
      <c r="U37" s="35"/>
      <c r="V37" s="35"/>
      <c r="W37" s="35"/>
      <c r="X37" s="35"/>
      <c r="Y37" s="35"/>
      <c r="Z37" s="35"/>
      <c r="AA37" s="35"/>
    </row>
    <row r="38" spans="1:27" ht="15">
      <c r="A38" s="65" t="s">
        <v>217</v>
      </c>
      <c r="B38" s="65" t="s">
        <v>212</v>
      </c>
      <c r="C38" s="66" t="s">
        <v>2113</v>
      </c>
      <c r="D38" s="67">
        <v>3</v>
      </c>
      <c r="E38" s="68"/>
      <c r="F38" s="69">
        <v>40</v>
      </c>
      <c r="G38" s="66"/>
      <c r="H38" s="70"/>
      <c r="I38" s="71"/>
      <c r="J38" s="71"/>
      <c r="K38" s="35" t="s">
        <v>65</v>
      </c>
      <c r="L38" s="79">
        <v>38</v>
      </c>
      <c r="M38" s="79"/>
      <c r="N38" s="73"/>
      <c r="O38" s="81" t="s">
        <v>292</v>
      </c>
      <c r="P38">
        <v>1</v>
      </c>
      <c r="Q38" s="80" t="str">
        <f>REPLACE(INDEX(GroupVertices[Group],MATCH(Edges[[#This Row],[Vertex 1]],GroupVertices[Vertex],0)),1,1,"")</f>
        <v>1</v>
      </c>
      <c r="R38" s="80" t="str">
        <f>REPLACE(INDEX(GroupVertices[Group],MATCH(Edges[[#This Row],[Vertex 2]],GroupVertices[Vertex],0)),1,1,"")</f>
        <v>1</v>
      </c>
      <c r="S38" s="35"/>
      <c r="T38" s="35"/>
      <c r="U38" s="35"/>
      <c r="V38" s="35"/>
      <c r="W38" s="35"/>
      <c r="X38" s="35"/>
      <c r="Y38" s="35"/>
      <c r="Z38" s="35"/>
      <c r="AA38" s="35"/>
    </row>
    <row r="39" spans="1:27" ht="15">
      <c r="A39" s="65" t="s">
        <v>218</v>
      </c>
      <c r="B39" s="65" t="s">
        <v>212</v>
      </c>
      <c r="C39" s="66" t="s">
        <v>2113</v>
      </c>
      <c r="D39" s="67">
        <v>3</v>
      </c>
      <c r="E39" s="68"/>
      <c r="F39" s="69">
        <v>40</v>
      </c>
      <c r="G39" s="66"/>
      <c r="H39" s="70"/>
      <c r="I39" s="71"/>
      <c r="J39" s="71"/>
      <c r="K39" s="35" t="s">
        <v>65</v>
      </c>
      <c r="L39" s="79">
        <v>39</v>
      </c>
      <c r="M39" s="79"/>
      <c r="N39" s="73"/>
      <c r="O39" s="81" t="s">
        <v>292</v>
      </c>
      <c r="P39">
        <v>1</v>
      </c>
      <c r="Q39" s="80" t="str">
        <f>REPLACE(INDEX(GroupVertices[Group],MATCH(Edges[[#This Row],[Vertex 1]],GroupVertices[Vertex],0)),1,1,"")</f>
        <v>1</v>
      </c>
      <c r="R39" s="80" t="str">
        <f>REPLACE(INDEX(GroupVertices[Group],MATCH(Edges[[#This Row],[Vertex 2]],GroupVertices[Vertex],0)),1,1,"")</f>
        <v>1</v>
      </c>
      <c r="S39" s="35"/>
      <c r="T39" s="35"/>
      <c r="U39" s="35"/>
      <c r="V39" s="35"/>
      <c r="W39" s="35"/>
      <c r="X39" s="35"/>
      <c r="Y39" s="35"/>
      <c r="Z39" s="35"/>
      <c r="AA39" s="35"/>
    </row>
    <row r="40" spans="1:27" ht="15">
      <c r="A40" s="65" t="s">
        <v>219</v>
      </c>
      <c r="B40" s="65" t="s">
        <v>212</v>
      </c>
      <c r="C40" s="66" t="s">
        <v>2113</v>
      </c>
      <c r="D40" s="67">
        <v>3</v>
      </c>
      <c r="E40" s="68"/>
      <c r="F40" s="69">
        <v>40</v>
      </c>
      <c r="G40" s="66"/>
      <c r="H40" s="70"/>
      <c r="I40" s="71"/>
      <c r="J40" s="71"/>
      <c r="K40" s="35" t="s">
        <v>65</v>
      </c>
      <c r="L40" s="79">
        <v>40</v>
      </c>
      <c r="M40" s="79"/>
      <c r="N40" s="73"/>
      <c r="O40" s="81" t="s">
        <v>292</v>
      </c>
      <c r="P40">
        <v>1</v>
      </c>
      <c r="Q40" s="80" t="str">
        <f>REPLACE(INDEX(GroupVertices[Group],MATCH(Edges[[#This Row],[Vertex 1]],GroupVertices[Vertex],0)),1,1,"")</f>
        <v>1</v>
      </c>
      <c r="R40" s="80" t="str">
        <f>REPLACE(INDEX(GroupVertices[Group],MATCH(Edges[[#This Row],[Vertex 2]],GroupVertices[Vertex],0)),1,1,"")</f>
        <v>1</v>
      </c>
      <c r="S40" s="35"/>
      <c r="T40" s="35"/>
      <c r="U40" s="35"/>
      <c r="V40" s="35"/>
      <c r="W40" s="35"/>
      <c r="X40" s="35"/>
      <c r="Y40" s="35"/>
      <c r="Z40" s="35"/>
      <c r="AA40" s="35"/>
    </row>
    <row r="41" spans="1:27" ht="15">
      <c r="A41" s="65" t="s">
        <v>220</v>
      </c>
      <c r="B41" s="65" t="s">
        <v>212</v>
      </c>
      <c r="C41" s="66" t="s">
        <v>2113</v>
      </c>
      <c r="D41" s="67">
        <v>3</v>
      </c>
      <c r="E41" s="68"/>
      <c r="F41" s="69">
        <v>40</v>
      </c>
      <c r="G41" s="66"/>
      <c r="H41" s="70"/>
      <c r="I41" s="71"/>
      <c r="J41" s="71"/>
      <c r="K41" s="35" t="s">
        <v>65</v>
      </c>
      <c r="L41" s="79">
        <v>41</v>
      </c>
      <c r="M41" s="79"/>
      <c r="N41" s="73"/>
      <c r="O41" s="81" t="s">
        <v>292</v>
      </c>
      <c r="P41">
        <v>1</v>
      </c>
      <c r="Q41" s="80" t="str">
        <f>REPLACE(INDEX(GroupVertices[Group],MATCH(Edges[[#This Row],[Vertex 1]],GroupVertices[Vertex],0)),1,1,"")</f>
        <v>1</v>
      </c>
      <c r="R41" s="80" t="str">
        <f>REPLACE(INDEX(GroupVertices[Group],MATCH(Edges[[#This Row],[Vertex 2]],GroupVertices[Vertex],0)),1,1,"")</f>
        <v>1</v>
      </c>
      <c r="S41" s="35"/>
      <c r="T41" s="35"/>
      <c r="U41" s="35"/>
      <c r="V41" s="35"/>
      <c r="W41" s="35"/>
      <c r="X41" s="35"/>
      <c r="Y41" s="35"/>
      <c r="Z41" s="35"/>
      <c r="AA41" s="35"/>
    </row>
    <row r="42" spans="1:27" ht="15">
      <c r="A42" s="65" t="s">
        <v>221</v>
      </c>
      <c r="B42" s="65" t="s">
        <v>212</v>
      </c>
      <c r="C42" s="66" t="s">
        <v>2113</v>
      </c>
      <c r="D42" s="67">
        <v>3</v>
      </c>
      <c r="E42" s="68"/>
      <c r="F42" s="69">
        <v>40</v>
      </c>
      <c r="G42" s="66"/>
      <c r="H42" s="70"/>
      <c r="I42" s="71"/>
      <c r="J42" s="71"/>
      <c r="K42" s="35" t="s">
        <v>65</v>
      </c>
      <c r="L42" s="79">
        <v>42</v>
      </c>
      <c r="M42" s="79"/>
      <c r="N42" s="73"/>
      <c r="O42" s="81" t="s">
        <v>292</v>
      </c>
      <c r="P42">
        <v>1</v>
      </c>
      <c r="Q42" s="80" t="str">
        <f>REPLACE(INDEX(GroupVertices[Group],MATCH(Edges[[#This Row],[Vertex 1]],GroupVertices[Vertex],0)),1,1,"")</f>
        <v>1</v>
      </c>
      <c r="R42" s="80" t="str">
        <f>REPLACE(INDEX(GroupVertices[Group],MATCH(Edges[[#This Row],[Vertex 2]],GroupVertices[Vertex],0)),1,1,"")</f>
        <v>1</v>
      </c>
      <c r="S42" s="35"/>
      <c r="T42" s="35"/>
      <c r="U42" s="35"/>
      <c r="V42" s="35"/>
      <c r="W42" s="35"/>
      <c r="X42" s="35"/>
      <c r="Y42" s="35"/>
      <c r="Z42" s="35"/>
      <c r="AA42" s="35"/>
    </row>
    <row r="43" spans="1:27" ht="15">
      <c r="A43" s="65" t="s">
        <v>223</v>
      </c>
      <c r="B43" s="65" t="s">
        <v>212</v>
      </c>
      <c r="C43" s="66" t="s">
        <v>2113</v>
      </c>
      <c r="D43" s="67">
        <v>3</v>
      </c>
      <c r="E43" s="68"/>
      <c r="F43" s="69">
        <v>40</v>
      </c>
      <c r="G43" s="66"/>
      <c r="H43" s="70"/>
      <c r="I43" s="71"/>
      <c r="J43" s="71"/>
      <c r="K43" s="35" t="s">
        <v>65</v>
      </c>
      <c r="L43" s="79">
        <v>43</v>
      </c>
      <c r="M43" s="79"/>
      <c r="N43" s="73"/>
      <c r="O43" s="81" t="s">
        <v>292</v>
      </c>
      <c r="P43">
        <v>1</v>
      </c>
      <c r="Q43" s="80" t="str">
        <f>REPLACE(INDEX(GroupVertices[Group],MATCH(Edges[[#This Row],[Vertex 1]],GroupVertices[Vertex],0)),1,1,"")</f>
        <v>1</v>
      </c>
      <c r="R43" s="80" t="str">
        <f>REPLACE(INDEX(GroupVertices[Group],MATCH(Edges[[#This Row],[Vertex 2]],GroupVertices[Vertex],0)),1,1,"")</f>
        <v>1</v>
      </c>
      <c r="S43" s="35"/>
      <c r="T43" s="35"/>
      <c r="U43" s="35"/>
      <c r="V43" s="35"/>
      <c r="W43" s="35"/>
      <c r="X43" s="35"/>
      <c r="Y43" s="35"/>
      <c r="Z43" s="35"/>
      <c r="AA43" s="35"/>
    </row>
    <row r="44" spans="1:27" ht="15">
      <c r="A44" s="65" t="s">
        <v>224</v>
      </c>
      <c r="B44" s="65" t="s">
        <v>212</v>
      </c>
      <c r="C44" s="66" t="s">
        <v>2113</v>
      </c>
      <c r="D44" s="67">
        <v>3</v>
      </c>
      <c r="E44" s="68"/>
      <c r="F44" s="69">
        <v>40</v>
      </c>
      <c r="G44" s="66"/>
      <c r="H44" s="70"/>
      <c r="I44" s="71"/>
      <c r="J44" s="71"/>
      <c r="K44" s="35" t="s">
        <v>65</v>
      </c>
      <c r="L44" s="79">
        <v>44</v>
      </c>
      <c r="M44" s="79"/>
      <c r="N44" s="73"/>
      <c r="O44" s="81" t="s">
        <v>292</v>
      </c>
      <c r="P44">
        <v>1</v>
      </c>
      <c r="Q44" s="80" t="str">
        <f>REPLACE(INDEX(GroupVertices[Group],MATCH(Edges[[#This Row],[Vertex 1]],GroupVertices[Vertex],0)),1,1,"")</f>
        <v>1</v>
      </c>
      <c r="R44" s="80" t="str">
        <f>REPLACE(INDEX(GroupVertices[Group],MATCH(Edges[[#This Row],[Vertex 2]],GroupVertices[Vertex],0)),1,1,"")</f>
        <v>1</v>
      </c>
      <c r="S44" s="35"/>
      <c r="T44" s="35"/>
      <c r="U44" s="35"/>
      <c r="V44" s="35"/>
      <c r="W44" s="35"/>
      <c r="X44" s="35"/>
      <c r="Y44" s="35"/>
      <c r="Z44" s="35"/>
      <c r="AA44" s="35"/>
    </row>
    <row r="45" spans="1:27" ht="15">
      <c r="A45" s="65" t="s">
        <v>225</v>
      </c>
      <c r="B45" s="65" t="s">
        <v>212</v>
      </c>
      <c r="C45" s="66" t="s">
        <v>2113</v>
      </c>
      <c r="D45" s="67">
        <v>3</v>
      </c>
      <c r="E45" s="68"/>
      <c r="F45" s="69">
        <v>40</v>
      </c>
      <c r="G45" s="66"/>
      <c r="H45" s="70"/>
      <c r="I45" s="71"/>
      <c r="J45" s="71"/>
      <c r="K45" s="35" t="s">
        <v>65</v>
      </c>
      <c r="L45" s="79">
        <v>45</v>
      </c>
      <c r="M45" s="79"/>
      <c r="N45" s="73"/>
      <c r="O45" s="81" t="s">
        <v>292</v>
      </c>
      <c r="P45">
        <v>1</v>
      </c>
      <c r="Q45" s="80" t="str">
        <f>REPLACE(INDEX(GroupVertices[Group],MATCH(Edges[[#This Row],[Vertex 1]],GroupVertices[Vertex],0)),1,1,"")</f>
        <v>1</v>
      </c>
      <c r="R45" s="80" t="str">
        <f>REPLACE(INDEX(GroupVertices[Group],MATCH(Edges[[#This Row],[Vertex 2]],GroupVertices[Vertex],0)),1,1,"")</f>
        <v>1</v>
      </c>
      <c r="S45" s="35"/>
      <c r="T45" s="35"/>
      <c r="U45" s="35"/>
      <c r="V45" s="35"/>
      <c r="W45" s="35"/>
      <c r="X45" s="35"/>
      <c r="Y45" s="35"/>
      <c r="Z45" s="35"/>
      <c r="AA45" s="35"/>
    </row>
    <row r="46" spans="1:27" ht="15">
      <c r="A46" s="65" t="s">
        <v>240</v>
      </c>
      <c r="B46" s="65" t="s">
        <v>212</v>
      </c>
      <c r="C46" s="66" t="s">
        <v>2113</v>
      </c>
      <c r="D46" s="67">
        <v>3</v>
      </c>
      <c r="E46" s="68"/>
      <c r="F46" s="69">
        <v>40</v>
      </c>
      <c r="G46" s="66"/>
      <c r="H46" s="70"/>
      <c r="I46" s="71"/>
      <c r="J46" s="71"/>
      <c r="K46" s="35" t="s">
        <v>65</v>
      </c>
      <c r="L46" s="79">
        <v>46</v>
      </c>
      <c r="M46" s="79"/>
      <c r="N46" s="73"/>
      <c r="O46" s="81" t="s">
        <v>292</v>
      </c>
      <c r="P46">
        <v>1</v>
      </c>
      <c r="Q46" s="80" t="str">
        <f>REPLACE(INDEX(GroupVertices[Group],MATCH(Edges[[#This Row],[Vertex 1]],GroupVertices[Vertex],0)),1,1,"")</f>
        <v>1</v>
      </c>
      <c r="R46" s="80" t="str">
        <f>REPLACE(INDEX(GroupVertices[Group],MATCH(Edges[[#This Row],[Vertex 2]],GroupVertices[Vertex],0)),1,1,"")</f>
        <v>1</v>
      </c>
      <c r="S46" s="35"/>
      <c r="T46" s="35"/>
      <c r="U46" s="35"/>
      <c r="V46" s="35"/>
      <c r="W46" s="35"/>
      <c r="X46" s="35"/>
      <c r="Y46" s="35"/>
      <c r="Z46" s="35"/>
      <c r="AA46" s="35"/>
    </row>
    <row r="47" spans="1:27" ht="15">
      <c r="A47" s="65" t="s">
        <v>226</v>
      </c>
      <c r="B47" s="65" t="s">
        <v>212</v>
      </c>
      <c r="C47" s="66" t="s">
        <v>2113</v>
      </c>
      <c r="D47" s="67">
        <v>3</v>
      </c>
      <c r="E47" s="68"/>
      <c r="F47" s="69">
        <v>40</v>
      </c>
      <c r="G47" s="66"/>
      <c r="H47" s="70"/>
      <c r="I47" s="71"/>
      <c r="J47" s="71"/>
      <c r="K47" s="35" t="s">
        <v>65</v>
      </c>
      <c r="L47" s="79">
        <v>47</v>
      </c>
      <c r="M47" s="79"/>
      <c r="N47" s="73"/>
      <c r="O47" s="81" t="s">
        <v>292</v>
      </c>
      <c r="P47">
        <v>1</v>
      </c>
      <c r="Q47" s="80" t="str">
        <f>REPLACE(INDEX(GroupVertices[Group],MATCH(Edges[[#This Row],[Vertex 1]],GroupVertices[Vertex],0)),1,1,"")</f>
        <v>1</v>
      </c>
      <c r="R47" s="80" t="str">
        <f>REPLACE(INDEX(GroupVertices[Group],MATCH(Edges[[#This Row],[Vertex 2]],GroupVertices[Vertex],0)),1,1,"")</f>
        <v>1</v>
      </c>
      <c r="S47" s="35"/>
      <c r="T47" s="35"/>
      <c r="U47" s="35"/>
      <c r="V47" s="35"/>
      <c r="W47" s="35"/>
      <c r="X47" s="35"/>
      <c r="Y47" s="35"/>
      <c r="Z47" s="35"/>
      <c r="AA47" s="35"/>
    </row>
    <row r="48" spans="1:27" ht="15">
      <c r="A48" s="65" t="s">
        <v>227</v>
      </c>
      <c r="B48" s="65" t="s">
        <v>212</v>
      </c>
      <c r="C48" s="66" t="s">
        <v>2113</v>
      </c>
      <c r="D48" s="67">
        <v>3</v>
      </c>
      <c r="E48" s="68"/>
      <c r="F48" s="69">
        <v>40</v>
      </c>
      <c r="G48" s="66"/>
      <c r="H48" s="70"/>
      <c r="I48" s="71"/>
      <c r="J48" s="71"/>
      <c r="K48" s="35" t="s">
        <v>65</v>
      </c>
      <c r="L48" s="79">
        <v>48</v>
      </c>
      <c r="M48" s="79"/>
      <c r="N48" s="73"/>
      <c r="O48" s="81" t="s">
        <v>292</v>
      </c>
      <c r="P48">
        <v>1</v>
      </c>
      <c r="Q48" s="80" t="str">
        <f>REPLACE(INDEX(GroupVertices[Group],MATCH(Edges[[#This Row],[Vertex 1]],GroupVertices[Vertex],0)),1,1,"")</f>
        <v>1</v>
      </c>
      <c r="R48" s="80" t="str">
        <f>REPLACE(INDEX(GroupVertices[Group],MATCH(Edges[[#This Row],[Vertex 2]],GroupVertices[Vertex],0)),1,1,"")</f>
        <v>1</v>
      </c>
      <c r="S48" s="35"/>
      <c r="T48" s="35"/>
      <c r="U48" s="35"/>
      <c r="V48" s="35"/>
      <c r="W48" s="35"/>
      <c r="X48" s="35"/>
      <c r="Y48" s="35"/>
      <c r="Z48" s="35"/>
      <c r="AA48" s="35"/>
    </row>
    <row r="49" spans="1:27" ht="15">
      <c r="A49" s="65" t="s">
        <v>241</v>
      </c>
      <c r="B49" s="65" t="s">
        <v>212</v>
      </c>
      <c r="C49" s="66" t="s">
        <v>2113</v>
      </c>
      <c r="D49" s="67">
        <v>3</v>
      </c>
      <c r="E49" s="68"/>
      <c r="F49" s="69">
        <v>40</v>
      </c>
      <c r="G49" s="66"/>
      <c r="H49" s="70"/>
      <c r="I49" s="71"/>
      <c r="J49" s="71"/>
      <c r="K49" s="35" t="s">
        <v>65</v>
      </c>
      <c r="L49" s="79">
        <v>49</v>
      </c>
      <c r="M49" s="79"/>
      <c r="N49" s="73"/>
      <c r="O49" s="81" t="s">
        <v>292</v>
      </c>
      <c r="P49">
        <v>1</v>
      </c>
      <c r="Q49" s="80" t="str">
        <f>REPLACE(INDEX(GroupVertices[Group],MATCH(Edges[[#This Row],[Vertex 1]],GroupVertices[Vertex],0)),1,1,"")</f>
        <v>1</v>
      </c>
      <c r="R49" s="80" t="str">
        <f>REPLACE(INDEX(GroupVertices[Group],MATCH(Edges[[#This Row],[Vertex 2]],GroupVertices[Vertex],0)),1,1,"")</f>
        <v>1</v>
      </c>
      <c r="S49" s="35"/>
      <c r="T49" s="35"/>
      <c r="U49" s="35"/>
      <c r="V49" s="35"/>
      <c r="W49" s="35"/>
      <c r="X49" s="35"/>
      <c r="Y49" s="35"/>
      <c r="Z49" s="35"/>
      <c r="AA49" s="35"/>
    </row>
    <row r="50" spans="1:27" ht="15">
      <c r="A50" s="65" t="s">
        <v>228</v>
      </c>
      <c r="B50" s="65" t="s">
        <v>212</v>
      </c>
      <c r="C50" s="66" t="s">
        <v>2113</v>
      </c>
      <c r="D50" s="67">
        <v>3</v>
      </c>
      <c r="E50" s="68"/>
      <c r="F50" s="69">
        <v>40</v>
      </c>
      <c r="G50" s="66"/>
      <c r="H50" s="70"/>
      <c r="I50" s="71"/>
      <c r="J50" s="71"/>
      <c r="K50" s="35" t="s">
        <v>65</v>
      </c>
      <c r="L50" s="79">
        <v>50</v>
      </c>
      <c r="M50" s="79"/>
      <c r="N50" s="73"/>
      <c r="O50" s="81" t="s">
        <v>292</v>
      </c>
      <c r="P50">
        <v>1</v>
      </c>
      <c r="Q50" s="80" t="str">
        <f>REPLACE(INDEX(GroupVertices[Group],MATCH(Edges[[#This Row],[Vertex 1]],GroupVertices[Vertex],0)),1,1,"")</f>
        <v>1</v>
      </c>
      <c r="R50" s="80" t="str">
        <f>REPLACE(INDEX(GroupVertices[Group],MATCH(Edges[[#This Row],[Vertex 2]],GroupVertices[Vertex],0)),1,1,"")</f>
        <v>1</v>
      </c>
      <c r="S50" s="35"/>
      <c r="T50" s="35"/>
      <c r="U50" s="35"/>
      <c r="V50" s="35"/>
      <c r="W50" s="35"/>
      <c r="X50" s="35"/>
      <c r="Y50" s="35"/>
      <c r="Z50" s="35"/>
      <c r="AA50" s="35"/>
    </row>
    <row r="51" spans="1:27" ht="15">
      <c r="A51" s="65" t="s">
        <v>229</v>
      </c>
      <c r="B51" s="65" t="s">
        <v>212</v>
      </c>
      <c r="C51" s="66" t="s">
        <v>2113</v>
      </c>
      <c r="D51" s="67">
        <v>3</v>
      </c>
      <c r="E51" s="68"/>
      <c r="F51" s="69">
        <v>40</v>
      </c>
      <c r="G51" s="66"/>
      <c r="H51" s="70"/>
      <c r="I51" s="71"/>
      <c r="J51" s="71"/>
      <c r="K51" s="35" t="s">
        <v>65</v>
      </c>
      <c r="L51" s="79">
        <v>51</v>
      </c>
      <c r="M51" s="79"/>
      <c r="N51" s="73"/>
      <c r="O51" s="81" t="s">
        <v>292</v>
      </c>
      <c r="P51">
        <v>1</v>
      </c>
      <c r="Q51" s="80" t="str">
        <f>REPLACE(INDEX(GroupVertices[Group],MATCH(Edges[[#This Row],[Vertex 1]],GroupVertices[Vertex],0)),1,1,"")</f>
        <v>1</v>
      </c>
      <c r="R51" s="80" t="str">
        <f>REPLACE(INDEX(GroupVertices[Group],MATCH(Edges[[#This Row],[Vertex 2]],GroupVertices[Vertex],0)),1,1,"")</f>
        <v>1</v>
      </c>
      <c r="S51" s="35"/>
      <c r="T51" s="35"/>
      <c r="U51" s="35"/>
      <c r="V51" s="35"/>
      <c r="W51" s="35"/>
      <c r="X51" s="35"/>
      <c r="Y51" s="35"/>
      <c r="Z51" s="35"/>
      <c r="AA51" s="35"/>
    </row>
    <row r="52" spans="1:27" ht="15">
      <c r="A52" s="65" t="s">
        <v>230</v>
      </c>
      <c r="B52" s="65" t="s">
        <v>212</v>
      </c>
      <c r="C52" s="66" t="s">
        <v>2113</v>
      </c>
      <c r="D52" s="67">
        <v>3</v>
      </c>
      <c r="E52" s="68"/>
      <c r="F52" s="69">
        <v>40</v>
      </c>
      <c r="G52" s="66"/>
      <c r="H52" s="70"/>
      <c r="I52" s="71"/>
      <c r="J52" s="71"/>
      <c r="K52" s="35" t="s">
        <v>65</v>
      </c>
      <c r="L52" s="79">
        <v>52</v>
      </c>
      <c r="M52" s="79"/>
      <c r="N52" s="73"/>
      <c r="O52" s="81" t="s">
        <v>292</v>
      </c>
      <c r="P52">
        <v>1</v>
      </c>
      <c r="Q52" s="80" t="str">
        <f>REPLACE(INDEX(GroupVertices[Group],MATCH(Edges[[#This Row],[Vertex 1]],GroupVertices[Vertex],0)),1,1,"")</f>
        <v>1</v>
      </c>
      <c r="R52" s="80" t="str">
        <f>REPLACE(INDEX(GroupVertices[Group],MATCH(Edges[[#This Row],[Vertex 2]],GroupVertices[Vertex],0)),1,1,"")</f>
        <v>1</v>
      </c>
      <c r="S52" s="35"/>
      <c r="T52" s="35"/>
      <c r="U52" s="35"/>
      <c r="V52" s="35"/>
      <c r="W52" s="35"/>
      <c r="X52" s="35"/>
      <c r="Y52" s="35"/>
      <c r="Z52" s="35"/>
      <c r="AA52" s="35"/>
    </row>
    <row r="53" spans="1:27" ht="15">
      <c r="A53" s="65" t="s">
        <v>231</v>
      </c>
      <c r="B53" s="65" t="s">
        <v>212</v>
      </c>
      <c r="C53" s="66" t="s">
        <v>2113</v>
      </c>
      <c r="D53" s="67">
        <v>3</v>
      </c>
      <c r="E53" s="68"/>
      <c r="F53" s="69">
        <v>40</v>
      </c>
      <c r="G53" s="66"/>
      <c r="H53" s="70"/>
      <c r="I53" s="71"/>
      <c r="J53" s="71"/>
      <c r="K53" s="35" t="s">
        <v>65</v>
      </c>
      <c r="L53" s="79">
        <v>53</v>
      </c>
      <c r="M53" s="79"/>
      <c r="N53" s="73"/>
      <c r="O53" s="81" t="s">
        <v>292</v>
      </c>
      <c r="P53">
        <v>1</v>
      </c>
      <c r="Q53" s="80" t="str">
        <f>REPLACE(INDEX(GroupVertices[Group],MATCH(Edges[[#This Row],[Vertex 1]],GroupVertices[Vertex],0)),1,1,"")</f>
        <v>1</v>
      </c>
      <c r="R53" s="80" t="str">
        <f>REPLACE(INDEX(GroupVertices[Group],MATCH(Edges[[#This Row],[Vertex 2]],GroupVertices[Vertex],0)),1,1,"")</f>
        <v>1</v>
      </c>
      <c r="S53" s="35"/>
      <c r="T53" s="35"/>
      <c r="U53" s="35"/>
      <c r="V53" s="35"/>
      <c r="W53" s="35"/>
      <c r="X53" s="35"/>
      <c r="Y53" s="35"/>
      <c r="Z53" s="35"/>
      <c r="AA53" s="35"/>
    </row>
    <row r="54" spans="1:27" ht="15">
      <c r="A54" s="65" t="s">
        <v>242</v>
      </c>
      <c r="B54" s="65" t="s">
        <v>212</v>
      </c>
      <c r="C54" s="66" t="s">
        <v>2113</v>
      </c>
      <c r="D54" s="67">
        <v>3</v>
      </c>
      <c r="E54" s="68"/>
      <c r="F54" s="69">
        <v>40</v>
      </c>
      <c r="G54" s="66"/>
      <c r="H54" s="70"/>
      <c r="I54" s="71"/>
      <c r="J54" s="71"/>
      <c r="K54" s="35" t="s">
        <v>65</v>
      </c>
      <c r="L54" s="79">
        <v>54</v>
      </c>
      <c r="M54" s="79"/>
      <c r="N54" s="73"/>
      <c r="O54" s="81" t="s">
        <v>292</v>
      </c>
      <c r="P54">
        <v>1</v>
      </c>
      <c r="Q54" s="80" t="str">
        <f>REPLACE(INDEX(GroupVertices[Group],MATCH(Edges[[#This Row],[Vertex 1]],GroupVertices[Vertex],0)),1,1,"")</f>
        <v>1</v>
      </c>
      <c r="R54" s="80" t="str">
        <f>REPLACE(INDEX(GroupVertices[Group],MATCH(Edges[[#This Row],[Vertex 2]],GroupVertices[Vertex],0)),1,1,"")</f>
        <v>1</v>
      </c>
      <c r="S54" s="35"/>
      <c r="T54" s="35"/>
      <c r="U54" s="35"/>
      <c r="V54" s="35"/>
      <c r="W54" s="35"/>
      <c r="X54" s="35"/>
      <c r="Y54" s="35"/>
      <c r="Z54" s="35"/>
      <c r="AA54" s="35"/>
    </row>
    <row r="55" spans="1:27" ht="15">
      <c r="A55" s="65" t="s">
        <v>232</v>
      </c>
      <c r="B55" s="65" t="s">
        <v>212</v>
      </c>
      <c r="C55" s="66" t="s">
        <v>2113</v>
      </c>
      <c r="D55" s="67">
        <v>3</v>
      </c>
      <c r="E55" s="68"/>
      <c r="F55" s="69">
        <v>40</v>
      </c>
      <c r="G55" s="66"/>
      <c r="H55" s="70"/>
      <c r="I55" s="71"/>
      <c r="J55" s="71"/>
      <c r="K55" s="35" t="s">
        <v>65</v>
      </c>
      <c r="L55" s="79">
        <v>55</v>
      </c>
      <c r="M55" s="79"/>
      <c r="N55" s="73"/>
      <c r="O55" s="81" t="s">
        <v>292</v>
      </c>
      <c r="P55">
        <v>1</v>
      </c>
      <c r="Q55" s="80" t="str">
        <f>REPLACE(INDEX(GroupVertices[Group],MATCH(Edges[[#This Row],[Vertex 1]],GroupVertices[Vertex],0)),1,1,"")</f>
        <v>2</v>
      </c>
      <c r="R55" s="80" t="str">
        <f>REPLACE(INDEX(GroupVertices[Group],MATCH(Edges[[#This Row],[Vertex 2]],GroupVertices[Vertex],0)),1,1,"")</f>
        <v>1</v>
      </c>
      <c r="S55" s="35"/>
      <c r="T55" s="35"/>
      <c r="U55" s="35"/>
      <c r="V55" s="35"/>
      <c r="W55" s="35"/>
      <c r="X55" s="35"/>
      <c r="Y55" s="35"/>
      <c r="Z55" s="35"/>
      <c r="AA55" s="35"/>
    </row>
    <row r="56" spans="1:27" ht="15">
      <c r="A56" s="65" t="s">
        <v>233</v>
      </c>
      <c r="B56" s="65" t="s">
        <v>212</v>
      </c>
      <c r="C56" s="66" t="s">
        <v>2113</v>
      </c>
      <c r="D56" s="67">
        <v>3</v>
      </c>
      <c r="E56" s="68"/>
      <c r="F56" s="69">
        <v>40</v>
      </c>
      <c r="G56" s="66"/>
      <c r="H56" s="70"/>
      <c r="I56" s="71"/>
      <c r="J56" s="71"/>
      <c r="K56" s="35" t="s">
        <v>65</v>
      </c>
      <c r="L56" s="79">
        <v>56</v>
      </c>
      <c r="M56" s="79"/>
      <c r="N56" s="73"/>
      <c r="O56" s="81" t="s">
        <v>292</v>
      </c>
      <c r="P56">
        <v>1</v>
      </c>
      <c r="Q56" s="80" t="str">
        <f>REPLACE(INDEX(GroupVertices[Group],MATCH(Edges[[#This Row],[Vertex 1]],GroupVertices[Vertex],0)),1,1,"")</f>
        <v>1</v>
      </c>
      <c r="R56" s="80" t="str">
        <f>REPLACE(INDEX(GroupVertices[Group],MATCH(Edges[[#This Row],[Vertex 2]],GroupVertices[Vertex],0)),1,1,"")</f>
        <v>1</v>
      </c>
      <c r="S56" s="35"/>
      <c r="T56" s="35"/>
      <c r="U56" s="35"/>
      <c r="V56" s="35"/>
      <c r="W56" s="35"/>
      <c r="X56" s="35"/>
      <c r="Y56" s="35"/>
      <c r="Z56" s="35"/>
      <c r="AA56" s="35"/>
    </row>
    <row r="57" spans="1:27" ht="15">
      <c r="A57" s="65" t="s">
        <v>234</v>
      </c>
      <c r="B57" s="65" t="s">
        <v>212</v>
      </c>
      <c r="C57" s="66" t="s">
        <v>2113</v>
      </c>
      <c r="D57" s="67">
        <v>3</v>
      </c>
      <c r="E57" s="68"/>
      <c r="F57" s="69">
        <v>40</v>
      </c>
      <c r="G57" s="66"/>
      <c r="H57" s="70"/>
      <c r="I57" s="71"/>
      <c r="J57" s="71"/>
      <c r="K57" s="35" t="s">
        <v>65</v>
      </c>
      <c r="L57" s="79">
        <v>57</v>
      </c>
      <c r="M57" s="79"/>
      <c r="N57" s="73"/>
      <c r="O57" s="81" t="s">
        <v>292</v>
      </c>
      <c r="P57">
        <v>1</v>
      </c>
      <c r="Q57" s="80" t="str">
        <f>REPLACE(INDEX(GroupVertices[Group],MATCH(Edges[[#This Row],[Vertex 1]],GroupVertices[Vertex],0)),1,1,"")</f>
        <v>1</v>
      </c>
      <c r="R57" s="80" t="str">
        <f>REPLACE(INDEX(GroupVertices[Group],MATCH(Edges[[#This Row],[Vertex 2]],GroupVertices[Vertex],0)),1,1,"")</f>
        <v>1</v>
      </c>
      <c r="S57" s="35"/>
      <c r="T57" s="35"/>
      <c r="U57" s="35"/>
      <c r="V57" s="35"/>
      <c r="W57" s="35"/>
      <c r="X57" s="35"/>
      <c r="Y57" s="35"/>
      <c r="Z57" s="35"/>
      <c r="AA57" s="35"/>
    </row>
    <row r="58" spans="1:27" ht="15">
      <c r="A58" s="65" t="s">
        <v>235</v>
      </c>
      <c r="B58" s="65" t="s">
        <v>212</v>
      </c>
      <c r="C58" s="66" t="s">
        <v>2113</v>
      </c>
      <c r="D58" s="67">
        <v>3</v>
      </c>
      <c r="E58" s="68"/>
      <c r="F58" s="69">
        <v>40</v>
      </c>
      <c r="G58" s="66"/>
      <c r="H58" s="70"/>
      <c r="I58" s="71"/>
      <c r="J58" s="71"/>
      <c r="K58" s="35" t="s">
        <v>65</v>
      </c>
      <c r="L58" s="79">
        <v>58</v>
      </c>
      <c r="M58" s="79"/>
      <c r="N58" s="73"/>
      <c r="O58" s="81" t="s">
        <v>292</v>
      </c>
      <c r="P58">
        <v>1</v>
      </c>
      <c r="Q58" s="80" t="str">
        <f>REPLACE(INDEX(GroupVertices[Group],MATCH(Edges[[#This Row],[Vertex 1]],GroupVertices[Vertex],0)),1,1,"")</f>
        <v>1</v>
      </c>
      <c r="R58" s="80" t="str">
        <f>REPLACE(INDEX(GroupVertices[Group],MATCH(Edges[[#This Row],[Vertex 2]],GroupVertices[Vertex],0)),1,1,"")</f>
        <v>1</v>
      </c>
      <c r="S58" s="35"/>
      <c r="T58" s="35"/>
      <c r="U58" s="35"/>
      <c r="V58" s="35"/>
      <c r="W58" s="35"/>
      <c r="X58" s="35"/>
      <c r="Y58" s="35"/>
      <c r="Z58" s="35"/>
      <c r="AA58" s="35"/>
    </row>
    <row r="59" spans="1:27" ht="15">
      <c r="A59" s="65" t="s">
        <v>236</v>
      </c>
      <c r="B59" s="65" t="s">
        <v>212</v>
      </c>
      <c r="C59" s="66" t="s">
        <v>2113</v>
      </c>
      <c r="D59" s="67">
        <v>3</v>
      </c>
      <c r="E59" s="68"/>
      <c r="F59" s="69">
        <v>40</v>
      </c>
      <c r="G59" s="66"/>
      <c r="H59" s="70"/>
      <c r="I59" s="71"/>
      <c r="J59" s="71"/>
      <c r="K59" s="35" t="s">
        <v>65</v>
      </c>
      <c r="L59" s="79">
        <v>59</v>
      </c>
      <c r="M59" s="79"/>
      <c r="N59" s="73"/>
      <c r="O59" s="81" t="s">
        <v>293</v>
      </c>
      <c r="P59">
        <v>1</v>
      </c>
      <c r="Q59" s="80" t="str">
        <f>REPLACE(INDEX(GroupVertices[Group],MATCH(Edges[[#This Row],[Vertex 1]],GroupVertices[Vertex],0)),1,1,"")</f>
        <v>2</v>
      </c>
      <c r="R59" s="80" t="str">
        <f>REPLACE(INDEX(GroupVertices[Group],MATCH(Edges[[#This Row],[Vertex 2]],GroupVertices[Vertex],0)),1,1,"")</f>
        <v>1</v>
      </c>
      <c r="S59" s="35"/>
      <c r="T59" s="35"/>
      <c r="U59" s="35"/>
      <c r="V59" s="35"/>
      <c r="W59" s="35"/>
      <c r="X59" s="35"/>
      <c r="Y59" s="35"/>
      <c r="Z59" s="35"/>
      <c r="AA59" s="35"/>
    </row>
    <row r="60" spans="1:27" ht="15">
      <c r="A60" s="65" t="s">
        <v>243</v>
      </c>
      <c r="B60" s="65" t="s">
        <v>278</v>
      </c>
      <c r="C60" s="66" t="s">
        <v>2113</v>
      </c>
      <c r="D60" s="67">
        <v>3</v>
      </c>
      <c r="E60" s="68"/>
      <c r="F60" s="69">
        <v>40</v>
      </c>
      <c r="G60" s="66"/>
      <c r="H60" s="70"/>
      <c r="I60" s="71"/>
      <c r="J60" s="71"/>
      <c r="K60" s="35" t="s">
        <v>65</v>
      </c>
      <c r="L60" s="79">
        <v>60</v>
      </c>
      <c r="M60" s="79"/>
      <c r="N60" s="73"/>
      <c r="O60" s="81" t="s">
        <v>292</v>
      </c>
      <c r="P60">
        <v>1</v>
      </c>
      <c r="Q60" s="80" t="str">
        <f>REPLACE(INDEX(GroupVertices[Group],MATCH(Edges[[#This Row],[Vertex 1]],GroupVertices[Vertex],0)),1,1,"")</f>
        <v>1</v>
      </c>
      <c r="R60" s="80" t="str">
        <f>REPLACE(INDEX(GroupVertices[Group],MATCH(Edges[[#This Row],[Vertex 2]],GroupVertices[Vertex],0)),1,1,"")</f>
        <v>2</v>
      </c>
      <c r="S60" s="35"/>
      <c r="T60" s="35"/>
      <c r="U60" s="35"/>
      <c r="V60" s="35"/>
      <c r="W60" s="35"/>
      <c r="X60" s="35"/>
      <c r="Y60" s="35"/>
      <c r="Z60" s="35"/>
      <c r="AA60" s="35"/>
    </row>
    <row r="61" spans="1:27" ht="15">
      <c r="A61" s="65" t="s">
        <v>236</v>
      </c>
      <c r="B61" s="65" t="s">
        <v>278</v>
      </c>
      <c r="C61" s="66" t="s">
        <v>2113</v>
      </c>
      <c r="D61" s="67">
        <v>3</v>
      </c>
      <c r="E61" s="68"/>
      <c r="F61" s="69">
        <v>40</v>
      </c>
      <c r="G61" s="66"/>
      <c r="H61" s="70"/>
      <c r="I61" s="71"/>
      <c r="J61" s="71"/>
      <c r="K61" s="35" t="s">
        <v>65</v>
      </c>
      <c r="L61" s="79">
        <v>61</v>
      </c>
      <c r="M61" s="79"/>
      <c r="N61" s="73"/>
      <c r="O61" s="81" t="s">
        <v>293</v>
      </c>
      <c r="P61">
        <v>1</v>
      </c>
      <c r="Q61" s="80" t="str">
        <f>REPLACE(INDEX(GroupVertices[Group],MATCH(Edges[[#This Row],[Vertex 1]],GroupVertices[Vertex],0)),1,1,"")</f>
        <v>2</v>
      </c>
      <c r="R61" s="80" t="str">
        <f>REPLACE(INDEX(GroupVertices[Group],MATCH(Edges[[#This Row],[Vertex 2]],GroupVertices[Vertex],0)),1,1,"")</f>
        <v>2</v>
      </c>
      <c r="S61" s="35"/>
      <c r="T61" s="35"/>
      <c r="U61" s="35"/>
      <c r="V61" s="35"/>
      <c r="W61" s="35"/>
      <c r="X61" s="35"/>
      <c r="Y61" s="35"/>
      <c r="Z61" s="35"/>
      <c r="AA61" s="35"/>
    </row>
    <row r="62" spans="1:27" ht="15">
      <c r="A62" s="65" t="s">
        <v>213</v>
      </c>
      <c r="B62" s="65" t="s">
        <v>239</v>
      </c>
      <c r="C62" s="66" t="s">
        <v>2113</v>
      </c>
      <c r="D62" s="67">
        <v>3</v>
      </c>
      <c r="E62" s="68"/>
      <c r="F62" s="69">
        <v>40</v>
      </c>
      <c r="G62" s="66"/>
      <c r="H62" s="70"/>
      <c r="I62" s="71"/>
      <c r="J62" s="71"/>
      <c r="K62" s="35" t="s">
        <v>65</v>
      </c>
      <c r="L62" s="79">
        <v>62</v>
      </c>
      <c r="M62" s="79"/>
      <c r="N62" s="73"/>
      <c r="O62" s="81" t="s">
        <v>292</v>
      </c>
      <c r="P62">
        <v>1</v>
      </c>
      <c r="Q62" s="80" t="str">
        <f>REPLACE(INDEX(GroupVertices[Group],MATCH(Edges[[#This Row],[Vertex 1]],GroupVertices[Vertex],0)),1,1,"")</f>
        <v>1</v>
      </c>
      <c r="R62" s="80" t="str">
        <f>REPLACE(INDEX(GroupVertices[Group],MATCH(Edges[[#This Row],[Vertex 2]],GroupVertices[Vertex],0)),1,1,"")</f>
        <v>1</v>
      </c>
      <c r="S62" s="35"/>
      <c r="T62" s="35"/>
      <c r="U62" s="35"/>
      <c r="V62" s="35"/>
      <c r="W62" s="35"/>
      <c r="X62" s="35"/>
      <c r="Y62" s="35"/>
      <c r="Z62" s="35"/>
      <c r="AA62" s="35"/>
    </row>
    <row r="63" spans="1:27" ht="15">
      <c r="A63" s="65" t="s">
        <v>214</v>
      </c>
      <c r="B63" s="65" t="s">
        <v>239</v>
      </c>
      <c r="C63" s="66" t="s">
        <v>2113</v>
      </c>
      <c r="D63" s="67">
        <v>3</v>
      </c>
      <c r="E63" s="68"/>
      <c r="F63" s="69">
        <v>40</v>
      </c>
      <c r="G63" s="66"/>
      <c r="H63" s="70"/>
      <c r="I63" s="71"/>
      <c r="J63" s="71"/>
      <c r="K63" s="35" t="s">
        <v>65</v>
      </c>
      <c r="L63" s="79">
        <v>63</v>
      </c>
      <c r="M63" s="79"/>
      <c r="N63" s="73"/>
      <c r="O63" s="81" t="s">
        <v>292</v>
      </c>
      <c r="P63">
        <v>1</v>
      </c>
      <c r="Q63" s="80" t="str">
        <f>REPLACE(INDEX(GroupVertices[Group],MATCH(Edges[[#This Row],[Vertex 1]],GroupVertices[Vertex],0)),1,1,"")</f>
        <v>1</v>
      </c>
      <c r="R63" s="80" t="str">
        <f>REPLACE(INDEX(GroupVertices[Group],MATCH(Edges[[#This Row],[Vertex 2]],GroupVertices[Vertex],0)),1,1,"")</f>
        <v>1</v>
      </c>
      <c r="S63" s="35"/>
      <c r="T63" s="35"/>
      <c r="U63" s="35"/>
      <c r="V63" s="35"/>
      <c r="W63" s="35"/>
      <c r="X63" s="35"/>
      <c r="Y63" s="35"/>
      <c r="Z63" s="35"/>
      <c r="AA63" s="35"/>
    </row>
    <row r="64" spans="1:27" ht="15">
      <c r="A64" s="65" t="s">
        <v>215</v>
      </c>
      <c r="B64" s="65" t="s">
        <v>239</v>
      </c>
      <c r="C64" s="66" t="s">
        <v>2113</v>
      </c>
      <c r="D64" s="67">
        <v>3</v>
      </c>
      <c r="E64" s="68"/>
      <c r="F64" s="69">
        <v>40</v>
      </c>
      <c r="G64" s="66"/>
      <c r="H64" s="70"/>
      <c r="I64" s="71"/>
      <c r="J64" s="71"/>
      <c r="K64" s="35" t="s">
        <v>65</v>
      </c>
      <c r="L64" s="79">
        <v>64</v>
      </c>
      <c r="M64" s="79"/>
      <c r="N64" s="73"/>
      <c r="O64" s="81" t="s">
        <v>292</v>
      </c>
      <c r="P64">
        <v>1</v>
      </c>
      <c r="Q64" s="80" t="str">
        <f>REPLACE(INDEX(GroupVertices[Group],MATCH(Edges[[#This Row],[Vertex 1]],GroupVertices[Vertex],0)),1,1,"")</f>
        <v>1</v>
      </c>
      <c r="R64" s="80" t="str">
        <f>REPLACE(INDEX(GroupVertices[Group],MATCH(Edges[[#This Row],[Vertex 2]],GroupVertices[Vertex],0)),1,1,"")</f>
        <v>1</v>
      </c>
      <c r="S64" s="35"/>
      <c r="T64" s="35"/>
      <c r="U64" s="35"/>
      <c r="V64" s="35"/>
      <c r="W64" s="35"/>
      <c r="X64" s="35"/>
      <c r="Y64" s="35"/>
      <c r="Z64" s="35"/>
      <c r="AA64" s="35"/>
    </row>
    <row r="65" spans="1:27" ht="15">
      <c r="A65" s="65" t="s">
        <v>216</v>
      </c>
      <c r="B65" s="65" t="s">
        <v>239</v>
      </c>
      <c r="C65" s="66" t="s">
        <v>2113</v>
      </c>
      <c r="D65" s="67">
        <v>3</v>
      </c>
      <c r="E65" s="68"/>
      <c r="F65" s="69">
        <v>40</v>
      </c>
      <c r="G65" s="66"/>
      <c r="H65" s="70"/>
      <c r="I65" s="71"/>
      <c r="J65" s="71"/>
      <c r="K65" s="35" t="s">
        <v>65</v>
      </c>
      <c r="L65" s="79">
        <v>65</v>
      </c>
      <c r="M65" s="79"/>
      <c r="N65" s="73"/>
      <c r="O65" s="81" t="s">
        <v>292</v>
      </c>
      <c r="P65">
        <v>1</v>
      </c>
      <c r="Q65" s="80" t="str">
        <f>REPLACE(INDEX(GroupVertices[Group],MATCH(Edges[[#This Row],[Vertex 1]],GroupVertices[Vertex],0)),1,1,"")</f>
        <v>1</v>
      </c>
      <c r="R65" s="80" t="str">
        <f>REPLACE(INDEX(GroupVertices[Group],MATCH(Edges[[#This Row],[Vertex 2]],GroupVertices[Vertex],0)),1,1,"")</f>
        <v>1</v>
      </c>
      <c r="S65" s="35"/>
      <c r="T65" s="35"/>
      <c r="U65" s="35"/>
      <c r="V65" s="35"/>
      <c r="W65" s="35"/>
      <c r="X65" s="35"/>
      <c r="Y65" s="35"/>
      <c r="Z65" s="35"/>
      <c r="AA65" s="35"/>
    </row>
    <row r="66" spans="1:27" ht="15">
      <c r="A66" s="65" t="s">
        <v>217</v>
      </c>
      <c r="B66" s="65" t="s">
        <v>239</v>
      </c>
      <c r="C66" s="66" t="s">
        <v>2113</v>
      </c>
      <c r="D66" s="67">
        <v>3</v>
      </c>
      <c r="E66" s="68"/>
      <c r="F66" s="69">
        <v>40</v>
      </c>
      <c r="G66" s="66"/>
      <c r="H66" s="70"/>
      <c r="I66" s="71"/>
      <c r="J66" s="71"/>
      <c r="K66" s="35" t="s">
        <v>65</v>
      </c>
      <c r="L66" s="79">
        <v>66</v>
      </c>
      <c r="M66" s="79"/>
      <c r="N66" s="73"/>
      <c r="O66" s="81" t="s">
        <v>292</v>
      </c>
      <c r="P66">
        <v>1</v>
      </c>
      <c r="Q66" s="80" t="str">
        <f>REPLACE(INDEX(GroupVertices[Group],MATCH(Edges[[#This Row],[Vertex 1]],GroupVertices[Vertex],0)),1,1,"")</f>
        <v>1</v>
      </c>
      <c r="R66" s="80" t="str">
        <f>REPLACE(INDEX(GroupVertices[Group],MATCH(Edges[[#This Row],[Vertex 2]],GroupVertices[Vertex],0)),1,1,"")</f>
        <v>1</v>
      </c>
      <c r="S66" s="35"/>
      <c r="T66" s="35"/>
      <c r="U66" s="35"/>
      <c r="V66" s="35"/>
      <c r="W66" s="35"/>
      <c r="X66" s="35"/>
      <c r="Y66" s="35"/>
      <c r="Z66" s="35"/>
      <c r="AA66" s="35"/>
    </row>
    <row r="67" spans="1:27" ht="15">
      <c r="A67" s="65" t="s">
        <v>218</v>
      </c>
      <c r="B67" s="65" t="s">
        <v>239</v>
      </c>
      <c r="C67" s="66" t="s">
        <v>2113</v>
      </c>
      <c r="D67" s="67">
        <v>3</v>
      </c>
      <c r="E67" s="68"/>
      <c r="F67" s="69">
        <v>40</v>
      </c>
      <c r="G67" s="66"/>
      <c r="H67" s="70"/>
      <c r="I67" s="71"/>
      <c r="J67" s="71"/>
      <c r="K67" s="35" t="s">
        <v>65</v>
      </c>
      <c r="L67" s="79">
        <v>67</v>
      </c>
      <c r="M67" s="79"/>
      <c r="N67" s="73"/>
      <c r="O67" s="81" t="s">
        <v>292</v>
      </c>
      <c r="P67">
        <v>1</v>
      </c>
      <c r="Q67" s="80" t="str">
        <f>REPLACE(INDEX(GroupVertices[Group],MATCH(Edges[[#This Row],[Vertex 1]],GroupVertices[Vertex],0)),1,1,"")</f>
        <v>1</v>
      </c>
      <c r="R67" s="80" t="str">
        <f>REPLACE(INDEX(GroupVertices[Group],MATCH(Edges[[#This Row],[Vertex 2]],GroupVertices[Vertex],0)),1,1,"")</f>
        <v>1</v>
      </c>
      <c r="S67" s="35"/>
      <c r="T67" s="35"/>
      <c r="U67" s="35"/>
      <c r="V67" s="35"/>
      <c r="W67" s="35"/>
      <c r="X67" s="35"/>
      <c r="Y67" s="35"/>
      <c r="Z67" s="35"/>
      <c r="AA67" s="35"/>
    </row>
    <row r="68" spans="1:27" ht="15">
      <c r="A68" s="65" t="s">
        <v>219</v>
      </c>
      <c r="B68" s="65" t="s">
        <v>239</v>
      </c>
      <c r="C68" s="66" t="s">
        <v>2113</v>
      </c>
      <c r="D68" s="67">
        <v>3</v>
      </c>
      <c r="E68" s="68"/>
      <c r="F68" s="69">
        <v>40</v>
      </c>
      <c r="G68" s="66"/>
      <c r="H68" s="70"/>
      <c r="I68" s="71"/>
      <c r="J68" s="71"/>
      <c r="K68" s="35" t="s">
        <v>65</v>
      </c>
      <c r="L68" s="79">
        <v>68</v>
      </c>
      <c r="M68" s="79"/>
      <c r="N68" s="73"/>
      <c r="O68" s="81" t="s">
        <v>292</v>
      </c>
      <c r="P68">
        <v>1</v>
      </c>
      <c r="Q68" s="80" t="str">
        <f>REPLACE(INDEX(GroupVertices[Group],MATCH(Edges[[#This Row],[Vertex 1]],GroupVertices[Vertex],0)),1,1,"")</f>
        <v>1</v>
      </c>
      <c r="R68" s="80" t="str">
        <f>REPLACE(INDEX(GroupVertices[Group],MATCH(Edges[[#This Row],[Vertex 2]],GroupVertices[Vertex],0)),1,1,"")</f>
        <v>1</v>
      </c>
      <c r="S68" s="35"/>
      <c r="T68" s="35"/>
      <c r="U68" s="35"/>
      <c r="V68" s="35"/>
      <c r="W68" s="35"/>
      <c r="X68" s="35"/>
      <c r="Y68" s="35"/>
      <c r="Z68" s="35"/>
      <c r="AA68" s="35"/>
    </row>
    <row r="69" spans="1:27" ht="15">
      <c r="A69" s="65" t="s">
        <v>221</v>
      </c>
      <c r="B69" s="65" t="s">
        <v>239</v>
      </c>
      <c r="C69" s="66" t="s">
        <v>2113</v>
      </c>
      <c r="D69" s="67">
        <v>3</v>
      </c>
      <c r="E69" s="68"/>
      <c r="F69" s="69">
        <v>40</v>
      </c>
      <c r="G69" s="66"/>
      <c r="H69" s="70"/>
      <c r="I69" s="71"/>
      <c r="J69" s="71"/>
      <c r="K69" s="35" t="s">
        <v>65</v>
      </c>
      <c r="L69" s="79">
        <v>69</v>
      </c>
      <c r="M69" s="79"/>
      <c r="N69" s="73"/>
      <c r="O69" s="81" t="s">
        <v>292</v>
      </c>
      <c r="P69">
        <v>1</v>
      </c>
      <c r="Q69" s="80" t="str">
        <f>REPLACE(INDEX(GroupVertices[Group],MATCH(Edges[[#This Row],[Vertex 1]],GroupVertices[Vertex],0)),1,1,"")</f>
        <v>1</v>
      </c>
      <c r="R69" s="80" t="str">
        <f>REPLACE(INDEX(GroupVertices[Group],MATCH(Edges[[#This Row],[Vertex 2]],GroupVertices[Vertex],0)),1,1,"")</f>
        <v>1</v>
      </c>
      <c r="S69" s="35"/>
      <c r="T69" s="35"/>
      <c r="U69" s="35"/>
      <c r="V69" s="35"/>
      <c r="W69" s="35"/>
      <c r="X69" s="35"/>
      <c r="Y69" s="35"/>
      <c r="Z69" s="35"/>
      <c r="AA69" s="35"/>
    </row>
    <row r="70" spans="1:27" ht="15">
      <c r="A70" s="65" t="s">
        <v>223</v>
      </c>
      <c r="B70" s="65" t="s">
        <v>239</v>
      </c>
      <c r="C70" s="66" t="s">
        <v>2113</v>
      </c>
      <c r="D70" s="67">
        <v>3</v>
      </c>
      <c r="E70" s="68"/>
      <c r="F70" s="69">
        <v>40</v>
      </c>
      <c r="G70" s="66"/>
      <c r="H70" s="70"/>
      <c r="I70" s="71"/>
      <c r="J70" s="71"/>
      <c r="K70" s="35" t="s">
        <v>65</v>
      </c>
      <c r="L70" s="79">
        <v>70</v>
      </c>
      <c r="M70" s="79"/>
      <c r="N70" s="73"/>
      <c r="O70" s="81" t="s">
        <v>292</v>
      </c>
      <c r="P70">
        <v>1</v>
      </c>
      <c r="Q70" s="80" t="str">
        <f>REPLACE(INDEX(GroupVertices[Group],MATCH(Edges[[#This Row],[Vertex 1]],GroupVertices[Vertex],0)),1,1,"")</f>
        <v>1</v>
      </c>
      <c r="R70" s="80" t="str">
        <f>REPLACE(INDEX(GroupVertices[Group],MATCH(Edges[[#This Row],[Vertex 2]],GroupVertices[Vertex],0)),1,1,"")</f>
        <v>1</v>
      </c>
      <c r="S70" s="35"/>
      <c r="T70" s="35"/>
      <c r="U70" s="35"/>
      <c r="V70" s="35"/>
      <c r="W70" s="35"/>
      <c r="X70" s="35"/>
      <c r="Y70" s="35"/>
      <c r="Z70" s="35"/>
      <c r="AA70" s="35"/>
    </row>
    <row r="71" spans="1:27" ht="15">
      <c r="A71" s="65" t="s">
        <v>224</v>
      </c>
      <c r="B71" s="65" t="s">
        <v>239</v>
      </c>
      <c r="C71" s="66" t="s">
        <v>2113</v>
      </c>
      <c r="D71" s="67">
        <v>3</v>
      </c>
      <c r="E71" s="68"/>
      <c r="F71" s="69">
        <v>40</v>
      </c>
      <c r="G71" s="66"/>
      <c r="H71" s="70"/>
      <c r="I71" s="71"/>
      <c r="J71" s="71"/>
      <c r="K71" s="35" t="s">
        <v>65</v>
      </c>
      <c r="L71" s="79">
        <v>71</v>
      </c>
      <c r="M71" s="79"/>
      <c r="N71" s="73"/>
      <c r="O71" s="81" t="s">
        <v>292</v>
      </c>
      <c r="P71">
        <v>1</v>
      </c>
      <c r="Q71" s="80" t="str">
        <f>REPLACE(INDEX(GroupVertices[Group],MATCH(Edges[[#This Row],[Vertex 1]],GroupVertices[Vertex],0)),1,1,"")</f>
        <v>1</v>
      </c>
      <c r="R71" s="80" t="str">
        <f>REPLACE(INDEX(GroupVertices[Group],MATCH(Edges[[#This Row],[Vertex 2]],GroupVertices[Vertex],0)),1,1,"")</f>
        <v>1</v>
      </c>
      <c r="S71" s="35"/>
      <c r="T71" s="35"/>
      <c r="U71" s="35"/>
      <c r="V71" s="35"/>
      <c r="W71" s="35"/>
      <c r="X71" s="35"/>
      <c r="Y71" s="35"/>
      <c r="Z71" s="35"/>
      <c r="AA71" s="35"/>
    </row>
    <row r="72" spans="1:27" ht="15">
      <c r="A72" s="65" t="s">
        <v>240</v>
      </c>
      <c r="B72" s="65" t="s">
        <v>239</v>
      </c>
      <c r="C72" s="66" t="s">
        <v>2113</v>
      </c>
      <c r="D72" s="67">
        <v>3</v>
      </c>
      <c r="E72" s="68"/>
      <c r="F72" s="69">
        <v>40</v>
      </c>
      <c r="G72" s="66"/>
      <c r="H72" s="70"/>
      <c r="I72" s="71"/>
      <c r="J72" s="71"/>
      <c r="K72" s="35" t="s">
        <v>65</v>
      </c>
      <c r="L72" s="79">
        <v>72</v>
      </c>
      <c r="M72" s="79"/>
      <c r="N72" s="73"/>
      <c r="O72" s="81" t="s">
        <v>292</v>
      </c>
      <c r="P72">
        <v>1</v>
      </c>
      <c r="Q72" s="80" t="str">
        <f>REPLACE(INDEX(GroupVertices[Group],MATCH(Edges[[#This Row],[Vertex 1]],GroupVertices[Vertex],0)),1,1,"")</f>
        <v>1</v>
      </c>
      <c r="R72" s="80" t="str">
        <f>REPLACE(INDEX(GroupVertices[Group],MATCH(Edges[[#This Row],[Vertex 2]],GroupVertices[Vertex],0)),1,1,"")</f>
        <v>1</v>
      </c>
      <c r="S72" s="35"/>
      <c r="T72" s="35"/>
      <c r="U72" s="35"/>
      <c r="V72" s="35"/>
      <c r="W72" s="35"/>
      <c r="X72" s="35"/>
      <c r="Y72" s="35"/>
      <c r="Z72" s="35"/>
      <c r="AA72" s="35"/>
    </row>
    <row r="73" spans="1:27" ht="15">
      <c r="A73" s="65" t="s">
        <v>226</v>
      </c>
      <c r="B73" s="65" t="s">
        <v>239</v>
      </c>
      <c r="C73" s="66" t="s">
        <v>2113</v>
      </c>
      <c r="D73" s="67">
        <v>3</v>
      </c>
      <c r="E73" s="68"/>
      <c r="F73" s="69">
        <v>40</v>
      </c>
      <c r="G73" s="66"/>
      <c r="H73" s="70"/>
      <c r="I73" s="71"/>
      <c r="J73" s="71"/>
      <c r="K73" s="35" t="s">
        <v>65</v>
      </c>
      <c r="L73" s="79">
        <v>73</v>
      </c>
      <c r="M73" s="79"/>
      <c r="N73" s="73"/>
      <c r="O73" s="81" t="s">
        <v>292</v>
      </c>
      <c r="P73">
        <v>1</v>
      </c>
      <c r="Q73" s="80" t="str">
        <f>REPLACE(INDEX(GroupVertices[Group],MATCH(Edges[[#This Row],[Vertex 1]],GroupVertices[Vertex],0)),1,1,"")</f>
        <v>1</v>
      </c>
      <c r="R73" s="80" t="str">
        <f>REPLACE(INDEX(GroupVertices[Group],MATCH(Edges[[#This Row],[Vertex 2]],GroupVertices[Vertex],0)),1,1,"")</f>
        <v>1</v>
      </c>
      <c r="S73" s="35"/>
      <c r="T73" s="35"/>
      <c r="U73" s="35"/>
      <c r="V73" s="35"/>
      <c r="W73" s="35"/>
      <c r="X73" s="35"/>
      <c r="Y73" s="35"/>
      <c r="Z73" s="35"/>
      <c r="AA73" s="35"/>
    </row>
    <row r="74" spans="1:27" ht="15">
      <c r="A74" s="65" t="s">
        <v>227</v>
      </c>
      <c r="B74" s="65" t="s">
        <v>239</v>
      </c>
      <c r="C74" s="66" t="s">
        <v>2113</v>
      </c>
      <c r="D74" s="67">
        <v>3</v>
      </c>
      <c r="E74" s="68"/>
      <c r="F74" s="69">
        <v>40</v>
      </c>
      <c r="G74" s="66"/>
      <c r="H74" s="70"/>
      <c r="I74" s="71"/>
      <c r="J74" s="71"/>
      <c r="K74" s="35" t="s">
        <v>65</v>
      </c>
      <c r="L74" s="79">
        <v>74</v>
      </c>
      <c r="M74" s="79"/>
      <c r="N74" s="73"/>
      <c r="O74" s="81" t="s">
        <v>292</v>
      </c>
      <c r="P74">
        <v>1</v>
      </c>
      <c r="Q74" s="80" t="str">
        <f>REPLACE(INDEX(GroupVertices[Group],MATCH(Edges[[#This Row],[Vertex 1]],GroupVertices[Vertex],0)),1,1,"")</f>
        <v>1</v>
      </c>
      <c r="R74" s="80" t="str">
        <f>REPLACE(INDEX(GroupVertices[Group],MATCH(Edges[[#This Row],[Vertex 2]],GroupVertices[Vertex],0)),1,1,"")</f>
        <v>1</v>
      </c>
      <c r="S74" s="35"/>
      <c r="T74" s="35"/>
      <c r="U74" s="35"/>
      <c r="V74" s="35"/>
      <c r="W74" s="35"/>
      <c r="X74" s="35"/>
      <c r="Y74" s="35"/>
      <c r="Z74" s="35"/>
      <c r="AA74" s="35"/>
    </row>
    <row r="75" spans="1:27" ht="15">
      <c r="A75" s="65" t="s">
        <v>241</v>
      </c>
      <c r="B75" s="65" t="s">
        <v>239</v>
      </c>
      <c r="C75" s="66" t="s">
        <v>2113</v>
      </c>
      <c r="D75" s="67">
        <v>3</v>
      </c>
      <c r="E75" s="68"/>
      <c r="F75" s="69">
        <v>40</v>
      </c>
      <c r="G75" s="66"/>
      <c r="H75" s="70"/>
      <c r="I75" s="71"/>
      <c r="J75" s="71"/>
      <c r="K75" s="35" t="s">
        <v>65</v>
      </c>
      <c r="L75" s="79">
        <v>75</v>
      </c>
      <c r="M75" s="79"/>
      <c r="N75" s="73"/>
      <c r="O75" s="81" t="s">
        <v>292</v>
      </c>
      <c r="P75">
        <v>1</v>
      </c>
      <c r="Q75" s="80" t="str">
        <f>REPLACE(INDEX(GroupVertices[Group],MATCH(Edges[[#This Row],[Vertex 1]],GroupVertices[Vertex],0)),1,1,"")</f>
        <v>1</v>
      </c>
      <c r="R75" s="80" t="str">
        <f>REPLACE(INDEX(GroupVertices[Group],MATCH(Edges[[#This Row],[Vertex 2]],GroupVertices[Vertex],0)),1,1,"")</f>
        <v>1</v>
      </c>
      <c r="S75" s="35"/>
      <c r="T75" s="35"/>
      <c r="U75" s="35"/>
      <c r="V75" s="35"/>
      <c r="W75" s="35"/>
      <c r="X75" s="35"/>
      <c r="Y75" s="35"/>
      <c r="Z75" s="35"/>
      <c r="AA75" s="35"/>
    </row>
    <row r="76" spans="1:27" ht="15">
      <c r="A76" s="65" t="s">
        <v>228</v>
      </c>
      <c r="B76" s="65" t="s">
        <v>239</v>
      </c>
      <c r="C76" s="66" t="s">
        <v>2113</v>
      </c>
      <c r="D76" s="67">
        <v>3</v>
      </c>
      <c r="E76" s="68"/>
      <c r="F76" s="69">
        <v>40</v>
      </c>
      <c r="G76" s="66"/>
      <c r="H76" s="70"/>
      <c r="I76" s="71"/>
      <c r="J76" s="71"/>
      <c r="K76" s="35" t="s">
        <v>65</v>
      </c>
      <c r="L76" s="79">
        <v>76</v>
      </c>
      <c r="M76" s="79"/>
      <c r="N76" s="73"/>
      <c r="O76" s="81" t="s">
        <v>292</v>
      </c>
      <c r="P76">
        <v>1</v>
      </c>
      <c r="Q76" s="80" t="str">
        <f>REPLACE(INDEX(GroupVertices[Group],MATCH(Edges[[#This Row],[Vertex 1]],GroupVertices[Vertex],0)),1,1,"")</f>
        <v>1</v>
      </c>
      <c r="R76" s="80" t="str">
        <f>REPLACE(INDEX(GroupVertices[Group],MATCH(Edges[[#This Row],[Vertex 2]],GroupVertices[Vertex],0)),1,1,"")</f>
        <v>1</v>
      </c>
      <c r="S76" s="35"/>
      <c r="T76" s="35"/>
      <c r="U76" s="35"/>
      <c r="V76" s="35"/>
      <c r="W76" s="35"/>
      <c r="X76" s="35"/>
      <c r="Y76" s="35"/>
      <c r="Z76" s="35"/>
      <c r="AA76" s="35"/>
    </row>
    <row r="77" spans="1:27" ht="15">
      <c r="A77" s="65" t="s">
        <v>229</v>
      </c>
      <c r="B77" s="65" t="s">
        <v>239</v>
      </c>
      <c r="C77" s="66" t="s">
        <v>2113</v>
      </c>
      <c r="D77" s="67">
        <v>3</v>
      </c>
      <c r="E77" s="68"/>
      <c r="F77" s="69">
        <v>40</v>
      </c>
      <c r="G77" s="66"/>
      <c r="H77" s="70"/>
      <c r="I77" s="71"/>
      <c r="J77" s="71"/>
      <c r="K77" s="35" t="s">
        <v>65</v>
      </c>
      <c r="L77" s="79">
        <v>77</v>
      </c>
      <c r="M77" s="79"/>
      <c r="N77" s="73"/>
      <c r="O77" s="81" t="s">
        <v>292</v>
      </c>
      <c r="P77">
        <v>1</v>
      </c>
      <c r="Q77" s="80" t="str">
        <f>REPLACE(INDEX(GroupVertices[Group],MATCH(Edges[[#This Row],[Vertex 1]],GroupVertices[Vertex],0)),1,1,"")</f>
        <v>1</v>
      </c>
      <c r="R77" s="80" t="str">
        <f>REPLACE(INDEX(GroupVertices[Group],MATCH(Edges[[#This Row],[Vertex 2]],GroupVertices[Vertex],0)),1,1,"")</f>
        <v>1</v>
      </c>
      <c r="S77" s="35"/>
      <c r="T77" s="35"/>
      <c r="U77" s="35"/>
      <c r="V77" s="35"/>
      <c r="W77" s="35"/>
      <c r="X77" s="35"/>
      <c r="Y77" s="35"/>
      <c r="Z77" s="35"/>
      <c r="AA77" s="35"/>
    </row>
    <row r="78" spans="1:27" ht="15">
      <c r="A78" s="65" t="s">
        <v>230</v>
      </c>
      <c r="B78" s="65" t="s">
        <v>239</v>
      </c>
      <c r="C78" s="66" t="s">
        <v>2113</v>
      </c>
      <c r="D78" s="67">
        <v>3</v>
      </c>
      <c r="E78" s="68"/>
      <c r="F78" s="69">
        <v>40</v>
      </c>
      <c r="G78" s="66"/>
      <c r="H78" s="70"/>
      <c r="I78" s="71"/>
      <c r="J78" s="71"/>
      <c r="K78" s="35" t="s">
        <v>65</v>
      </c>
      <c r="L78" s="79">
        <v>78</v>
      </c>
      <c r="M78" s="79"/>
      <c r="N78" s="73"/>
      <c r="O78" s="81" t="s">
        <v>292</v>
      </c>
      <c r="P78">
        <v>1</v>
      </c>
      <c r="Q78" s="80" t="str">
        <f>REPLACE(INDEX(GroupVertices[Group],MATCH(Edges[[#This Row],[Vertex 1]],GroupVertices[Vertex],0)),1,1,"")</f>
        <v>1</v>
      </c>
      <c r="R78" s="80" t="str">
        <f>REPLACE(INDEX(GroupVertices[Group],MATCH(Edges[[#This Row],[Vertex 2]],GroupVertices[Vertex],0)),1,1,"")</f>
        <v>1</v>
      </c>
      <c r="S78" s="35"/>
      <c r="T78" s="35"/>
      <c r="U78" s="35"/>
      <c r="V78" s="35"/>
      <c r="W78" s="35"/>
      <c r="X78" s="35"/>
      <c r="Y78" s="35"/>
      <c r="Z78" s="35"/>
      <c r="AA78" s="35"/>
    </row>
    <row r="79" spans="1:27" ht="15">
      <c r="A79" s="65" t="s">
        <v>231</v>
      </c>
      <c r="B79" s="65" t="s">
        <v>239</v>
      </c>
      <c r="C79" s="66" t="s">
        <v>2113</v>
      </c>
      <c r="D79" s="67">
        <v>3</v>
      </c>
      <c r="E79" s="68"/>
      <c r="F79" s="69">
        <v>40</v>
      </c>
      <c r="G79" s="66"/>
      <c r="H79" s="70"/>
      <c r="I79" s="71"/>
      <c r="J79" s="71"/>
      <c r="K79" s="35" t="s">
        <v>65</v>
      </c>
      <c r="L79" s="79">
        <v>79</v>
      </c>
      <c r="M79" s="79"/>
      <c r="N79" s="73"/>
      <c r="O79" s="81" t="s">
        <v>292</v>
      </c>
      <c r="P79">
        <v>1</v>
      </c>
      <c r="Q79" s="80" t="str">
        <f>REPLACE(INDEX(GroupVertices[Group],MATCH(Edges[[#This Row],[Vertex 1]],GroupVertices[Vertex],0)),1,1,"")</f>
        <v>1</v>
      </c>
      <c r="R79" s="80" t="str">
        <f>REPLACE(INDEX(GroupVertices[Group],MATCH(Edges[[#This Row],[Vertex 2]],GroupVertices[Vertex],0)),1,1,"")</f>
        <v>1</v>
      </c>
      <c r="S79" s="35"/>
      <c r="T79" s="35"/>
      <c r="U79" s="35"/>
      <c r="V79" s="35"/>
      <c r="W79" s="35"/>
      <c r="X79" s="35"/>
      <c r="Y79" s="35"/>
      <c r="Z79" s="35"/>
      <c r="AA79" s="35"/>
    </row>
    <row r="80" spans="1:27" ht="15">
      <c r="A80" s="65" t="s">
        <v>242</v>
      </c>
      <c r="B80" s="65" t="s">
        <v>239</v>
      </c>
      <c r="C80" s="66" t="s">
        <v>2113</v>
      </c>
      <c r="D80" s="67">
        <v>3</v>
      </c>
      <c r="E80" s="68"/>
      <c r="F80" s="69">
        <v>40</v>
      </c>
      <c r="G80" s="66"/>
      <c r="H80" s="70"/>
      <c r="I80" s="71"/>
      <c r="J80" s="71"/>
      <c r="K80" s="35" t="s">
        <v>65</v>
      </c>
      <c r="L80" s="79">
        <v>80</v>
      </c>
      <c r="M80" s="79"/>
      <c r="N80" s="73"/>
      <c r="O80" s="81" t="s">
        <v>292</v>
      </c>
      <c r="P80">
        <v>1</v>
      </c>
      <c r="Q80" s="80" t="str">
        <f>REPLACE(INDEX(GroupVertices[Group],MATCH(Edges[[#This Row],[Vertex 1]],GroupVertices[Vertex],0)),1,1,"")</f>
        <v>1</v>
      </c>
      <c r="R80" s="80" t="str">
        <f>REPLACE(INDEX(GroupVertices[Group],MATCH(Edges[[#This Row],[Vertex 2]],GroupVertices[Vertex],0)),1,1,"")</f>
        <v>1</v>
      </c>
      <c r="S80" s="35"/>
      <c r="T80" s="35"/>
      <c r="U80" s="35"/>
      <c r="V80" s="35"/>
      <c r="W80" s="35"/>
      <c r="X80" s="35"/>
      <c r="Y80" s="35"/>
      <c r="Z80" s="35"/>
      <c r="AA80" s="35"/>
    </row>
    <row r="81" spans="1:27" ht="15">
      <c r="A81" s="65" t="s">
        <v>232</v>
      </c>
      <c r="B81" s="65" t="s">
        <v>239</v>
      </c>
      <c r="C81" s="66" t="s">
        <v>2113</v>
      </c>
      <c r="D81" s="67">
        <v>3</v>
      </c>
      <c r="E81" s="68"/>
      <c r="F81" s="69">
        <v>40</v>
      </c>
      <c r="G81" s="66"/>
      <c r="H81" s="70"/>
      <c r="I81" s="71"/>
      <c r="J81" s="71"/>
      <c r="K81" s="35" t="s">
        <v>65</v>
      </c>
      <c r="L81" s="79">
        <v>81</v>
      </c>
      <c r="M81" s="79"/>
      <c r="N81" s="73"/>
      <c r="O81" s="81" t="s">
        <v>292</v>
      </c>
      <c r="P81">
        <v>1</v>
      </c>
      <c r="Q81" s="80" t="str">
        <f>REPLACE(INDEX(GroupVertices[Group],MATCH(Edges[[#This Row],[Vertex 1]],GroupVertices[Vertex],0)),1,1,"")</f>
        <v>2</v>
      </c>
      <c r="R81" s="80" t="str">
        <f>REPLACE(INDEX(GroupVertices[Group],MATCH(Edges[[#This Row],[Vertex 2]],GroupVertices[Vertex],0)),1,1,"")</f>
        <v>1</v>
      </c>
      <c r="S81" s="35"/>
      <c r="T81" s="35"/>
      <c r="U81" s="35"/>
      <c r="V81" s="35"/>
      <c r="W81" s="35"/>
      <c r="X81" s="35"/>
      <c r="Y81" s="35"/>
      <c r="Z81" s="35"/>
      <c r="AA81" s="35"/>
    </row>
    <row r="82" spans="1:27" ht="15">
      <c r="A82" s="65" t="s">
        <v>233</v>
      </c>
      <c r="B82" s="65" t="s">
        <v>239</v>
      </c>
      <c r="C82" s="66" t="s">
        <v>2113</v>
      </c>
      <c r="D82" s="67">
        <v>3</v>
      </c>
      <c r="E82" s="68"/>
      <c r="F82" s="69">
        <v>40</v>
      </c>
      <c r="G82" s="66"/>
      <c r="H82" s="70"/>
      <c r="I82" s="71"/>
      <c r="J82" s="71"/>
      <c r="K82" s="35" t="s">
        <v>65</v>
      </c>
      <c r="L82" s="79">
        <v>82</v>
      </c>
      <c r="M82" s="79"/>
      <c r="N82" s="73"/>
      <c r="O82" s="81" t="s">
        <v>292</v>
      </c>
      <c r="P82">
        <v>1</v>
      </c>
      <c r="Q82" s="80" t="str">
        <f>REPLACE(INDEX(GroupVertices[Group],MATCH(Edges[[#This Row],[Vertex 1]],GroupVertices[Vertex],0)),1,1,"")</f>
        <v>1</v>
      </c>
      <c r="R82" s="80" t="str">
        <f>REPLACE(INDEX(GroupVertices[Group],MATCH(Edges[[#This Row],[Vertex 2]],GroupVertices[Vertex],0)),1,1,"")</f>
        <v>1</v>
      </c>
      <c r="S82" s="35"/>
      <c r="T82" s="35"/>
      <c r="U82" s="35"/>
      <c r="V82" s="35"/>
      <c r="W82" s="35"/>
      <c r="X82" s="35"/>
      <c r="Y82" s="35"/>
      <c r="Z82" s="35"/>
      <c r="AA82" s="35"/>
    </row>
    <row r="83" spans="1:27" ht="15">
      <c r="A83" s="65" t="s">
        <v>234</v>
      </c>
      <c r="B83" s="65" t="s">
        <v>239</v>
      </c>
      <c r="C83" s="66" t="s">
        <v>2113</v>
      </c>
      <c r="D83" s="67">
        <v>3</v>
      </c>
      <c r="E83" s="68"/>
      <c r="F83" s="69">
        <v>40</v>
      </c>
      <c r="G83" s="66"/>
      <c r="H83" s="70"/>
      <c r="I83" s="71"/>
      <c r="J83" s="71"/>
      <c r="K83" s="35" t="s">
        <v>65</v>
      </c>
      <c r="L83" s="79">
        <v>83</v>
      </c>
      <c r="M83" s="79"/>
      <c r="N83" s="73"/>
      <c r="O83" s="81" t="s">
        <v>292</v>
      </c>
      <c r="P83">
        <v>1</v>
      </c>
      <c r="Q83" s="80" t="str">
        <f>REPLACE(INDEX(GroupVertices[Group],MATCH(Edges[[#This Row],[Vertex 1]],GroupVertices[Vertex],0)),1,1,"")</f>
        <v>1</v>
      </c>
      <c r="R83" s="80" t="str">
        <f>REPLACE(INDEX(GroupVertices[Group],MATCH(Edges[[#This Row],[Vertex 2]],GroupVertices[Vertex],0)),1,1,"")</f>
        <v>1</v>
      </c>
      <c r="S83" s="35"/>
      <c r="T83" s="35"/>
      <c r="U83" s="35"/>
      <c r="V83" s="35"/>
      <c r="W83" s="35"/>
      <c r="X83" s="35"/>
      <c r="Y83" s="35"/>
      <c r="Z83" s="35"/>
      <c r="AA83" s="35"/>
    </row>
    <row r="84" spans="1:27" ht="15">
      <c r="A84" s="65" t="s">
        <v>235</v>
      </c>
      <c r="B84" s="65" t="s">
        <v>239</v>
      </c>
      <c r="C84" s="66" t="s">
        <v>2113</v>
      </c>
      <c r="D84" s="67">
        <v>3</v>
      </c>
      <c r="E84" s="68"/>
      <c r="F84" s="69">
        <v>40</v>
      </c>
      <c r="G84" s="66"/>
      <c r="H84" s="70"/>
      <c r="I84" s="71"/>
      <c r="J84" s="71"/>
      <c r="K84" s="35" t="s">
        <v>65</v>
      </c>
      <c r="L84" s="79">
        <v>84</v>
      </c>
      <c r="M84" s="79"/>
      <c r="N84" s="73"/>
      <c r="O84" s="81" t="s">
        <v>292</v>
      </c>
      <c r="P84">
        <v>1</v>
      </c>
      <c r="Q84" s="80" t="str">
        <f>REPLACE(INDEX(GroupVertices[Group],MATCH(Edges[[#This Row],[Vertex 1]],GroupVertices[Vertex],0)),1,1,"")</f>
        <v>1</v>
      </c>
      <c r="R84" s="80" t="str">
        <f>REPLACE(INDEX(GroupVertices[Group],MATCH(Edges[[#This Row],[Vertex 2]],GroupVertices[Vertex],0)),1,1,"")</f>
        <v>1</v>
      </c>
      <c r="S84" s="35"/>
      <c r="T84" s="35"/>
      <c r="U84" s="35"/>
      <c r="V84" s="35"/>
      <c r="W84" s="35"/>
      <c r="X84" s="35"/>
      <c r="Y84" s="35"/>
      <c r="Z84" s="35"/>
      <c r="AA84" s="35"/>
    </row>
    <row r="85" spans="1:27" ht="15">
      <c r="A85" s="65" t="s">
        <v>236</v>
      </c>
      <c r="B85" s="65" t="s">
        <v>239</v>
      </c>
      <c r="C85" s="66" t="s">
        <v>2113</v>
      </c>
      <c r="D85" s="67">
        <v>3</v>
      </c>
      <c r="E85" s="68"/>
      <c r="F85" s="69">
        <v>40</v>
      </c>
      <c r="G85" s="66"/>
      <c r="H85" s="70"/>
      <c r="I85" s="71"/>
      <c r="J85" s="71"/>
      <c r="K85" s="35" t="s">
        <v>65</v>
      </c>
      <c r="L85" s="79">
        <v>85</v>
      </c>
      <c r="M85" s="79"/>
      <c r="N85" s="73"/>
      <c r="O85" s="81" t="s">
        <v>293</v>
      </c>
      <c r="P85">
        <v>1</v>
      </c>
      <c r="Q85" s="80" t="str">
        <f>REPLACE(INDEX(GroupVertices[Group],MATCH(Edges[[#This Row],[Vertex 1]],GroupVertices[Vertex],0)),1,1,"")</f>
        <v>2</v>
      </c>
      <c r="R85" s="80" t="str">
        <f>REPLACE(INDEX(GroupVertices[Group],MATCH(Edges[[#This Row],[Vertex 2]],GroupVertices[Vertex],0)),1,1,"")</f>
        <v>1</v>
      </c>
      <c r="S85" s="35"/>
      <c r="T85" s="35"/>
      <c r="U85" s="35"/>
      <c r="V85" s="35"/>
      <c r="W85" s="35"/>
      <c r="X85" s="35"/>
      <c r="Y85" s="35"/>
      <c r="Z85" s="35"/>
      <c r="AA85" s="35"/>
    </row>
    <row r="86" spans="1:27" ht="15">
      <c r="A86" s="65" t="s">
        <v>236</v>
      </c>
      <c r="B86" s="65" t="s">
        <v>222</v>
      </c>
      <c r="C86" s="66" t="s">
        <v>2113</v>
      </c>
      <c r="D86" s="67">
        <v>3</v>
      </c>
      <c r="E86" s="68"/>
      <c r="F86" s="69">
        <v>40</v>
      </c>
      <c r="G86" s="66"/>
      <c r="H86" s="70"/>
      <c r="I86" s="71"/>
      <c r="J86" s="71"/>
      <c r="K86" s="35" t="s">
        <v>65</v>
      </c>
      <c r="L86" s="79">
        <v>86</v>
      </c>
      <c r="M86" s="79"/>
      <c r="N86" s="73"/>
      <c r="O86" s="81" t="s">
        <v>293</v>
      </c>
      <c r="P86">
        <v>1</v>
      </c>
      <c r="Q86" s="80" t="str">
        <f>REPLACE(INDEX(GroupVertices[Group],MATCH(Edges[[#This Row],[Vertex 1]],GroupVertices[Vertex],0)),1,1,"")</f>
        <v>2</v>
      </c>
      <c r="R86" s="80" t="str">
        <f>REPLACE(INDEX(GroupVertices[Group],MATCH(Edges[[#This Row],[Vertex 2]],GroupVertices[Vertex],0)),1,1,"")</f>
        <v>1</v>
      </c>
      <c r="S86" s="35"/>
      <c r="T86" s="35"/>
      <c r="U86" s="35"/>
      <c r="V86" s="35"/>
      <c r="W86" s="35"/>
      <c r="X86" s="35"/>
      <c r="Y86" s="35"/>
      <c r="Z86" s="35"/>
      <c r="AA86" s="35"/>
    </row>
    <row r="87" spans="1:27" ht="15">
      <c r="A87" s="65" t="s">
        <v>236</v>
      </c>
      <c r="B87" s="65" t="s">
        <v>229</v>
      </c>
      <c r="C87" s="66" t="s">
        <v>2113</v>
      </c>
      <c r="D87" s="67">
        <v>3</v>
      </c>
      <c r="E87" s="68"/>
      <c r="F87" s="69">
        <v>40</v>
      </c>
      <c r="G87" s="66"/>
      <c r="H87" s="70"/>
      <c r="I87" s="71"/>
      <c r="J87" s="71"/>
      <c r="K87" s="35" t="s">
        <v>65</v>
      </c>
      <c r="L87" s="79">
        <v>87</v>
      </c>
      <c r="M87" s="79"/>
      <c r="N87" s="73"/>
      <c r="O87" s="81" t="s">
        <v>293</v>
      </c>
      <c r="P87">
        <v>1</v>
      </c>
      <c r="Q87" s="80" t="str">
        <f>REPLACE(INDEX(GroupVertices[Group],MATCH(Edges[[#This Row],[Vertex 1]],GroupVertices[Vertex],0)),1,1,"")</f>
        <v>2</v>
      </c>
      <c r="R87" s="80" t="str">
        <f>REPLACE(INDEX(GroupVertices[Group],MATCH(Edges[[#This Row],[Vertex 2]],GroupVertices[Vertex],0)),1,1,"")</f>
        <v>1</v>
      </c>
      <c r="S87" s="35"/>
      <c r="T87" s="35"/>
      <c r="U87" s="35"/>
      <c r="V87" s="35"/>
      <c r="W87" s="35"/>
      <c r="X87" s="35"/>
      <c r="Y87" s="35"/>
      <c r="Z87" s="35"/>
      <c r="AA87" s="35"/>
    </row>
    <row r="88" spans="1:27" ht="15">
      <c r="A88" s="65" t="s">
        <v>236</v>
      </c>
      <c r="B88" s="65" t="s">
        <v>214</v>
      </c>
      <c r="C88" s="66" t="s">
        <v>2114</v>
      </c>
      <c r="D88" s="67">
        <v>3</v>
      </c>
      <c r="E88" s="68"/>
      <c r="F88" s="69">
        <v>40</v>
      </c>
      <c r="G88" s="66"/>
      <c r="H88" s="70"/>
      <c r="I88" s="71"/>
      <c r="J88" s="71"/>
      <c r="K88" s="35" t="s">
        <v>65</v>
      </c>
      <c r="L88" s="79">
        <v>88</v>
      </c>
      <c r="M88" s="79"/>
      <c r="N88" s="73"/>
      <c r="O88" s="81" t="s">
        <v>293</v>
      </c>
      <c r="P88">
        <v>2</v>
      </c>
      <c r="Q88" s="80" t="str">
        <f>REPLACE(INDEX(GroupVertices[Group],MATCH(Edges[[#This Row],[Vertex 1]],GroupVertices[Vertex],0)),1,1,"")</f>
        <v>2</v>
      </c>
      <c r="R88" s="80" t="str">
        <f>REPLACE(INDEX(GroupVertices[Group],MATCH(Edges[[#This Row],[Vertex 2]],GroupVertices[Vertex],0)),1,1,"")</f>
        <v>1</v>
      </c>
      <c r="S88" s="35"/>
      <c r="T88" s="35"/>
      <c r="U88" s="35"/>
      <c r="V88" s="35"/>
      <c r="W88" s="35"/>
      <c r="X88" s="35"/>
      <c r="Y88" s="35"/>
      <c r="Z88" s="35"/>
      <c r="AA88" s="35"/>
    </row>
    <row r="89" spans="1:27" ht="15">
      <c r="A89" s="65" t="s">
        <v>236</v>
      </c>
      <c r="B89" s="65" t="s">
        <v>235</v>
      </c>
      <c r="C89" s="66" t="s">
        <v>2114</v>
      </c>
      <c r="D89" s="67">
        <v>3</v>
      </c>
      <c r="E89" s="68"/>
      <c r="F89" s="69">
        <v>40</v>
      </c>
      <c r="G89" s="66"/>
      <c r="H89" s="70"/>
      <c r="I89" s="71"/>
      <c r="J89" s="71"/>
      <c r="K89" s="35" t="s">
        <v>66</v>
      </c>
      <c r="L89" s="79">
        <v>89</v>
      </c>
      <c r="M89" s="79"/>
      <c r="N89" s="73"/>
      <c r="O89" s="81" t="s">
        <v>293</v>
      </c>
      <c r="P89">
        <v>2</v>
      </c>
      <c r="Q89" s="80" t="str">
        <f>REPLACE(INDEX(GroupVertices[Group],MATCH(Edges[[#This Row],[Vertex 1]],GroupVertices[Vertex],0)),1,1,"")</f>
        <v>2</v>
      </c>
      <c r="R89" s="80" t="str">
        <f>REPLACE(INDEX(GroupVertices[Group],MATCH(Edges[[#This Row],[Vertex 2]],GroupVertices[Vertex],0)),1,1,"")</f>
        <v>1</v>
      </c>
      <c r="S89" s="35"/>
      <c r="T89" s="35"/>
      <c r="U89" s="35"/>
      <c r="V89" s="35"/>
      <c r="W89" s="35"/>
      <c r="X89" s="35"/>
      <c r="Y89" s="35"/>
      <c r="Z89" s="35"/>
      <c r="AA89" s="35"/>
    </row>
    <row r="90" spans="1:27" ht="15">
      <c r="A90" s="65" t="s">
        <v>236</v>
      </c>
      <c r="B90" s="65" t="s">
        <v>240</v>
      </c>
      <c r="C90" s="66" t="s">
        <v>2113</v>
      </c>
      <c r="D90" s="67">
        <v>3</v>
      </c>
      <c r="E90" s="68"/>
      <c r="F90" s="69">
        <v>40</v>
      </c>
      <c r="G90" s="66"/>
      <c r="H90" s="70"/>
      <c r="I90" s="71"/>
      <c r="J90" s="71"/>
      <c r="K90" s="35" t="s">
        <v>65</v>
      </c>
      <c r="L90" s="79">
        <v>90</v>
      </c>
      <c r="M90" s="79"/>
      <c r="N90" s="73"/>
      <c r="O90" s="81" t="s">
        <v>293</v>
      </c>
      <c r="P90">
        <v>1</v>
      </c>
      <c r="Q90" s="80" t="str">
        <f>REPLACE(INDEX(GroupVertices[Group],MATCH(Edges[[#This Row],[Vertex 1]],GroupVertices[Vertex],0)),1,1,"")</f>
        <v>2</v>
      </c>
      <c r="R90" s="80" t="str">
        <f>REPLACE(INDEX(GroupVertices[Group],MATCH(Edges[[#This Row],[Vertex 2]],GroupVertices[Vertex],0)),1,1,"")</f>
        <v>1</v>
      </c>
      <c r="S90" s="35"/>
      <c r="T90" s="35"/>
      <c r="U90" s="35"/>
      <c r="V90" s="35"/>
      <c r="W90" s="35"/>
      <c r="X90" s="35"/>
      <c r="Y90" s="35"/>
      <c r="Z90" s="35"/>
      <c r="AA90" s="35"/>
    </row>
    <row r="91" spans="1:27" ht="15">
      <c r="A91" s="65" t="s">
        <v>236</v>
      </c>
      <c r="B91" s="65" t="s">
        <v>232</v>
      </c>
      <c r="C91" s="66" t="s">
        <v>2113</v>
      </c>
      <c r="D91" s="67">
        <v>3</v>
      </c>
      <c r="E91" s="68"/>
      <c r="F91" s="69">
        <v>40</v>
      </c>
      <c r="G91" s="66"/>
      <c r="H91" s="70"/>
      <c r="I91" s="71"/>
      <c r="J91" s="71"/>
      <c r="K91" s="35" t="s">
        <v>66</v>
      </c>
      <c r="L91" s="79">
        <v>91</v>
      </c>
      <c r="M91" s="79"/>
      <c r="N91" s="73"/>
      <c r="O91" s="81" t="s">
        <v>293</v>
      </c>
      <c r="P91">
        <v>1</v>
      </c>
      <c r="Q91" s="80" t="str">
        <f>REPLACE(INDEX(GroupVertices[Group],MATCH(Edges[[#This Row],[Vertex 1]],GroupVertices[Vertex],0)),1,1,"")</f>
        <v>2</v>
      </c>
      <c r="R91" s="80" t="str">
        <f>REPLACE(INDEX(GroupVertices[Group],MATCH(Edges[[#This Row],[Vertex 2]],GroupVertices[Vertex],0)),1,1,"")</f>
        <v>2</v>
      </c>
      <c r="S91" s="35"/>
      <c r="T91" s="35"/>
      <c r="U91" s="35"/>
      <c r="V91" s="35"/>
      <c r="W91" s="35"/>
      <c r="X91" s="35"/>
      <c r="Y91" s="35"/>
      <c r="Z91" s="35"/>
      <c r="AA91" s="35"/>
    </row>
    <row r="92" spans="1:27" ht="15">
      <c r="A92" s="65" t="s">
        <v>236</v>
      </c>
      <c r="B92" s="65" t="s">
        <v>224</v>
      </c>
      <c r="C92" s="66" t="s">
        <v>2114</v>
      </c>
      <c r="D92" s="67">
        <v>3</v>
      </c>
      <c r="E92" s="68"/>
      <c r="F92" s="69">
        <v>40</v>
      </c>
      <c r="G92" s="66"/>
      <c r="H92" s="70"/>
      <c r="I92" s="71"/>
      <c r="J92" s="71"/>
      <c r="K92" s="35" t="s">
        <v>66</v>
      </c>
      <c r="L92" s="79">
        <v>92</v>
      </c>
      <c r="M92" s="79"/>
      <c r="N92" s="73"/>
      <c r="O92" s="81" t="s">
        <v>293</v>
      </c>
      <c r="P92">
        <v>2</v>
      </c>
      <c r="Q92" s="80" t="str">
        <f>REPLACE(INDEX(GroupVertices[Group],MATCH(Edges[[#This Row],[Vertex 1]],GroupVertices[Vertex],0)),1,1,"")</f>
        <v>2</v>
      </c>
      <c r="R92" s="80" t="str">
        <f>REPLACE(INDEX(GroupVertices[Group],MATCH(Edges[[#This Row],[Vertex 2]],GroupVertices[Vertex],0)),1,1,"")</f>
        <v>1</v>
      </c>
      <c r="S92" s="35"/>
      <c r="T92" s="35"/>
      <c r="U92" s="35"/>
      <c r="V92" s="35"/>
      <c r="W92" s="35"/>
      <c r="X92" s="35"/>
      <c r="Y92" s="35"/>
      <c r="Z92" s="35"/>
      <c r="AA92" s="35"/>
    </row>
    <row r="93" spans="1:27" ht="15">
      <c r="A93" s="65" t="s">
        <v>236</v>
      </c>
      <c r="B93" s="65" t="s">
        <v>231</v>
      </c>
      <c r="C93" s="66" t="s">
        <v>2114</v>
      </c>
      <c r="D93" s="67">
        <v>3</v>
      </c>
      <c r="E93" s="68"/>
      <c r="F93" s="69">
        <v>40</v>
      </c>
      <c r="G93" s="66"/>
      <c r="H93" s="70"/>
      <c r="I93" s="71"/>
      <c r="J93" s="71"/>
      <c r="K93" s="35" t="s">
        <v>65</v>
      </c>
      <c r="L93" s="79">
        <v>93</v>
      </c>
      <c r="M93" s="79"/>
      <c r="N93" s="73"/>
      <c r="O93" s="81" t="s">
        <v>293</v>
      </c>
      <c r="P93">
        <v>2</v>
      </c>
      <c r="Q93" s="80" t="str">
        <f>REPLACE(INDEX(GroupVertices[Group],MATCH(Edges[[#This Row],[Vertex 1]],GroupVertices[Vertex],0)),1,1,"")</f>
        <v>2</v>
      </c>
      <c r="R93" s="80" t="str">
        <f>REPLACE(INDEX(GroupVertices[Group],MATCH(Edges[[#This Row],[Vertex 2]],GroupVertices[Vertex],0)),1,1,"")</f>
        <v>1</v>
      </c>
      <c r="S93" s="35"/>
      <c r="T93" s="35"/>
      <c r="U93" s="35"/>
      <c r="V93" s="35"/>
      <c r="W93" s="35"/>
      <c r="X93" s="35"/>
      <c r="Y93" s="35"/>
      <c r="Z93" s="35"/>
      <c r="AA93" s="35"/>
    </row>
    <row r="94" spans="1:27" ht="15">
      <c r="A94" s="65" t="s">
        <v>236</v>
      </c>
      <c r="B94" s="65" t="s">
        <v>233</v>
      </c>
      <c r="C94" s="66" t="s">
        <v>2114</v>
      </c>
      <c r="D94" s="67">
        <v>3</v>
      </c>
      <c r="E94" s="68"/>
      <c r="F94" s="69">
        <v>40</v>
      </c>
      <c r="G94" s="66"/>
      <c r="H94" s="70"/>
      <c r="I94" s="71"/>
      <c r="J94" s="71"/>
      <c r="K94" s="35" t="s">
        <v>65</v>
      </c>
      <c r="L94" s="79">
        <v>94</v>
      </c>
      <c r="M94" s="79"/>
      <c r="N94" s="73"/>
      <c r="O94" s="81" t="s">
        <v>293</v>
      </c>
      <c r="P94">
        <v>2</v>
      </c>
      <c r="Q94" s="80" t="str">
        <f>REPLACE(INDEX(GroupVertices[Group],MATCH(Edges[[#This Row],[Vertex 1]],GroupVertices[Vertex],0)),1,1,"")</f>
        <v>2</v>
      </c>
      <c r="R94" s="80" t="str">
        <f>REPLACE(INDEX(GroupVertices[Group],MATCH(Edges[[#This Row],[Vertex 2]],GroupVertices[Vertex],0)),1,1,"")</f>
        <v>1</v>
      </c>
      <c r="S94" s="35"/>
      <c r="T94" s="35"/>
      <c r="U94" s="35"/>
      <c r="V94" s="35"/>
      <c r="W94" s="35"/>
      <c r="X94" s="35"/>
      <c r="Y94" s="35"/>
      <c r="Z94" s="35"/>
      <c r="AA94" s="35"/>
    </row>
    <row r="95" spans="1:27" ht="15">
      <c r="A95" s="65" t="s">
        <v>236</v>
      </c>
      <c r="B95" s="65" t="s">
        <v>230</v>
      </c>
      <c r="C95" s="66" t="s">
        <v>2113</v>
      </c>
      <c r="D95" s="67">
        <v>3</v>
      </c>
      <c r="E95" s="68"/>
      <c r="F95" s="69">
        <v>40</v>
      </c>
      <c r="G95" s="66"/>
      <c r="H95" s="70"/>
      <c r="I95" s="71"/>
      <c r="J95" s="71"/>
      <c r="K95" s="35" t="s">
        <v>65</v>
      </c>
      <c r="L95" s="79">
        <v>95</v>
      </c>
      <c r="M95" s="79"/>
      <c r="N95" s="73"/>
      <c r="O95" s="81" t="s">
        <v>293</v>
      </c>
      <c r="P95">
        <v>1</v>
      </c>
      <c r="Q95" s="80" t="str">
        <f>REPLACE(INDEX(GroupVertices[Group],MATCH(Edges[[#This Row],[Vertex 1]],GroupVertices[Vertex],0)),1,1,"")</f>
        <v>2</v>
      </c>
      <c r="R95" s="80" t="str">
        <f>REPLACE(INDEX(GroupVertices[Group],MATCH(Edges[[#This Row],[Vertex 2]],GroupVertices[Vertex],0)),1,1,"")</f>
        <v>1</v>
      </c>
      <c r="S95" s="35"/>
      <c r="T95" s="35"/>
      <c r="U95" s="35"/>
      <c r="V95" s="35"/>
      <c r="W95" s="35"/>
      <c r="X95" s="35"/>
      <c r="Y95" s="35"/>
      <c r="Z95" s="35"/>
      <c r="AA95" s="35"/>
    </row>
    <row r="96" spans="1:27" ht="15">
      <c r="A96" s="65" t="s">
        <v>236</v>
      </c>
      <c r="B96" s="65" t="s">
        <v>226</v>
      </c>
      <c r="C96" s="66" t="s">
        <v>2114</v>
      </c>
      <c r="D96" s="67">
        <v>3</v>
      </c>
      <c r="E96" s="68"/>
      <c r="F96" s="69">
        <v>40</v>
      </c>
      <c r="G96" s="66"/>
      <c r="H96" s="70"/>
      <c r="I96" s="71"/>
      <c r="J96" s="71"/>
      <c r="K96" s="35" t="s">
        <v>65</v>
      </c>
      <c r="L96" s="79">
        <v>96</v>
      </c>
      <c r="M96" s="79"/>
      <c r="N96" s="73"/>
      <c r="O96" s="81" t="s">
        <v>293</v>
      </c>
      <c r="P96">
        <v>2</v>
      </c>
      <c r="Q96" s="80" t="str">
        <f>REPLACE(INDEX(GroupVertices[Group],MATCH(Edges[[#This Row],[Vertex 1]],GroupVertices[Vertex],0)),1,1,"")</f>
        <v>2</v>
      </c>
      <c r="R96" s="80" t="str">
        <f>REPLACE(INDEX(GroupVertices[Group],MATCH(Edges[[#This Row],[Vertex 2]],GroupVertices[Vertex],0)),1,1,"")</f>
        <v>1</v>
      </c>
      <c r="S96" s="35"/>
      <c r="T96" s="35"/>
      <c r="U96" s="35"/>
      <c r="V96" s="35"/>
      <c r="W96" s="35"/>
      <c r="X96" s="35"/>
      <c r="Y96" s="35"/>
      <c r="Z96" s="35"/>
      <c r="AA96" s="35"/>
    </row>
    <row r="97" spans="1:27" ht="15">
      <c r="A97" s="65" t="s">
        <v>236</v>
      </c>
      <c r="B97" s="65" t="s">
        <v>243</v>
      </c>
      <c r="C97" s="66" t="s">
        <v>2113</v>
      </c>
      <c r="D97" s="67">
        <v>3</v>
      </c>
      <c r="E97" s="68"/>
      <c r="F97" s="69">
        <v>40</v>
      </c>
      <c r="G97" s="66"/>
      <c r="H97" s="70"/>
      <c r="I97" s="71"/>
      <c r="J97" s="71"/>
      <c r="K97" s="35" t="s">
        <v>65</v>
      </c>
      <c r="L97" s="79">
        <v>97</v>
      </c>
      <c r="M97" s="79"/>
      <c r="N97" s="73"/>
      <c r="O97" s="81" t="s">
        <v>293</v>
      </c>
      <c r="P97">
        <v>1</v>
      </c>
      <c r="Q97" s="80" t="str">
        <f>REPLACE(INDEX(GroupVertices[Group],MATCH(Edges[[#This Row],[Vertex 1]],GroupVertices[Vertex],0)),1,1,"")</f>
        <v>2</v>
      </c>
      <c r="R97" s="80" t="str">
        <f>REPLACE(INDEX(GroupVertices[Group],MATCH(Edges[[#This Row],[Vertex 2]],GroupVertices[Vertex],0)),1,1,"")</f>
        <v>1</v>
      </c>
      <c r="S97" s="35"/>
      <c r="T97" s="35"/>
      <c r="U97" s="35"/>
      <c r="V97" s="35"/>
      <c r="W97" s="35"/>
      <c r="X97" s="35"/>
      <c r="Y97" s="35"/>
      <c r="Z97" s="35"/>
      <c r="AA97" s="35"/>
    </row>
    <row r="98" spans="1:27" ht="15">
      <c r="A98" s="65" t="s">
        <v>236</v>
      </c>
      <c r="B98" s="65" t="s">
        <v>216</v>
      </c>
      <c r="C98" s="66" t="s">
        <v>2113</v>
      </c>
      <c r="D98" s="67">
        <v>3</v>
      </c>
      <c r="E98" s="68"/>
      <c r="F98" s="69">
        <v>40</v>
      </c>
      <c r="G98" s="66"/>
      <c r="H98" s="70"/>
      <c r="I98" s="71"/>
      <c r="J98" s="71"/>
      <c r="K98" s="35" t="s">
        <v>66</v>
      </c>
      <c r="L98" s="79">
        <v>98</v>
      </c>
      <c r="M98" s="79"/>
      <c r="N98" s="73"/>
      <c r="O98" s="81" t="s">
        <v>293</v>
      </c>
      <c r="P98">
        <v>1</v>
      </c>
      <c r="Q98" s="80" t="str">
        <f>REPLACE(INDEX(GroupVertices[Group],MATCH(Edges[[#This Row],[Vertex 1]],GroupVertices[Vertex],0)),1,1,"")</f>
        <v>2</v>
      </c>
      <c r="R98" s="80" t="str">
        <f>REPLACE(INDEX(GroupVertices[Group],MATCH(Edges[[#This Row],[Vertex 2]],GroupVertices[Vertex],0)),1,1,"")</f>
        <v>1</v>
      </c>
      <c r="S98" s="35"/>
      <c r="T98" s="35"/>
      <c r="U98" s="35"/>
      <c r="V98" s="35"/>
      <c r="W98" s="35"/>
      <c r="X98" s="35"/>
      <c r="Y98" s="35"/>
      <c r="Z98" s="35"/>
      <c r="AA98" s="35"/>
    </row>
    <row r="99" spans="1:27" ht="15">
      <c r="A99" s="65" t="s">
        <v>244</v>
      </c>
      <c r="B99" s="65" t="s">
        <v>279</v>
      </c>
      <c r="C99" s="66" t="s">
        <v>2113</v>
      </c>
      <c r="D99" s="67">
        <v>3</v>
      </c>
      <c r="E99" s="68"/>
      <c r="F99" s="69">
        <v>40</v>
      </c>
      <c r="G99" s="66"/>
      <c r="H99" s="70"/>
      <c r="I99" s="71"/>
      <c r="J99" s="71"/>
      <c r="K99" s="35" t="s">
        <v>65</v>
      </c>
      <c r="L99" s="79">
        <v>99</v>
      </c>
      <c r="M99" s="79"/>
      <c r="N99" s="73"/>
      <c r="O99" s="81" t="s">
        <v>292</v>
      </c>
      <c r="P99">
        <v>1</v>
      </c>
      <c r="Q99" s="80" t="str">
        <f>REPLACE(INDEX(GroupVertices[Group],MATCH(Edges[[#This Row],[Vertex 1]],GroupVertices[Vertex],0)),1,1,"")</f>
        <v>1</v>
      </c>
      <c r="R99" s="80" t="str">
        <f>REPLACE(INDEX(GroupVertices[Group],MATCH(Edges[[#This Row],[Vertex 2]],GroupVertices[Vertex],0)),1,1,"")</f>
        <v>1</v>
      </c>
      <c r="S99" s="35"/>
      <c r="T99" s="35"/>
      <c r="U99" s="35"/>
      <c r="V99" s="35"/>
      <c r="W99" s="35"/>
      <c r="X99" s="35"/>
      <c r="Y99" s="35"/>
      <c r="Z99" s="35"/>
      <c r="AA99" s="35"/>
    </row>
    <row r="100" spans="1:27" ht="15">
      <c r="A100" s="65" t="s">
        <v>245</v>
      </c>
      <c r="B100" s="65" t="s">
        <v>279</v>
      </c>
      <c r="C100" s="66" t="s">
        <v>2113</v>
      </c>
      <c r="D100" s="67">
        <v>3</v>
      </c>
      <c r="E100" s="68"/>
      <c r="F100" s="69">
        <v>40</v>
      </c>
      <c r="G100" s="66"/>
      <c r="H100" s="70"/>
      <c r="I100" s="71"/>
      <c r="J100" s="71"/>
      <c r="K100" s="35" t="s">
        <v>65</v>
      </c>
      <c r="L100" s="79">
        <v>100</v>
      </c>
      <c r="M100" s="79"/>
      <c r="N100" s="73"/>
      <c r="O100" s="81" t="s">
        <v>292</v>
      </c>
      <c r="P100">
        <v>1</v>
      </c>
      <c r="Q100" s="80" t="str">
        <f>REPLACE(INDEX(GroupVertices[Group],MATCH(Edges[[#This Row],[Vertex 1]],GroupVertices[Vertex],0)),1,1,"")</f>
        <v>1</v>
      </c>
      <c r="R100" s="80" t="str">
        <f>REPLACE(INDEX(GroupVertices[Group],MATCH(Edges[[#This Row],[Vertex 2]],GroupVertices[Vertex],0)),1,1,"")</f>
        <v>1</v>
      </c>
      <c r="S100" s="35"/>
      <c r="T100" s="35"/>
      <c r="U100" s="35"/>
      <c r="V100" s="35"/>
      <c r="W100" s="35"/>
      <c r="X100" s="35"/>
      <c r="Y100" s="35"/>
      <c r="Z100" s="35"/>
      <c r="AA100" s="35"/>
    </row>
    <row r="101" spans="1:27" ht="15">
      <c r="A101" s="65" t="s">
        <v>246</v>
      </c>
      <c r="B101" s="65" t="s">
        <v>279</v>
      </c>
      <c r="C101" s="66" t="s">
        <v>2113</v>
      </c>
      <c r="D101" s="67">
        <v>3</v>
      </c>
      <c r="E101" s="68"/>
      <c r="F101" s="69">
        <v>40</v>
      </c>
      <c r="G101" s="66"/>
      <c r="H101" s="70"/>
      <c r="I101" s="71"/>
      <c r="J101" s="71"/>
      <c r="K101" s="35" t="s">
        <v>65</v>
      </c>
      <c r="L101" s="79">
        <v>101</v>
      </c>
      <c r="M101" s="79"/>
      <c r="N101" s="73"/>
      <c r="O101" s="81" t="s">
        <v>292</v>
      </c>
      <c r="P101">
        <v>1</v>
      </c>
      <c r="Q101" s="80" t="str">
        <f>REPLACE(INDEX(GroupVertices[Group],MATCH(Edges[[#This Row],[Vertex 1]],GroupVertices[Vertex],0)),1,1,"")</f>
        <v>1</v>
      </c>
      <c r="R101" s="80" t="str">
        <f>REPLACE(INDEX(GroupVertices[Group],MATCH(Edges[[#This Row],[Vertex 2]],GroupVertices[Vertex],0)),1,1,"")</f>
        <v>1</v>
      </c>
      <c r="S101" s="35"/>
      <c r="T101" s="35"/>
      <c r="U101" s="35"/>
      <c r="V101" s="35"/>
      <c r="W101" s="35"/>
      <c r="X101" s="35"/>
      <c r="Y101" s="35"/>
      <c r="Z101" s="35"/>
      <c r="AA101" s="35"/>
    </row>
    <row r="102" spans="1:27" ht="15">
      <c r="A102" s="65" t="s">
        <v>247</v>
      </c>
      <c r="B102" s="65" t="s">
        <v>279</v>
      </c>
      <c r="C102" s="66" t="s">
        <v>2113</v>
      </c>
      <c r="D102" s="67">
        <v>3</v>
      </c>
      <c r="E102" s="68"/>
      <c r="F102" s="69">
        <v>40</v>
      </c>
      <c r="G102" s="66"/>
      <c r="H102" s="70"/>
      <c r="I102" s="71"/>
      <c r="J102" s="71"/>
      <c r="K102" s="35" t="s">
        <v>65</v>
      </c>
      <c r="L102" s="79">
        <v>102</v>
      </c>
      <c r="M102" s="79"/>
      <c r="N102" s="73"/>
      <c r="O102" s="81" t="s">
        <v>293</v>
      </c>
      <c r="P102">
        <v>1</v>
      </c>
      <c r="Q102" s="80" t="str">
        <f>REPLACE(INDEX(GroupVertices[Group],MATCH(Edges[[#This Row],[Vertex 1]],GroupVertices[Vertex],0)),1,1,"")</f>
        <v>1</v>
      </c>
      <c r="R102" s="80" t="str">
        <f>REPLACE(INDEX(GroupVertices[Group],MATCH(Edges[[#This Row],[Vertex 2]],GroupVertices[Vertex],0)),1,1,"")</f>
        <v>1</v>
      </c>
      <c r="S102" s="35"/>
      <c r="T102" s="35"/>
      <c r="U102" s="35"/>
      <c r="V102" s="35"/>
      <c r="W102" s="35"/>
      <c r="X102" s="35"/>
      <c r="Y102" s="35"/>
      <c r="Z102" s="35"/>
      <c r="AA102" s="35"/>
    </row>
    <row r="103" spans="1:27" ht="15">
      <c r="A103" s="65" t="s">
        <v>214</v>
      </c>
      <c r="B103" s="65" t="s">
        <v>213</v>
      </c>
      <c r="C103" s="66" t="s">
        <v>2113</v>
      </c>
      <c r="D103" s="67">
        <v>3</v>
      </c>
      <c r="E103" s="68"/>
      <c r="F103" s="69">
        <v>40</v>
      </c>
      <c r="G103" s="66"/>
      <c r="H103" s="70"/>
      <c r="I103" s="71"/>
      <c r="J103" s="71"/>
      <c r="K103" s="35" t="s">
        <v>65</v>
      </c>
      <c r="L103" s="79">
        <v>103</v>
      </c>
      <c r="M103" s="79"/>
      <c r="N103" s="73"/>
      <c r="O103" s="81" t="s">
        <v>292</v>
      </c>
      <c r="P103">
        <v>1</v>
      </c>
      <c r="Q103" s="80" t="str">
        <f>REPLACE(INDEX(GroupVertices[Group],MATCH(Edges[[#This Row],[Vertex 1]],GroupVertices[Vertex],0)),1,1,"")</f>
        <v>1</v>
      </c>
      <c r="R103" s="80" t="str">
        <f>REPLACE(INDEX(GroupVertices[Group],MATCH(Edges[[#This Row],[Vertex 2]],GroupVertices[Vertex],0)),1,1,"")</f>
        <v>1</v>
      </c>
      <c r="S103" s="35"/>
      <c r="T103" s="35"/>
      <c r="U103" s="35"/>
      <c r="V103" s="35"/>
      <c r="W103" s="35"/>
      <c r="X103" s="35"/>
      <c r="Y103" s="35"/>
      <c r="Z103" s="35"/>
      <c r="AA103" s="35"/>
    </row>
    <row r="104" spans="1:27" ht="15">
      <c r="A104" s="65" t="s">
        <v>215</v>
      </c>
      <c r="B104" s="65" t="s">
        <v>213</v>
      </c>
      <c r="C104" s="66" t="s">
        <v>2113</v>
      </c>
      <c r="D104" s="67">
        <v>3</v>
      </c>
      <c r="E104" s="68"/>
      <c r="F104" s="69">
        <v>40</v>
      </c>
      <c r="G104" s="66"/>
      <c r="H104" s="70"/>
      <c r="I104" s="71"/>
      <c r="J104" s="71"/>
      <c r="K104" s="35" t="s">
        <v>65</v>
      </c>
      <c r="L104" s="79">
        <v>104</v>
      </c>
      <c r="M104" s="79"/>
      <c r="N104" s="73"/>
      <c r="O104" s="81" t="s">
        <v>292</v>
      </c>
      <c r="P104">
        <v>1</v>
      </c>
      <c r="Q104" s="80" t="str">
        <f>REPLACE(INDEX(GroupVertices[Group],MATCH(Edges[[#This Row],[Vertex 1]],GroupVertices[Vertex],0)),1,1,"")</f>
        <v>1</v>
      </c>
      <c r="R104" s="80" t="str">
        <f>REPLACE(INDEX(GroupVertices[Group],MATCH(Edges[[#This Row],[Vertex 2]],GroupVertices[Vertex],0)),1,1,"")</f>
        <v>1</v>
      </c>
      <c r="S104" s="35"/>
      <c r="T104" s="35"/>
      <c r="U104" s="35"/>
      <c r="V104" s="35"/>
      <c r="W104" s="35"/>
      <c r="X104" s="35"/>
      <c r="Y104" s="35"/>
      <c r="Z104" s="35"/>
      <c r="AA104" s="35"/>
    </row>
    <row r="105" spans="1:27" ht="15">
      <c r="A105" s="65" t="s">
        <v>216</v>
      </c>
      <c r="B105" s="65" t="s">
        <v>213</v>
      </c>
      <c r="C105" s="66" t="s">
        <v>2113</v>
      </c>
      <c r="D105" s="67">
        <v>3</v>
      </c>
      <c r="E105" s="68"/>
      <c r="F105" s="69">
        <v>40</v>
      </c>
      <c r="G105" s="66"/>
      <c r="H105" s="70"/>
      <c r="I105" s="71"/>
      <c r="J105" s="71"/>
      <c r="K105" s="35" t="s">
        <v>65</v>
      </c>
      <c r="L105" s="79">
        <v>105</v>
      </c>
      <c r="M105" s="79"/>
      <c r="N105" s="73"/>
      <c r="O105" s="81" t="s">
        <v>292</v>
      </c>
      <c r="P105">
        <v>1</v>
      </c>
      <c r="Q105" s="80" t="str">
        <f>REPLACE(INDEX(GroupVertices[Group],MATCH(Edges[[#This Row],[Vertex 1]],GroupVertices[Vertex],0)),1,1,"")</f>
        <v>1</v>
      </c>
      <c r="R105" s="80" t="str">
        <f>REPLACE(INDEX(GroupVertices[Group],MATCH(Edges[[#This Row],[Vertex 2]],GroupVertices[Vertex],0)),1,1,"")</f>
        <v>1</v>
      </c>
      <c r="S105" s="35"/>
      <c r="T105" s="35"/>
      <c r="U105" s="35"/>
      <c r="V105" s="35"/>
      <c r="W105" s="35"/>
      <c r="X105" s="35"/>
      <c r="Y105" s="35"/>
      <c r="Z105" s="35"/>
      <c r="AA105" s="35"/>
    </row>
    <row r="106" spans="1:27" ht="15">
      <c r="A106" s="65" t="s">
        <v>248</v>
      </c>
      <c r="B106" s="65" t="s">
        <v>213</v>
      </c>
      <c r="C106" s="66" t="s">
        <v>2113</v>
      </c>
      <c r="D106" s="67">
        <v>3</v>
      </c>
      <c r="E106" s="68"/>
      <c r="F106" s="69">
        <v>40</v>
      </c>
      <c r="G106" s="66"/>
      <c r="H106" s="70"/>
      <c r="I106" s="71"/>
      <c r="J106" s="71"/>
      <c r="K106" s="35" t="s">
        <v>65</v>
      </c>
      <c r="L106" s="79">
        <v>106</v>
      </c>
      <c r="M106" s="79"/>
      <c r="N106" s="73"/>
      <c r="O106" s="81" t="s">
        <v>292</v>
      </c>
      <c r="P106">
        <v>1</v>
      </c>
      <c r="Q106" s="80" t="str">
        <f>REPLACE(INDEX(GroupVertices[Group],MATCH(Edges[[#This Row],[Vertex 1]],GroupVertices[Vertex],0)),1,1,"")</f>
        <v>1</v>
      </c>
      <c r="R106" s="80" t="str">
        <f>REPLACE(INDEX(GroupVertices[Group],MATCH(Edges[[#This Row],[Vertex 2]],GroupVertices[Vertex],0)),1,1,"")</f>
        <v>1</v>
      </c>
      <c r="S106" s="35"/>
      <c r="T106" s="35"/>
      <c r="U106" s="35"/>
      <c r="V106" s="35"/>
      <c r="W106" s="35"/>
      <c r="X106" s="35"/>
      <c r="Y106" s="35"/>
      <c r="Z106" s="35"/>
      <c r="AA106" s="35"/>
    </row>
    <row r="107" spans="1:27" ht="15">
      <c r="A107" s="65" t="s">
        <v>217</v>
      </c>
      <c r="B107" s="65" t="s">
        <v>213</v>
      </c>
      <c r="C107" s="66" t="s">
        <v>2113</v>
      </c>
      <c r="D107" s="67">
        <v>3</v>
      </c>
      <c r="E107" s="68"/>
      <c r="F107" s="69">
        <v>40</v>
      </c>
      <c r="G107" s="66"/>
      <c r="H107" s="70"/>
      <c r="I107" s="71"/>
      <c r="J107" s="71"/>
      <c r="K107" s="35" t="s">
        <v>65</v>
      </c>
      <c r="L107" s="79">
        <v>107</v>
      </c>
      <c r="M107" s="79"/>
      <c r="N107" s="73"/>
      <c r="O107" s="81" t="s">
        <v>292</v>
      </c>
      <c r="P107">
        <v>1</v>
      </c>
      <c r="Q107" s="80" t="str">
        <f>REPLACE(INDEX(GroupVertices[Group],MATCH(Edges[[#This Row],[Vertex 1]],GroupVertices[Vertex],0)),1,1,"")</f>
        <v>1</v>
      </c>
      <c r="R107" s="80" t="str">
        <f>REPLACE(INDEX(GroupVertices[Group],MATCH(Edges[[#This Row],[Vertex 2]],GroupVertices[Vertex],0)),1,1,"")</f>
        <v>1</v>
      </c>
      <c r="S107" s="35"/>
      <c r="T107" s="35"/>
      <c r="U107" s="35"/>
      <c r="V107" s="35"/>
      <c r="W107" s="35"/>
      <c r="X107" s="35"/>
      <c r="Y107" s="35"/>
      <c r="Z107" s="35"/>
      <c r="AA107" s="35"/>
    </row>
    <row r="108" spans="1:27" ht="15">
      <c r="A108" s="65" t="s">
        <v>218</v>
      </c>
      <c r="B108" s="65" t="s">
        <v>213</v>
      </c>
      <c r="C108" s="66" t="s">
        <v>2113</v>
      </c>
      <c r="D108" s="67">
        <v>3</v>
      </c>
      <c r="E108" s="68"/>
      <c r="F108" s="69">
        <v>40</v>
      </c>
      <c r="G108" s="66"/>
      <c r="H108" s="70"/>
      <c r="I108" s="71"/>
      <c r="J108" s="71"/>
      <c r="K108" s="35" t="s">
        <v>65</v>
      </c>
      <c r="L108" s="79">
        <v>108</v>
      </c>
      <c r="M108" s="79"/>
      <c r="N108" s="73"/>
      <c r="O108" s="81" t="s">
        <v>292</v>
      </c>
      <c r="P108">
        <v>1</v>
      </c>
      <c r="Q108" s="80" t="str">
        <f>REPLACE(INDEX(GroupVertices[Group],MATCH(Edges[[#This Row],[Vertex 1]],GroupVertices[Vertex],0)),1,1,"")</f>
        <v>1</v>
      </c>
      <c r="R108" s="80" t="str">
        <f>REPLACE(INDEX(GroupVertices[Group],MATCH(Edges[[#This Row],[Vertex 2]],GroupVertices[Vertex],0)),1,1,"")</f>
        <v>1</v>
      </c>
      <c r="S108" s="35"/>
      <c r="T108" s="35"/>
      <c r="U108" s="35"/>
      <c r="V108" s="35"/>
      <c r="W108" s="35"/>
      <c r="X108" s="35"/>
      <c r="Y108" s="35"/>
      <c r="Z108" s="35"/>
      <c r="AA108" s="35"/>
    </row>
    <row r="109" spans="1:27" ht="15">
      <c r="A109" s="65" t="s">
        <v>219</v>
      </c>
      <c r="B109" s="65" t="s">
        <v>213</v>
      </c>
      <c r="C109" s="66" t="s">
        <v>2113</v>
      </c>
      <c r="D109" s="67">
        <v>3</v>
      </c>
      <c r="E109" s="68"/>
      <c r="F109" s="69">
        <v>40</v>
      </c>
      <c r="G109" s="66"/>
      <c r="H109" s="70"/>
      <c r="I109" s="71"/>
      <c r="J109" s="71"/>
      <c r="K109" s="35" t="s">
        <v>65</v>
      </c>
      <c r="L109" s="79">
        <v>109</v>
      </c>
      <c r="M109" s="79"/>
      <c r="N109" s="73"/>
      <c r="O109" s="81" t="s">
        <v>292</v>
      </c>
      <c r="P109">
        <v>1</v>
      </c>
      <c r="Q109" s="80" t="str">
        <f>REPLACE(INDEX(GroupVertices[Group],MATCH(Edges[[#This Row],[Vertex 1]],GroupVertices[Vertex],0)),1,1,"")</f>
        <v>1</v>
      </c>
      <c r="R109" s="80" t="str">
        <f>REPLACE(INDEX(GroupVertices[Group],MATCH(Edges[[#This Row],[Vertex 2]],GroupVertices[Vertex],0)),1,1,"")</f>
        <v>1</v>
      </c>
      <c r="S109" s="35"/>
      <c r="T109" s="35"/>
      <c r="U109" s="35"/>
      <c r="V109" s="35"/>
      <c r="W109" s="35"/>
      <c r="X109" s="35"/>
      <c r="Y109" s="35"/>
      <c r="Z109" s="35"/>
      <c r="AA109" s="35"/>
    </row>
    <row r="110" spans="1:27" ht="15">
      <c r="A110" s="65" t="s">
        <v>221</v>
      </c>
      <c r="B110" s="65" t="s">
        <v>213</v>
      </c>
      <c r="C110" s="66" t="s">
        <v>2113</v>
      </c>
      <c r="D110" s="67">
        <v>3</v>
      </c>
      <c r="E110" s="68"/>
      <c r="F110" s="69">
        <v>40</v>
      </c>
      <c r="G110" s="66"/>
      <c r="H110" s="70"/>
      <c r="I110" s="71"/>
      <c r="J110" s="71"/>
      <c r="K110" s="35" t="s">
        <v>65</v>
      </c>
      <c r="L110" s="79">
        <v>110</v>
      </c>
      <c r="M110" s="79"/>
      <c r="N110" s="73"/>
      <c r="O110" s="81" t="s">
        <v>292</v>
      </c>
      <c r="P110">
        <v>1</v>
      </c>
      <c r="Q110" s="80" t="str">
        <f>REPLACE(INDEX(GroupVertices[Group],MATCH(Edges[[#This Row],[Vertex 1]],GroupVertices[Vertex],0)),1,1,"")</f>
        <v>1</v>
      </c>
      <c r="R110" s="80" t="str">
        <f>REPLACE(INDEX(GroupVertices[Group],MATCH(Edges[[#This Row],[Vertex 2]],GroupVertices[Vertex],0)),1,1,"")</f>
        <v>1</v>
      </c>
      <c r="S110" s="35"/>
      <c r="T110" s="35"/>
      <c r="U110" s="35"/>
      <c r="V110" s="35"/>
      <c r="W110" s="35"/>
      <c r="X110" s="35"/>
      <c r="Y110" s="35"/>
      <c r="Z110" s="35"/>
      <c r="AA110" s="35"/>
    </row>
    <row r="111" spans="1:27" ht="15">
      <c r="A111" s="65" t="s">
        <v>222</v>
      </c>
      <c r="B111" s="65" t="s">
        <v>213</v>
      </c>
      <c r="C111" s="66" t="s">
        <v>2113</v>
      </c>
      <c r="D111" s="67">
        <v>3</v>
      </c>
      <c r="E111" s="68"/>
      <c r="F111" s="69">
        <v>40</v>
      </c>
      <c r="G111" s="66"/>
      <c r="H111" s="70"/>
      <c r="I111" s="71"/>
      <c r="J111" s="71"/>
      <c r="K111" s="35" t="s">
        <v>65</v>
      </c>
      <c r="L111" s="79">
        <v>111</v>
      </c>
      <c r="M111" s="79"/>
      <c r="N111" s="73"/>
      <c r="O111" s="81" t="s">
        <v>292</v>
      </c>
      <c r="P111">
        <v>1</v>
      </c>
      <c r="Q111" s="80" t="str">
        <f>REPLACE(INDEX(GroupVertices[Group],MATCH(Edges[[#This Row],[Vertex 1]],GroupVertices[Vertex],0)),1,1,"")</f>
        <v>1</v>
      </c>
      <c r="R111" s="80" t="str">
        <f>REPLACE(INDEX(GroupVertices[Group],MATCH(Edges[[#This Row],[Vertex 2]],GroupVertices[Vertex],0)),1,1,"")</f>
        <v>1</v>
      </c>
      <c r="S111" s="35"/>
      <c r="T111" s="35"/>
      <c r="U111" s="35"/>
      <c r="V111" s="35"/>
      <c r="W111" s="35"/>
      <c r="X111" s="35"/>
      <c r="Y111" s="35"/>
      <c r="Z111" s="35"/>
      <c r="AA111" s="35"/>
    </row>
    <row r="112" spans="1:27" ht="15">
      <c r="A112" s="65" t="s">
        <v>223</v>
      </c>
      <c r="B112" s="65" t="s">
        <v>213</v>
      </c>
      <c r="C112" s="66" t="s">
        <v>2113</v>
      </c>
      <c r="D112" s="67">
        <v>3</v>
      </c>
      <c r="E112" s="68"/>
      <c r="F112" s="69">
        <v>40</v>
      </c>
      <c r="G112" s="66"/>
      <c r="H112" s="70"/>
      <c r="I112" s="71"/>
      <c r="J112" s="71"/>
      <c r="K112" s="35" t="s">
        <v>65</v>
      </c>
      <c r="L112" s="79">
        <v>112</v>
      </c>
      <c r="M112" s="79"/>
      <c r="N112" s="73"/>
      <c r="O112" s="81" t="s">
        <v>292</v>
      </c>
      <c r="P112">
        <v>1</v>
      </c>
      <c r="Q112" s="80" t="str">
        <f>REPLACE(INDEX(GroupVertices[Group],MATCH(Edges[[#This Row],[Vertex 1]],GroupVertices[Vertex],0)),1,1,"")</f>
        <v>1</v>
      </c>
      <c r="R112" s="80" t="str">
        <f>REPLACE(INDEX(GroupVertices[Group],MATCH(Edges[[#This Row],[Vertex 2]],GroupVertices[Vertex],0)),1,1,"")</f>
        <v>1</v>
      </c>
      <c r="S112" s="35"/>
      <c r="T112" s="35"/>
      <c r="U112" s="35"/>
      <c r="V112" s="35"/>
      <c r="W112" s="35"/>
      <c r="X112" s="35"/>
      <c r="Y112" s="35"/>
      <c r="Z112" s="35"/>
      <c r="AA112" s="35"/>
    </row>
    <row r="113" spans="1:27" ht="15">
      <c r="A113" s="65" t="s">
        <v>224</v>
      </c>
      <c r="B113" s="65" t="s">
        <v>213</v>
      </c>
      <c r="C113" s="66" t="s">
        <v>2113</v>
      </c>
      <c r="D113" s="67">
        <v>3</v>
      </c>
      <c r="E113" s="68"/>
      <c r="F113" s="69">
        <v>40</v>
      </c>
      <c r="G113" s="66"/>
      <c r="H113" s="70"/>
      <c r="I113" s="71"/>
      <c r="J113" s="71"/>
      <c r="K113" s="35" t="s">
        <v>65</v>
      </c>
      <c r="L113" s="79">
        <v>113</v>
      </c>
      <c r="M113" s="79"/>
      <c r="N113" s="73"/>
      <c r="O113" s="81" t="s">
        <v>292</v>
      </c>
      <c r="P113">
        <v>1</v>
      </c>
      <c r="Q113" s="80" t="str">
        <f>REPLACE(INDEX(GroupVertices[Group],MATCH(Edges[[#This Row],[Vertex 1]],GroupVertices[Vertex],0)),1,1,"")</f>
        <v>1</v>
      </c>
      <c r="R113" s="80" t="str">
        <f>REPLACE(INDEX(GroupVertices[Group],MATCH(Edges[[#This Row],[Vertex 2]],GroupVertices[Vertex],0)),1,1,"")</f>
        <v>1</v>
      </c>
      <c r="S113" s="35"/>
      <c r="T113" s="35"/>
      <c r="U113" s="35"/>
      <c r="V113" s="35"/>
      <c r="W113" s="35"/>
      <c r="X113" s="35"/>
      <c r="Y113" s="35"/>
      <c r="Z113" s="35"/>
      <c r="AA113" s="35"/>
    </row>
    <row r="114" spans="1:27" ht="15">
      <c r="A114" s="65" t="s">
        <v>240</v>
      </c>
      <c r="B114" s="65" t="s">
        <v>213</v>
      </c>
      <c r="C114" s="66" t="s">
        <v>2113</v>
      </c>
      <c r="D114" s="67">
        <v>3</v>
      </c>
      <c r="E114" s="68"/>
      <c r="F114" s="69">
        <v>40</v>
      </c>
      <c r="G114" s="66"/>
      <c r="H114" s="70"/>
      <c r="I114" s="71"/>
      <c r="J114" s="71"/>
      <c r="K114" s="35" t="s">
        <v>65</v>
      </c>
      <c r="L114" s="79">
        <v>114</v>
      </c>
      <c r="M114" s="79"/>
      <c r="N114" s="73"/>
      <c r="O114" s="81" t="s">
        <v>292</v>
      </c>
      <c r="P114">
        <v>1</v>
      </c>
      <c r="Q114" s="80" t="str">
        <f>REPLACE(INDEX(GroupVertices[Group],MATCH(Edges[[#This Row],[Vertex 1]],GroupVertices[Vertex],0)),1,1,"")</f>
        <v>1</v>
      </c>
      <c r="R114" s="80" t="str">
        <f>REPLACE(INDEX(GroupVertices[Group],MATCH(Edges[[#This Row],[Vertex 2]],GroupVertices[Vertex],0)),1,1,"")</f>
        <v>1</v>
      </c>
      <c r="S114" s="35"/>
      <c r="T114" s="35"/>
      <c r="U114" s="35"/>
      <c r="V114" s="35"/>
      <c r="W114" s="35"/>
      <c r="X114" s="35"/>
      <c r="Y114" s="35"/>
      <c r="Z114" s="35"/>
      <c r="AA114" s="35"/>
    </row>
    <row r="115" spans="1:27" ht="15">
      <c r="A115" s="65" t="s">
        <v>226</v>
      </c>
      <c r="B115" s="65" t="s">
        <v>213</v>
      </c>
      <c r="C115" s="66" t="s">
        <v>2113</v>
      </c>
      <c r="D115" s="67">
        <v>3</v>
      </c>
      <c r="E115" s="68"/>
      <c r="F115" s="69">
        <v>40</v>
      </c>
      <c r="G115" s="66"/>
      <c r="H115" s="70"/>
      <c r="I115" s="71"/>
      <c r="J115" s="71"/>
      <c r="K115" s="35" t="s">
        <v>65</v>
      </c>
      <c r="L115" s="79">
        <v>115</v>
      </c>
      <c r="M115" s="79"/>
      <c r="N115" s="73"/>
      <c r="O115" s="81" t="s">
        <v>292</v>
      </c>
      <c r="P115">
        <v>1</v>
      </c>
      <c r="Q115" s="80" t="str">
        <f>REPLACE(INDEX(GroupVertices[Group],MATCH(Edges[[#This Row],[Vertex 1]],GroupVertices[Vertex],0)),1,1,"")</f>
        <v>1</v>
      </c>
      <c r="R115" s="80" t="str">
        <f>REPLACE(INDEX(GroupVertices[Group],MATCH(Edges[[#This Row],[Vertex 2]],GroupVertices[Vertex],0)),1,1,"")</f>
        <v>1</v>
      </c>
      <c r="S115" s="35"/>
      <c r="T115" s="35"/>
      <c r="U115" s="35"/>
      <c r="V115" s="35"/>
      <c r="W115" s="35"/>
      <c r="X115" s="35"/>
      <c r="Y115" s="35"/>
      <c r="Z115" s="35"/>
      <c r="AA115" s="35"/>
    </row>
    <row r="116" spans="1:27" ht="15">
      <c r="A116" s="65" t="s">
        <v>227</v>
      </c>
      <c r="B116" s="65" t="s">
        <v>213</v>
      </c>
      <c r="C116" s="66" t="s">
        <v>2113</v>
      </c>
      <c r="D116" s="67">
        <v>3</v>
      </c>
      <c r="E116" s="68"/>
      <c r="F116" s="69">
        <v>40</v>
      </c>
      <c r="G116" s="66"/>
      <c r="H116" s="70"/>
      <c r="I116" s="71"/>
      <c r="J116" s="71"/>
      <c r="K116" s="35" t="s">
        <v>65</v>
      </c>
      <c r="L116" s="79">
        <v>116</v>
      </c>
      <c r="M116" s="79"/>
      <c r="N116" s="73"/>
      <c r="O116" s="81" t="s">
        <v>292</v>
      </c>
      <c r="P116">
        <v>1</v>
      </c>
      <c r="Q116" s="80" t="str">
        <f>REPLACE(INDEX(GroupVertices[Group],MATCH(Edges[[#This Row],[Vertex 1]],GroupVertices[Vertex],0)),1,1,"")</f>
        <v>1</v>
      </c>
      <c r="R116" s="80" t="str">
        <f>REPLACE(INDEX(GroupVertices[Group],MATCH(Edges[[#This Row],[Vertex 2]],GroupVertices[Vertex],0)),1,1,"")</f>
        <v>1</v>
      </c>
      <c r="S116" s="35"/>
      <c r="T116" s="35"/>
      <c r="U116" s="35"/>
      <c r="V116" s="35"/>
      <c r="W116" s="35"/>
      <c r="X116" s="35"/>
      <c r="Y116" s="35"/>
      <c r="Z116" s="35"/>
      <c r="AA116" s="35"/>
    </row>
    <row r="117" spans="1:27" ht="15">
      <c r="A117" s="65" t="s">
        <v>241</v>
      </c>
      <c r="B117" s="65" t="s">
        <v>213</v>
      </c>
      <c r="C117" s="66" t="s">
        <v>2113</v>
      </c>
      <c r="D117" s="67">
        <v>3</v>
      </c>
      <c r="E117" s="68"/>
      <c r="F117" s="69">
        <v>40</v>
      </c>
      <c r="G117" s="66"/>
      <c r="H117" s="70"/>
      <c r="I117" s="71"/>
      <c r="J117" s="71"/>
      <c r="K117" s="35" t="s">
        <v>65</v>
      </c>
      <c r="L117" s="79">
        <v>117</v>
      </c>
      <c r="M117" s="79"/>
      <c r="N117" s="73"/>
      <c r="O117" s="81" t="s">
        <v>292</v>
      </c>
      <c r="P117">
        <v>1</v>
      </c>
      <c r="Q117" s="80" t="str">
        <f>REPLACE(INDEX(GroupVertices[Group],MATCH(Edges[[#This Row],[Vertex 1]],GroupVertices[Vertex],0)),1,1,"")</f>
        <v>1</v>
      </c>
      <c r="R117" s="80" t="str">
        <f>REPLACE(INDEX(GroupVertices[Group],MATCH(Edges[[#This Row],[Vertex 2]],GroupVertices[Vertex],0)),1,1,"")</f>
        <v>1</v>
      </c>
      <c r="S117" s="35"/>
      <c r="T117" s="35"/>
      <c r="U117" s="35"/>
      <c r="V117" s="35"/>
      <c r="W117" s="35"/>
      <c r="X117" s="35"/>
      <c r="Y117" s="35"/>
      <c r="Z117" s="35"/>
      <c r="AA117" s="35"/>
    </row>
    <row r="118" spans="1:27" ht="15">
      <c r="A118" s="65" t="s">
        <v>228</v>
      </c>
      <c r="B118" s="65" t="s">
        <v>213</v>
      </c>
      <c r="C118" s="66" t="s">
        <v>2113</v>
      </c>
      <c r="D118" s="67">
        <v>3</v>
      </c>
      <c r="E118" s="68"/>
      <c r="F118" s="69">
        <v>40</v>
      </c>
      <c r="G118" s="66"/>
      <c r="H118" s="70"/>
      <c r="I118" s="71"/>
      <c r="J118" s="71"/>
      <c r="K118" s="35" t="s">
        <v>65</v>
      </c>
      <c r="L118" s="79">
        <v>118</v>
      </c>
      <c r="M118" s="79"/>
      <c r="N118" s="73"/>
      <c r="O118" s="81" t="s">
        <v>292</v>
      </c>
      <c r="P118">
        <v>1</v>
      </c>
      <c r="Q118" s="80" t="str">
        <f>REPLACE(INDEX(GroupVertices[Group],MATCH(Edges[[#This Row],[Vertex 1]],GroupVertices[Vertex],0)),1,1,"")</f>
        <v>1</v>
      </c>
      <c r="R118" s="80" t="str">
        <f>REPLACE(INDEX(GroupVertices[Group],MATCH(Edges[[#This Row],[Vertex 2]],GroupVertices[Vertex],0)),1,1,"")</f>
        <v>1</v>
      </c>
      <c r="S118" s="35"/>
      <c r="T118" s="35"/>
      <c r="U118" s="35"/>
      <c r="V118" s="35"/>
      <c r="W118" s="35"/>
      <c r="X118" s="35"/>
      <c r="Y118" s="35"/>
      <c r="Z118" s="35"/>
      <c r="AA118" s="35"/>
    </row>
    <row r="119" spans="1:27" ht="15">
      <c r="A119" s="65" t="s">
        <v>229</v>
      </c>
      <c r="B119" s="65" t="s">
        <v>213</v>
      </c>
      <c r="C119" s="66" t="s">
        <v>2113</v>
      </c>
      <c r="D119" s="67">
        <v>3</v>
      </c>
      <c r="E119" s="68"/>
      <c r="F119" s="69">
        <v>40</v>
      </c>
      <c r="G119" s="66"/>
      <c r="H119" s="70"/>
      <c r="I119" s="71"/>
      <c r="J119" s="71"/>
      <c r="K119" s="35" t="s">
        <v>65</v>
      </c>
      <c r="L119" s="79">
        <v>119</v>
      </c>
      <c r="M119" s="79"/>
      <c r="N119" s="73"/>
      <c r="O119" s="81" t="s">
        <v>292</v>
      </c>
      <c r="P119">
        <v>1</v>
      </c>
      <c r="Q119" s="80" t="str">
        <f>REPLACE(INDEX(GroupVertices[Group],MATCH(Edges[[#This Row],[Vertex 1]],GroupVertices[Vertex],0)),1,1,"")</f>
        <v>1</v>
      </c>
      <c r="R119" s="80" t="str">
        <f>REPLACE(INDEX(GroupVertices[Group],MATCH(Edges[[#This Row],[Vertex 2]],GroupVertices[Vertex],0)),1,1,"")</f>
        <v>1</v>
      </c>
      <c r="S119" s="35"/>
      <c r="T119" s="35"/>
      <c r="U119" s="35"/>
      <c r="V119" s="35"/>
      <c r="W119" s="35"/>
      <c r="X119" s="35"/>
      <c r="Y119" s="35"/>
      <c r="Z119" s="35"/>
      <c r="AA119" s="35"/>
    </row>
    <row r="120" spans="1:27" ht="15">
      <c r="A120" s="65" t="s">
        <v>230</v>
      </c>
      <c r="B120" s="65" t="s">
        <v>213</v>
      </c>
      <c r="C120" s="66" t="s">
        <v>2113</v>
      </c>
      <c r="D120" s="67">
        <v>3</v>
      </c>
      <c r="E120" s="68"/>
      <c r="F120" s="69">
        <v>40</v>
      </c>
      <c r="G120" s="66"/>
      <c r="H120" s="70"/>
      <c r="I120" s="71"/>
      <c r="J120" s="71"/>
      <c r="K120" s="35" t="s">
        <v>65</v>
      </c>
      <c r="L120" s="79">
        <v>120</v>
      </c>
      <c r="M120" s="79"/>
      <c r="N120" s="73"/>
      <c r="O120" s="81" t="s">
        <v>292</v>
      </c>
      <c r="P120">
        <v>1</v>
      </c>
      <c r="Q120" s="80" t="str">
        <f>REPLACE(INDEX(GroupVertices[Group],MATCH(Edges[[#This Row],[Vertex 1]],GroupVertices[Vertex],0)),1,1,"")</f>
        <v>1</v>
      </c>
      <c r="R120" s="80" t="str">
        <f>REPLACE(INDEX(GroupVertices[Group],MATCH(Edges[[#This Row],[Vertex 2]],GroupVertices[Vertex],0)),1,1,"")</f>
        <v>1</v>
      </c>
      <c r="S120" s="35"/>
      <c r="T120" s="35"/>
      <c r="U120" s="35"/>
      <c r="V120" s="35"/>
      <c r="W120" s="35"/>
      <c r="X120" s="35"/>
      <c r="Y120" s="35"/>
      <c r="Z120" s="35"/>
      <c r="AA120" s="35"/>
    </row>
    <row r="121" spans="1:27" ht="15">
      <c r="A121" s="65" t="s">
        <v>231</v>
      </c>
      <c r="B121" s="65" t="s">
        <v>213</v>
      </c>
      <c r="C121" s="66" t="s">
        <v>2113</v>
      </c>
      <c r="D121" s="67">
        <v>3</v>
      </c>
      <c r="E121" s="68"/>
      <c r="F121" s="69">
        <v>40</v>
      </c>
      <c r="G121" s="66"/>
      <c r="H121" s="70"/>
      <c r="I121" s="71"/>
      <c r="J121" s="71"/>
      <c r="K121" s="35" t="s">
        <v>65</v>
      </c>
      <c r="L121" s="79">
        <v>121</v>
      </c>
      <c r="M121" s="79"/>
      <c r="N121" s="73"/>
      <c r="O121" s="81" t="s">
        <v>292</v>
      </c>
      <c r="P121">
        <v>1</v>
      </c>
      <c r="Q121" s="80" t="str">
        <f>REPLACE(INDEX(GroupVertices[Group],MATCH(Edges[[#This Row],[Vertex 1]],GroupVertices[Vertex],0)),1,1,"")</f>
        <v>1</v>
      </c>
      <c r="R121" s="80" t="str">
        <f>REPLACE(INDEX(GroupVertices[Group],MATCH(Edges[[#This Row],[Vertex 2]],GroupVertices[Vertex],0)),1,1,"")</f>
        <v>1</v>
      </c>
      <c r="S121" s="35"/>
      <c r="T121" s="35"/>
      <c r="U121" s="35"/>
      <c r="V121" s="35"/>
      <c r="W121" s="35"/>
      <c r="X121" s="35"/>
      <c r="Y121" s="35"/>
      <c r="Z121" s="35"/>
      <c r="AA121" s="35"/>
    </row>
    <row r="122" spans="1:27" ht="15">
      <c r="A122" s="65" t="s">
        <v>242</v>
      </c>
      <c r="B122" s="65" t="s">
        <v>213</v>
      </c>
      <c r="C122" s="66" t="s">
        <v>2113</v>
      </c>
      <c r="D122" s="67">
        <v>3</v>
      </c>
      <c r="E122" s="68"/>
      <c r="F122" s="69">
        <v>40</v>
      </c>
      <c r="G122" s="66"/>
      <c r="H122" s="70"/>
      <c r="I122" s="71"/>
      <c r="J122" s="71"/>
      <c r="K122" s="35" t="s">
        <v>65</v>
      </c>
      <c r="L122" s="79">
        <v>122</v>
      </c>
      <c r="M122" s="79"/>
      <c r="N122" s="73"/>
      <c r="O122" s="81" t="s">
        <v>292</v>
      </c>
      <c r="P122">
        <v>1</v>
      </c>
      <c r="Q122" s="80" t="str">
        <f>REPLACE(INDEX(GroupVertices[Group],MATCH(Edges[[#This Row],[Vertex 1]],GroupVertices[Vertex],0)),1,1,"")</f>
        <v>1</v>
      </c>
      <c r="R122" s="80" t="str">
        <f>REPLACE(INDEX(GroupVertices[Group],MATCH(Edges[[#This Row],[Vertex 2]],GroupVertices[Vertex],0)),1,1,"")</f>
        <v>1</v>
      </c>
      <c r="S122" s="35"/>
      <c r="T122" s="35"/>
      <c r="U122" s="35"/>
      <c r="V122" s="35"/>
      <c r="W122" s="35"/>
      <c r="X122" s="35"/>
      <c r="Y122" s="35"/>
      <c r="Z122" s="35"/>
      <c r="AA122" s="35"/>
    </row>
    <row r="123" spans="1:27" ht="15">
      <c r="A123" s="65" t="s">
        <v>232</v>
      </c>
      <c r="B123" s="65" t="s">
        <v>213</v>
      </c>
      <c r="C123" s="66" t="s">
        <v>2113</v>
      </c>
      <c r="D123" s="67">
        <v>3</v>
      </c>
      <c r="E123" s="68"/>
      <c r="F123" s="69">
        <v>40</v>
      </c>
      <c r="G123" s="66"/>
      <c r="H123" s="70"/>
      <c r="I123" s="71"/>
      <c r="J123" s="71"/>
      <c r="K123" s="35" t="s">
        <v>65</v>
      </c>
      <c r="L123" s="79">
        <v>123</v>
      </c>
      <c r="M123" s="79"/>
      <c r="N123" s="73"/>
      <c r="O123" s="81" t="s">
        <v>292</v>
      </c>
      <c r="P123">
        <v>1</v>
      </c>
      <c r="Q123" s="80" t="str">
        <f>REPLACE(INDEX(GroupVertices[Group],MATCH(Edges[[#This Row],[Vertex 1]],GroupVertices[Vertex],0)),1,1,"")</f>
        <v>2</v>
      </c>
      <c r="R123" s="80" t="str">
        <f>REPLACE(INDEX(GroupVertices[Group],MATCH(Edges[[#This Row],[Vertex 2]],GroupVertices[Vertex],0)),1,1,"")</f>
        <v>1</v>
      </c>
      <c r="S123" s="35"/>
      <c r="T123" s="35"/>
      <c r="U123" s="35"/>
      <c r="V123" s="35"/>
      <c r="W123" s="35"/>
      <c r="X123" s="35"/>
      <c r="Y123" s="35"/>
      <c r="Z123" s="35"/>
      <c r="AA123" s="35"/>
    </row>
    <row r="124" spans="1:27" ht="15">
      <c r="A124" s="65" t="s">
        <v>233</v>
      </c>
      <c r="B124" s="65" t="s">
        <v>213</v>
      </c>
      <c r="C124" s="66" t="s">
        <v>2113</v>
      </c>
      <c r="D124" s="67">
        <v>3</v>
      </c>
      <c r="E124" s="68"/>
      <c r="F124" s="69">
        <v>40</v>
      </c>
      <c r="G124" s="66"/>
      <c r="H124" s="70"/>
      <c r="I124" s="71"/>
      <c r="J124" s="71"/>
      <c r="K124" s="35" t="s">
        <v>65</v>
      </c>
      <c r="L124" s="79">
        <v>124</v>
      </c>
      <c r="M124" s="79"/>
      <c r="N124" s="73"/>
      <c r="O124" s="81" t="s">
        <v>292</v>
      </c>
      <c r="P124">
        <v>1</v>
      </c>
      <c r="Q124" s="80" t="str">
        <f>REPLACE(INDEX(GroupVertices[Group],MATCH(Edges[[#This Row],[Vertex 1]],GroupVertices[Vertex],0)),1,1,"")</f>
        <v>1</v>
      </c>
      <c r="R124" s="80" t="str">
        <f>REPLACE(INDEX(GroupVertices[Group],MATCH(Edges[[#This Row],[Vertex 2]],GroupVertices[Vertex],0)),1,1,"")</f>
        <v>1</v>
      </c>
      <c r="S124" s="35"/>
      <c r="T124" s="35"/>
      <c r="U124" s="35"/>
      <c r="V124" s="35"/>
      <c r="W124" s="35"/>
      <c r="X124" s="35"/>
      <c r="Y124" s="35"/>
      <c r="Z124" s="35"/>
      <c r="AA124" s="35"/>
    </row>
    <row r="125" spans="1:27" ht="15">
      <c r="A125" s="65" t="s">
        <v>234</v>
      </c>
      <c r="B125" s="65" t="s">
        <v>213</v>
      </c>
      <c r="C125" s="66" t="s">
        <v>2113</v>
      </c>
      <c r="D125" s="67">
        <v>3</v>
      </c>
      <c r="E125" s="68"/>
      <c r="F125" s="69">
        <v>40</v>
      </c>
      <c r="G125" s="66"/>
      <c r="H125" s="70"/>
      <c r="I125" s="71"/>
      <c r="J125" s="71"/>
      <c r="K125" s="35" t="s">
        <v>65</v>
      </c>
      <c r="L125" s="79">
        <v>125</v>
      </c>
      <c r="M125" s="79"/>
      <c r="N125" s="73"/>
      <c r="O125" s="81" t="s">
        <v>292</v>
      </c>
      <c r="P125">
        <v>1</v>
      </c>
      <c r="Q125" s="80" t="str">
        <f>REPLACE(INDEX(GroupVertices[Group],MATCH(Edges[[#This Row],[Vertex 1]],GroupVertices[Vertex],0)),1,1,"")</f>
        <v>1</v>
      </c>
      <c r="R125" s="80" t="str">
        <f>REPLACE(INDEX(GroupVertices[Group],MATCH(Edges[[#This Row],[Vertex 2]],GroupVertices[Vertex],0)),1,1,"")</f>
        <v>1</v>
      </c>
      <c r="S125" s="35"/>
      <c r="T125" s="35"/>
      <c r="U125" s="35"/>
      <c r="V125" s="35"/>
      <c r="W125" s="35"/>
      <c r="X125" s="35"/>
      <c r="Y125" s="35"/>
      <c r="Z125" s="35"/>
      <c r="AA125" s="35"/>
    </row>
    <row r="126" spans="1:27" ht="15">
      <c r="A126" s="65" t="s">
        <v>235</v>
      </c>
      <c r="B126" s="65" t="s">
        <v>213</v>
      </c>
      <c r="C126" s="66" t="s">
        <v>2113</v>
      </c>
      <c r="D126" s="67">
        <v>3</v>
      </c>
      <c r="E126" s="68"/>
      <c r="F126" s="69">
        <v>40</v>
      </c>
      <c r="G126" s="66"/>
      <c r="H126" s="70"/>
      <c r="I126" s="71"/>
      <c r="J126" s="71"/>
      <c r="K126" s="35" t="s">
        <v>65</v>
      </c>
      <c r="L126" s="79">
        <v>126</v>
      </c>
      <c r="M126" s="79"/>
      <c r="N126" s="73"/>
      <c r="O126" s="81" t="s">
        <v>292</v>
      </c>
      <c r="P126">
        <v>1</v>
      </c>
      <c r="Q126" s="80" t="str">
        <f>REPLACE(INDEX(GroupVertices[Group],MATCH(Edges[[#This Row],[Vertex 1]],GroupVertices[Vertex],0)),1,1,"")</f>
        <v>1</v>
      </c>
      <c r="R126" s="80" t="str">
        <f>REPLACE(INDEX(GroupVertices[Group],MATCH(Edges[[#This Row],[Vertex 2]],GroupVertices[Vertex],0)),1,1,"")</f>
        <v>1</v>
      </c>
      <c r="S126" s="35"/>
      <c r="T126" s="35"/>
      <c r="U126" s="35"/>
      <c r="V126" s="35"/>
      <c r="W126" s="35"/>
      <c r="X126" s="35"/>
      <c r="Y126" s="35"/>
      <c r="Z126" s="35"/>
      <c r="AA126" s="35"/>
    </row>
    <row r="127" spans="1:27" ht="15">
      <c r="A127" s="65" t="s">
        <v>247</v>
      </c>
      <c r="B127" s="65" t="s">
        <v>213</v>
      </c>
      <c r="C127" s="66" t="s">
        <v>2113</v>
      </c>
      <c r="D127" s="67">
        <v>3</v>
      </c>
      <c r="E127" s="68"/>
      <c r="F127" s="69">
        <v>40</v>
      </c>
      <c r="G127" s="66"/>
      <c r="H127" s="70"/>
      <c r="I127" s="71"/>
      <c r="J127" s="71"/>
      <c r="K127" s="35" t="s">
        <v>65</v>
      </c>
      <c r="L127" s="79">
        <v>127</v>
      </c>
      <c r="M127" s="79"/>
      <c r="N127" s="73"/>
      <c r="O127" s="81" t="s">
        <v>293</v>
      </c>
      <c r="P127">
        <v>1</v>
      </c>
      <c r="Q127" s="80" t="str">
        <f>REPLACE(INDEX(GroupVertices[Group],MATCH(Edges[[#This Row],[Vertex 1]],GroupVertices[Vertex],0)),1,1,"")</f>
        <v>1</v>
      </c>
      <c r="R127" s="80" t="str">
        <f>REPLACE(INDEX(GroupVertices[Group],MATCH(Edges[[#This Row],[Vertex 2]],GroupVertices[Vertex],0)),1,1,"")</f>
        <v>1</v>
      </c>
      <c r="S127" s="35"/>
      <c r="T127" s="35"/>
      <c r="U127" s="35"/>
      <c r="V127" s="35"/>
      <c r="W127" s="35"/>
      <c r="X127" s="35"/>
      <c r="Y127" s="35"/>
      <c r="Z127" s="35"/>
      <c r="AA127" s="35"/>
    </row>
    <row r="128" spans="1:27" ht="15">
      <c r="A128" s="65" t="s">
        <v>245</v>
      </c>
      <c r="B128" s="65" t="s">
        <v>244</v>
      </c>
      <c r="C128" s="66" t="s">
        <v>2113</v>
      </c>
      <c r="D128" s="67">
        <v>3</v>
      </c>
      <c r="E128" s="68"/>
      <c r="F128" s="69">
        <v>40</v>
      </c>
      <c r="G128" s="66"/>
      <c r="H128" s="70"/>
      <c r="I128" s="71"/>
      <c r="J128" s="71"/>
      <c r="K128" s="35" t="s">
        <v>65</v>
      </c>
      <c r="L128" s="79">
        <v>128</v>
      </c>
      <c r="M128" s="79"/>
      <c r="N128" s="73"/>
      <c r="O128" s="81" t="s">
        <v>292</v>
      </c>
      <c r="P128">
        <v>1</v>
      </c>
      <c r="Q128" s="80" t="str">
        <f>REPLACE(INDEX(GroupVertices[Group],MATCH(Edges[[#This Row],[Vertex 1]],GroupVertices[Vertex],0)),1,1,"")</f>
        <v>1</v>
      </c>
      <c r="R128" s="80" t="str">
        <f>REPLACE(INDEX(GroupVertices[Group],MATCH(Edges[[#This Row],[Vertex 2]],GroupVertices[Vertex],0)),1,1,"")</f>
        <v>1</v>
      </c>
      <c r="S128" s="35"/>
      <c r="T128" s="35"/>
      <c r="U128" s="35"/>
      <c r="V128" s="35"/>
      <c r="W128" s="35"/>
      <c r="X128" s="35"/>
      <c r="Y128" s="35"/>
      <c r="Z128" s="35"/>
      <c r="AA128" s="35"/>
    </row>
    <row r="129" spans="1:27" ht="15">
      <c r="A129" s="65" t="s">
        <v>246</v>
      </c>
      <c r="B129" s="65" t="s">
        <v>244</v>
      </c>
      <c r="C129" s="66" t="s">
        <v>2113</v>
      </c>
      <c r="D129" s="67">
        <v>3</v>
      </c>
      <c r="E129" s="68"/>
      <c r="F129" s="69">
        <v>40</v>
      </c>
      <c r="G129" s="66"/>
      <c r="H129" s="70"/>
      <c r="I129" s="71"/>
      <c r="J129" s="71"/>
      <c r="K129" s="35" t="s">
        <v>65</v>
      </c>
      <c r="L129" s="79">
        <v>129</v>
      </c>
      <c r="M129" s="79"/>
      <c r="N129" s="73"/>
      <c r="O129" s="81" t="s">
        <v>292</v>
      </c>
      <c r="P129">
        <v>1</v>
      </c>
      <c r="Q129" s="80" t="str">
        <f>REPLACE(INDEX(GroupVertices[Group],MATCH(Edges[[#This Row],[Vertex 1]],GroupVertices[Vertex],0)),1,1,"")</f>
        <v>1</v>
      </c>
      <c r="R129" s="80" t="str">
        <f>REPLACE(INDEX(GroupVertices[Group],MATCH(Edges[[#This Row],[Vertex 2]],GroupVertices[Vertex],0)),1,1,"")</f>
        <v>1</v>
      </c>
      <c r="S129" s="35"/>
      <c r="T129" s="35"/>
      <c r="U129" s="35"/>
      <c r="V129" s="35"/>
      <c r="W129" s="35"/>
      <c r="X129" s="35"/>
      <c r="Y129" s="35"/>
      <c r="Z129" s="35"/>
      <c r="AA129" s="35"/>
    </row>
    <row r="130" spans="1:27" ht="15">
      <c r="A130" s="65" t="s">
        <v>247</v>
      </c>
      <c r="B130" s="65" t="s">
        <v>244</v>
      </c>
      <c r="C130" s="66" t="s">
        <v>2113</v>
      </c>
      <c r="D130" s="67">
        <v>3</v>
      </c>
      <c r="E130" s="68"/>
      <c r="F130" s="69">
        <v>40</v>
      </c>
      <c r="G130" s="66"/>
      <c r="H130" s="70"/>
      <c r="I130" s="71"/>
      <c r="J130" s="71"/>
      <c r="K130" s="35" t="s">
        <v>65</v>
      </c>
      <c r="L130" s="79">
        <v>130</v>
      </c>
      <c r="M130" s="79"/>
      <c r="N130" s="73"/>
      <c r="O130" s="81" t="s">
        <v>293</v>
      </c>
      <c r="P130">
        <v>1</v>
      </c>
      <c r="Q130" s="80" t="str">
        <f>REPLACE(INDEX(GroupVertices[Group],MATCH(Edges[[#This Row],[Vertex 1]],GroupVertices[Vertex],0)),1,1,"")</f>
        <v>1</v>
      </c>
      <c r="R130" s="80" t="str">
        <f>REPLACE(INDEX(GroupVertices[Group],MATCH(Edges[[#This Row],[Vertex 2]],GroupVertices[Vertex],0)),1,1,"")</f>
        <v>1</v>
      </c>
      <c r="S130" s="35"/>
      <c r="T130" s="35"/>
      <c r="U130" s="35"/>
      <c r="V130" s="35"/>
      <c r="W130" s="35"/>
      <c r="X130" s="35"/>
      <c r="Y130" s="35"/>
      <c r="Z130" s="35"/>
      <c r="AA130" s="35"/>
    </row>
    <row r="131" spans="1:27" ht="15">
      <c r="A131" s="65" t="s">
        <v>215</v>
      </c>
      <c r="B131" s="65" t="s">
        <v>214</v>
      </c>
      <c r="C131" s="66" t="s">
        <v>2113</v>
      </c>
      <c r="D131" s="67">
        <v>3</v>
      </c>
      <c r="E131" s="68"/>
      <c r="F131" s="69">
        <v>40</v>
      </c>
      <c r="G131" s="66"/>
      <c r="H131" s="70"/>
      <c r="I131" s="71"/>
      <c r="J131" s="71"/>
      <c r="K131" s="35" t="s">
        <v>65</v>
      </c>
      <c r="L131" s="79">
        <v>131</v>
      </c>
      <c r="M131" s="79"/>
      <c r="N131" s="73"/>
      <c r="O131" s="81" t="s">
        <v>292</v>
      </c>
      <c r="P131">
        <v>1</v>
      </c>
      <c r="Q131" s="80" t="str">
        <f>REPLACE(INDEX(GroupVertices[Group],MATCH(Edges[[#This Row],[Vertex 1]],GroupVertices[Vertex],0)),1,1,"")</f>
        <v>1</v>
      </c>
      <c r="R131" s="80" t="str">
        <f>REPLACE(INDEX(GroupVertices[Group],MATCH(Edges[[#This Row],[Vertex 2]],GroupVertices[Vertex],0)),1,1,"")</f>
        <v>1</v>
      </c>
      <c r="S131" s="35"/>
      <c r="T131" s="35"/>
      <c r="U131" s="35"/>
      <c r="V131" s="35"/>
      <c r="W131" s="35"/>
      <c r="X131" s="35"/>
      <c r="Y131" s="35"/>
      <c r="Z131" s="35"/>
      <c r="AA131" s="35"/>
    </row>
    <row r="132" spans="1:27" ht="15">
      <c r="A132" s="65" t="s">
        <v>216</v>
      </c>
      <c r="B132" s="65" t="s">
        <v>214</v>
      </c>
      <c r="C132" s="66" t="s">
        <v>2114</v>
      </c>
      <c r="D132" s="67">
        <v>3</v>
      </c>
      <c r="E132" s="68"/>
      <c r="F132" s="69">
        <v>40</v>
      </c>
      <c r="G132" s="66"/>
      <c r="H132" s="70"/>
      <c r="I132" s="71"/>
      <c r="J132" s="71"/>
      <c r="K132" s="35" t="s">
        <v>65</v>
      </c>
      <c r="L132" s="79">
        <v>132</v>
      </c>
      <c r="M132" s="79"/>
      <c r="N132" s="73"/>
      <c r="O132" s="81" t="s">
        <v>292</v>
      </c>
      <c r="P132">
        <v>2</v>
      </c>
      <c r="Q132" s="80" t="str">
        <f>REPLACE(INDEX(GroupVertices[Group],MATCH(Edges[[#This Row],[Vertex 1]],GroupVertices[Vertex],0)),1,1,"")</f>
        <v>1</v>
      </c>
      <c r="R132" s="80" t="str">
        <f>REPLACE(INDEX(GroupVertices[Group],MATCH(Edges[[#This Row],[Vertex 2]],GroupVertices[Vertex],0)),1,1,"")</f>
        <v>1</v>
      </c>
      <c r="S132" s="35"/>
      <c r="T132" s="35"/>
      <c r="U132" s="35"/>
      <c r="V132" s="35"/>
      <c r="W132" s="35"/>
      <c r="X132" s="35"/>
      <c r="Y132" s="35"/>
      <c r="Z132" s="35"/>
      <c r="AA132" s="35"/>
    </row>
    <row r="133" spans="1:27" ht="15">
      <c r="A133" s="65" t="s">
        <v>248</v>
      </c>
      <c r="B133" s="65" t="s">
        <v>214</v>
      </c>
      <c r="C133" s="66" t="s">
        <v>2114</v>
      </c>
      <c r="D133" s="67">
        <v>3</v>
      </c>
      <c r="E133" s="68"/>
      <c r="F133" s="69">
        <v>40</v>
      </c>
      <c r="G133" s="66"/>
      <c r="H133" s="70"/>
      <c r="I133" s="71"/>
      <c r="J133" s="71"/>
      <c r="K133" s="35" t="s">
        <v>65</v>
      </c>
      <c r="L133" s="79">
        <v>133</v>
      </c>
      <c r="M133" s="79"/>
      <c r="N133" s="73"/>
      <c r="O133" s="81" t="s">
        <v>292</v>
      </c>
      <c r="P133">
        <v>2</v>
      </c>
      <c r="Q133" s="80" t="str">
        <f>REPLACE(INDEX(GroupVertices[Group],MATCH(Edges[[#This Row],[Vertex 1]],GroupVertices[Vertex],0)),1,1,"")</f>
        <v>1</v>
      </c>
      <c r="R133" s="80" t="str">
        <f>REPLACE(INDEX(GroupVertices[Group],MATCH(Edges[[#This Row],[Vertex 2]],GroupVertices[Vertex],0)),1,1,"")</f>
        <v>1</v>
      </c>
      <c r="S133" s="35"/>
      <c r="T133" s="35"/>
      <c r="U133" s="35"/>
      <c r="V133" s="35"/>
      <c r="W133" s="35"/>
      <c r="X133" s="35"/>
      <c r="Y133" s="35"/>
      <c r="Z133" s="35"/>
      <c r="AA133" s="35"/>
    </row>
    <row r="134" spans="1:27" ht="15">
      <c r="A134" s="65" t="s">
        <v>217</v>
      </c>
      <c r="B134" s="65" t="s">
        <v>214</v>
      </c>
      <c r="C134" s="66" t="s">
        <v>2113</v>
      </c>
      <c r="D134" s="67">
        <v>3</v>
      </c>
      <c r="E134" s="68"/>
      <c r="F134" s="69">
        <v>40</v>
      </c>
      <c r="G134" s="66"/>
      <c r="H134" s="70"/>
      <c r="I134" s="71"/>
      <c r="J134" s="71"/>
      <c r="K134" s="35" t="s">
        <v>65</v>
      </c>
      <c r="L134" s="79">
        <v>134</v>
      </c>
      <c r="M134" s="79"/>
      <c r="N134" s="73"/>
      <c r="O134" s="81" t="s">
        <v>292</v>
      </c>
      <c r="P134">
        <v>1</v>
      </c>
      <c r="Q134" s="80" t="str">
        <f>REPLACE(INDEX(GroupVertices[Group],MATCH(Edges[[#This Row],[Vertex 1]],GroupVertices[Vertex],0)),1,1,"")</f>
        <v>1</v>
      </c>
      <c r="R134" s="80" t="str">
        <f>REPLACE(INDEX(GroupVertices[Group],MATCH(Edges[[#This Row],[Vertex 2]],GroupVertices[Vertex],0)),1,1,"")</f>
        <v>1</v>
      </c>
      <c r="S134" s="35"/>
      <c r="T134" s="35"/>
      <c r="U134" s="35"/>
      <c r="V134" s="35"/>
      <c r="W134" s="35"/>
      <c r="X134" s="35"/>
      <c r="Y134" s="35"/>
      <c r="Z134" s="35"/>
      <c r="AA134" s="35"/>
    </row>
    <row r="135" spans="1:27" ht="15">
      <c r="A135" s="65" t="s">
        <v>218</v>
      </c>
      <c r="B135" s="65" t="s">
        <v>214</v>
      </c>
      <c r="C135" s="66" t="s">
        <v>2113</v>
      </c>
      <c r="D135" s="67">
        <v>3</v>
      </c>
      <c r="E135" s="68"/>
      <c r="F135" s="69">
        <v>40</v>
      </c>
      <c r="G135" s="66"/>
      <c r="H135" s="70"/>
      <c r="I135" s="71"/>
      <c r="J135" s="71"/>
      <c r="K135" s="35" t="s">
        <v>65</v>
      </c>
      <c r="L135" s="79">
        <v>135</v>
      </c>
      <c r="M135" s="79"/>
      <c r="N135" s="73"/>
      <c r="O135" s="81" t="s">
        <v>292</v>
      </c>
      <c r="P135">
        <v>1</v>
      </c>
      <c r="Q135" s="80" t="str">
        <f>REPLACE(INDEX(GroupVertices[Group],MATCH(Edges[[#This Row],[Vertex 1]],GroupVertices[Vertex],0)),1,1,"")</f>
        <v>1</v>
      </c>
      <c r="R135" s="80" t="str">
        <f>REPLACE(INDEX(GroupVertices[Group],MATCH(Edges[[#This Row],[Vertex 2]],GroupVertices[Vertex],0)),1,1,"")</f>
        <v>1</v>
      </c>
      <c r="S135" s="35"/>
      <c r="T135" s="35"/>
      <c r="U135" s="35"/>
      <c r="V135" s="35"/>
      <c r="W135" s="35"/>
      <c r="X135" s="35"/>
      <c r="Y135" s="35"/>
      <c r="Z135" s="35"/>
      <c r="AA135" s="35"/>
    </row>
    <row r="136" spans="1:27" ht="15">
      <c r="A136" s="65" t="s">
        <v>219</v>
      </c>
      <c r="B136" s="65" t="s">
        <v>214</v>
      </c>
      <c r="C136" s="66" t="s">
        <v>2113</v>
      </c>
      <c r="D136" s="67">
        <v>3</v>
      </c>
      <c r="E136" s="68"/>
      <c r="F136" s="69">
        <v>40</v>
      </c>
      <c r="G136" s="66"/>
      <c r="H136" s="70"/>
      <c r="I136" s="71"/>
      <c r="J136" s="71"/>
      <c r="K136" s="35" t="s">
        <v>65</v>
      </c>
      <c r="L136" s="79">
        <v>136</v>
      </c>
      <c r="M136" s="79"/>
      <c r="N136" s="73"/>
      <c r="O136" s="81" t="s">
        <v>292</v>
      </c>
      <c r="P136">
        <v>1</v>
      </c>
      <c r="Q136" s="80" t="str">
        <f>REPLACE(INDEX(GroupVertices[Group],MATCH(Edges[[#This Row],[Vertex 1]],GroupVertices[Vertex],0)),1,1,"")</f>
        <v>1</v>
      </c>
      <c r="R136" s="80" t="str">
        <f>REPLACE(INDEX(GroupVertices[Group],MATCH(Edges[[#This Row],[Vertex 2]],GroupVertices[Vertex],0)),1,1,"")</f>
        <v>1</v>
      </c>
      <c r="S136" s="35"/>
      <c r="T136" s="35"/>
      <c r="U136" s="35"/>
      <c r="V136" s="35"/>
      <c r="W136" s="35"/>
      <c r="X136" s="35"/>
      <c r="Y136" s="35"/>
      <c r="Z136" s="35"/>
      <c r="AA136" s="35"/>
    </row>
    <row r="137" spans="1:27" ht="15">
      <c r="A137" s="65" t="s">
        <v>220</v>
      </c>
      <c r="B137" s="65" t="s">
        <v>214</v>
      </c>
      <c r="C137" s="66" t="s">
        <v>2113</v>
      </c>
      <c r="D137" s="67">
        <v>3</v>
      </c>
      <c r="E137" s="68"/>
      <c r="F137" s="69">
        <v>40</v>
      </c>
      <c r="G137" s="66"/>
      <c r="H137" s="70"/>
      <c r="I137" s="71"/>
      <c r="J137" s="71"/>
      <c r="K137" s="35" t="s">
        <v>65</v>
      </c>
      <c r="L137" s="79">
        <v>137</v>
      </c>
      <c r="M137" s="79"/>
      <c r="N137" s="73"/>
      <c r="O137" s="81" t="s">
        <v>292</v>
      </c>
      <c r="P137">
        <v>1</v>
      </c>
      <c r="Q137" s="80" t="str">
        <f>REPLACE(INDEX(GroupVertices[Group],MATCH(Edges[[#This Row],[Vertex 1]],GroupVertices[Vertex],0)),1,1,"")</f>
        <v>1</v>
      </c>
      <c r="R137" s="80" t="str">
        <f>REPLACE(INDEX(GroupVertices[Group],MATCH(Edges[[#This Row],[Vertex 2]],GroupVertices[Vertex],0)),1,1,"")</f>
        <v>1</v>
      </c>
      <c r="S137" s="35"/>
      <c r="T137" s="35"/>
      <c r="U137" s="35"/>
      <c r="V137" s="35"/>
      <c r="W137" s="35"/>
      <c r="X137" s="35"/>
      <c r="Y137" s="35"/>
      <c r="Z137" s="35"/>
      <c r="AA137" s="35"/>
    </row>
    <row r="138" spans="1:27" ht="15">
      <c r="A138" s="65" t="s">
        <v>221</v>
      </c>
      <c r="B138" s="65" t="s">
        <v>214</v>
      </c>
      <c r="C138" s="66" t="s">
        <v>2114</v>
      </c>
      <c r="D138" s="67">
        <v>3</v>
      </c>
      <c r="E138" s="68"/>
      <c r="F138" s="69">
        <v>40</v>
      </c>
      <c r="G138" s="66"/>
      <c r="H138" s="70"/>
      <c r="I138" s="71"/>
      <c r="J138" s="71"/>
      <c r="K138" s="35" t="s">
        <v>65</v>
      </c>
      <c r="L138" s="79">
        <v>138</v>
      </c>
      <c r="M138" s="79"/>
      <c r="N138" s="73"/>
      <c r="O138" s="81" t="s">
        <v>292</v>
      </c>
      <c r="P138">
        <v>2</v>
      </c>
      <c r="Q138" s="80" t="str">
        <f>REPLACE(INDEX(GroupVertices[Group],MATCH(Edges[[#This Row],[Vertex 1]],GroupVertices[Vertex],0)),1,1,"")</f>
        <v>1</v>
      </c>
      <c r="R138" s="80" t="str">
        <f>REPLACE(INDEX(GroupVertices[Group],MATCH(Edges[[#This Row],[Vertex 2]],GroupVertices[Vertex],0)),1,1,"")</f>
        <v>1</v>
      </c>
      <c r="S138" s="35"/>
      <c r="T138" s="35"/>
      <c r="U138" s="35"/>
      <c r="V138" s="35"/>
      <c r="W138" s="35"/>
      <c r="X138" s="35"/>
      <c r="Y138" s="35"/>
      <c r="Z138" s="35"/>
      <c r="AA138" s="35"/>
    </row>
    <row r="139" spans="1:27" ht="15">
      <c r="A139" s="65" t="s">
        <v>222</v>
      </c>
      <c r="B139" s="65" t="s">
        <v>214</v>
      </c>
      <c r="C139" s="66" t="s">
        <v>2113</v>
      </c>
      <c r="D139" s="67">
        <v>3</v>
      </c>
      <c r="E139" s="68"/>
      <c r="F139" s="69">
        <v>40</v>
      </c>
      <c r="G139" s="66"/>
      <c r="H139" s="70"/>
      <c r="I139" s="71"/>
      <c r="J139" s="71"/>
      <c r="K139" s="35" t="s">
        <v>65</v>
      </c>
      <c r="L139" s="79">
        <v>139</v>
      </c>
      <c r="M139" s="79"/>
      <c r="N139" s="73"/>
      <c r="O139" s="81" t="s">
        <v>292</v>
      </c>
      <c r="P139">
        <v>1</v>
      </c>
      <c r="Q139" s="80" t="str">
        <f>REPLACE(INDEX(GroupVertices[Group],MATCH(Edges[[#This Row],[Vertex 1]],GroupVertices[Vertex],0)),1,1,"")</f>
        <v>1</v>
      </c>
      <c r="R139" s="80" t="str">
        <f>REPLACE(INDEX(GroupVertices[Group],MATCH(Edges[[#This Row],[Vertex 2]],GroupVertices[Vertex],0)),1,1,"")</f>
        <v>1</v>
      </c>
      <c r="S139" s="35"/>
      <c r="T139" s="35"/>
      <c r="U139" s="35"/>
      <c r="V139" s="35"/>
      <c r="W139" s="35"/>
      <c r="X139" s="35"/>
      <c r="Y139" s="35"/>
      <c r="Z139" s="35"/>
      <c r="AA139" s="35"/>
    </row>
    <row r="140" spans="1:27" ht="15">
      <c r="A140" s="65" t="s">
        <v>223</v>
      </c>
      <c r="B140" s="65" t="s">
        <v>214</v>
      </c>
      <c r="C140" s="66" t="s">
        <v>2113</v>
      </c>
      <c r="D140" s="67">
        <v>3</v>
      </c>
      <c r="E140" s="68"/>
      <c r="F140" s="69">
        <v>40</v>
      </c>
      <c r="G140" s="66"/>
      <c r="H140" s="70"/>
      <c r="I140" s="71"/>
      <c r="J140" s="71"/>
      <c r="K140" s="35" t="s">
        <v>65</v>
      </c>
      <c r="L140" s="79">
        <v>140</v>
      </c>
      <c r="M140" s="79"/>
      <c r="N140" s="73"/>
      <c r="O140" s="81" t="s">
        <v>292</v>
      </c>
      <c r="P140">
        <v>1</v>
      </c>
      <c r="Q140" s="80" t="str">
        <f>REPLACE(INDEX(GroupVertices[Group],MATCH(Edges[[#This Row],[Vertex 1]],GroupVertices[Vertex],0)),1,1,"")</f>
        <v>1</v>
      </c>
      <c r="R140" s="80" t="str">
        <f>REPLACE(INDEX(GroupVertices[Group],MATCH(Edges[[#This Row],[Vertex 2]],GroupVertices[Vertex],0)),1,1,"")</f>
        <v>1</v>
      </c>
      <c r="S140" s="35"/>
      <c r="T140" s="35"/>
      <c r="U140" s="35"/>
      <c r="V140" s="35"/>
      <c r="W140" s="35"/>
      <c r="X140" s="35"/>
      <c r="Y140" s="35"/>
      <c r="Z140" s="35"/>
      <c r="AA140" s="35"/>
    </row>
    <row r="141" spans="1:27" ht="15">
      <c r="A141" s="65" t="s">
        <v>224</v>
      </c>
      <c r="B141" s="65" t="s">
        <v>214</v>
      </c>
      <c r="C141" s="66" t="s">
        <v>2113</v>
      </c>
      <c r="D141" s="67">
        <v>3</v>
      </c>
      <c r="E141" s="68"/>
      <c r="F141" s="69">
        <v>40</v>
      </c>
      <c r="G141" s="66"/>
      <c r="H141" s="70"/>
      <c r="I141" s="71"/>
      <c r="J141" s="71"/>
      <c r="K141" s="35" t="s">
        <v>66</v>
      </c>
      <c r="L141" s="79">
        <v>141</v>
      </c>
      <c r="M141" s="79"/>
      <c r="N141" s="73"/>
      <c r="O141" s="81" t="s">
        <v>292</v>
      </c>
      <c r="P141">
        <v>1</v>
      </c>
      <c r="Q141" s="80" t="str">
        <f>REPLACE(INDEX(GroupVertices[Group],MATCH(Edges[[#This Row],[Vertex 1]],GroupVertices[Vertex],0)),1,1,"")</f>
        <v>1</v>
      </c>
      <c r="R141" s="80" t="str">
        <f>REPLACE(INDEX(GroupVertices[Group],MATCH(Edges[[#This Row],[Vertex 2]],GroupVertices[Vertex],0)),1,1,"")</f>
        <v>1</v>
      </c>
      <c r="S141" s="35"/>
      <c r="T141" s="35"/>
      <c r="U141" s="35"/>
      <c r="V141" s="35"/>
      <c r="W141" s="35"/>
      <c r="X141" s="35"/>
      <c r="Y141" s="35"/>
      <c r="Z141" s="35"/>
      <c r="AA141" s="35"/>
    </row>
    <row r="142" spans="1:27" ht="15">
      <c r="A142" s="65" t="s">
        <v>240</v>
      </c>
      <c r="B142" s="65" t="s">
        <v>214</v>
      </c>
      <c r="C142" s="66" t="s">
        <v>2113</v>
      </c>
      <c r="D142" s="67">
        <v>3</v>
      </c>
      <c r="E142" s="68"/>
      <c r="F142" s="69">
        <v>40</v>
      </c>
      <c r="G142" s="66"/>
      <c r="H142" s="70"/>
      <c r="I142" s="71"/>
      <c r="J142" s="71"/>
      <c r="K142" s="35" t="s">
        <v>65</v>
      </c>
      <c r="L142" s="79">
        <v>142</v>
      </c>
      <c r="M142" s="79"/>
      <c r="N142" s="73"/>
      <c r="O142" s="81" t="s">
        <v>292</v>
      </c>
      <c r="P142">
        <v>1</v>
      </c>
      <c r="Q142" s="80" t="str">
        <f>REPLACE(INDEX(GroupVertices[Group],MATCH(Edges[[#This Row],[Vertex 1]],GroupVertices[Vertex],0)),1,1,"")</f>
        <v>1</v>
      </c>
      <c r="R142" s="80" t="str">
        <f>REPLACE(INDEX(GroupVertices[Group],MATCH(Edges[[#This Row],[Vertex 2]],GroupVertices[Vertex],0)),1,1,"")</f>
        <v>1</v>
      </c>
      <c r="S142" s="35"/>
      <c r="T142" s="35"/>
      <c r="U142" s="35"/>
      <c r="V142" s="35"/>
      <c r="W142" s="35"/>
      <c r="X142" s="35"/>
      <c r="Y142" s="35"/>
      <c r="Z142" s="35"/>
      <c r="AA142" s="35"/>
    </row>
    <row r="143" spans="1:27" ht="15">
      <c r="A143" s="65" t="s">
        <v>226</v>
      </c>
      <c r="B143" s="65" t="s">
        <v>214</v>
      </c>
      <c r="C143" s="66" t="s">
        <v>2114</v>
      </c>
      <c r="D143" s="67">
        <v>3</v>
      </c>
      <c r="E143" s="68"/>
      <c r="F143" s="69">
        <v>40</v>
      </c>
      <c r="G143" s="66"/>
      <c r="H143" s="70"/>
      <c r="I143" s="71"/>
      <c r="J143" s="71"/>
      <c r="K143" s="35" t="s">
        <v>65</v>
      </c>
      <c r="L143" s="79">
        <v>143</v>
      </c>
      <c r="M143" s="79"/>
      <c r="N143" s="73"/>
      <c r="O143" s="81" t="s">
        <v>292</v>
      </c>
      <c r="P143">
        <v>2</v>
      </c>
      <c r="Q143" s="80" t="str">
        <f>REPLACE(INDEX(GroupVertices[Group],MATCH(Edges[[#This Row],[Vertex 1]],GroupVertices[Vertex],0)),1,1,"")</f>
        <v>1</v>
      </c>
      <c r="R143" s="80" t="str">
        <f>REPLACE(INDEX(GroupVertices[Group],MATCH(Edges[[#This Row],[Vertex 2]],GroupVertices[Vertex],0)),1,1,"")</f>
        <v>1</v>
      </c>
      <c r="S143" s="35"/>
      <c r="T143" s="35"/>
      <c r="U143" s="35"/>
      <c r="V143" s="35"/>
      <c r="W143" s="35"/>
      <c r="X143" s="35"/>
      <c r="Y143" s="35"/>
      <c r="Z143" s="35"/>
      <c r="AA143" s="35"/>
    </row>
    <row r="144" spans="1:27" ht="15">
      <c r="A144" s="65" t="s">
        <v>227</v>
      </c>
      <c r="B144" s="65" t="s">
        <v>214</v>
      </c>
      <c r="C144" s="66" t="s">
        <v>2113</v>
      </c>
      <c r="D144" s="67">
        <v>3</v>
      </c>
      <c r="E144" s="68"/>
      <c r="F144" s="69">
        <v>40</v>
      </c>
      <c r="G144" s="66"/>
      <c r="H144" s="70"/>
      <c r="I144" s="71"/>
      <c r="J144" s="71"/>
      <c r="K144" s="35" t="s">
        <v>65</v>
      </c>
      <c r="L144" s="79">
        <v>144</v>
      </c>
      <c r="M144" s="79"/>
      <c r="N144" s="73"/>
      <c r="O144" s="81" t="s">
        <v>292</v>
      </c>
      <c r="P144">
        <v>1</v>
      </c>
      <c r="Q144" s="80" t="str">
        <f>REPLACE(INDEX(GroupVertices[Group],MATCH(Edges[[#This Row],[Vertex 1]],GroupVertices[Vertex],0)),1,1,"")</f>
        <v>1</v>
      </c>
      <c r="R144" s="80" t="str">
        <f>REPLACE(INDEX(GroupVertices[Group],MATCH(Edges[[#This Row],[Vertex 2]],GroupVertices[Vertex],0)),1,1,"")</f>
        <v>1</v>
      </c>
      <c r="S144" s="35"/>
      <c r="T144" s="35"/>
      <c r="U144" s="35"/>
      <c r="V144" s="35"/>
      <c r="W144" s="35"/>
      <c r="X144" s="35"/>
      <c r="Y144" s="35"/>
      <c r="Z144" s="35"/>
      <c r="AA144" s="35"/>
    </row>
    <row r="145" spans="1:27" ht="15">
      <c r="A145" s="65" t="s">
        <v>241</v>
      </c>
      <c r="B145" s="65" t="s">
        <v>214</v>
      </c>
      <c r="C145" s="66" t="s">
        <v>2113</v>
      </c>
      <c r="D145" s="67">
        <v>3</v>
      </c>
      <c r="E145" s="68"/>
      <c r="F145" s="69">
        <v>40</v>
      </c>
      <c r="G145" s="66"/>
      <c r="H145" s="70"/>
      <c r="I145" s="71"/>
      <c r="J145" s="71"/>
      <c r="K145" s="35" t="s">
        <v>66</v>
      </c>
      <c r="L145" s="79">
        <v>145</v>
      </c>
      <c r="M145" s="79"/>
      <c r="N145" s="73"/>
      <c r="O145" s="81" t="s">
        <v>292</v>
      </c>
      <c r="P145">
        <v>1</v>
      </c>
      <c r="Q145" s="80" t="str">
        <f>REPLACE(INDEX(GroupVertices[Group],MATCH(Edges[[#This Row],[Vertex 1]],GroupVertices[Vertex],0)),1,1,"")</f>
        <v>1</v>
      </c>
      <c r="R145" s="80" t="str">
        <f>REPLACE(INDEX(GroupVertices[Group],MATCH(Edges[[#This Row],[Vertex 2]],GroupVertices[Vertex],0)),1,1,"")</f>
        <v>1</v>
      </c>
      <c r="S145" s="35"/>
      <c r="T145" s="35"/>
      <c r="U145" s="35"/>
      <c r="V145" s="35"/>
      <c r="W145" s="35"/>
      <c r="X145" s="35"/>
      <c r="Y145" s="35"/>
      <c r="Z145" s="35"/>
      <c r="AA145" s="35"/>
    </row>
    <row r="146" spans="1:27" ht="15">
      <c r="A146" s="65" t="s">
        <v>228</v>
      </c>
      <c r="B146" s="65" t="s">
        <v>214</v>
      </c>
      <c r="C146" s="66" t="s">
        <v>2113</v>
      </c>
      <c r="D146" s="67">
        <v>3</v>
      </c>
      <c r="E146" s="68"/>
      <c r="F146" s="69">
        <v>40</v>
      </c>
      <c r="G146" s="66"/>
      <c r="H146" s="70"/>
      <c r="I146" s="71"/>
      <c r="J146" s="71"/>
      <c r="K146" s="35" t="s">
        <v>65</v>
      </c>
      <c r="L146" s="79">
        <v>146</v>
      </c>
      <c r="M146" s="79"/>
      <c r="N146" s="73"/>
      <c r="O146" s="81" t="s">
        <v>292</v>
      </c>
      <c r="P146">
        <v>1</v>
      </c>
      <c r="Q146" s="80" t="str">
        <f>REPLACE(INDEX(GroupVertices[Group],MATCH(Edges[[#This Row],[Vertex 1]],GroupVertices[Vertex],0)),1,1,"")</f>
        <v>1</v>
      </c>
      <c r="R146" s="80" t="str">
        <f>REPLACE(INDEX(GroupVertices[Group],MATCH(Edges[[#This Row],[Vertex 2]],GroupVertices[Vertex],0)),1,1,"")</f>
        <v>1</v>
      </c>
      <c r="S146" s="35"/>
      <c r="T146" s="35"/>
      <c r="U146" s="35"/>
      <c r="V146" s="35"/>
      <c r="W146" s="35"/>
      <c r="X146" s="35"/>
      <c r="Y146" s="35"/>
      <c r="Z146" s="35"/>
      <c r="AA146" s="35"/>
    </row>
    <row r="147" spans="1:27" ht="15">
      <c r="A147" s="65" t="s">
        <v>229</v>
      </c>
      <c r="B147" s="65" t="s">
        <v>214</v>
      </c>
      <c r="C147" s="66" t="s">
        <v>2113</v>
      </c>
      <c r="D147" s="67">
        <v>3</v>
      </c>
      <c r="E147" s="68"/>
      <c r="F147" s="69">
        <v>40</v>
      </c>
      <c r="G147" s="66"/>
      <c r="H147" s="70"/>
      <c r="I147" s="71"/>
      <c r="J147" s="71"/>
      <c r="K147" s="35" t="s">
        <v>65</v>
      </c>
      <c r="L147" s="79">
        <v>147</v>
      </c>
      <c r="M147" s="79"/>
      <c r="N147" s="73"/>
      <c r="O147" s="81" t="s">
        <v>292</v>
      </c>
      <c r="P147">
        <v>1</v>
      </c>
      <c r="Q147" s="80" t="str">
        <f>REPLACE(INDEX(GroupVertices[Group],MATCH(Edges[[#This Row],[Vertex 1]],GroupVertices[Vertex],0)),1,1,"")</f>
        <v>1</v>
      </c>
      <c r="R147" s="80" t="str">
        <f>REPLACE(INDEX(GroupVertices[Group],MATCH(Edges[[#This Row],[Vertex 2]],GroupVertices[Vertex],0)),1,1,"")</f>
        <v>1</v>
      </c>
      <c r="S147" s="35"/>
      <c r="T147" s="35"/>
      <c r="U147" s="35"/>
      <c r="V147" s="35"/>
      <c r="W147" s="35"/>
      <c r="X147" s="35"/>
      <c r="Y147" s="35"/>
      <c r="Z147" s="35"/>
      <c r="AA147" s="35"/>
    </row>
    <row r="148" spans="1:27" ht="15">
      <c r="A148" s="65" t="s">
        <v>230</v>
      </c>
      <c r="B148" s="65" t="s">
        <v>214</v>
      </c>
      <c r="C148" s="66" t="s">
        <v>2113</v>
      </c>
      <c r="D148" s="67">
        <v>3</v>
      </c>
      <c r="E148" s="68"/>
      <c r="F148" s="69">
        <v>40</v>
      </c>
      <c r="G148" s="66"/>
      <c r="H148" s="70"/>
      <c r="I148" s="71"/>
      <c r="J148" s="71"/>
      <c r="K148" s="35" t="s">
        <v>65</v>
      </c>
      <c r="L148" s="79">
        <v>148</v>
      </c>
      <c r="M148" s="79"/>
      <c r="N148" s="73"/>
      <c r="O148" s="81" t="s">
        <v>292</v>
      </c>
      <c r="P148">
        <v>1</v>
      </c>
      <c r="Q148" s="80" t="str">
        <f>REPLACE(INDEX(GroupVertices[Group],MATCH(Edges[[#This Row],[Vertex 1]],GroupVertices[Vertex],0)),1,1,"")</f>
        <v>1</v>
      </c>
      <c r="R148" s="80" t="str">
        <f>REPLACE(INDEX(GroupVertices[Group],MATCH(Edges[[#This Row],[Vertex 2]],GroupVertices[Vertex],0)),1,1,"")</f>
        <v>1</v>
      </c>
      <c r="S148" s="35"/>
      <c r="T148" s="35"/>
      <c r="U148" s="35"/>
      <c r="V148" s="35"/>
      <c r="W148" s="35"/>
      <c r="X148" s="35"/>
      <c r="Y148" s="35"/>
      <c r="Z148" s="35"/>
      <c r="AA148" s="35"/>
    </row>
    <row r="149" spans="1:27" ht="15">
      <c r="A149" s="65" t="s">
        <v>231</v>
      </c>
      <c r="B149" s="65" t="s">
        <v>214</v>
      </c>
      <c r="C149" s="66" t="s">
        <v>2113</v>
      </c>
      <c r="D149" s="67">
        <v>3</v>
      </c>
      <c r="E149" s="68"/>
      <c r="F149" s="69">
        <v>40</v>
      </c>
      <c r="G149" s="66"/>
      <c r="H149" s="70"/>
      <c r="I149" s="71"/>
      <c r="J149" s="71"/>
      <c r="K149" s="35" t="s">
        <v>66</v>
      </c>
      <c r="L149" s="79">
        <v>149</v>
      </c>
      <c r="M149" s="79"/>
      <c r="N149" s="73"/>
      <c r="O149" s="81" t="s">
        <v>292</v>
      </c>
      <c r="P149">
        <v>1</v>
      </c>
      <c r="Q149" s="80" t="str">
        <f>REPLACE(INDEX(GroupVertices[Group],MATCH(Edges[[#This Row],[Vertex 1]],GroupVertices[Vertex],0)),1,1,"")</f>
        <v>1</v>
      </c>
      <c r="R149" s="80" t="str">
        <f>REPLACE(INDEX(GroupVertices[Group],MATCH(Edges[[#This Row],[Vertex 2]],GroupVertices[Vertex],0)),1,1,"")</f>
        <v>1</v>
      </c>
      <c r="S149" s="35"/>
      <c r="T149" s="35"/>
      <c r="U149" s="35"/>
      <c r="V149" s="35"/>
      <c r="W149" s="35"/>
      <c r="X149" s="35"/>
      <c r="Y149" s="35"/>
      <c r="Z149" s="35"/>
      <c r="AA149" s="35"/>
    </row>
    <row r="150" spans="1:27" ht="15">
      <c r="A150" s="65" t="s">
        <v>242</v>
      </c>
      <c r="B150" s="65" t="s">
        <v>214</v>
      </c>
      <c r="C150" s="66" t="s">
        <v>2113</v>
      </c>
      <c r="D150" s="67">
        <v>3</v>
      </c>
      <c r="E150" s="68"/>
      <c r="F150" s="69">
        <v>40</v>
      </c>
      <c r="G150" s="66"/>
      <c r="H150" s="70"/>
      <c r="I150" s="71"/>
      <c r="J150" s="71"/>
      <c r="K150" s="35" t="s">
        <v>65</v>
      </c>
      <c r="L150" s="79">
        <v>150</v>
      </c>
      <c r="M150" s="79"/>
      <c r="N150" s="73"/>
      <c r="O150" s="81" t="s">
        <v>292</v>
      </c>
      <c r="P150">
        <v>1</v>
      </c>
      <c r="Q150" s="80" t="str">
        <f>REPLACE(INDEX(GroupVertices[Group],MATCH(Edges[[#This Row],[Vertex 1]],GroupVertices[Vertex],0)),1,1,"")</f>
        <v>1</v>
      </c>
      <c r="R150" s="80" t="str">
        <f>REPLACE(INDEX(GroupVertices[Group],MATCH(Edges[[#This Row],[Vertex 2]],GroupVertices[Vertex],0)),1,1,"")</f>
        <v>1</v>
      </c>
      <c r="S150" s="35"/>
      <c r="T150" s="35"/>
      <c r="U150" s="35"/>
      <c r="V150" s="35"/>
      <c r="W150" s="35"/>
      <c r="X150" s="35"/>
      <c r="Y150" s="35"/>
      <c r="Z150" s="35"/>
      <c r="AA150" s="35"/>
    </row>
    <row r="151" spans="1:27" ht="15">
      <c r="A151" s="65" t="s">
        <v>232</v>
      </c>
      <c r="B151" s="65" t="s">
        <v>214</v>
      </c>
      <c r="C151" s="66" t="s">
        <v>2114</v>
      </c>
      <c r="D151" s="67">
        <v>3</v>
      </c>
      <c r="E151" s="68"/>
      <c r="F151" s="69">
        <v>40</v>
      </c>
      <c r="G151" s="66"/>
      <c r="H151" s="70"/>
      <c r="I151" s="71"/>
      <c r="J151" s="71"/>
      <c r="K151" s="35" t="s">
        <v>65</v>
      </c>
      <c r="L151" s="79">
        <v>151</v>
      </c>
      <c r="M151" s="79"/>
      <c r="N151" s="73"/>
      <c r="O151" s="81" t="s">
        <v>292</v>
      </c>
      <c r="P151">
        <v>2</v>
      </c>
      <c r="Q151" s="80" t="str">
        <f>REPLACE(INDEX(GroupVertices[Group],MATCH(Edges[[#This Row],[Vertex 1]],GroupVertices[Vertex],0)),1,1,"")</f>
        <v>2</v>
      </c>
      <c r="R151" s="80" t="str">
        <f>REPLACE(INDEX(GroupVertices[Group],MATCH(Edges[[#This Row],[Vertex 2]],GroupVertices[Vertex],0)),1,1,"")</f>
        <v>1</v>
      </c>
      <c r="S151" s="35"/>
      <c r="T151" s="35"/>
      <c r="U151" s="35"/>
      <c r="V151" s="35"/>
      <c r="W151" s="35"/>
      <c r="X151" s="35"/>
      <c r="Y151" s="35"/>
      <c r="Z151" s="35"/>
      <c r="AA151" s="35"/>
    </row>
    <row r="152" spans="1:27" ht="15">
      <c r="A152" s="65" t="s">
        <v>233</v>
      </c>
      <c r="B152" s="65" t="s">
        <v>214</v>
      </c>
      <c r="C152" s="66" t="s">
        <v>2113</v>
      </c>
      <c r="D152" s="67">
        <v>3</v>
      </c>
      <c r="E152" s="68"/>
      <c r="F152" s="69">
        <v>40</v>
      </c>
      <c r="G152" s="66"/>
      <c r="H152" s="70"/>
      <c r="I152" s="71"/>
      <c r="J152" s="71"/>
      <c r="K152" s="35" t="s">
        <v>66</v>
      </c>
      <c r="L152" s="79">
        <v>152</v>
      </c>
      <c r="M152" s="79"/>
      <c r="N152" s="73"/>
      <c r="O152" s="81" t="s">
        <v>292</v>
      </c>
      <c r="P152">
        <v>1</v>
      </c>
      <c r="Q152" s="80" t="str">
        <f>REPLACE(INDEX(GroupVertices[Group],MATCH(Edges[[#This Row],[Vertex 1]],GroupVertices[Vertex],0)),1,1,"")</f>
        <v>1</v>
      </c>
      <c r="R152" s="80" t="str">
        <f>REPLACE(INDEX(GroupVertices[Group],MATCH(Edges[[#This Row],[Vertex 2]],GroupVertices[Vertex],0)),1,1,"")</f>
        <v>1</v>
      </c>
      <c r="S152" s="35"/>
      <c r="T152" s="35"/>
      <c r="U152" s="35"/>
      <c r="V152" s="35"/>
      <c r="W152" s="35"/>
      <c r="X152" s="35"/>
      <c r="Y152" s="35"/>
      <c r="Z152" s="35"/>
      <c r="AA152" s="35"/>
    </row>
    <row r="153" spans="1:27" ht="15">
      <c r="A153" s="65" t="s">
        <v>234</v>
      </c>
      <c r="B153" s="65" t="s">
        <v>214</v>
      </c>
      <c r="C153" s="66" t="s">
        <v>2113</v>
      </c>
      <c r="D153" s="67">
        <v>3</v>
      </c>
      <c r="E153" s="68"/>
      <c r="F153" s="69">
        <v>40</v>
      </c>
      <c r="G153" s="66"/>
      <c r="H153" s="70"/>
      <c r="I153" s="71"/>
      <c r="J153" s="71"/>
      <c r="K153" s="35" t="s">
        <v>66</v>
      </c>
      <c r="L153" s="79">
        <v>153</v>
      </c>
      <c r="M153" s="79"/>
      <c r="N153" s="73"/>
      <c r="O153" s="81" t="s">
        <v>292</v>
      </c>
      <c r="P153">
        <v>1</v>
      </c>
      <c r="Q153" s="80" t="str">
        <f>REPLACE(INDEX(GroupVertices[Group],MATCH(Edges[[#This Row],[Vertex 1]],GroupVertices[Vertex],0)),1,1,"")</f>
        <v>1</v>
      </c>
      <c r="R153" s="80" t="str">
        <f>REPLACE(INDEX(GroupVertices[Group],MATCH(Edges[[#This Row],[Vertex 2]],GroupVertices[Vertex],0)),1,1,"")</f>
        <v>1</v>
      </c>
      <c r="S153" s="35"/>
      <c r="T153" s="35"/>
      <c r="U153" s="35"/>
      <c r="V153" s="35"/>
      <c r="W153" s="35"/>
      <c r="X153" s="35"/>
      <c r="Y153" s="35"/>
      <c r="Z153" s="35"/>
      <c r="AA153" s="35"/>
    </row>
    <row r="154" spans="1:27" ht="15">
      <c r="A154" s="65" t="s">
        <v>235</v>
      </c>
      <c r="B154" s="65" t="s">
        <v>214</v>
      </c>
      <c r="C154" s="66" t="s">
        <v>2113</v>
      </c>
      <c r="D154" s="67">
        <v>3</v>
      </c>
      <c r="E154" s="68"/>
      <c r="F154" s="69">
        <v>40</v>
      </c>
      <c r="G154" s="66"/>
      <c r="H154" s="70"/>
      <c r="I154" s="71"/>
      <c r="J154" s="71"/>
      <c r="K154" s="35" t="s">
        <v>66</v>
      </c>
      <c r="L154" s="79">
        <v>154</v>
      </c>
      <c r="M154" s="79"/>
      <c r="N154" s="73"/>
      <c r="O154" s="81" t="s">
        <v>292</v>
      </c>
      <c r="P154">
        <v>1</v>
      </c>
      <c r="Q154" s="80" t="str">
        <f>REPLACE(INDEX(GroupVertices[Group],MATCH(Edges[[#This Row],[Vertex 1]],GroupVertices[Vertex],0)),1,1,"")</f>
        <v>1</v>
      </c>
      <c r="R154" s="80" t="str">
        <f>REPLACE(INDEX(GroupVertices[Group],MATCH(Edges[[#This Row],[Vertex 2]],GroupVertices[Vertex],0)),1,1,"")</f>
        <v>1</v>
      </c>
      <c r="S154" s="35"/>
      <c r="T154" s="35"/>
      <c r="U154" s="35"/>
      <c r="V154" s="35"/>
      <c r="W154" s="35"/>
      <c r="X154" s="35"/>
      <c r="Y154" s="35"/>
      <c r="Z154" s="35"/>
      <c r="AA154" s="35"/>
    </row>
    <row r="155" spans="1:27" ht="15">
      <c r="A155" s="65" t="s">
        <v>247</v>
      </c>
      <c r="B155" s="65" t="s">
        <v>214</v>
      </c>
      <c r="C155" s="66" t="s">
        <v>2113</v>
      </c>
      <c r="D155" s="67">
        <v>3</v>
      </c>
      <c r="E155" s="68"/>
      <c r="F155" s="69">
        <v>40</v>
      </c>
      <c r="G155" s="66"/>
      <c r="H155" s="70"/>
      <c r="I155" s="71"/>
      <c r="J155" s="71"/>
      <c r="K155" s="35" t="s">
        <v>65</v>
      </c>
      <c r="L155" s="79">
        <v>155</v>
      </c>
      <c r="M155" s="79"/>
      <c r="N155" s="73"/>
      <c r="O155" s="81" t="s">
        <v>293</v>
      </c>
      <c r="P155">
        <v>1</v>
      </c>
      <c r="Q155" s="80" t="str">
        <f>REPLACE(INDEX(GroupVertices[Group],MATCH(Edges[[#This Row],[Vertex 1]],GroupVertices[Vertex],0)),1,1,"")</f>
        <v>1</v>
      </c>
      <c r="R155" s="80" t="str">
        <f>REPLACE(INDEX(GroupVertices[Group],MATCH(Edges[[#This Row],[Vertex 2]],GroupVertices[Vertex],0)),1,1,"")</f>
        <v>1</v>
      </c>
      <c r="S155" s="35"/>
      <c r="T155" s="35"/>
      <c r="U155" s="35"/>
      <c r="V155" s="35"/>
      <c r="W155" s="35"/>
      <c r="X155" s="35"/>
      <c r="Y155" s="35"/>
      <c r="Z155" s="35"/>
      <c r="AA155" s="35"/>
    </row>
    <row r="156" spans="1:27" ht="15">
      <c r="A156" s="65" t="s">
        <v>246</v>
      </c>
      <c r="B156" s="65" t="s">
        <v>245</v>
      </c>
      <c r="C156" s="66" t="s">
        <v>2113</v>
      </c>
      <c r="D156" s="67">
        <v>3</v>
      </c>
      <c r="E156" s="68"/>
      <c r="F156" s="69">
        <v>40</v>
      </c>
      <c r="G156" s="66"/>
      <c r="H156" s="70"/>
      <c r="I156" s="71"/>
      <c r="J156" s="71"/>
      <c r="K156" s="35" t="s">
        <v>65</v>
      </c>
      <c r="L156" s="79">
        <v>156</v>
      </c>
      <c r="M156" s="79"/>
      <c r="N156" s="73"/>
      <c r="O156" s="81" t="s">
        <v>292</v>
      </c>
      <c r="P156">
        <v>1</v>
      </c>
      <c r="Q156" s="80" t="str">
        <f>REPLACE(INDEX(GroupVertices[Group],MATCH(Edges[[#This Row],[Vertex 1]],GroupVertices[Vertex],0)),1,1,"")</f>
        <v>1</v>
      </c>
      <c r="R156" s="80" t="str">
        <f>REPLACE(INDEX(GroupVertices[Group],MATCH(Edges[[#This Row],[Vertex 2]],GroupVertices[Vertex],0)),1,1,"")</f>
        <v>1</v>
      </c>
      <c r="S156" s="35"/>
      <c r="T156" s="35"/>
      <c r="U156" s="35"/>
      <c r="V156" s="35"/>
      <c r="W156" s="35"/>
      <c r="X156" s="35"/>
      <c r="Y156" s="35"/>
      <c r="Z156" s="35"/>
      <c r="AA156" s="35"/>
    </row>
    <row r="157" spans="1:27" ht="15">
      <c r="A157" s="65" t="s">
        <v>249</v>
      </c>
      <c r="B157" s="65" t="s">
        <v>245</v>
      </c>
      <c r="C157" s="66" t="s">
        <v>2113</v>
      </c>
      <c r="D157" s="67">
        <v>3</v>
      </c>
      <c r="E157" s="68"/>
      <c r="F157" s="69">
        <v>40</v>
      </c>
      <c r="G157" s="66"/>
      <c r="H157" s="70"/>
      <c r="I157" s="71"/>
      <c r="J157" s="71"/>
      <c r="K157" s="35" t="s">
        <v>65</v>
      </c>
      <c r="L157" s="79">
        <v>157</v>
      </c>
      <c r="M157" s="79"/>
      <c r="N157" s="73"/>
      <c r="O157" s="81" t="s">
        <v>292</v>
      </c>
      <c r="P157">
        <v>1</v>
      </c>
      <c r="Q157" s="80" t="str">
        <f>REPLACE(INDEX(GroupVertices[Group],MATCH(Edges[[#This Row],[Vertex 1]],GroupVertices[Vertex],0)),1,1,"")</f>
        <v>4</v>
      </c>
      <c r="R157" s="80" t="str">
        <f>REPLACE(INDEX(GroupVertices[Group],MATCH(Edges[[#This Row],[Vertex 2]],GroupVertices[Vertex],0)),1,1,"")</f>
        <v>1</v>
      </c>
      <c r="S157" s="35"/>
      <c r="T157" s="35"/>
      <c r="U157" s="35"/>
      <c r="V157" s="35"/>
      <c r="W157" s="35"/>
      <c r="X157" s="35"/>
      <c r="Y157" s="35"/>
      <c r="Z157" s="35"/>
      <c r="AA157" s="35"/>
    </row>
    <row r="158" spans="1:27" ht="15">
      <c r="A158" s="65" t="s">
        <v>226</v>
      </c>
      <c r="B158" s="65" t="s">
        <v>245</v>
      </c>
      <c r="C158" s="66" t="s">
        <v>2113</v>
      </c>
      <c r="D158" s="67">
        <v>3</v>
      </c>
      <c r="E158" s="68"/>
      <c r="F158" s="69">
        <v>40</v>
      </c>
      <c r="G158" s="66"/>
      <c r="H158" s="70"/>
      <c r="I158" s="71"/>
      <c r="J158" s="71"/>
      <c r="K158" s="35" t="s">
        <v>65</v>
      </c>
      <c r="L158" s="79">
        <v>158</v>
      </c>
      <c r="M158" s="79"/>
      <c r="N158" s="73"/>
      <c r="O158" s="81" t="s">
        <v>292</v>
      </c>
      <c r="P158">
        <v>1</v>
      </c>
      <c r="Q158" s="80" t="str">
        <f>REPLACE(INDEX(GroupVertices[Group],MATCH(Edges[[#This Row],[Vertex 1]],GroupVertices[Vertex],0)),1,1,"")</f>
        <v>1</v>
      </c>
      <c r="R158" s="80" t="str">
        <f>REPLACE(INDEX(GroupVertices[Group],MATCH(Edges[[#This Row],[Vertex 2]],GroupVertices[Vertex],0)),1,1,"")</f>
        <v>1</v>
      </c>
      <c r="S158" s="35"/>
      <c r="T158" s="35"/>
      <c r="U158" s="35"/>
      <c r="V158" s="35"/>
      <c r="W158" s="35"/>
      <c r="X158" s="35"/>
      <c r="Y158" s="35"/>
      <c r="Z158" s="35"/>
      <c r="AA158" s="35"/>
    </row>
    <row r="159" spans="1:27" ht="15">
      <c r="A159" s="65" t="s">
        <v>243</v>
      </c>
      <c r="B159" s="65" t="s">
        <v>245</v>
      </c>
      <c r="C159" s="66" t="s">
        <v>2113</v>
      </c>
      <c r="D159" s="67">
        <v>3</v>
      </c>
      <c r="E159" s="68"/>
      <c r="F159" s="69">
        <v>40</v>
      </c>
      <c r="G159" s="66"/>
      <c r="H159" s="70"/>
      <c r="I159" s="71"/>
      <c r="J159" s="71"/>
      <c r="K159" s="35" t="s">
        <v>65</v>
      </c>
      <c r="L159" s="79">
        <v>159</v>
      </c>
      <c r="M159" s="79"/>
      <c r="N159" s="73"/>
      <c r="O159" s="81" t="s">
        <v>292</v>
      </c>
      <c r="P159">
        <v>1</v>
      </c>
      <c r="Q159" s="80" t="str">
        <f>REPLACE(INDEX(GroupVertices[Group],MATCH(Edges[[#This Row],[Vertex 1]],GroupVertices[Vertex],0)),1,1,"")</f>
        <v>1</v>
      </c>
      <c r="R159" s="80" t="str">
        <f>REPLACE(INDEX(GroupVertices[Group],MATCH(Edges[[#This Row],[Vertex 2]],GroupVertices[Vertex],0)),1,1,"")</f>
        <v>1</v>
      </c>
      <c r="S159" s="35"/>
      <c r="T159" s="35"/>
      <c r="U159" s="35"/>
      <c r="V159" s="35"/>
      <c r="W159" s="35"/>
      <c r="X159" s="35"/>
      <c r="Y159" s="35"/>
      <c r="Z159" s="35"/>
      <c r="AA159" s="35"/>
    </row>
    <row r="160" spans="1:27" ht="15">
      <c r="A160" s="65" t="s">
        <v>250</v>
      </c>
      <c r="B160" s="65" t="s">
        <v>245</v>
      </c>
      <c r="C160" s="66" t="s">
        <v>2113</v>
      </c>
      <c r="D160" s="67">
        <v>3</v>
      </c>
      <c r="E160" s="68"/>
      <c r="F160" s="69">
        <v>40</v>
      </c>
      <c r="G160" s="66"/>
      <c r="H160" s="70"/>
      <c r="I160" s="71"/>
      <c r="J160" s="71"/>
      <c r="K160" s="35" t="s">
        <v>65</v>
      </c>
      <c r="L160" s="79">
        <v>160</v>
      </c>
      <c r="M160" s="79"/>
      <c r="N160" s="73"/>
      <c r="O160" s="81" t="s">
        <v>292</v>
      </c>
      <c r="P160">
        <v>1</v>
      </c>
      <c r="Q160" s="80" t="str">
        <f>REPLACE(INDEX(GroupVertices[Group],MATCH(Edges[[#This Row],[Vertex 1]],GroupVertices[Vertex],0)),1,1,"")</f>
        <v>3</v>
      </c>
      <c r="R160" s="80" t="str">
        <f>REPLACE(INDEX(GroupVertices[Group],MATCH(Edges[[#This Row],[Vertex 2]],GroupVertices[Vertex],0)),1,1,"")</f>
        <v>1</v>
      </c>
      <c r="S160" s="35"/>
      <c r="T160" s="35"/>
      <c r="U160" s="35"/>
      <c r="V160" s="35"/>
      <c r="W160" s="35"/>
      <c r="X160" s="35"/>
      <c r="Y160" s="35"/>
      <c r="Z160" s="35"/>
      <c r="AA160" s="35"/>
    </row>
    <row r="161" spans="1:27" ht="15">
      <c r="A161" s="65" t="s">
        <v>251</v>
      </c>
      <c r="B161" s="65" t="s">
        <v>245</v>
      </c>
      <c r="C161" s="66" t="s">
        <v>2113</v>
      </c>
      <c r="D161" s="67">
        <v>3</v>
      </c>
      <c r="E161" s="68"/>
      <c r="F161" s="69">
        <v>40</v>
      </c>
      <c r="G161" s="66"/>
      <c r="H161" s="70"/>
      <c r="I161" s="71"/>
      <c r="J161" s="71"/>
      <c r="K161" s="35" t="s">
        <v>65</v>
      </c>
      <c r="L161" s="79">
        <v>161</v>
      </c>
      <c r="M161" s="79"/>
      <c r="N161" s="73"/>
      <c r="O161" s="81" t="s">
        <v>292</v>
      </c>
      <c r="P161">
        <v>1</v>
      </c>
      <c r="Q161" s="80" t="str">
        <f>REPLACE(INDEX(GroupVertices[Group],MATCH(Edges[[#This Row],[Vertex 1]],GroupVertices[Vertex],0)),1,1,"")</f>
        <v>3</v>
      </c>
      <c r="R161" s="80" t="str">
        <f>REPLACE(INDEX(GroupVertices[Group],MATCH(Edges[[#This Row],[Vertex 2]],GroupVertices[Vertex],0)),1,1,"")</f>
        <v>1</v>
      </c>
      <c r="S161" s="35"/>
      <c r="T161" s="35"/>
      <c r="U161" s="35"/>
      <c r="V161" s="35"/>
      <c r="W161" s="35"/>
      <c r="X161" s="35"/>
      <c r="Y161" s="35"/>
      <c r="Z161" s="35"/>
      <c r="AA161" s="35"/>
    </row>
    <row r="162" spans="1:27" ht="15">
      <c r="A162" s="65" t="s">
        <v>247</v>
      </c>
      <c r="B162" s="65" t="s">
        <v>245</v>
      </c>
      <c r="C162" s="66" t="s">
        <v>2113</v>
      </c>
      <c r="D162" s="67">
        <v>3</v>
      </c>
      <c r="E162" s="68"/>
      <c r="F162" s="69">
        <v>40</v>
      </c>
      <c r="G162" s="66"/>
      <c r="H162" s="70"/>
      <c r="I162" s="71"/>
      <c r="J162" s="71"/>
      <c r="K162" s="35" t="s">
        <v>65</v>
      </c>
      <c r="L162" s="79">
        <v>162</v>
      </c>
      <c r="M162" s="79"/>
      <c r="N162" s="73"/>
      <c r="O162" s="81" t="s">
        <v>293</v>
      </c>
      <c r="P162">
        <v>1</v>
      </c>
      <c r="Q162" s="80" t="str">
        <f>REPLACE(INDEX(GroupVertices[Group],MATCH(Edges[[#This Row],[Vertex 1]],GroupVertices[Vertex],0)),1,1,"")</f>
        <v>1</v>
      </c>
      <c r="R162" s="80" t="str">
        <f>REPLACE(INDEX(GroupVertices[Group],MATCH(Edges[[#This Row],[Vertex 2]],GroupVertices[Vertex],0)),1,1,"")</f>
        <v>1</v>
      </c>
      <c r="S162" s="35"/>
      <c r="T162" s="35"/>
      <c r="U162" s="35"/>
      <c r="V162" s="35"/>
      <c r="W162" s="35"/>
      <c r="X162" s="35"/>
      <c r="Y162" s="35"/>
      <c r="Z162" s="35"/>
      <c r="AA162" s="35"/>
    </row>
    <row r="163" spans="1:27" ht="15">
      <c r="A163" s="65" t="s">
        <v>216</v>
      </c>
      <c r="B163" s="65" t="s">
        <v>215</v>
      </c>
      <c r="C163" s="66" t="s">
        <v>2113</v>
      </c>
      <c r="D163" s="67">
        <v>3</v>
      </c>
      <c r="E163" s="68"/>
      <c r="F163" s="69">
        <v>40</v>
      </c>
      <c r="G163" s="66"/>
      <c r="H163" s="70"/>
      <c r="I163" s="71"/>
      <c r="J163" s="71"/>
      <c r="K163" s="35" t="s">
        <v>65</v>
      </c>
      <c r="L163" s="79">
        <v>163</v>
      </c>
      <c r="M163" s="79"/>
      <c r="N163" s="73"/>
      <c r="O163" s="81" t="s">
        <v>292</v>
      </c>
      <c r="P163">
        <v>1</v>
      </c>
      <c r="Q163" s="80" t="str">
        <f>REPLACE(INDEX(GroupVertices[Group],MATCH(Edges[[#This Row],[Vertex 1]],GroupVertices[Vertex],0)),1,1,"")</f>
        <v>1</v>
      </c>
      <c r="R163" s="80" t="str">
        <f>REPLACE(INDEX(GroupVertices[Group],MATCH(Edges[[#This Row],[Vertex 2]],GroupVertices[Vertex],0)),1,1,"")</f>
        <v>1</v>
      </c>
      <c r="S163" s="35"/>
      <c r="T163" s="35"/>
      <c r="U163" s="35"/>
      <c r="V163" s="35"/>
      <c r="W163" s="35"/>
      <c r="X163" s="35"/>
      <c r="Y163" s="35"/>
      <c r="Z163" s="35"/>
      <c r="AA163" s="35"/>
    </row>
    <row r="164" spans="1:27" ht="15">
      <c r="A164" s="65" t="s">
        <v>217</v>
      </c>
      <c r="B164" s="65" t="s">
        <v>215</v>
      </c>
      <c r="C164" s="66" t="s">
        <v>2113</v>
      </c>
      <c r="D164" s="67">
        <v>3</v>
      </c>
      <c r="E164" s="68"/>
      <c r="F164" s="69">
        <v>40</v>
      </c>
      <c r="G164" s="66"/>
      <c r="H164" s="70"/>
      <c r="I164" s="71"/>
      <c r="J164" s="71"/>
      <c r="K164" s="35" t="s">
        <v>65</v>
      </c>
      <c r="L164" s="79">
        <v>164</v>
      </c>
      <c r="M164" s="79"/>
      <c r="N164" s="73"/>
      <c r="O164" s="81" t="s">
        <v>292</v>
      </c>
      <c r="P164">
        <v>1</v>
      </c>
      <c r="Q164" s="80" t="str">
        <f>REPLACE(INDEX(GroupVertices[Group],MATCH(Edges[[#This Row],[Vertex 1]],GroupVertices[Vertex],0)),1,1,"")</f>
        <v>1</v>
      </c>
      <c r="R164" s="80" t="str">
        <f>REPLACE(INDEX(GroupVertices[Group],MATCH(Edges[[#This Row],[Vertex 2]],GroupVertices[Vertex],0)),1,1,"")</f>
        <v>1</v>
      </c>
      <c r="S164" s="35"/>
      <c r="T164" s="35"/>
      <c r="U164" s="35"/>
      <c r="V164" s="35"/>
      <c r="W164" s="35"/>
      <c r="X164" s="35"/>
      <c r="Y164" s="35"/>
      <c r="Z164" s="35"/>
      <c r="AA164" s="35"/>
    </row>
    <row r="165" spans="1:27" ht="15">
      <c r="A165" s="65" t="s">
        <v>218</v>
      </c>
      <c r="B165" s="65" t="s">
        <v>215</v>
      </c>
      <c r="C165" s="66" t="s">
        <v>2113</v>
      </c>
      <c r="D165" s="67">
        <v>3</v>
      </c>
      <c r="E165" s="68"/>
      <c r="F165" s="69">
        <v>40</v>
      </c>
      <c r="G165" s="66"/>
      <c r="H165" s="70"/>
      <c r="I165" s="71"/>
      <c r="J165" s="71"/>
      <c r="K165" s="35" t="s">
        <v>65</v>
      </c>
      <c r="L165" s="79">
        <v>165</v>
      </c>
      <c r="M165" s="79"/>
      <c r="N165" s="73"/>
      <c r="O165" s="81" t="s">
        <v>292</v>
      </c>
      <c r="P165">
        <v>1</v>
      </c>
      <c r="Q165" s="80" t="str">
        <f>REPLACE(INDEX(GroupVertices[Group],MATCH(Edges[[#This Row],[Vertex 1]],GroupVertices[Vertex],0)),1,1,"")</f>
        <v>1</v>
      </c>
      <c r="R165" s="80" t="str">
        <f>REPLACE(INDEX(GroupVertices[Group],MATCH(Edges[[#This Row],[Vertex 2]],GroupVertices[Vertex],0)),1,1,"")</f>
        <v>1</v>
      </c>
      <c r="S165" s="35"/>
      <c r="T165" s="35"/>
      <c r="U165" s="35"/>
      <c r="V165" s="35"/>
      <c r="W165" s="35"/>
      <c r="X165" s="35"/>
      <c r="Y165" s="35"/>
      <c r="Z165" s="35"/>
      <c r="AA165" s="35"/>
    </row>
    <row r="166" spans="1:27" ht="15">
      <c r="A166" s="65" t="s">
        <v>219</v>
      </c>
      <c r="B166" s="65" t="s">
        <v>215</v>
      </c>
      <c r="C166" s="66" t="s">
        <v>2113</v>
      </c>
      <c r="D166" s="67">
        <v>3</v>
      </c>
      <c r="E166" s="68"/>
      <c r="F166" s="69">
        <v>40</v>
      </c>
      <c r="G166" s="66"/>
      <c r="H166" s="70"/>
      <c r="I166" s="71"/>
      <c r="J166" s="71"/>
      <c r="K166" s="35" t="s">
        <v>65</v>
      </c>
      <c r="L166" s="79">
        <v>166</v>
      </c>
      <c r="M166" s="79"/>
      <c r="N166" s="73"/>
      <c r="O166" s="81" t="s">
        <v>292</v>
      </c>
      <c r="P166">
        <v>1</v>
      </c>
      <c r="Q166" s="80" t="str">
        <f>REPLACE(INDEX(GroupVertices[Group],MATCH(Edges[[#This Row],[Vertex 1]],GroupVertices[Vertex],0)),1,1,"")</f>
        <v>1</v>
      </c>
      <c r="R166" s="80" t="str">
        <f>REPLACE(INDEX(GroupVertices[Group],MATCH(Edges[[#This Row],[Vertex 2]],GroupVertices[Vertex],0)),1,1,"")</f>
        <v>1</v>
      </c>
      <c r="S166" s="35"/>
      <c r="T166" s="35"/>
      <c r="U166" s="35"/>
      <c r="V166" s="35"/>
      <c r="W166" s="35"/>
      <c r="X166" s="35"/>
      <c r="Y166" s="35"/>
      <c r="Z166" s="35"/>
      <c r="AA166" s="35"/>
    </row>
    <row r="167" spans="1:27" ht="15">
      <c r="A167" s="65" t="s">
        <v>220</v>
      </c>
      <c r="B167" s="65" t="s">
        <v>215</v>
      </c>
      <c r="C167" s="66" t="s">
        <v>2113</v>
      </c>
      <c r="D167" s="67">
        <v>3</v>
      </c>
      <c r="E167" s="68"/>
      <c r="F167" s="69">
        <v>40</v>
      </c>
      <c r="G167" s="66"/>
      <c r="H167" s="70"/>
      <c r="I167" s="71"/>
      <c r="J167" s="71"/>
      <c r="K167" s="35" t="s">
        <v>65</v>
      </c>
      <c r="L167" s="79">
        <v>167</v>
      </c>
      <c r="M167" s="79"/>
      <c r="N167" s="73"/>
      <c r="O167" s="81" t="s">
        <v>292</v>
      </c>
      <c r="P167">
        <v>1</v>
      </c>
      <c r="Q167" s="80" t="str">
        <f>REPLACE(INDEX(GroupVertices[Group],MATCH(Edges[[#This Row],[Vertex 1]],GroupVertices[Vertex],0)),1,1,"")</f>
        <v>1</v>
      </c>
      <c r="R167" s="80" t="str">
        <f>REPLACE(INDEX(GroupVertices[Group],MATCH(Edges[[#This Row],[Vertex 2]],GroupVertices[Vertex],0)),1,1,"")</f>
        <v>1</v>
      </c>
      <c r="S167" s="35"/>
      <c r="T167" s="35"/>
      <c r="U167" s="35"/>
      <c r="V167" s="35"/>
      <c r="W167" s="35"/>
      <c r="X167" s="35"/>
      <c r="Y167" s="35"/>
      <c r="Z167" s="35"/>
      <c r="AA167" s="35"/>
    </row>
    <row r="168" spans="1:27" ht="15">
      <c r="A168" s="65" t="s">
        <v>221</v>
      </c>
      <c r="B168" s="65" t="s">
        <v>215</v>
      </c>
      <c r="C168" s="66" t="s">
        <v>2113</v>
      </c>
      <c r="D168" s="67">
        <v>3</v>
      </c>
      <c r="E168" s="68"/>
      <c r="F168" s="69">
        <v>40</v>
      </c>
      <c r="G168" s="66"/>
      <c r="H168" s="70"/>
      <c r="I168" s="71"/>
      <c r="J168" s="71"/>
      <c r="K168" s="35" t="s">
        <v>65</v>
      </c>
      <c r="L168" s="79">
        <v>168</v>
      </c>
      <c r="M168" s="79"/>
      <c r="N168" s="73"/>
      <c r="O168" s="81" t="s">
        <v>292</v>
      </c>
      <c r="P168">
        <v>1</v>
      </c>
      <c r="Q168" s="80" t="str">
        <f>REPLACE(INDEX(GroupVertices[Group],MATCH(Edges[[#This Row],[Vertex 1]],GroupVertices[Vertex],0)),1,1,"")</f>
        <v>1</v>
      </c>
      <c r="R168" s="80" t="str">
        <f>REPLACE(INDEX(GroupVertices[Group],MATCH(Edges[[#This Row],[Vertex 2]],GroupVertices[Vertex],0)),1,1,"")</f>
        <v>1</v>
      </c>
      <c r="S168" s="35"/>
      <c r="T168" s="35"/>
      <c r="U168" s="35"/>
      <c r="V168" s="35"/>
      <c r="W168" s="35"/>
      <c r="X168" s="35"/>
      <c r="Y168" s="35"/>
      <c r="Z168" s="35"/>
      <c r="AA168" s="35"/>
    </row>
    <row r="169" spans="1:27" ht="15">
      <c r="A169" s="65" t="s">
        <v>222</v>
      </c>
      <c r="B169" s="65" t="s">
        <v>215</v>
      </c>
      <c r="C169" s="66" t="s">
        <v>2113</v>
      </c>
      <c r="D169" s="67">
        <v>3</v>
      </c>
      <c r="E169" s="68"/>
      <c r="F169" s="69">
        <v>40</v>
      </c>
      <c r="G169" s="66"/>
      <c r="H169" s="70"/>
      <c r="I169" s="71"/>
      <c r="J169" s="71"/>
      <c r="K169" s="35" t="s">
        <v>65</v>
      </c>
      <c r="L169" s="79">
        <v>169</v>
      </c>
      <c r="M169" s="79"/>
      <c r="N169" s="73"/>
      <c r="O169" s="81" t="s">
        <v>292</v>
      </c>
      <c r="P169">
        <v>1</v>
      </c>
      <c r="Q169" s="80" t="str">
        <f>REPLACE(INDEX(GroupVertices[Group],MATCH(Edges[[#This Row],[Vertex 1]],GroupVertices[Vertex],0)),1,1,"")</f>
        <v>1</v>
      </c>
      <c r="R169" s="80" t="str">
        <f>REPLACE(INDEX(GroupVertices[Group],MATCH(Edges[[#This Row],[Vertex 2]],GroupVertices[Vertex],0)),1,1,"")</f>
        <v>1</v>
      </c>
      <c r="S169" s="35"/>
      <c r="T169" s="35"/>
      <c r="U169" s="35"/>
      <c r="V169" s="35"/>
      <c r="W169" s="35"/>
      <c r="X169" s="35"/>
      <c r="Y169" s="35"/>
      <c r="Z169" s="35"/>
      <c r="AA169" s="35"/>
    </row>
    <row r="170" spans="1:27" ht="15">
      <c r="A170" s="65" t="s">
        <v>223</v>
      </c>
      <c r="B170" s="65" t="s">
        <v>215</v>
      </c>
      <c r="C170" s="66" t="s">
        <v>2113</v>
      </c>
      <c r="D170" s="67">
        <v>3</v>
      </c>
      <c r="E170" s="68"/>
      <c r="F170" s="69">
        <v>40</v>
      </c>
      <c r="G170" s="66"/>
      <c r="H170" s="70"/>
      <c r="I170" s="71"/>
      <c r="J170" s="71"/>
      <c r="K170" s="35" t="s">
        <v>65</v>
      </c>
      <c r="L170" s="79">
        <v>170</v>
      </c>
      <c r="M170" s="79"/>
      <c r="N170" s="73"/>
      <c r="O170" s="81" t="s">
        <v>292</v>
      </c>
      <c r="P170">
        <v>1</v>
      </c>
      <c r="Q170" s="80" t="str">
        <f>REPLACE(INDEX(GroupVertices[Group],MATCH(Edges[[#This Row],[Vertex 1]],GroupVertices[Vertex],0)),1,1,"")</f>
        <v>1</v>
      </c>
      <c r="R170" s="80" t="str">
        <f>REPLACE(INDEX(GroupVertices[Group],MATCH(Edges[[#This Row],[Vertex 2]],GroupVertices[Vertex],0)),1,1,"")</f>
        <v>1</v>
      </c>
      <c r="S170" s="35"/>
      <c r="T170" s="35"/>
      <c r="U170" s="35"/>
      <c r="V170" s="35"/>
      <c r="W170" s="35"/>
      <c r="X170" s="35"/>
      <c r="Y170" s="35"/>
      <c r="Z170" s="35"/>
      <c r="AA170" s="35"/>
    </row>
    <row r="171" spans="1:27" ht="15">
      <c r="A171" s="65" t="s">
        <v>224</v>
      </c>
      <c r="B171" s="65" t="s">
        <v>215</v>
      </c>
      <c r="C171" s="66" t="s">
        <v>2113</v>
      </c>
      <c r="D171" s="67">
        <v>3</v>
      </c>
      <c r="E171" s="68"/>
      <c r="F171" s="69">
        <v>40</v>
      </c>
      <c r="G171" s="66"/>
      <c r="H171" s="70"/>
      <c r="I171" s="71"/>
      <c r="J171" s="71"/>
      <c r="K171" s="35" t="s">
        <v>65</v>
      </c>
      <c r="L171" s="79">
        <v>171</v>
      </c>
      <c r="M171" s="79"/>
      <c r="N171" s="73"/>
      <c r="O171" s="81" t="s">
        <v>292</v>
      </c>
      <c r="P171">
        <v>1</v>
      </c>
      <c r="Q171" s="80" t="str">
        <f>REPLACE(INDEX(GroupVertices[Group],MATCH(Edges[[#This Row],[Vertex 1]],GroupVertices[Vertex],0)),1,1,"")</f>
        <v>1</v>
      </c>
      <c r="R171" s="80" t="str">
        <f>REPLACE(INDEX(GroupVertices[Group],MATCH(Edges[[#This Row],[Vertex 2]],GroupVertices[Vertex],0)),1,1,"")</f>
        <v>1</v>
      </c>
      <c r="S171" s="35"/>
      <c r="T171" s="35"/>
      <c r="U171" s="35"/>
      <c r="V171" s="35"/>
      <c r="W171" s="35"/>
      <c r="X171" s="35"/>
      <c r="Y171" s="35"/>
      <c r="Z171" s="35"/>
      <c r="AA171" s="35"/>
    </row>
    <row r="172" spans="1:27" ht="15">
      <c r="A172" s="65" t="s">
        <v>240</v>
      </c>
      <c r="B172" s="65" t="s">
        <v>215</v>
      </c>
      <c r="C172" s="66" t="s">
        <v>2113</v>
      </c>
      <c r="D172" s="67">
        <v>3</v>
      </c>
      <c r="E172" s="68"/>
      <c r="F172" s="69">
        <v>40</v>
      </c>
      <c r="G172" s="66"/>
      <c r="H172" s="70"/>
      <c r="I172" s="71"/>
      <c r="J172" s="71"/>
      <c r="K172" s="35" t="s">
        <v>65</v>
      </c>
      <c r="L172" s="79">
        <v>172</v>
      </c>
      <c r="M172" s="79"/>
      <c r="N172" s="73"/>
      <c r="O172" s="81" t="s">
        <v>292</v>
      </c>
      <c r="P172">
        <v>1</v>
      </c>
      <c r="Q172" s="80" t="str">
        <f>REPLACE(INDEX(GroupVertices[Group],MATCH(Edges[[#This Row],[Vertex 1]],GroupVertices[Vertex],0)),1,1,"")</f>
        <v>1</v>
      </c>
      <c r="R172" s="80" t="str">
        <f>REPLACE(INDEX(GroupVertices[Group],MATCH(Edges[[#This Row],[Vertex 2]],GroupVertices[Vertex],0)),1,1,"")</f>
        <v>1</v>
      </c>
      <c r="S172" s="35"/>
      <c r="T172" s="35"/>
      <c r="U172" s="35"/>
      <c r="V172" s="35"/>
      <c r="W172" s="35"/>
      <c r="X172" s="35"/>
      <c r="Y172" s="35"/>
      <c r="Z172" s="35"/>
      <c r="AA172" s="35"/>
    </row>
    <row r="173" spans="1:27" ht="15">
      <c r="A173" s="65" t="s">
        <v>226</v>
      </c>
      <c r="B173" s="65" t="s">
        <v>215</v>
      </c>
      <c r="C173" s="66" t="s">
        <v>2113</v>
      </c>
      <c r="D173" s="67">
        <v>3</v>
      </c>
      <c r="E173" s="68"/>
      <c r="F173" s="69">
        <v>40</v>
      </c>
      <c r="G173" s="66"/>
      <c r="H173" s="70"/>
      <c r="I173" s="71"/>
      <c r="J173" s="71"/>
      <c r="K173" s="35" t="s">
        <v>65</v>
      </c>
      <c r="L173" s="79">
        <v>173</v>
      </c>
      <c r="M173" s="79"/>
      <c r="N173" s="73"/>
      <c r="O173" s="81" t="s">
        <v>292</v>
      </c>
      <c r="P173">
        <v>1</v>
      </c>
      <c r="Q173" s="80" t="str">
        <f>REPLACE(INDEX(GroupVertices[Group],MATCH(Edges[[#This Row],[Vertex 1]],GroupVertices[Vertex],0)),1,1,"")</f>
        <v>1</v>
      </c>
      <c r="R173" s="80" t="str">
        <f>REPLACE(INDEX(GroupVertices[Group],MATCH(Edges[[#This Row],[Vertex 2]],GroupVertices[Vertex],0)),1,1,"")</f>
        <v>1</v>
      </c>
      <c r="S173" s="35"/>
      <c r="T173" s="35"/>
      <c r="U173" s="35"/>
      <c r="V173" s="35"/>
      <c r="W173" s="35"/>
      <c r="X173" s="35"/>
      <c r="Y173" s="35"/>
      <c r="Z173" s="35"/>
      <c r="AA173" s="35"/>
    </row>
    <row r="174" spans="1:27" ht="15">
      <c r="A174" s="65" t="s">
        <v>227</v>
      </c>
      <c r="B174" s="65" t="s">
        <v>215</v>
      </c>
      <c r="C174" s="66" t="s">
        <v>2113</v>
      </c>
      <c r="D174" s="67">
        <v>3</v>
      </c>
      <c r="E174" s="68"/>
      <c r="F174" s="69">
        <v>40</v>
      </c>
      <c r="G174" s="66"/>
      <c r="H174" s="70"/>
      <c r="I174" s="71"/>
      <c r="J174" s="71"/>
      <c r="K174" s="35" t="s">
        <v>65</v>
      </c>
      <c r="L174" s="79">
        <v>174</v>
      </c>
      <c r="M174" s="79"/>
      <c r="N174" s="73"/>
      <c r="O174" s="81" t="s">
        <v>292</v>
      </c>
      <c r="P174">
        <v>1</v>
      </c>
      <c r="Q174" s="80" t="str">
        <f>REPLACE(INDEX(GroupVertices[Group],MATCH(Edges[[#This Row],[Vertex 1]],GroupVertices[Vertex],0)),1,1,"")</f>
        <v>1</v>
      </c>
      <c r="R174" s="80" t="str">
        <f>REPLACE(INDEX(GroupVertices[Group],MATCH(Edges[[#This Row],[Vertex 2]],GroupVertices[Vertex],0)),1,1,"")</f>
        <v>1</v>
      </c>
      <c r="S174" s="35"/>
      <c r="T174" s="35"/>
      <c r="U174" s="35"/>
      <c r="V174" s="35"/>
      <c r="W174" s="35"/>
      <c r="X174" s="35"/>
      <c r="Y174" s="35"/>
      <c r="Z174" s="35"/>
      <c r="AA174" s="35"/>
    </row>
    <row r="175" spans="1:27" ht="15">
      <c r="A175" s="65" t="s">
        <v>241</v>
      </c>
      <c r="B175" s="65" t="s">
        <v>215</v>
      </c>
      <c r="C175" s="66" t="s">
        <v>2113</v>
      </c>
      <c r="D175" s="67">
        <v>3</v>
      </c>
      <c r="E175" s="68"/>
      <c r="F175" s="69">
        <v>40</v>
      </c>
      <c r="G175" s="66"/>
      <c r="H175" s="70"/>
      <c r="I175" s="71"/>
      <c r="J175" s="71"/>
      <c r="K175" s="35" t="s">
        <v>65</v>
      </c>
      <c r="L175" s="79">
        <v>175</v>
      </c>
      <c r="M175" s="79"/>
      <c r="N175" s="73"/>
      <c r="O175" s="81" t="s">
        <v>292</v>
      </c>
      <c r="P175">
        <v>1</v>
      </c>
      <c r="Q175" s="80" t="str">
        <f>REPLACE(INDEX(GroupVertices[Group],MATCH(Edges[[#This Row],[Vertex 1]],GroupVertices[Vertex],0)),1,1,"")</f>
        <v>1</v>
      </c>
      <c r="R175" s="80" t="str">
        <f>REPLACE(INDEX(GroupVertices[Group],MATCH(Edges[[#This Row],[Vertex 2]],GroupVertices[Vertex],0)),1,1,"")</f>
        <v>1</v>
      </c>
      <c r="S175" s="35"/>
      <c r="T175" s="35"/>
      <c r="U175" s="35"/>
      <c r="V175" s="35"/>
      <c r="W175" s="35"/>
      <c r="X175" s="35"/>
      <c r="Y175" s="35"/>
      <c r="Z175" s="35"/>
      <c r="AA175" s="35"/>
    </row>
    <row r="176" spans="1:27" ht="15">
      <c r="A176" s="65" t="s">
        <v>228</v>
      </c>
      <c r="B176" s="65" t="s">
        <v>215</v>
      </c>
      <c r="C176" s="66" t="s">
        <v>2113</v>
      </c>
      <c r="D176" s="67">
        <v>3</v>
      </c>
      <c r="E176" s="68"/>
      <c r="F176" s="69">
        <v>40</v>
      </c>
      <c r="G176" s="66"/>
      <c r="H176" s="70"/>
      <c r="I176" s="71"/>
      <c r="J176" s="71"/>
      <c r="K176" s="35" t="s">
        <v>65</v>
      </c>
      <c r="L176" s="79">
        <v>176</v>
      </c>
      <c r="M176" s="79"/>
      <c r="N176" s="73"/>
      <c r="O176" s="81" t="s">
        <v>292</v>
      </c>
      <c r="P176">
        <v>1</v>
      </c>
      <c r="Q176" s="80" t="str">
        <f>REPLACE(INDEX(GroupVertices[Group],MATCH(Edges[[#This Row],[Vertex 1]],GroupVertices[Vertex],0)),1,1,"")</f>
        <v>1</v>
      </c>
      <c r="R176" s="80" t="str">
        <f>REPLACE(INDEX(GroupVertices[Group],MATCH(Edges[[#This Row],[Vertex 2]],GroupVertices[Vertex],0)),1,1,"")</f>
        <v>1</v>
      </c>
      <c r="S176" s="35"/>
      <c r="T176" s="35"/>
      <c r="U176" s="35"/>
      <c r="V176" s="35"/>
      <c r="W176" s="35"/>
      <c r="X176" s="35"/>
      <c r="Y176" s="35"/>
      <c r="Z176" s="35"/>
      <c r="AA176" s="35"/>
    </row>
    <row r="177" spans="1:27" ht="15">
      <c r="A177" s="65" t="s">
        <v>229</v>
      </c>
      <c r="B177" s="65" t="s">
        <v>215</v>
      </c>
      <c r="C177" s="66" t="s">
        <v>2113</v>
      </c>
      <c r="D177" s="67">
        <v>3</v>
      </c>
      <c r="E177" s="68"/>
      <c r="F177" s="69">
        <v>40</v>
      </c>
      <c r="G177" s="66"/>
      <c r="H177" s="70"/>
      <c r="I177" s="71"/>
      <c r="J177" s="71"/>
      <c r="K177" s="35" t="s">
        <v>65</v>
      </c>
      <c r="L177" s="79">
        <v>177</v>
      </c>
      <c r="M177" s="79"/>
      <c r="N177" s="73"/>
      <c r="O177" s="81" t="s">
        <v>292</v>
      </c>
      <c r="P177">
        <v>1</v>
      </c>
      <c r="Q177" s="80" t="str">
        <f>REPLACE(INDEX(GroupVertices[Group],MATCH(Edges[[#This Row],[Vertex 1]],GroupVertices[Vertex],0)),1,1,"")</f>
        <v>1</v>
      </c>
      <c r="R177" s="80" t="str">
        <f>REPLACE(INDEX(GroupVertices[Group],MATCH(Edges[[#This Row],[Vertex 2]],GroupVertices[Vertex],0)),1,1,"")</f>
        <v>1</v>
      </c>
      <c r="S177" s="35"/>
      <c r="T177" s="35"/>
      <c r="U177" s="35"/>
      <c r="V177" s="35"/>
      <c r="W177" s="35"/>
      <c r="X177" s="35"/>
      <c r="Y177" s="35"/>
      <c r="Z177" s="35"/>
      <c r="AA177" s="35"/>
    </row>
    <row r="178" spans="1:27" ht="15">
      <c r="A178" s="65" t="s">
        <v>230</v>
      </c>
      <c r="B178" s="65" t="s">
        <v>215</v>
      </c>
      <c r="C178" s="66" t="s">
        <v>2113</v>
      </c>
      <c r="D178" s="67">
        <v>3</v>
      </c>
      <c r="E178" s="68"/>
      <c r="F178" s="69">
        <v>40</v>
      </c>
      <c r="G178" s="66"/>
      <c r="H178" s="70"/>
      <c r="I178" s="71"/>
      <c r="J178" s="71"/>
      <c r="K178" s="35" t="s">
        <v>65</v>
      </c>
      <c r="L178" s="79">
        <v>178</v>
      </c>
      <c r="M178" s="79"/>
      <c r="N178" s="73"/>
      <c r="O178" s="81" t="s">
        <v>292</v>
      </c>
      <c r="P178">
        <v>1</v>
      </c>
      <c r="Q178" s="80" t="str">
        <f>REPLACE(INDEX(GroupVertices[Group],MATCH(Edges[[#This Row],[Vertex 1]],GroupVertices[Vertex],0)),1,1,"")</f>
        <v>1</v>
      </c>
      <c r="R178" s="80" t="str">
        <f>REPLACE(INDEX(GroupVertices[Group],MATCH(Edges[[#This Row],[Vertex 2]],GroupVertices[Vertex],0)),1,1,"")</f>
        <v>1</v>
      </c>
      <c r="S178" s="35"/>
      <c r="T178" s="35"/>
      <c r="U178" s="35"/>
      <c r="V178" s="35"/>
      <c r="W178" s="35"/>
      <c r="X178" s="35"/>
      <c r="Y178" s="35"/>
      <c r="Z178" s="35"/>
      <c r="AA178" s="35"/>
    </row>
    <row r="179" spans="1:27" ht="15">
      <c r="A179" s="65" t="s">
        <v>231</v>
      </c>
      <c r="B179" s="65" t="s">
        <v>215</v>
      </c>
      <c r="C179" s="66" t="s">
        <v>2113</v>
      </c>
      <c r="D179" s="67">
        <v>3</v>
      </c>
      <c r="E179" s="68"/>
      <c r="F179" s="69">
        <v>40</v>
      </c>
      <c r="G179" s="66"/>
      <c r="H179" s="70"/>
      <c r="I179" s="71"/>
      <c r="J179" s="71"/>
      <c r="K179" s="35" t="s">
        <v>65</v>
      </c>
      <c r="L179" s="79">
        <v>179</v>
      </c>
      <c r="M179" s="79"/>
      <c r="N179" s="73"/>
      <c r="O179" s="81" t="s">
        <v>292</v>
      </c>
      <c r="P179">
        <v>1</v>
      </c>
      <c r="Q179" s="80" t="str">
        <f>REPLACE(INDEX(GroupVertices[Group],MATCH(Edges[[#This Row],[Vertex 1]],GroupVertices[Vertex],0)),1,1,"")</f>
        <v>1</v>
      </c>
      <c r="R179" s="80" t="str">
        <f>REPLACE(INDEX(GroupVertices[Group],MATCH(Edges[[#This Row],[Vertex 2]],GroupVertices[Vertex],0)),1,1,"")</f>
        <v>1</v>
      </c>
      <c r="S179" s="35"/>
      <c r="T179" s="35"/>
      <c r="U179" s="35"/>
      <c r="V179" s="35"/>
      <c r="W179" s="35"/>
      <c r="X179" s="35"/>
      <c r="Y179" s="35"/>
      <c r="Z179" s="35"/>
      <c r="AA179" s="35"/>
    </row>
    <row r="180" spans="1:27" ht="15">
      <c r="A180" s="65" t="s">
        <v>242</v>
      </c>
      <c r="B180" s="65" t="s">
        <v>215</v>
      </c>
      <c r="C180" s="66" t="s">
        <v>2113</v>
      </c>
      <c r="D180" s="67">
        <v>3</v>
      </c>
      <c r="E180" s="68"/>
      <c r="F180" s="69">
        <v>40</v>
      </c>
      <c r="G180" s="66"/>
      <c r="H180" s="70"/>
      <c r="I180" s="71"/>
      <c r="J180" s="71"/>
      <c r="K180" s="35" t="s">
        <v>65</v>
      </c>
      <c r="L180" s="79">
        <v>180</v>
      </c>
      <c r="M180" s="79"/>
      <c r="N180" s="73"/>
      <c r="O180" s="81" t="s">
        <v>292</v>
      </c>
      <c r="P180">
        <v>1</v>
      </c>
      <c r="Q180" s="80" t="str">
        <f>REPLACE(INDEX(GroupVertices[Group],MATCH(Edges[[#This Row],[Vertex 1]],GroupVertices[Vertex],0)),1,1,"")</f>
        <v>1</v>
      </c>
      <c r="R180" s="80" t="str">
        <f>REPLACE(INDEX(GroupVertices[Group],MATCH(Edges[[#This Row],[Vertex 2]],GroupVertices[Vertex],0)),1,1,"")</f>
        <v>1</v>
      </c>
      <c r="S180" s="35"/>
      <c r="T180" s="35"/>
      <c r="U180" s="35"/>
      <c r="V180" s="35"/>
      <c r="W180" s="35"/>
      <c r="X180" s="35"/>
      <c r="Y180" s="35"/>
      <c r="Z180" s="35"/>
      <c r="AA180" s="35"/>
    </row>
    <row r="181" spans="1:27" ht="15">
      <c r="A181" s="65" t="s">
        <v>232</v>
      </c>
      <c r="B181" s="65" t="s">
        <v>215</v>
      </c>
      <c r="C181" s="66" t="s">
        <v>2113</v>
      </c>
      <c r="D181" s="67">
        <v>3</v>
      </c>
      <c r="E181" s="68"/>
      <c r="F181" s="69">
        <v>40</v>
      </c>
      <c r="G181" s="66"/>
      <c r="H181" s="70"/>
      <c r="I181" s="71"/>
      <c r="J181" s="71"/>
      <c r="K181" s="35" t="s">
        <v>65</v>
      </c>
      <c r="L181" s="79">
        <v>181</v>
      </c>
      <c r="M181" s="79"/>
      <c r="N181" s="73"/>
      <c r="O181" s="81" t="s">
        <v>292</v>
      </c>
      <c r="P181">
        <v>1</v>
      </c>
      <c r="Q181" s="80" t="str">
        <f>REPLACE(INDEX(GroupVertices[Group],MATCH(Edges[[#This Row],[Vertex 1]],GroupVertices[Vertex],0)),1,1,"")</f>
        <v>2</v>
      </c>
      <c r="R181" s="80" t="str">
        <f>REPLACE(INDEX(GroupVertices[Group],MATCH(Edges[[#This Row],[Vertex 2]],GroupVertices[Vertex],0)),1,1,"")</f>
        <v>1</v>
      </c>
      <c r="S181" s="35"/>
      <c r="T181" s="35"/>
      <c r="U181" s="35"/>
      <c r="V181" s="35"/>
      <c r="W181" s="35"/>
      <c r="X181" s="35"/>
      <c r="Y181" s="35"/>
      <c r="Z181" s="35"/>
      <c r="AA181" s="35"/>
    </row>
    <row r="182" spans="1:27" ht="15">
      <c r="A182" s="65" t="s">
        <v>233</v>
      </c>
      <c r="B182" s="65" t="s">
        <v>215</v>
      </c>
      <c r="C182" s="66" t="s">
        <v>2113</v>
      </c>
      <c r="D182" s="67">
        <v>3</v>
      </c>
      <c r="E182" s="68"/>
      <c r="F182" s="69">
        <v>40</v>
      </c>
      <c r="G182" s="66"/>
      <c r="H182" s="70"/>
      <c r="I182" s="71"/>
      <c r="J182" s="71"/>
      <c r="K182" s="35" t="s">
        <v>65</v>
      </c>
      <c r="L182" s="79">
        <v>182</v>
      </c>
      <c r="M182" s="79"/>
      <c r="N182" s="73"/>
      <c r="O182" s="81" t="s">
        <v>292</v>
      </c>
      <c r="P182">
        <v>1</v>
      </c>
      <c r="Q182" s="80" t="str">
        <f>REPLACE(INDEX(GroupVertices[Group],MATCH(Edges[[#This Row],[Vertex 1]],GroupVertices[Vertex],0)),1,1,"")</f>
        <v>1</v>
      </c>
      <c r="R182" s="80" t="str">
        <f>REPLACE(INDEX(GroupVertices[Group],MATCH(Edges[[#This Row],[Vertex 2]],GroupVertices[Vertex],0)),1,1,"")</f>
        <v>1</v>
      </c>
      <c r="S182" s="35"/>
      <c r="T182" s="35"/>
      <c r="U182" s="35"/>
      <c r="V182" s="35"/>
      <c r="W182" s="35"/>
      <c r="X182" s="35"/>
      <c r="Y182" s="35"/>
      <c r="Z182" s="35"/>
      <c r="AA182" s="35"/>
    </row>
    <row r="183" spans="1:27" ht="15">
      <c r="A183" s="65" t="s">
        <v>234</v>
      </c>
      <c r="B183" s="65" t="s">
        <v>215</v>
      </c>
      <c r="C183" s="66" t="s">
        <v>2113</v>
      </c>
      <c r="D183" s="67">
        <v>3</v>
      </c>
      <c r="E183" s="68"/>
      <c r="F183" s="69">
        <v>40</v>
      </c>
      <c r="G183" s="66"/>
      <c r="H183" s="70"/>
      <c r="I183" s="71"/>
      <c r="J183" s="71"/>
      <c r="K183" s="35" t="s">
        <v>65</v>
      </c>
      <c r="L183" s="79">
        <v>183</v>
      </c>
      <c r="M183" s="79"/>
      <c r="N183" s="73"/>
      <c r="O183" s="81" t="s">
        <v>292</v>
      </c>
      <c r="P183">
        <v>1</v>
      </c>
      <c r="Q183" s="80" t="str">
        <f>REPLACE(INDEX(GroupVertices[Group],MATCH(Edges[[#This Row],[Vertex 1]],GroupVertices[Vertex],0)),1,1,"")</f>
        <v>1</v>
      </c>
      <c r="R183" s="80" t="str">
        <f>REPLACE(INDEX(GroupVertices[Group],MATCH(Edges[[#This Row],[Vertex 2]],GroupVertices[Vertex],0)),1,1,"")</f>
        <v>1</v>
      </c>
      <c r="S183" s="35"/>
      <c r="T183" s="35"/>
      <c r="U183" s="35"/>
      <c r="V183" s="35"/>
      <c r="W183" s="35"/>
      <c r="X183" s="35"/>
      <c r="Y183" s="35"/>
      <c r="Z183" s="35"/>
      <c r="AA183" s="35"/>
    </row>
    <row r="184" spans="1:27" ht="15">
      <c r="A184" s="65" t="s">
        <v>243</v>
      </c>
      <c r="B184" s="65" t="s">
        <v>215</v>
      </c>
      <c r="C184" s="66" t="s">
        <v>2113</v>
      </c>
      <c r="D184" s="67">
        <v>3</v>
      </c>
      <c r="E184" s="68"/>
      <c r="F184" s="69">
        <v>40</v>
      </c>
      <c r="G184" s="66"/>
      <c r="H184" s="70"/>
      <c r="I184" s="71"/>
      <c r="J184" s="71"/>
      <c r="K184" s="35" t="s">
        <v>65</v>
      </c>
      <c r="L184" s="79">
        <v>184</v>
      </c>
      <c r="M184" s="79"/>
      <c r="N184" s="73"/>
      <c r="O184" s="81" t="s">
        <v>292</v>
      </c>
      <c r="P184">
        <v>1</v>
      </c>
      <c r="Q184" s="80" t="str">
        <f>REPLACE(INDEX(GroupVertices[Group],MATCH(Edges[[#This Row],[Vertex 1]],GroupVertices[Vertex],0)),1,1,"")</f>
        <v>1</v>
      </c>
      <c r="R184" s="80" t="str">
        <f>REPLACE(INDEX(GroupVertices[Group],MATCH(Edges[[#This Row],[Vertex 2]],GroupVertices[Vertex],0)),1,1,"")</f>
        <v>1</v>
      </c>
      <c r="S184" s="35"/>
      <c r="T184" s="35"/>
      <c r="U184" s="35"/>
      <c r="V184" s="35"/>
      <c r="W184" s="35"/>
      <c r="X184" s="35"/>
      <c r="Y184" s="35"/>
      <c r="Z184" s="35"/>
      <c r="AA184" s="35"/>
    </row>
    <row r="185" spans="1:27" ht="15">
      <c r="A185" s="65" t="s">
        <v>235</v>
      </c>
      <c r="B185" s="65" t="s">
        <v>215</v>
      </c>
      <c r="C185" s="66" t="s">
        <v>2113</v>
      </c>
      <c r="D185" s="67">
        <v>3</v>
      </c>
      <c r="E185" s="68"/>
      <c r="F185" s="69">
        <v>40</v>
      </c>
      <c r="G185" s="66"/>
      <c r="H185" s="70"/>
      <c r="I185" s="71"/>
      <c r="J185" s="71"/>
      <c r="K185" s="35" t="s">
        <v>65</v>
      </c>
      <c r="L185" s="79">
        <v>185</v>
      </c>
      <c r="M185" s="79"/>
      <c r="N185" s="73"/>
      <c r="O185" s="81" t="s">
        <v>292</v>
      </c>
      <c r="P185">
        <v>1</v>
      </c>
      <c r="Q185" s="80" t="str">
        <f>REPLACE(INDEX(GroupVertices[Group],MATCH(Edges[[#This Row],[Vertex 1]],GroupVertices[Vertex],0)),1,1,"")</f>
        <v>1</v>
      </c>
      <c r="R185" s="80" t="str">
        <f>REPLACE(INDEX(GroupVertices[Group],MATCH(Edges[[#This Row],[Vertex 2]],GroupVertices[Vertex],0)),1,1,"")</f>
        <v>1</v>
      </c>
      <c r="S185" s="35"/>
      <c r="T185" s="35"/>
      <c r="U185" s="35"/>
      <c r="V185" s="35"/>
      <c r="W185" s="35"/>
      <c r="X185" s="35"/>
      <c r="Y185" s="35"/>
      <c r="Z185" s="35"/>
      <c r="AA185" s="35"/>
    </row>
    <row r="186" spans="1:27" ht="15">
      <c r="A186" s="65" t="s">
        <v>247</v>
      </c>
      <c r="B186" s="65" t="s">
        <v>215</v>
      </c>
      <c r="C186" s="66" t="s">
        <v>2113</v>
      </c>
      <c r="D186" s="67">
        <v>3</v>
      </c>
      <c r="E186" s="68"/>
      <c r="F186" s="69">
        <v>40</v>
      </c>
      <c r="G186" s="66"/>
      <c r="H186" s="70"/>
      <c r="I186" s="71"/>
      <c r="J186" s="71"/>
      <c r="K186" s="35" t="s">
        <v>65</v>
      </c>
      <c r="L186" s="79">
        <v>186</v>
      </c>
      <c r="M186" s="79"/>
      <c r="N186" s="73"/>
      <c r="O186" s="81" t="s">
        <v>293</v>
      </c>
      <c r="P186">
        <v>1</v>
      </c>
      <c r="Q186" s="80" t="str">
        <f>REPLACE(INDEX(GroupVertices[Group],MATCH(Edges[[#This Row],[Vertex 1]],GroupVertices[Vertex],0)),1,1,"")</f>
        <v>1</v>
      </c>
      <c r="R186" s="80" t="str">
        <f>REPLACE(INDEX(GroupVertices[Group],MATCH(Edges[[#This Row],[Vertex 2]],GroupVertices[Vertex],0)),1,1,"")</f>
        <v>1</v>
      </c>
      <c r="S186" s="35"/>
      <c r="T186" s="35"/>
      <c r="U186" s="35"/>
      <c r="V186" s="35"/>
      <c r="W186" s="35"/>
      <c r="X186" s="35"/>
      <c r="Y186" s="35"/>
      <c r="Z186" s="35"/>
      <c r="AA186" s="35"/>
    </row>
    <row r="187" spans="1:27" ht="15">
      <c r="A187" s="65" t="s">
        <v>247</v>
      </c>
      <c r="B187" s="65" t="s">
        <v>246</v>
      </c>
      <c r="C187" s="66" t="s">
        <v>2113</v>
      </c>
      <c r="D187" s="67">
        <v>3</v>
      </c>
      <c r="E187" s="68"/>
      <c r="F187" s="69">
        <v>40</v>
      </c>
      <c r="G187" s="66"/>
      <c r="H187" s="70"/>
      <c r="I187" s="71"/>
      <c r="J187" s="71"/>
      <c r="K187" s="35" t="s">
        <v>65</v>
      </c>
      <c r="L187" s="79">
        <v>187</v>
      </c>
      <c r="M187" s="79"/>
      <c r="N187" s="73"/>
      <c r="O187" s="81" t="s">
        <v>293</v>
      </c>
      <c r="P187">
        <v>1</v>
      </c>
      <c r="Q187" s="80" t="str">
        <f>REPLACE(INDEX(GroupVertices[Group],MATCH(Edges[[#This Row],[Vertex 1]],GroupVertices[Vertex],0)),1,1,"")</f>
        <v>1</v>
      </c>
      <c r="R187" s="80" t="str">
        <f>REPLACE(INDEX(GroupVertices[Group],MATCH(Edges[[#This Row],[Vertex 2]],GroupVertices[Vertex],0)),1,1,"")</f>
        <v>1</v>
      </c>
      <c r="S187" s="35"/>
      <c r="T187" s="35"/>
      <c r="U187" s="35"/>
      <c r="V187" s="35"/>
      <c r="W187" s="35"/>
      <c r="X187" s="35"/>
      <c r="Y187" s="35"/>
      <c r="Z187" s="35"/>
      <c r="AA187" s="35"/>
    </row>
    <row r="188" spans="1:27" ht="15">
      <c r="A188" s="65" t="s">
        <v>248</v>
      </c>
      <c r="B188" s="65" t="s">
        <v>216</v>
      </c>
      <c r="C188" s="66" t="s">
        <v>2113</v>
      </c>
      <c r="D188" s="67">
        <v>3</v>
      </c>
      <c r="E188" s="68"/>
      <c r="F188" s="69">
        <v>40</v>
      </c>
      <c r="G188" s="66"/>
      <c r="H188" s="70"/>
      <c r="I188" s="71"/>
      <c r="J188" s="71"/>
      <c r="K188" s="35" t="s">
        <v>66</v>
      </c>
      <c r="L188" s="79">
        <v>188</v>
      </c>
      <c r="M188" s="79"/>
      <c r="N188" s="73"/>
      <c r="O188" s="81" t="s">
        <v>292</v>
      </c>
      <c r="P188">
        <v>1</v>
      </c>
      <c r="Q188" s="80" t="str">
        <f>REPLACE(INDEX(GroupVertices[Group],MATCH(Edges[[#This Row],[Vertex 1]],GroupVertices[Vertex],0)),1,1,"")</f>
        <v>1</v>
      </c>
      <c r="R188" s="80" t="str">
        <f>REPLACE(INDEX(GroupVertices[Group],MATCH(Edges[[#This Row],[Vertex 2]],GroupVertices[Vertex],0)),1,1,"")</f>
        <v>1</v>
      </c>
      <c r="S188" s="35"/>
      <c r="T188" s="35"/>
      <c r="U188" s="35"/>
      <c r="V188" s="35"/>
      <c r="W188" s="35"/>
      <c r="X188" s="35"/>
      <c r="Y188" s="35"/>
      <c r="Z188" s="35"/>
      <c r="AA188" s="35"/>
    </row>
    <row r="189" spans="1:27" ht="15">
      <c r="A189" s="65" t="s">
        <v>218</v>
      </c>
      <c r="B189" s="65" t="s">
        <v>248</v>
      </c>
      <c r="C189" s="66" t="s">
        <v>2113</v>
      </c>
      <c r="D189" s="67">
        <v>3</v>
      </c>
      <c r="E189" s="68"/>
      <c r="F189" s="69">
        <v>40</v>
      </c>
      <c r="G189" s="66"/>
      <c r="H189" s="70"/>
      <c r="I189" s="71"/>
      <c r="J189" s="71"/>
      <c r="K189" s="35" t="s">
        <v>65</v>
      </c>
      <c r="L189" s="79">
        <v>189</v>
      </c>
      <c r="M189" s="79"/>
      <c r="N189" s="73"/>
      <c r="O189" s="81" t="s">
        <v>292</v>
      </c>
      <c r="P189">
        <v>1</v>
      </c>
      <c r="Q189" s="80" t="str">
        <f>REPLACE(INDEX(GroupVertices[Group],MATCH(Edges[[#This Row],[Vertex 1]],GroupVertices[Vertex],0)),1,1,"")</f>
        <v>1</v>
      </c>
      <c r="R189" s="80" t="str">
        <f>REPLACE(INDEX(GroupVertices[Group],MATCH(Edges[[#This Row],[Vertex 2]],GroupVertices[Vertex],0)),1,1,"")</f>
        <v>1</v>
      </c>
      <c r="S189" s="35"/>
      <c r="T189" s="35"/>
      <c r="U189" s="35"/>
      <c r="V189" s="35"/>
      <c r="W189" s="35"/>
      <c r="X189" s="35"/>
      <c r="Y189" s="35"/>
      <c r="Z189" s="35"/>
      <c r="AA189" s="35"/>
    </row>
    <row r="190" spans="1:27" ht="15">
      <c r="A190" s="65" t="s">
        <v>221</v>
      </c>
      <c r="B190" s="65" t="s">
        <v>248</v>
      </c>
      <c r="C190" s="66" t="s">
        <v>2114</v>
      </c>
      <c r="D190" s="67">
        <v>3</v>
      </c>
      <c r="E190" s="68"/>
      <c r="F190" s="69">
        <v>40</v>
      </c>
      <c r="G190" s="66"/>
      <c r="H190" s="70"/>
      <c r="I190" s="71"/>
      <c r="J190" s="71"/>
      <c r="K190" s="35" t="s">
        <v>65</v>
      </c>
      <c r="L190" s="79">
        <v>190</v>
      </c>
      <c r="M190" s="79"/>
      <c r="N190" s="73"/>
      <c r="O190" s="81" t="s">
        <v>292</v>
      </c>
      <c r="P190">
        <v>2</v>
      </c>
      <c r="Q190" s="80" t="str">
        <f>REPLACE(INDEX(GroupVertices[Group],MATCH(Edges[[#This Row],[Vertex 1]],GroupVertices[Vertex],0)),1,1,"")</f>
        <v>1</v>
      </c>
      <c r="R190" s="80" t="str">
        <f>REPLACE(INDEX(GroupVertices[Group],MATCH(Edges[[#This Row],[Vertex 2]],GroupVertices[Vertex],0)),1,1,"")</f>
        <v>1</v>
      </c>
      <c r="S190" s="35"/>
      <c r="T190" s="35"/>
      <c r="U190" s="35"/>
      <c r="V190" s="35"/>
      <c r="W190" s="35"/>
      <c r="X190" s="35"/>
      <c r="Y190" s="35"/>
      <c r="Z190" s="35"/>
      <c r="AA190" s="35"/>
    </row>
    <row r="191" spans="1:27" ht="15">
      <c r="A191" s="65" t="s">
        <v>222</v>
      </c>
      <c r="B191" s="65" t="s">
        <v>248</v>
      </c>
      <c r="C191" s="66" t="s">
        <v>2113</v>
      </c>
      <c r="D191" s="67">
        <v>3</v>
      </c>
      <c r="E191" s="68"/>
      <c r="F191" s="69">
        <v>40</v>
      </c>
      <c r="G191" s="66"/>
      <c r="H191" s="70"/>
      <c r="I191" s="71"/>
      <c r="J191" s="71"/>
      <c r="K191" s="35" t="s">
        <v>65</v>
      </c>
      <c r="L191" s="79">
        <v>191</v>
      </c>
      <c r="M191" s="79"/>
      <c r="N191" s="73"/>
      <c r="O191" s="81" t="s">
        <v>292</v>
      </c>
      <c r="P191">
        <v>1</v>
      </c>
      <c r="Q191" s="80" t="str">
        <f>REPLACE(INDEX(GroupVertices[Group],MATCH(Edges[[#This Row],[Vertex 1]],GroupVertices[Vertex],0)),1,1,"")</f>
        <v>1</v>
      </c>
      <c r="R191" s="80" t="str">
        <f>REPLACE(INDEX(GroupVertices[Group],MATCH(Edges[[#This Row],[Vertex 2]],GroupVertices[Vertex],0)),1,1,"")</f>
        <v>1</v>
      </c>
      <c r="S191" s="35"/>
      <c r="T191" s="35"/>
      <c r="U191" s="35"/>
      <c r="V191" s="35"/>
      <c r="W191" s="35"/>
      <c r="X191" s="35"/>
      <c r="Y191" s="35"/>
      <c r="Z191" s="35"/>
      <c r="AA191" s="35"/>
    </row>
    <row r="192" spans="1:27" ht="15">
      <c r="A192" s="65" t="s">
        <v>226</v>
      </c>
      <c r="B192" s="65" t="s">
        <v>248</v>
      </c>
      <c r="C192" s="66" t="s">
        <v>2113</v>
      </c>
      <c r="D192" s="67">
        <v>3</v>
      </c>
      <c r="E192" s="68"/>
      <c r="F192" s="69">
        <v>40</v>
      </c>
      <c r="G192" s="66"/>
      <c r="H192" s="70"/>
      <c r="I192" s="71"/>
      <c r="J192" s="71"/>
      <c r="K192" s="35" t="s">
        <v>66</v>
      </c>
      <c r="L192" s="79">
        <v>192</v>
      </c>
      <c r="M192" s="79"/>
      <c r="N192" s="73"/>
      <c r="O192" s="81" t="s">
        <v>292</v>
      </c>
      <c r="P192">
        <v>1</v>
      </c>
      <c r="Q192" s="80" t="str">
        <f>REPLACE(INDEX(GroupVertices[Group],MATCH(Edges[[#This Row],[Vertex 1]],GroupVertices[Vertex],0)),1,1,"")</f>
        <v>1</v>
      </c>
      <c r="R192" s="80" t="str">
        <f>REPLACE(INDEX(GroupVertices[Group],MATCH(Edges[[#This Row],[Vertex 2]],GroupVertices[Vertex],0)),1,1,"")</f>
        <v>1</v>
      </c>
      <c r="S192" s="35"/>
      <c r="T192" s="35"/>
      <c r="U192" s="35"/>
      <c r="V192" s="35"/>
      <c r="W192" s="35"/>
      <c r="X192" s="35"/>
      <c r="Y192" s="35"/>
      <c r="Z192" s="35"/>
      <c r="AA192" s="35"/>
    </row>
    <row r="193" spans="1:27" ht="15">
      <c r="A193" s="65" t="s">
        <v>227</v>
      </c>
      <c r="B193" s="65" t="s">
        <v>248</v>
      </c>
      <c r="C193" s="66" t="s">
        <v>2113</v>
      </c>
      <c r="D193" s="67">
        <v>3</v>
      </c>
      <c r="E193" s="68"/>
      <c r="F193" s="69">
        <v>40</v>
      </c>
      <c r="G193" s="66"/>
      <c r="H193" s="70"/>
      <c r="I193" s="71"/>
      <c r="J193" s="71"/>
      <c r="K193" s="35" t="s">
        <v>65</v>
      </c>
      <c r="L193" s="79">
        <v>193</v>
      </c>
      <c r="M193" s="79"/>
      <c r="N193" s="73"/>
      <c r="O193" s="81" t="s">
        <v>292</v>
      </c>
      <c r="P193">
        <v>1</v>
      </c>
      <c r="Q193" s="80" t="str">
        <f>REPLACE(INDEX(GroupVertices[Group],MATCH(Edges[[#This Row],[Vertex 1]],GroupVertices[Vertex],0)),1,1,"")</f>
        <v>1</v>
      </c>
      <c r="R193" s="80" t="str">
        <f>REPLACE(INDEX(GroupVertices[Group],MATCH(Edges[[#This Row],[Vertex 2]],GroupVertices[Vertex],0)),1,1,"")</f>
        <v>1</v>
      </c>
      <c r="S193" s="35"/>
      <c r="T193" s="35"/>
      <c r="U193" s="35"/>
      <c r="V193" s="35"/>
      <c r="W193" s="35"/>
      <c r="X193" s="35"/>
      <c r="Y193" s="35"/>
      <c r="Z193" s="35"/>
      <c r="AA193" s="35"/>
    </row>
    <row r="194" spans="1:27" ht="15">
      <c r="A194" s="65" t="s">
        <v>235</v>
      </c>
      <c r="B194" s="65" t="s">
        <v>248</v>
      </c>
      <c r="C194" s="66" t="s">
        <v>2113</v>
      </c>
      <c r="D194" s="67">
        <v>3</v>
      </c>
      <c r="E194" s="68"/>
      <c r="F194" s="69">
        <v>40</v>
      </c>
      <c r="G194" s="66"/>
      <c r="H194" s="70"/>
      <c r="I194" s="71"/>
      <c r="J194" s="71"/>
      <c r="K194" s="35" t="s">
        <v>66</v>
      </c>
      <c r="L194" s="79">
        <v>194</v>
      </c>
      <c r="M194" s="79"/>
      <c r="N194" s="73"/>
      <c r="O194" s="81" t="s">
        <v>292</v>
      </c>
      <c r="P194">
        <v>1</v>
      </c>
      <c r="Q194" s="80" t="str">
        <f>REPLACE(INDEX(GroupVertices[Group],MATCH(Edges[[#This Row],[Vertex 1]],GroupVertices[Vertex],0)),1,1,"")</f>
        <v>1</v>
      </c>
      <c r="R194" s="80" t="str">
        <f>REPLACE(INDEX(GroupVertices[Group],MATCH(Edges[[#This Row],[Vertex 2]],GroupVertices[Vertex],0)),1,1,"")</f>
        <v>1</v>
      </c>
      <c r="S194" s="35"/>
      <c r="T194" s="35"/>
      <c r="U194" s="35"/>
      <c r="V194" s="35"/>
      <c r="W194" s="35"/>
      <c r="X194" s="35"/>
      <c r="Y194" s="35"/>
      <c r="Z194" s="35"/>
      <c r="AA194" s="35"/>
    </row>
    <row r="195" spans="1:27" ht="15">
      <c r="A195" s="65" t="s">
        <v>247</v>
      </c>
      <c r="B195" s="65" t="s">
        <v>248</v>
      </c>
      <c r="C195" s="66" t="s">
        <v>2113</v>
      </c>
      <c r="D195" s="67">
        <v>3</v>
      </c>
      <c r="E195" s="68"/>
      <c r="F195" s="69">
        <v>40</v>
      </c>
      <c r="G195" s="66"/>
      <c r="H195" s="70"/>
      <c r="I195" s="71"/>
      <c r="J195" s="71"/>
      <c r="K195" s="35" t="s">
        <v>65</v>
      </c>
      <c r="L195" s="79">
        <v>195</v>
      </c>
      <c r="M195" s="79"/>
      <c r="N195" s="73"/>
      <c r="O195" s="81" t="s">
        <v>293</v>
      </c>
      <c r="P195">
        <v>1</v>
      </c>
      <c r="Q195" s="80" t="str">
        <f>REPLACE(INDEX(GroupVertices[Group],MATCH(Edges[[#This Row],[Vertex 1]],GroupVertices[Vertex],0)),1,1,"")</f>
        <v>1</v>
      </c>
      <c r="R195" s="80" t="str">
        <f>REPLACE(INDEX(GroupVertices[Group],MATCH(Edges[[#This Row],[Vertex 2]],GroupVertices[Vertex],0)),1,1,"")</f>
        <v>1</v>
      </c>
      <c r="S195" s="35"/>
      <c r="T195" s="35"/>
      <c r="U195" s="35"/>
      <c r="V195" s="35"/>
      <c r="W195" s="35"/>
      <c r="X195" s="35"/>
      <c r="Y195" s="35"/>
      <c r="Z195" s="35"/>
      <c r="AA195" s="35"/>
    </row>
    <row r="196" spans="1:27" ht="15">
      <c r="A196" s="65" t="s">
        <v>217</v>
      </c>
      <c r="B196" s="65" t="s">
        <v>216</v>
      </c>
      <c r="C196" s="66" t="s">
        <v>2113</v>
      </c>
      <c r="D196" s="67">
        <v>3</v>
      </c>
      <c r="E196" s="68"/>
      <c r="F196" s="69">
        <v>40</v>
      </c>
      <c r="G196" s="66"/>
      <c r="H196" s="70"/>
      <c r="I196" s="71"/>
      <c r="J196" s="71"/>
      <c r="K196" s="35" t="s">
        <v>65</v>
      </c>
      <c r="L196" s="79">
        <v>196</v>
      </c>
      <c r="M196" s="79"/>
      <c r="N196" s="73"/>
      <c r="O196" s="81" t="s">
        <v>292</v>
      </c>
      <c r="P196">
        <v>1</v>
      </c>
      <c r="Q196" s="80" t="str">
        <f>REPLACE(INDEX(GroupVertices[Group],MATCH(Edges[[#This Row],[Vertex 1]],GroupVertices[Vertex],0)),1,1,"")</f>
        <v>1</v>
      </c>
      <c r="R196" s="80" t="str">
        <f>REPLACE(INDEX(GroupVertices[Group],MATCH(Edges[[#This Row],[Vertex 2]],GroupVertices[Vertex],0)),1,1,"")</f>
        <v>1</v>
      </c>
      <c r="S196" s="35"/>
      <c r="T196" s="35"/>
      <c r="U196" s="35"/>
      <c r="V196" s="35"/>
      <c r="W196" s="35"/>
      <c r="X196" s="35"/>
      <c r="Y196" s="35"/>
      <c r="Z196" s="35"/>
      <c r="AA196" s="35"/>
    </row>
    <row r="197" spans="1:27" ht="15">
      <c r="A197" s="65" t="s">
        <v>218</v>
      </c>
      <c r="B197" s="65" t="s">
        <v>217</v>
      </c>
      <c r="C197" s="66" t="s">
        <v>2113</v>
      </c>
      <c r="D197" s="67">
        <v>3</v>
      </c>
      <c r="E197" s="68"/>
      <c r="F197" s="69">
        <v>40</v>
      </c>
      <c r="G197" s="66"/>
      <c r="H197" s="70"/>
      <c r="I197" s="71"/>
      <c r="J197" s="71"/>
      <c r="K197" s="35" t="s">
        <v>65</v>
      </c>
      <c r="L197" s="79">
        <v>197</v>
      </c>
      <c r="M197" s="79"/>
      <c r="N197" s="73"/>
      <c r="O197" s="81" t="s">
        <v>292</v>
      </c>
      <c r="P197">
        <v>1</v>
      </c>
      <c r="Q197" s="80" t="str">
        <f>REPLACE(INDEX(GroupVertices[Group],MATCH(Edges[[#This Row],[Vertex 1]],GroupVertices[Vertex],0)),1,1,"")</f>
        <v>1</v>
      </c>
      <c r="R197" s="80" t="str">
        <f>REPLACE(INDEX(GroupVertices[Group],MATCH(Edges[[#This Row],[Vertex 2]],GroupVertices[Vertex],0)),1,1,"")</f>
        <v>1</v>
      </c>
      <c r="S197" s="35"/>
      <c r="T197" s="35"/>
      <c r="U197" s="35"/>
      <c r="V197" s="35"/>
      <c r="W197" s="35"/>
      <c r="X197" s="35"/>
      <c r="Y197" s="35"/>
      <c r="Z197" s="35"/>
      <c r="AA197" s="35"/>
    </row>
    <row r="198" spans="1:27" ht="15">
      <c r="A198" s="65" t="s">
        <v>219</v>
      </c>
      <c r="B198" s="65" t="s">
        <v>217</v>
      </c>
      <c r="C198" s="66" t="s">
        <v>2113</v>
      </c>
      <c r="D198" s="67">
        <v>3</v>
      </c>
      <c r="E198" s="68"/>
      <c r="F198" s="69">
        <v>40</v>
      </c>
      <c r="G198" s="66"/>
      <c r="H198" s="70"/>
      <c r="I198" s="71"/>
      <c r="J198" s="71"/>
      <c r="K198" s="35" t="s">
        <v>65</v>
      </c>
      <c r="L198" s="79">
        <v>198</v>
      </c>
      <c r="M198" s="79"/>
      <c r="N198" s="73"/>
      <c r="O198" s="81" t="s">
        <v>292</v>
      </c>
      <c r="P198">
        <v>1</v>
      </c>
      <c r="Q198" s="80" t="str">
        <f>REPLACE(INDEX(GroupVertices[Group],MATCH(Edges[[#This Row],[Vertex 1]],GroupVertices[Vertex],0)),1,1,"")</f>
        <v>1</v>
      </c>
      <c r="R198" s="80" t="str">
        <f>REPLACE(INDEX(GroupVertices[Group],MATCH(Edges[[#This Row],[Vertex 2]],GroupVertices[Vertex],0)),1,1,"")</f>
        <v>1</v>
      </c>
      <c r="S198" s="35"/>
      <c r="T198" s="35"/>
      <c r="U198" s="35"/>
      <c r="V198" s="35"/>
      <c r="W198" s="35"/>
      <c r="X198" s="35"/>
      <c r="Y198" s="35"/>
      <c r="Z198" s="35"/>
      <c r="AA198" s="35"/>
    </row>
    <row r="199" spans="1:27" ht="15">
      <c r="A199" s="65" t="s">
        <v>220</v>
      </c>
      <c r="B199" s="65" t="s">
        <v>217</v>
      </c>
      <c r="C199" s="66" t="s">
        <v>2113</v>
      </c>
      <c r="D199" s="67">
        <v>3</v>
      </c>
      <c r="E199" s="68"/>
      <c r="F199" s="69">
        <v>40</v>
      </c>
      <c r="G199" s="66"/>
      <c r="H199" s="70"/>
      <c r="I199" s="71"/>
      <c r="J199" s="71"/>
      <c r="K199" s="35" t="s">
        <v>65</v>
      </c>
      <c r="L199" s="79">
        <v>199</v>
      </c>
      <c r="M199" s="79"/>
      <c r="N199" s="73"/>
      <c r="O199" s="81" t="s">
        <v>292</v>
      </c>
      <c r="P199">
        <v>1</v>
      </c>
      <c r="Q199" s="80" t="str">
        <f>REPLACE(INDEX(GroupVertices[Group],MATCH(Edges[[#This Row],[Vertex 1]],GroupVertices[Vertex],0)),1,1,"")</f>
        <v>1</v>
      </c>
      <c r="R199" s="80" t="str">
        <f>REPLACE(INDEX(GroupVertices[Group],MATCH(Edges[[#This Row],[Vertex 2]],GroupVertices[Vertex],0)),1,1,"")</f>
        <v>1</v>
      </c>
      <c r="S199" s="35"/>
      <c r="T199" s="35"/>
      <c r="U199" s="35"/>
      <c r="V199" s="35"/>
      <c r="W199" s="35"/>
      <c r="X199" s="35"/>
      <c r="Y199" s="35"/>
      <c r="Z199" s="35"/>
      <c r="AA199" s="35"/>
    </row>
    <row r="200" spans="1:27" ht="15">
      <c r="A200" s="65" t="s">
        <v>221</v>
      </c>
      <c r="B200" s="65" t="s">
        <v>217</v>
      </c>
      <c r="C200" s="66" t="s">
        <v>2113</v>
      </c>
      <c r="D200" s="67">
        <v>3</v>
      </c>
      <c r="E200" s="68"/>
      <c r="F200" s="69">
        <v>40</v>
      </c>
      <c r="G200" s="66"/>
      <c r="H200" s="70"/>
      <c r="I200" s="71"/>
      <c r="J200" s="71"/>
      <c r="K200" s="35" t="s">
        <v>65</v>
      </c>
      <c r="L200" s="79">
        <v>200</v>
      </c>
      <c r="M200" s="79"/>
      <c r="N200" s="73"/>
      <c r="O200" s="81" t="s">
        <v>292</v>
      </c>
      <c r="P200">
        <v>1</v>
      </c>
      <c r="Q200" s="80" t="str">
        <f>REPLACE(INDEX(GroupVertices[Group],MATCH(Edges[[#This Row],[Vertex 1]],GroupVertices[Vertex],0)),1,1,"")</f>
        <v>1</v>
      </c>
      <c r="R200" s="80" t="str">
        <f>REPLACE(INDEX(GroupVertices[Group],MATCH(Edges[[#This Row],[Vertex 2]],GroupVertices[Vertex],0)),1,1,"")</f>
        <v>1</v>
      </c>
      <c r="S200" s="35"/>
      <c r="T200" s="35"/>
      <c r="U200" s="35"/>
      <c r="V200" s="35"/>
      <c r="W200" s="35"/>
      <c r="X200" s="35"/>
      <c r="Y200" s="35"/>
      <c r="Z200" s="35"/>
      <c r="AA200" s="35"/>
    </row>
    <row r="201" spans="1:27" ht="15">
      <c r="A201" s="65" t="s">
        <v>222</v>
      </c>
      <c r="B201" s="65" t="s">
        <v>217</v>
      </c>
      <c r="C201" s="66" t="s">
        <v>2113</v>
      </c>
      <c r="D201" s="67">
        <v>3</v>
      </c>
      <c r="E201" s="68"/>
      <c r="F201" s="69">
        <v>40</v>
      </c>
      <c r="G201" s="66"/>
      <c r="H201" s="70"/>
      <c r="I201" s="71"/>
      <c r="J201" s="71"/>
      <c r="K201" s="35" t="s">
        <v>65</v>
      </c>
      <c r="L201" s="79">
        <v>201</v>
      </c>
      <c r="M201" s="79"/>
      <c r="N201" s="73"/>
      <c r="O201" s="81" t="s">
        <v>292</v>
      </c>
      <c r="P201">
        <v>1</v>
      </c>
      <c r="Q201" s="80" t="str">
        <f>REPLACE(INDEX(GroupVertices[Group],MATCH(Edges[[#This Row],[Vertex 1]],GroupVertices[Vertex],0)),1,1,"")</f>
        <v>1</v>
      </c>
      <c r="R201" s="80" t="str">
        <f>REPLACE(INDEX(GroupVertices[Group],MATCH(Edges[[#This Row],[Vertex 2]],GroupVertices[Vertex],0)),1,1,"")</f>
        <v>1</v>
      </c>
      <c r="S201" s="35"/>
      <c r="T201" s="35"/>
      <c r="U201" s="35"/>
      <c r="V201" s="35"/>
      <c r="W201" s="35"/>
      <c r="X201" s="35"/>
      <c r="Y201" s="35"/>
      <c r="Z201" s="35"/>
      <c r="AA201" s="35"/>
    </row>
    <row r="202" spans="1:27" ht="15">
      <c r="A202" s="65" t="s">
        <v>223</v>
      </c>
      <c r="B202" s="65" t="s">
        <v>217</v>
      </c>
      <c r="C202" s="66" t="s">
        <v>2113</v>
      </c>
      <c r="D202" s="67">
        <v>3</v>
      </c>
      <c r="E202" s="68"/>
      <c r="F202" s="69">
        <v>40</v>
      </c>
      <c r="G202" s="66"/>
      <c r="H202" s="70"/>
      <c r="I202" s="71"/>
      <c r="J202" s="71"/>
      <c r="K202" s="35" t="s">
        <v>65</v>
      </c>
      <c r="L202" s="79">
        <v>202</v>
      </c>
      <c r="M202" s="79"/>
      <c r="N202" s="73"/>
      <c r="O202" s="81" t="s">
        <v>292</v>
      </c>
      <c r="P202">
        <v>1</v>
      </c>
      <c r="Q202" s="80" t="str">
        <f>REPLACE(INDEX(GroupVertices[Group],MATCH(Edges[[#This Row],[Vertex 1]],GroupVertices[Vertex],0)),1,1,"")</f>
        <v>1</v>
      </c>
      <c r="R202" s="80" t="str">
        <f>REPLACE(INDEX(GroupVertices[Group],MATCH(Edges[[#This Row],[Vertex 2]],GroupVertices[Vertex],0)),1,1,"")</f>
        <v>1</v>
      </c>
      <c r="S202" s="35"/>
      <c r="T202" s="35"/>
      <c r="U202" s="35"/>
      <c r="V202" s="35"/>
      <c r="W202" s="35"/>
      <c r="X202" s="35"/>
      <c r="Y202" s="35"/>
      <c r="Z202" s="35"/>
      <c r="AA202" s="35"/>
    </row>
    <row r="203" spans="1:27" ht="15">
      <c r="A203" s="65" t="s">
        <v>224</v>
      </c>
      <c r="B203" s="65" t="s">
        <v>217</v>
      </c>
      <c r="C203" s="66" t="s">
        <v>2113</v>
      </c>
      <c r="D203" s="67">
        <v>3</v>
      </c>
      <c r="E203" s="68"/>
      <c r="F203" s="69">
        <v>40</v>
      </c>
      <c r="G203" s="66"/>
      <c r="H203" s="70"/>
      <c r="I203" s="71"/>
      <c r="J203" s="71"/>
      <c r="K203" s="35" t="s">
        <v>65</v>
      </c>
      <c r="L203" s="79">
        <v>203</v>
      </c>
      <c r="M203" s="79"/>
      <c r="N203" s="73"/>
      <c r="O203" s="81" t="s">
        <v>292</v>
      </c>
      <c r="P203">
        <v>1</v>
      </c>
      <c r="Q203" s="80" t="str">
        <f>REPLACE(INDEX(GroupVertices[Group],MATCH(Edges[[#This Row],[Vertex 1]],GroupVertices[Vertex],0)),1,1,"")</f>
        <v>1</v>
      </c>
      <c r="R203" s="80" t="str">
        <f>REPLACE(INDEX(GroupVertices[Group],MATCH(Edges[[#This Row],[Vertex 2]],GroupVertices[Vertex],0)),1,1,"")</f>
        <v>1</v>
      </c>
      <c r="S203" s="35"/>
      <c r="T203" s="35"/>
      <c r="U203" s="35"/>
      <c r="V203" s="35"/>
      <c r="W203" s="35"/>
      <c r="X203" s="35"/>
      <c r="Y203" s="35"/>
      <c r="Z203" s="35"/>
      <c r="AA203" s="35"/>
    </row>
    <row r="204" spans="1:27" ht="15">
      <c r="A204" s="65" t="s">
        <v>225</v>
      </c>
      <c r="B204" s="65" t="s">
        <v>217</v>
      </c>
      <c r="C204" s="66" t="s">
        <v>2113</v>
      </c>
      <c r="D204" s="67">
        <v>3</v>
      </c>
      <c r="E204" s="68"/>
      <c r="F204" s="69">
        <v>40</v>
      </c>
      <c r="G204" s="66"/>
      <c r="H204" s="70"/>
      <c r="I204" s="71"/>
      <c r="J204" s="71"/>
      <c r="K204" s="35" t="s">
        <v>65</v>
      </c>
      <c r="L204" s="79">
        <v>204</v>
      </c>
      <c r="M204" s="79"/>
      <c r="N204" s="73"/>
      <c r="O204" s="81" t="s">
        <v>292</v>
      </c>
      <c r="P204">
        <v>1</v>
      </c>
      <c r="Q204" s="80" t="str">
        <f>REPLACE(INDEX(GroupVertices[Group],MATCH(Edges[[#This Row],[Vertex 1]],GroupVertices[Vertex],0)),1,1,"")</f>
        <v>1</v>
      </c>
      <c r="R204" s="80" t="str">
        <f>REPLACE(INDEX(GroupVertices[Group],MATCH(Edges[[#This Row],[Vertex 2]],GroupVertices[Vertex],0)),1,1,"")</f>
        <v>1</v>
      </c>
      <c r="S204" s="35"/>
      <c r="T204" s="35"/>
      <c r="U204" s="35"/>
      <c r="V204" s="35"/>
      <c r="W204" s="35"/>
      <c r="X204" s="35"/>
      <c r="Y204" s="35"/>
      <c r="Z204" s="35"/>
      <c r="AA204" s="35"/>
    </row>
    <row r="205" spans="1:27" ht="15">
      <c r="A205" s="65" t="s">
        <v>240</v>
      </c>
      <c r="B205" s="65" t="s">
        <v>217</v>
      </c>
      <c r="C205" s="66" t="s">
        <v>2113</v>
      </c>
      <c r="D205" s="67">
        <v>3</v>
      </c>
      <c r="E205" s="68"/>
      <c r="F205" s="69">
        <v>40</v>
      </c>
      <c r="G205" s="66"/>
      <c r="H205" s="70"/>
      <c r="I205" s="71"/>
      <c r="J205" s="71"/>
      <c r="K205" s="35" t="s">
        <v>65</v>
      </c>
      <c r="L205" s="79">
        <v>205</v>
      </c>
      <c r="M205" s="79"/>
      <c r="N205" s="73"/>
      <c r="O205" s="81" t="s">
        <v>292</v>
      </c>
      <c r="P205">
        <v>1</v>
      </c>
      <c r="Q205" s="80" t="str">
        <f>REPLACE(INDEX(GroupVertices[Group],MATCH(Edges[[#This Row],[Vertex 1]],GroupVertices[Vertex],0)),1,1,"")</f>
        <v>1</v>
      </c>
      <c r="R205" s="80" t="str">
        <f>REPLACE(INDEX(GroupVertices[Group],MATCH(Edges[[#This Row],[Vertex 2]],GroupVertices[Vertex],0)),1,1,"")</f>
        <v>1</v>
      </c>
      <c r="S205" s="35"/>
      <c r="T205" s="35"/>
      <c r="U205" s="35"/>
      <c r="V205" s="35"/>
      <c r="W205" s="35"/>
      <c r="X205" s="35"/>
      <c r="Y205" s="35"/>
      <c r="Z205" s="35"/>
      <c r="AA205" s="35"/>
    </row>
    <row r="206" spans="1:27" ht="15">
      <c r="A206" s="65" t="s">
        <v>226</v>
      </c>
      <c r="B206" s="65" t="s">
        <v>217</v>
      </c>
      <c r="C206" s="66" t="s">
        <v>2113</v>
      </c>
      <c r="D206" s="67">
        <v>3</v>
      </c>
      <c r="E206" s="68"/>
      <c r="F206" s="69">
        <v>40</v>
      </c>
      <c r="G206" s="66"/>
      <c r="H206" s="70"/>
      <c r="I206" s="71"/>
      <c r="J206" s="71"/>
      <c r="K206" s="35" t="s">
        <v>65</v>
      </c>
      <c r="L206" s="79">
        <v>206</v>
      </c>
      <c r="M206" s="79"/>
      <c r="N206" s="73"/>
      <c r="O206" s="81" t="s">
        <v>292</v>
      </c>
      <c r="P206">
        <v>1</v>
      </c>
      <c r="Q206" s="80" t="str">
        <f>REPLACE(INDEX(GroupVertices[Group],MATCH(Edges[[#This Row],[Vertex 1]],GroupVertices[Vertex],0)),1,1,"")</f>
        <v>1</v>
      </c>
      <c r="R206" s="80" t="str">
        <f>REPLACE(INDEX(GroupVertices[Group],MATCH(Edges[[#This Row],[Vertex 2]],GroupVertices[Vertex],0)),1,1,"")</f>
        <v>1</v>
      </c>
      <c r="S206" s="35"/>
      <c r="T206" s="35"/>
      <c r="U206" s="35"/>
      <c r="V206" s="35"/>
      <c r="W206" s="35"/>
      <c r="X206" s="35"/>
      <c r="Y206" s="35"/>
      <c r="Z206" s="35"/>
      <c r="AA206" s="35"/>
    </row>
    <row r="207" spans="1:27" ht="15">
      <c r="A207" s="65" t="s">
        <v>227</v>
      </c>
      <c r="B207" s="65" t="s">
        <v>217</v>
      </c>
      <c r="C207" s="66" t="s">
        <v>2113</v>
      </c>
      <c r="D207" s="67">
        <v>3</v>
      </c>
      <c r="E207" s="68"/>
      <c r="F207" s="69">
        <v>40</v>
      </c>
      <c r="G207" s="66"/>
      <c r="H207" s="70"/>
      <c r="I207" s="71"/>
      <c r="J207" s="71"/>
      <c r="K207" s="35" t="s">
        <v>65</v>
      </c>
      <c r="L207" s="79">
        <v>207</v>
      </c>
      <c r="M207" s="79"/>
      <c r="N207" s="73"/>
      <c r="O207" s="81" t="s">
        <v>292</v>
      </c>
      <c r="P207">
        <v>1</v>
      </c>
      <c r="Q207" s="80" t="str">
        <f>REPLACE(INDEX(GroupVertices[Group],MATCH(Edges[[#This Row],[Vertex 1]],GroupVertices[Vertex],0)),1,1,"")</f>
        <v>1</v>
      </c>
      <c r="R207" s="80" t="str">
        <f>REPLACE(INDEX(GroupVertices[Group],MATCH(Edges[[#This Row],[Vertex 2]],GroupVertices[Vertex],0)),1,1,"")</f>
        <v>1</v>
      </c>
      <c r="S207" s="35"/>
      <c r="T207" s="35"/>
      <c r="U207" s="35"/>
      <c r="V207" s="35"/>
      <c r="W207" s="35"/>
      <c r="X207" s="35"/>
      <c r="Y207" s="35"/>
      <c r="Z207" s="35"/>
      <c r="AA207" s="35"/>
    </row>
    <row r="208" spans="1:27" ht="15">
      <c r="A208" s="65" t="s">
        <v>241</v>
      </c>
      <c r="B208" s="65" t="s">
        <v>217</v>
      </c>
      <c r="C208" s="66" t="s">
        <v>2113</v>
      </c>
      <c r="D208" s="67">
        <v>3</v>
      </c>
      <c r="E208" s="68"/>
      <c r="F208" s="69">
        <v>40</v>
      </c>
      <c r="G208" s="66"/>
      <c r="H208" s="70"/>
      <c r="I208" s="71"/>
      <c r="J208" s="71"/>
      <c r="K208" s="35" t="s">
        <v>65</v>
      </c>
      <c r="L208" s="79">
        <v>208</v>
      </c>
      <c r="M208" s="79"/>
      <c r="N208" s="73"/>
      <c r="O208" s="81" t="s">
        <v>292</v>
      </c>
      <c r="P208">
        <v>1</v>
      </c>
      <c r="Q208" s="80" t="str">
        <f>REPLACE(INDEX(GroupVertices[Group],MATCH(Edges[[#This Row],[Vertex 1]],GroupVertices[Vertex],0)),1,1,"")</f>
        <v>1</v>
      </c>
      <c r="R208" s="80" t="str">
        <f>REPLACE(INDEX(GroupVertices[Group],MATCH(Edges[[#This Row],[Vertex 2]],GroupVertices[Vertex],0)),1,1,"")</f>
        <v>1</v>
      </c>
      <c r="S208" s="35"/>
      <c r="T208" s="35"/>
      <c r="U208" s="35"/>
      <c r="V208" s="35"/>
      <c r="W208" s="35"/>
      <c r="X208" s="35"/>
      <c r="Y208" s="35"/>
      <c r="Z208" s="35"/>
      <c r="AA208" s="35"/>
    </row>
    <row r="209" spans="1:27" ht="15">
      <c r="A209" s="65" t="s">
        <v>228</v>
      </c>
      <c r="B209" s="65" t="s">
        <v>217</v>
      </c>
      <c r="C209" s="66" t="s">
        <v>2113</v>
      </c>
      <c r="D209" s="67">
        <v>3</v>
      </c>
      <c r="E209" s="68"/>
      <c r="F209" s="69">
        <v>40</v>
      </c>
      <c r="G209" s="66"/>
      <c r="H209" s="70"/>
      <c r="I209" s="71"/>
      <c r="J209" s="71"/>
      <c r="K209" s="35" t="s">
        <v>65</v>
      </c>
      <c r="L209" s="79">
        <v>209</v>
      </c>
      <c r="M209" s="79"/>
      <c r="N209" s="73"/>
      <c r="O209" s="81" t="s">
        <v>292</v>
      </c>
      <c r="P209">
        <v>1</v>
      </c>
      <c r="Q209" s="80" t="str">
        <f>REPLACE(INDEX(GroupVertices[Group],MATCH(Edges[[#This Row],[Vertex 1]],GroupVertices[Vertex],0)),1,1,"")</f>
        <v>1</v>
      </c>
      <c r="R209" s="80" t="str">
        <f>REPLACE(INDEX(GroupVertices[Group],MATCH(Edges[[#This Row],[Vertex 2]],GroupVertices[Vertex],0)),1,1,"")</f>
        <v>1</v>
      </c>
      <c r="S209" s="35"/>
      <c r="T209" s="35"/>
      <c r="U209" s="35"/>
      <c r="V209" s="35"/>
      <c r="W209" s="35"/>
      <c r="X209" s="35"/>
      <c r="Y209" s="35"/>
      <c r="Z209" s="35"/>
      <c r="AA209" s="35"/>
    </row>
    <row r="210" spans="1:27" ht="15">
      <c r="A210" s="65" t="s">
        <v>229</v>
      </c>
      <c r="B210" s="65" t="s">
        <v>217</v>
      </c>
      <c r="C210" s="66" t="s">
        <v>2113</v>
      </c>
      <c r="D210" s="67">
        <v>3</v>
      </c>
      <c r="E210" s="68"/>
      <c r="F210" s="69">
        <v>40</v>
      </c>
      <c r="G210" s="66"/>
      <c r="H210" s="70"/>
      <c r="I210" s="71"/>
      <c r="J210" s="71"/>
      <c r="K210" s="35" t="s">
        <v>65</v>
      </c>
      <c r="L210" s="79">
        <v>210</v>
      </c>
      <c r="M210" s="79"/>
      <c r="N210" s="73"/>
      <c r="O210" s="81" t="s">
        <v>292</v>
      </c>
      <c r="P210">
        <v>1</v>
      </c>
      <c r="Q210" s="80" t="str">
        <f>REPLACE(INDEX(GroupVertices[Group],MATCH(Edges[[#This Row],[Vertex 1]],GroupVertices[Vertex],0)),1,1,"")</f>
        <v>1</v>
      </c>
      <c r="R210" s="80" t="str">
        <f>REPLACE(INDEX(GroupVertices[Group],MATCH(Edges[[#This Row],[Vertex 2]],GroupVertices[Vertex],0)),1,1,"")</f>
        <v>1</v>
      </c>
      <c r="S210" s="35"/>
      <c r="T210" s="35"/>
      <c r="U210" s="35"/>
      <c r="V210" s="35"/>
      <c r="W210" s="35"/>
      <c r="X210" s="35"/>
      <c r="Y210" s="35"/>
      <c r="Z210" s="35"/>
      <c r="AA210" s="35"/>
    </row>
    <row r="211" spans="1:27" ht="15">
      <c r="A211" s="65" t="s">
        <v>230</v>
      </c>
      <c r="B211" s="65" t="s">
        <v>217</v>
      </c>
      <c r="C211" s="66" t="s">
        <v>2113</v>
      </c>
      <c r="D211" s="67">
        <v>3</v>
      </c>
      <c r="E211" s="68"/>
      <c r="F211" s="69">
        <v>40</v>
      </c>
      <c r="G211" s="66"/>
      <c r="H211" s="70"/>
      <c r="I211" s="71"/>
      <c r="J211" s="71"/>
      <c r="K211" s="35" t="s">
        <v>65</v>
      </c>
      <c r="L211" s="79">
        <v>211</v>
      </c>
      <c r="M211" s="79"/>
      <c r="N211" s="73"/>
      <c r="O211" s="81" t="s">
        <v>292</v>
      </c>
      <c r="P211">
        <v>1</v>
      </c>
      <c r="Q211" s="80" t="str">
        <f>REPLACE(INDEX(GroupVertices[Group],MATCH(Edges[[#This Row],[Vertex 1]],GroupVertices[Vertex],0)),1,1,"")</f>
        <v>1</v>
      </c>
      <c r="R211" s="80" t="str">
        <f>REPLACE(INDEX(GroupVertices[Group],MATCH(Edges[[#This Row],[Vertex 2]],GroupVertices[Vertex],0)),1,1,"")</f>
        <v>1</v>
      </c>
      <c r="S211" s="35"/>
      <c r="T211" s="35"/>
      <c r="U211" s="35"/>
      <c r="V211" s="35"/>
      <c r="W211" s="35"/>
      <c r="X211" s="35"/>
      <c r="Y211" s="35"/>
      <c r="Z211" s="35"/>
      <c r="AA211" s="35"/>
    </row>
    <row r="212" spans="1:27" ht="15">
      <c r="A212" s="65" t="s">
        <v>231</v>
      </c>
      <c r="B212" s="65" t="s">
        <v>217</v>
      </c>
      <c r="C212" s="66" t="s">
        <v>2113</v>
      </c>
      <c r="D212" s="67">
        <v>3</v>
      </c>
      <c r="E212" s="68"/>
      <c r="F212" s="69">
        <v>40</v>
      </c>
      <c r="G212" s="66"/>
      <c r="H212" s="70"/>
      <c r="I212" s="71"/>
      <c r="J212" s="71"/>
      <c r="K212" s="35" t="s">
        <v>65</v>
      </c>
      <c r="L212" s="79">
        <v>212</v>
      </c>
      <c r="M212" s="79"/>
      <c r="N212" s="73"/>
      <c r="O212" s="81" t="s">
        <v>292</v>
      </c>
      <c r="P212">
        <v>1</v>
      </c>
      <c r="Q212" s="80" t="str">
        <f>REPLACE(INDEX(GroupVertices[Group],MATCH(Edges[[#This Row],[Vertex 1]],GroupVertices[Vertex],0)),1,1,"")</f>
        <v>1</v>
      </c>
      <c r="R212" s="80" t="str">
        <f>REPLACE(INDEX(GroupVertices[Group],MATCH(Edges[[#This Row],[Vertex 2]],GroupVertices[Vertex],0)),1,1,"")</f>
        <v>1</v>
      </c>
      <c r="S212" s="35"/>
      <c r="T212" s="35"/>
      <c r="U212" s="35"/>
      <c r="V212" s="35"/>
      <c r="W212" s="35"/>
      <c r="X212" s="35"/>
      <c r="Y212" s="35"/>
      <c r="Z212" s="35"/>
      <c r="AA212" s="35"/>
    </row>
    <row r="213" spans="1:27" ht="15">
      <c r="A213" s="65" t="s">
        <v>242</v>
      </c>
      <c r="B213" s="65" t="s">
        <v>217</v>
      </c>
      <c r="C213" s="66" t="s">
        <v>2113</v>
      </c>
      <c r="D213" s="67">
        <v>3</v>
      </c>
      <c r="E213" s="68"/>
      <c r="F213" s="69">
        <v>40</v>
      </c>
      <c r="G213" s="66"/>
      <c r="H213" s="70"/>
      <c r="I213" s="71"/>
      <c r="J213" s="71"/>
      <c r="K213" s="35" t="s">
        <v>65</v>
      </c>
      <c r="L213" s="79">
        <v>213</v>
      </c>
      <c r="M213" s="79"/>
      <c r="N213" s="73"/>
      <c r="O213" s="81" t="s">
        <v>292</v>
      </c>
      <c r="P213">
        <v>1</v>
      </c>
      <c r="Q213" s="80" t="str">
        <f>REPLACE(INDEX(GroupVertices[Group],MATCH(Edges[[#This Row],[Vertex 1]],GroupVertices[Vertex],0)),1,1,"")</f>
        <v>1</v>
      </c>
      <c r="R213" s="80" t="str">
        <f>REPLACE(INDEX(GroupVertices[Group],MATCH(Edges[[#This Row],[Vertex 2]],GroupVertices[Vertex],0)),1,1,"")</f>
        <v>1</v>
      </c>
      <c r="S213" s="35"/>
      <c r="T213" s="35"/>
      <c r="U213" s="35"/>
      <c r="V213" s="35"/>
      <c r="W213" s="35"/>
      <c r="X213" s="35"/>
      <c r="Y213" s="35"/>
      <c r="Z213" s="35"/>
      <c r="AA213" s="35"/>
    </row>
    <row r="214" spans="1:27" ht="15">
      <c r="A214" s="65" t="s">
        <v>232</v>
      </c>
      <c r="B214" s="65" t="s">
        <v>217</v>
      </c>
      <c r="C214" s="66" t="s">
        <v>2113</v>
      </c>
      <c r="D214" s="67">
        <v>3</v>
      </c>
      <c r="E214" s="68"/>
      <c r="F214" s="69">
        <v>40</v>
      </c>
      <c r="G214" s="66"/>
      <c r="H214" s="70"/>
      <c r="I214" s="71"/>
      <c r="J214" s="71"/>
      <c r="K214" s="35" t="s">
        <v>65</v>
      </c>
      <c r="L214" s="79">
        <v>214</v>
      </c>
      <c r="M214" s="79"/>
      <c r="N214" s="73"/>
      <c r="O214" s="81" t="s">
        <v>292</v>
      </c>
      <c r="P214">
        <v>1</v>
      </c>
      <c r="Q214" s="80" t="str">
        <f>REPLACE(INDEX(GroupVertices[Group],MATCH(Edges[[#This Row],[Vertex 1]],GroupVertices[Vertex],0)),1,1,"")</f>
        <v>2</v>
      </c>
      <c r="R214" s="80" t="str">
        <f>REPLACE(INDEX(GroupVertices[Group],MATCH(Edges[[#This Row],[Vertex 2]],GroupVertices[Vertex],0)),1,1,"")</f>
        <v>1</v>
      </c>
      <c r="S214" s="35"/>
      <c r="T214" s="35"/>
      <c r="U214" s="35"/>
      <c r="V214" s="35"/>
      <c r="W214" s="35"/>
      <c r="X214" s="35"/>
      <c r="Y214" s="35"/>
      <c r="Z214" s="35"/>
      <c r="AA214" s="35"/>
    </row>
    <row r="215" spans="1:27" ht="15">
      <c r="A215" s="65" t="s">
        <v>233</v>
      </c>
      <c r="B215" s="65" t="s">
        <v>217</v>
      </c>
      <c r="C215" s="66" t="s">
        <v>2113</v>
      </c>
      <c r="D215" s="67">
        <v>3</v>
      </c>
      <c r="E215" s="68"/>
      <c r="F215" s="69">
        <v>40</v>
      </c>
      <c r="G215" s="66"/>
      <c r="H215" s="70"/>
      <c r="I215" s="71"/>
      <c r="J215" s="71"/>
      <c r="K215" s="35" t="s">
        <v>65</v>
      </c>
      <c r="L215" s="79">
        <v>215</v>
      </c>
      <c r="M215" s="79"/>
      <c r="N215" s="73"/>
      <c r="O215" s="81" t="s">
        <v>292</v>
      </c>
      <c r="P215">
        <v>1</v>
      </c>
      <c r="Q215" s="80" t="str">
        <f>REPLACE(INDEX(GroupVertices[Group],MATCH(Edges[[#This Row],[Vertex 1]],GroupVertices[Vertex],0)),1,1,"")</f>
        <v>1</v>
      </c>
      <c r="R215" s="80" t="str">
        <f>REPLACE(INDEX(GroupVertices[Group],MATCH(Edges[[#This Row],[Vertex 2]],GroupVertices[Vertex],0)),1,1,"")</f>
        <v>1</v>
      </c>
      <c r="S215" s="35"/>
      <c r="T215" s="35"/>
      <c r="U215" s="35"/>
      <c r="V215" s="35"/>
      <c r="W215" s="35"/>
      <c r="X215" s="35"/>
      <c r="Y215" s="35"/>
      <c r="Z215" s="35"/>
      <c r="AA215" s="35"/>
    </row>
    <row r="216" spans="1:27" ht="15">
      <c r="A216" s="65" t="s">
        <v>234</v>
      </c>
      <c r="B216" s="65" t="s">
        <v>217</v>
      </c>
      <c r="C216" s="66" t="s">
        <v>2113</v>
      </c>
      <c r="D216" s="67">
        <v>3</v>
      </c>
      <c r="E216" s="68"/>
      <c r="F216" s="69">
        <v>40</v>
      </c>
      <c r="G216" s="66"/>
      <c r="H216" s="70"/>
      <c r="I216" s="71"/>
      <c r="J216" s="71"/>
      <c r="K216" s="35" t="s">
        <v>65</v>
      </c>
      <c r="L216" s="79">
        <v>216</v>
      </c>
      <c r="M216" s="79"/>
      <c r="N216" s="73"/>
      <c r="O216" s="81" t="s">
        <v>292</v>
      </c>
      <c r="P216">
        <v>1</v>
      </c>
      <c r="Q216" s="80" t="str">
        <f>REPLACE(INDEX(GroupVertices[Group],MATCH(Edges[[#This Row],[Vertex 1]],GroupVertices[Vertex],0)),1,1,"")</f>
        <v>1</v>
      </c>
      <c r="R216" s="80" t="str">
        <f>REPLACE(INDEX(GroupVertices[Group],MATCH(Edges[[#This Row],[Vertex 2]],GroupVertices[Vertex],0)),1,1,"")</f>
        <v>1</v>
      </c>
      <c r="S216" s="35"/>
      <c r="T216" s="35"/>
      <c r="U216" s="35"/>
      <c r="V216" s="35"/>
      <c r="W216" s="35"/>
      <c r="X216" s="35"/>
      <c r="Y216" s="35"/>
      <c r="Z216" s="35"/>
      <c r="AA216" s="35"/>
    </row>
    <row r="217" spans="1:27" ht="15">
      <c r="A217" s="65" t="s">
        <v>235</v>
      </c>
      <c r="B217" s="65" t="s">
        <v>217</v>
      </c>
      <c r="C217" s="66" t="s">
        <v>2113</v>
      </c>
      <c r="D217" s="67">
        <v>3</v>
      </c>
      <c r="E217" s="68"/>
      <c r="F217" s="69">
        <v>40</v>
      </c>
      <c r="G217" s="66"/>
      <c r="H217" s="70"/>
      <c r="I217" s="71"/>
      <c r="J217" s="71"/>
      <c r="K217" s="35" t="s">
        <v>65</v>
      </c>
      <c r="L217" s="79">
        <v>217</v>
      </c>
      <c r="M217" s="79"/>
      <c r="N217" s="73"/>
      <c r="O217" s="81" t="s">
        <v>292</v>
      </c>
      <c r="P217">
        <v>1</v>
      </c>
      <c r="Q217" s="80" t="str">
        <f>REPLACE(INDEX(GroupVertices[Group],MATCH(Edges[[#This Row],[Vertex 1]],GroupVertices[Vertex],0)),1,1,"")</f>
        <v>1</v>
      </c>
      <c r="R217" s="80" t="str">
        <f>REPLACE(INDEX(GroupVertices[Group],MATCH(Edges[[#This Row],[Vertex 2]],GroupVertices[Vertex],0)),1,1,"")</f>
        <v>1</v>
      </c>
      <c r="S217" s="35"/>
      <c r="T217" s="35"/>
      <c r="U217" s="35"/>
      <c r="V217" s="35"/>
      <c r="W217" s="35"/>
      <c r="X217" s="35"/>
      <c r="Y217" s="35"/>
      <c r="Z217" s="35"/>
      <c r="AA217" s="35"/>
    </row>
    <row r="218" spans="1:27" ht="15">
      <c r="A218" s="65" t="s">
        <v>247</v>
      </c>
      <c r="B218" s="65" t="s">
        <v>217</v>
      </c>
      <c r="C218" s="66" t="s">
        <v>2113</v>
      </c>
      <c r="D218" s="67">
        <v>3</v>
      </c>
      <c r="E218" s="68"/>
      <c r="F218" s="69">
        <v>40</v>
      </c>
      <c r="G218" s="66"/>
      <c r="H218" s="70"/>
      <c r="I218" s="71"/>
      <c r="J218" s="71"/>
      <c r="K218" s="35" t="s">
        <v>65</v>
      </c>
      <c r="L218" s="79">
        <v>218</v>
      </c>
      <c r="M218" s="79"/>
      <c r="N218" s="73"/>
      <c r="O218" s="81" t="s">
        <v>293</v>
      </c>
      <c r="P218">
        <v>1</v>
      </c>
      <c r="Q218" s="80" t="str">
        <f>REPLACE(INDEX(GroupVertices[Group],MATCH(Edges[[#This Row],[Vertex 1]],GroupVertices[Vertex],0)),1,1,"")</f>
        <v>1</v>
      </c>
      <c r="R218" s="80" t="str">
        <f>REPLACE(INDEX(GroupVertices[Group],MATCH(Edges[[#This Row],[Vertex 2]],GroupVertices[Vertex],0)),1,1,"")</f>
        <v>1</v>
      </c>
      <c r="S218" s="35"/>
      <c r="T218" s="35"/>
      <c r="U218" s="35"/>
      <c r="V218" s="35"/>
      <c r="W218" s="35"/>
      <c r="X218" s="35"/>
      <c r="Y218" s="35"/>
      <c r="Z218" s="35"/>
      <c r="AA218" s="35"/>
    </row>
    <row r="219" spans="1:27" ht="15">
      <c r="A219" s="65" t="s">
        <v>218</v>
      </c>
      <c r="B219" s="65" t="s">
        <v>216</v>
      </c>
      <c r="C219" s="66" t="s">
        <v>2113</v>
      </c>
      <c r="D219" s="67">
        <v>3</v>
      </c>
      <c r="E219" s="68"/>
      <c r="F219" s="69">
        <v>40</v>
      </c>
      <c r="G219" s="66"/>
      <c r="H219" s="70"/>
      <c r="I219" s="71"/>
      <c r="J219" s="71"/>
      <c r="K219" s="35" t="s">
        <v>65</v>
      </c>
      <c r="L219" s="79">
        <v>219</v>
      </c>
      <c r="M219" s="79"/>
      <c r="N219" s="73"/>
      <c r="O219" s="81" t="s">
        <v>292</v>
      </c>
      <c r="P219">
        <v>1</v>
      </c>
      <c r="Q219" s="80" t="str">
        <f>REPLACE(INDEX(GroupVertices[Group],MATCH(Edges[[#This Row],[Vertex 1]],GroupVertices[Vertex],0)),1,1,"")</f>
        <v>1</v>
      </c>
      <c r="R219" s="80" t="str">
        <f>REPLACE(INDEX(GroupVertices[Group],MATCH(Edges[[#This Row],[Vertex 2]],GroupVertices[Vertex],0)),1,1,"")</f>
        <v>1</v>
      </c>
      <c r="S219" s="35"/>
      <c r="T219" s="35"/>
      <c r="U219" s="35"/>
      <c r="V219" s="35"/>
      <c r="W219" s="35"/>
      <c r="X219" s="35"/>
      <c r="Y219" s="35"/>
      <c r="Z219" s="35"/>
      <c r="AA219" s="35"/>
    </row>
    <row r="220" spans="1:27" ht="15">
      <c r="A220" s="65" t="s">
        <v>219</v>
      </c>
      <c r="B220" s="65" t="s">
        <v>218</v>
      </c>
      <c r="C220" s="66" t="s">
        <v>2113</v>
      </c>
      <c r="D220" s="67">
        <v>3</v>
      </c>
      <c r="E220" s="68"/>
      <c r="F220" s="69">
        <v>40</v>
      </c>
      <c r="G220" s="66"/>
      <c r="H220" s="70"/>
      <c r="I220" s="71"/>
      <c r="J220" s="71"/>
      <c r="K220" s="35" t="s">
        <v>65</v>
      </c>
      <c r="L220" s="79">
        <v>220</v>
      </c>
      <c r="M220" s="79"/>
      <c r="N220" s="73"/>
      <c r="O220" s="81" t="s">
        <v>292</v>
      </c>
      <c r="P220">
        <v>1</v>
      </c>
      <c r="Q220" s="80" t="str">
        <f>REPLACE(INDEX(GroupVertices[Group],MATCH(Edges[[#This Row],[Vertex 1]],GroupVertices[Vertex],0)),1,1,"")</f>
        <v>1</v>
      </c>
      <c r="R220" s="80" t="str">
        <f>REPLACE(INDEX(GroupVertices[Group],MATCH(Edges[[#This Row],[Vertex 2]],GroupVertices[Vertex],0)),1,1,"")</f>
        <v>1</v>
      </c>
      <c r="S220" s="35"/>
      <c r="T220" s="35"/>
      <c r="U220" s="35"/>
      <c r="V220" s="35"/>
      <c r="W220" s="35"/>
      <c r="X220" s="35"/>
      <c r="Y220" s="35"/>
      <c r="Z220" s="35"/>
      <c r="AA220" s="35"/>
    </row>
    <row r="221" spans="1:27" ht="15">
      <c r="A221" s="65" t="s">
        <v>220</v>
      </c>
      <c r="B221" s="65" t="s">
        <v>218</v>
      </c>
      <c r="C221" s="66" t="s">
        <v>2113</v>
      </c>
      <c r="D221" s="67">
        <v>3</v>
      </c>
      <c r="E221" s="68"/>
      <c r="F221" s="69">
        <v>40</v>
      </c>
      <c r="G221" s="66"/>
      <c r="H221" s="70"/>
      <c r="I221" s="71"/>
      <c r="J221" s="71"/>
      <c r="K221" s="35" t="s">
        <v>65</v>
      </c>
      <c r="L221" s="79">
        <v>221</v>
      </c>
      <c r="M221" s="79"/>
      <c r="N221" s="73"/>
      <c r="O221" s="81" t="s">
        <v>292</v>
      </c>
      <c r="P221">
        <v>1</v>
      </c>
      <c r="Q221" s="80" t="str">
        <f>REPLACE(INDEX(GroupVertices[Group],MATCH(Edges[[#This Row],[Vertex 1]],GroupVertices[Vertex],0)),1,1,"")</f>
        <v>1</v>
      </c>
      <c r="R221" s="80" t="str">
        <f>REPLACE(INDEX(GroupVertices[Group],MATCH(Edges[[#This Row],[Vertex 2]],GroupVertices[Vertex],0)),1,1,"")</f>
        <v>1</v>
      </c>
      <c r="S221" s="35"/>
      <c r="T221" s="35"/>
      <c r="U221" s="35"/>
      <c r="V221" s="35"/>
      <c r="W221" s="35"/>
      <c r="X221" s="35"/>
      <c r="Y221" s="35"/>
      <c r="Z221" s="35"/>
      <c r="AA221" s="35"/>
    </row>
    <row r="222" spans="1:27" ht="15">
      <c r="A222" s="65" t="s">
        <v>221</v>
      </c>
      <c r="B222" s="65" t="s">
        <v>218</v>
      </c>
      <c r="C222" s="66" t="s">
        <v>2113</v>
      </c>
      <c r="D222" s="67">
        <v>3</v>
      </c>
      <c r="E222" s="68"/>
      <c r="F222" s="69">
        <v>40</v>
      </c>
      <c r="G222" s="66"/>
      <c r="H222" s="70"/>
      <c r="I222" s="71"/>
      <c r="J222" s="71"/>
      <c r="K222" s="35" t="s">
        <v>65</v>
      </c>
      <c r="L222" s="79">
        <v>222</v>
      </c>
      <c r="M222" s="79"/>
      <c r="N222" s="73"/>
      <c r="O222" s="81" t="s">
        <v>292</v>
      </c>
      <c r="P222">
        <v>1</v>
      </c>
      <c r="Q222" s="80" t="str">
        <f>REPLACE(INDEX(GroupVertices[Group],MATCH(Edges[[#This Row],[Vertex 1]],GroupVertices[Vertex],0)),1,1,"")</f>
        <v>1</v>
      </c>
      <c r="R222" s="80" t="str">
        <f>REPLACE(INDEX(GroupVertices[Group],MATCH(Edges[[#This Row],[Vertex 2]],GroupVertices[Vertex],0)),1,1,"")</f>
        <v>1</v>
      </c>
      <c r="S222" s="35"/>
      <c r="T222" s="35"/>
      <c r="U222" s="35"/>
      <c r="V222" s="35"/>
      <c r="W222" s="35"/>
      <c r="X222" s="35"/>
      <c r="Y222" s="35"/>
      <c r="Z222" s="35"/>
      <c r="AA222" s="35"/>
    </row>
    <row r="223" spans="1:27" ht="15">
      <c r="A223" s="65" t="s">
        <v>222</v>
      </c>
      <c r="B223" s="65" t="s">
        <v>218</v>
      </c>
      <c r="C223" s="66" t="s">
        <v>2113</v>
      </c>
      <c r="D223" s="67">
        <v>3</v>
      </c>
      <c r="E223" s="68"/>
      <c r="F223" s="69">
        <v>40</v>
      </c>
      <c r="G223" s="66"/>
      <c r="H223" s="70"/>
      <c r="I223" s="71"/>
      <c r="J223" s="71"/>
      <c r="K223" s="35" t="s">
        <v>65</v>
      </c>
      <c r="L223" s="79">
        <v>223</v>
      </c>
      <c r="M223" s="79"/>
      <c r="N223" s="73"/>
      <c r="O223" s="81" t="s">
        <v>292</v>
      </c>
      <c r="P223">
        <v>1</v>
      </c>
      <c r="Q223" s="80" t="str">
        <f>REPLACE(INDEX(GroupVertices[Group],MATCH(Edges[[#This Row],[Vertex 1]],GroupVertices[Vertex],0)),1,1,"")</f>
        <v>1</v>
      </c>
      <c r="R223" s="80" t="str">
        <f>REPLACE(INDEX(GroupVertices[Group],MATCH(Edges[[#This Row],[Vertex 2]],GroupVertices[Vertex],0)),1,1,"")</f>
        <v>1</v>
      </c>
      <c r="S223" s="35"/>
      <c r="T223" s="35"/>
      <c r="U223" s="35"/>
      <c r="V223" s="35"/>
      <c r="W223" s="35"/>
      <c r="X223" s="35"/>
      <c r="Y223" s="35"/>
      <c r="Z223" s="35"/>
      <c r="AA223" s="35"/>
    </row>
    <row r="224" spans="1:27" ht="15">
      <c r="A224" s="65" t="s">
        <v>223</v>
      </c>
      <c r="B224" s="65" t="s">
        <v>218</v>
      </c>
      <c r="C224" s="66" t="s">
        <v>2113</v>
      </c>
      <c r="D224" s="67">
        <v>3</v>
      </c>
      <c r="E224" s="68"/>
      <c r="F224" s="69">
        <v>40</v>
      </c>
      <c r="G224" s="66"/>
      <c r="H224" s="70"/>
      <c r="I224" s="71"/>
      <c r="J224" s="71"/>
      <c r="K224" s="35" t="s">
        <v>65</v>
      </c>
      <c r="L224" s="79">
        <v>224</v>
      </c>
      <c r="M224" s="79"/>
      <c r="N224" s="73"/>
      <c r="O224" s="81" t="s">
        <v>292</v>
      </c>
      <c r="P224">
        <v>1</v>
      </c>
      <c r="Q224" s="80" t="str">
        <f>REPLACE(INDEX(GroupVertices[Group],MATCH(Edges[[#This Row],[Vertex 1]],GroupVertices[Vertex],0)),1,1,"")</f>
        <v>1</v>
      </c>
      <c r="R224" s="80" t="str">
        <f>REPLACE(INDEX(GroupVertices[Group],MATCH(Edges[[#This Row],[Vertex 2]],GroupVertices[Vertex],0)),1,1,"")</f>
        <v>1</v>
      </c>
      <c r="S224" s="35"/>
      <c r="T224" s="35"/>
      <c r="U224" s="35"/>
      <c r="V224" s="35"/>
      <c r="W224" s="35"/>
      <c r="X224" s="35"/>
      <c r="Y224" s="35"/>
      <c r="Z224" s="35"/>
      <c r="AA224" s="35"/>
    </row>
    <row r="225" spans="1:27" ht="15">
      <c r="A225" s="65" t="s">
        <v>224</v>
      </c>
      <c r="B225" s="65" t="s">
        <v>218</v>
      </c>
      <c r="C225" s="66" t="s">
        <v>2113</v>
      </c>
      <c r="D225" s="67">
        <v>3</v>
      </c>
      <c r="E225" s="68"/>
      <c r="F225" s="69">
        <v>40</v>
      </c>
      <c r="G225" s="66"/>
      <c r="H225" s="70"/>
      <c r="I225" s="71"/>
      <c r="J225" s="71"/>
      <c r="K225" s="35" t="s">
        <v>65</v>
      </c>
      <c r="L225" s="79">
        <v>225</v>
      </c>
      <c r="M225" s="79"/>
      <c r="N225" s="73"/>
      <c r="O225" s="81" t="s">
        <v>292</v>
      </c>
      <c r="P225">
        <v>1</v>
      </c>
      <c r="Q225" s="80" t="str">
        <f>REPLACE(INDEX(GroupVertices[Group],MATCH(Edges[[#This Row],[Vertex 1]],GroupVertices[Vertex],0)),1,1,"")</f>
        <v>1</v>
      </c>
      <c r="R225" s="80" t="str">
        <f>REPLACE(INDEX(GroupVertices[Group],MATCH(Edges[[#This Row],[Vertex 2]],GroupVertices[Vertex],0)),1,1,"")</f>
        <v>1</v>
      </c>
      <c r="S225" s="35"/>
      <c r="T225" s="35"/>
      <c r="U225" s="35"/>
      <c r="V225" s="35"/>
      <c r="W225" s="35"/>
      <c r="X225" s="35"/>
      <c r="Y225" s="35"/>
      <c r="Z225" s="35"/>
      <c r="AA225" s="35"/>
    </row>
    <row r="226" spans="1:27" ht="15">
      <c r="A226" s="65" t="s">
        <v>240</v>
      </c>
      <c r="B226" s="65" t="s">
        <v>218</v>
      </c>
      <c r="C226" s="66" t="s">
        <v>2113</v>
      </c>
      <c r="D226" s="67">
        <v>3</v>
      </c>
      <c r="E226" s="68"/>
      <c r="F226" s="69">
        <v>40</v>
      </c>
      <c r="G226" s="66"/>
      <c r="H226" s="70"/>
      <c r="I226" s="71"/>
      <c r="J226" s="71"/>
      <c r="K226" s="35" t="s">
        <v>65</v>
      </c>
      <c r="L226" s="79">
        <v>226</v>
      </c>
      <c r="M226" s="79"/>
      <c r="N226" s="73"/>
      <c r="O226" s="81" t="s">
        <v>292</v>
      </c>
      <c r="P226">
        <v>1</v>
      </c>
      <c r="Q226" s="80" t="str">
        <f>REPLACE(INDEX(GroupVertices[Group],MATCH(Edges[[#This Row],[Vertex 1]],GroupVertices[Vertex],0)),1,1,"")</f>
        <v>1</v>
      </c>
      <c r="R226" s="80" t="str">
        <f>REPLACE(INDEX(GroupVertices[Group],MATCH(Edges[[#This Row],[Vertex 2]],GroupVertices[Vertex],0)),1,1,"")</f>
        <v>1</v>
      </c>
      <c r="S226" s="35"/>
      <c r="T226" s="35"/>
      <c r="U226" s="35"/>
      <c r="V226" s="35"/>
      <c r="W226" s="35"/>
      <c r="X226" s="35"/>
      <c r="Y226" s="35"/>
      <c r="Z226" s="35"/>
      <c r="AA226" s="35"/>
    </row>
    <row r="227" spans="1:27" ht="15">
      <c r="A227" s="65" t="s">
        <v>226</v>
      </c>
      <c r="B227" s="65" t="s">
        <v>218</v>
      </c>
      <c r="C227" s="66" t="s">
        <v>2113</v>
      </c>
      <c r="D227" s="67">
        <v>3</v>
      </c>
      <c r="E227" s="68"/>
      <c r="F227" s="69">
        <v>40</v>
      </c>
      <c r="G227" s="66"/>
      <c r="H227" s="70"/>
      <c r="I227" s="71"/>
      <c r="J227" s="71"/>
      <c r="K227" s="35" t="s">
        <v>65</v>
      </c>
      <c r="L227" s="79">
        <v>227</v>
      </c>
      <c r="M227" s="79"/>
      <c r="N227" s="73"/>
      <c r="O227" s="81" t="s">
        <v>292</v>
      </c>
      <c r="P227">
        <v>1</v>
      </c>
      <c r="Q227" s="80" t="str">
        <f>REPLACE(INDEX(GroupVertices[Group],MATCH(Edges[[#This Row],[Vertex 1]],GroupVertices[Vertex],0)),1,1,"")</f>
        <v>1</v>
      </c>
      <c r="R227" s="80" t="str">
        <f>REPLACE(INDEX(GroupVertices[Group],MATCH(Edges[[#This Row],[Vertex 2]],GroupVertices[Vertex],0)),1,1,"")</f>
        <v>1</v>
      </c>
      <c r="S227" s="35"/>
      <c r="T227" s="35"/>
      <c r="U227" s="35"/>
      <c r="V227" s="35"/>
      <c r="W227" s="35"/>
      <c r="X227" s="35"/>
      <c r="Y227" s="35"/>
      <c r="Z227" s="35"/>
      <c r="AA227" s="35"/>
    </row>
    <row r="228" spans="1:27" ht="15">
      <c r="A228" s="65" t="s">
        <v>227</v>
      </c>
      <c r="B228" s="65" t="s">
        <v>218</v>
      </c>
      <c r="C228" s="66" t="s">
        <v>2113</v>
      </c>
      <c r="D228" s="67">
        <v>3</v>
      </c>
      <c r="E228" s="68"/>
      <c r="F228" s="69">
        <v>40</v>
      </c>
      <c r="G228" s="66"/>
      <c r="H228" s="70"/>
      <c r="I228" s="71"/>
      <c r="J228" s="71"/>
      <c r="K228" s="35" t="s">
        <v>65</v>
      </c>
      <c r="L228" s="79">
        <v>228</v>
      </c>
      <c r="M228" s="79"/>
      <c r="N228" s="73"/>
      <c r="O228" s="81" t="s">
        <v>292</v>
      </c>
      <c r="P228">
        <v>1</v>
      </c>
      <c r="Q228" s="80" t="str">
        <f>REPLACE(INDEX(GroupVertices[Group],MATCH(Edges[[#This Row],[Vertex 1]],GroupVertices[Vertex],0)),1,1,"")</f>
        <v>1</v>
      </c>
      <c r="R228" s="80" t="str">
        <f>REPLACE(INDEX(GroupVertices[Group],MATCH(Edges[[#This Row],[Vertex 2]],GroupVertices[Vertex],0)),1,1,"")</f>
        <v>1</v>
      </c>
      <c r="S228" s="35"/>
      <c r="T228" s="35"/>
      <c r="U228" s="35"/>
      <c r="V228" s="35"/>
      <c r="W228" s="35"/>
      <c r="X228" s="35"/>
      <c r="Y228" s="35"/>
      <c r="Z228" s="35"/>
      <c r="AA228" s="35"/>
    </row>
    <row r="229" spans="1:27" ht="15">
      <c r="A229" s="65" t="s">
        <v>241</v>
      </c>
      <c r="B229" s="65" t="s">
        <v>218</v>
      </c>
      <c r="C229" s="66" t="s">
        <v>2113</v>
      </c>
      <c r="D229" s="67">
        <v>3</v>
      </c>
      <c r="E229" s="68"/>
      <c r="F229" s="69">
        <v>40</v>
      </c>
      <c r="G229" s="66"/>
      <c r="H229" s="70"/>
      <c r="I229" s="71"/>
      <c r="J229" s="71"/>
      <c r="K229" s="35" t="s">
        <v>65</v>
      </c>
      <c r="L229" s="79">
        <v>229</v>
      </c>
      <c r="M229" s="79"/>
      <c r="N229" s="73"/>
      <c r="O229" s="81" t="s">
        <v>292</v>
      </c>
      <c r="P229">
        <v>1</v>
      </c>
      <c r="Q229" s="80" t="str">
        <f>REPLACE(INDEX(GroupVertices[Group],MATCH(Edges[[#This Row],[Vertex 1]],GroupVertices[Vertex],0)),1,1,"")</f>
        <v>1</v>
      </c>
      <c r="R229" s="80" t="str">
        <f>REPLACE(INDEX(GroupVertices[Group],MATCH(Edges[[#This Row],[Vertex 2]],GroupVertices[Vertex],0)),1,1,"")</f>
        <v>1</v>
      </c>
      <c r="S229" s="35"/>
      <c r="T229" s="35"/>
      <c r="U229" s="35"/>
      <c r="V229" s="35"/>
      <c r="W229" s="35"/>
      <c r="X229" s="35"/>
      <c r="Y229" s="35"/>
      <c r="Z229" s="35"/>
      <c r="AA229" s="35"/>
    </row>
    <row r="230" spans="1:27" ht="15">
      <c r="A230" s="65" t="s">
        <v>228</v>
      </c>
      <c r="B230" s="65" t="s">
        <v>218</v>
      </c>
      <c r="C230" s="66" t="s">
        <v>2113</v>
      </c>
      <c r="D230" s="67">
        <v>3</v>
      </c>
      <c r="E230" s="68"/>
      <c r="F230" s="69">
        <v>40</v>
      </c>
      <c r="G230" s="66"/>
      <c r="H230" s="70"/>
      <c r="I230" s="71"/>
      <c r="J230" s="71"/>
      <c r="K230" s="35" t="s">
        <v>65</v>
      </c>
      <c r="L230" s="79">
        <v>230</v>
      </c>
      <c r="M230" s="79"/>
      <c r="N230" s="73"/>
      <c r="O230" s="81" t="s">
        <v>292</v>
      </c>
      <c r="P230">
        <v>1</v>
      </c>
      <c r="Q230" s="80" t="str">
        <f>REPLACE(INDEX(GroupVertices[Group],MATCH(Edges[[#This Row],[Vertex 1]],GroupVertices[Vertex],0)),1,1,"")</f>
        <v>1</v>
      </c>
      <c r="R230" s="80" t="str">
        <f>REPLACE(INDEX(GroupVertices[Group],MATCH(Edges[[#This Row],[Vertex 2]],GroupVertices[Vertex],0)),1,1,"")</f>
        <v>1</v>
      </c>
      <c r="S230" s="35"/>
      <c r="T230" s="35"/>
      <c r="U230" s="35"/>
      <c r="V230" s="35"/>
      <c r="W230" s="35"/>
      <c r="X230" s="35"/>
      <c r="Y230" s="35"/>
      <c r="Z230" s="35"/>
      <c r="AA230" s="35"/>
    </row>
    <row r="231" spans="1:27" ht="15">
      <c r="A231" s="65" t="s">
        <v>229</v>
      </c>
      <c r="B231" s="65" t="s">
        <v>218</v>
      </c>
      <c r="C231" s="66" t="s">
        <v>2113</v>
      </c>
      <c r="D231" s="67">
        <v>3</v>
      </c>
      <c r="E231" s="68"/>
      <c r="F231" s="69">
        <v>40</v>
      </c>
      <c r="G231" s="66"/>
      <c r="H231" s="70"/>
      <c r="I231" s="71"/>
      <c r="J231" s="71"/>
      <c r="K231" s="35" t="s">
        <v>65</v>
      </c>
      <c r="L231" s="79">
        <v>231</v>
      </c>
      <c r="M231" s="79"/>
      <c r="N231" s="73"/>
      <c r="O231" s="81" t="s">
        <v>292</v>
      </c>
      <c r="P231">
        <v>1</v>
      </c>
      <c r="Q231" s="80" t="str">
        <f>REPLACE(INDEX(GroupVertices[Group],MATCH(Edges[[#This Row],[Vertex 1]],GroupVertices[Vertex],0)),1,1,"")</f>
        <v>1</v>
      </c>
      <c r="R231" s="80" t="str">
        <f>REPLACE(INDEX(GroupVertices[Group],MATCH(Edges[[#This Row],[Vertex 2]],GroupVertices[Vertex],0)),1,1,"")</f>
        <v>1</v>
      </c>
      <c r="S231" s="35"/>
      <c r="T231" s="35"/>
      <c r="U231" s="35"/>
      <c r="V231" s="35"/>
      <c r="W231" s="35"/>
      <c r="X231" s="35"/>
      <c r="Y231" s="35"/>
      <c r="Z231" s="35"/>
      <c r="AA231" s="35"/>
    </row>
    <row r="232" spans="1:27" ht="15">
      <c r="A232" s="65" t="s">
        <v>230</v>
      </c>
      <c r="B232" s="65" t="s">
        <v>218</v>
      </c>
      <c r="C232" s="66" t="s">
        <v>2113</v>
      </c>
      <c r="D232" s="67">
        <v>3</v>
      </c>
      <c r="E232" s="68"/>
      <c r="F232" s="69">
        <v>40</v>
      </c>
      <c r="G232" s="66"/>
      <c r="H232" s="70"/>
      <c r="I232" s="71"/>
      <c r="J232" s="71"/>
      <c r="K232" s="35" t="s">
        <v>65</v>
      </c>
      <c r="L232" s="79">
        <v>232</v>
      </c>
      <c r="M232" s="79"/>
      <c r="N232" s="73"/>
      <c r="O232" s="81" t="s">
        <v>292</v>
      </c>
      <c r="P232">
        <v>1</v>
      </c>
      <c r="Q232" s="80" t="str">
        <f>REPLACE(INDEX(GroupVertices[Group],MATCH(Edges[[#This Row],[Vertex 1]],GroupVertices[Vertex],0)),1,1,"")</f>
        <v>1</v>
      </c>
      <c r="R232" s="80" t="str">
        <f>REPLACE(INDEX(GroupVertices[Group],MATCH(Edges[[#This Row],[Vertex 2]],GroupVertices[Vertex],0)),1,1,"")</f>
        <v>1</v>
      </c>
      <c r="S232" s="35"/>
      <c r="T232" s="35"/>
      <c r="U232" s="35"/>
      <c r="V232" s="35"/>
      <c r="W232" s="35"/>
      <c r="X232" s="35"/>
      <c r="Y232" s="35"/>
      <c r="Z232" s="35"/>
      <c r="AA232" s="35"/>
    </row>
    <row r="233" spans="1:27" ht="15">
      <c r="A233" s="65" t="s">
        <v>231</v>
      </c>
      <c r="B233" s="65" t="s">
        <v>218</v>
      </c>
      <c r="C233" s="66" t="s">
        <v>2113</v>
      </c>
      <c r="D233" s="67">
        <v>3</v>
      </c>
      <c r="E233" s="68"/>
      <c r="F233" s="69">
        <v>40</v>
      </c>
      <c r="G233" s="66"/>
      <c r="H233" s="70"/>
      <c r="I233" s="71"/>
      <c r="J233" s="71"/>
      <c r="K233" s="35" t="s">
        <v>65</v>
      </c>
      <c r="L233" s="79">
        <v>233</v>
      </c>
      <c r="M233" s="79"/>
      <c r="N233" s="73"/>
      <c r="O233" s="81" t="s">
        <v>292</v>
      </c>
      <c r="P233">
        <v>1</v>
      </c>
      <c r="Q233" s="80" t="str">
        <f>REPLACE(INDEX(GroupVertices[Group],MATCH(Edges[[#This Row],[Vertex 1]],GroupVertices[Vertex],0)),1,1,"")</f>
        <v>1</v>
      </c>
      <c r="R233" s="80" t="str">
        <f>REPLACE(INDEX(GroupVertices[Group],MATCH(Edges[[#This Row],[Vertex 2]],GroupVertices[Vertex],0)),1,1,"")</f>
        <v>1</v>
      </c>
      <c r="S233" s="35"/>
      <c r="T233" s="35"/>
      <c r="U233" s="35"/>
      <c r="V233" s="35"/>
      <c r="W233" s="35"/>
      <c r="X233" s="35"/>
      <c r="Y233" s="35"/>
      <c r="Z233" s="35"/>
      <c r="AA233" s="35"/>
    </row>
    <row r="234" spans="1:27" ht="15">
      <c r="A234" s="65" t="s">
        <v>242</v>
      </c>
      <c r="B234" s="65" t="s">
        <v>218</v>
      </c>
      <c r="C234" s="66" t="s">
        <v>2113</v>
      </c>
      <c r="D234" s="67">
        <v>3</v>
      </c>
      <c r="E234" s="68"/>
      <c r="F234" s="69">
        <v>40</v>
      </c>
      <c r="G234" s="66"/>
      <c r="H234" s="70"/>
      <c r="I234" s="71"/>
      <c r="J234" s="71"/>
      <c r="K234" s="35" t="s">
        <v>65</v>
      </c>
      <c r="L234" s="79">
        <v>234</v>
      </c>
      <c r="M234" s="79"/>
      <c r="N234" s="73"/>
      <c r="O234" s="81" t="s">
        <v>292</v>
      </c>
      <c r="P234">
        <v>1</v>
      </c>
      <c r="Q234" s="80" t="str">
        <f>REPLACE(INDEX(GroupVertices[Group],MATCH(Edges[[#This Row],[Vertex 1]],GroupVertices[Vertex],0)),1,1,"")</f>
        <v>1</v>
      </c>
      <c r="R234" s="80" t="str">
        <f>REPLACE(INDEX(GroupVertices[Group],MATCH(Edges[[#This Row],[Vertex 2]],GroupVertices[Vertex],0)),1,1,"")</f>
        <v>1</v>
      </c>
      <c r="S234" s="35"/>
      <c r="T234" s="35"/>
      <c r="U234" s="35"/>
      <c r="V234" s="35"/>
      <c r="W234" s="35"/>
      <c r="X234" s="35"/>
      <c r="Y234" s="35"/>
      <c r="Z234" s="35"/>
      <c r="AA234" s="35"/>
    </row>
    <row r="235" spans="1:27" ht="15">
      <c r="A235" s="65" t="s">
        <v>232</v>
      </c>
      <c r="B235" s="65" t="s">
        <v>218</v>
      </c>
      <c r="C235" s="66" t="s">
        <v>2113</v>
      </c>
      <c r="D235" s="67">
        <v>3</v>
      </c>
      <c r="E235" s="68"/>
      <c r="F235" s="69">
        <v>40</v>
      </c>
      <c r="G235" s="66"/>
      <c r="H235" s="70"/>
      <c r="I235" s="71"/>
      <c r="J235" s="71"/>
      <c r="K235" s="35" t="s">
        <v>65</v>
      </c>
      <c r="L235" s="79">
        <v>235</v>
      </c>
      <c r="M235" s="79"/>
      <c r="N235" s="73"/>
      <c r="O235" s="81" t="s">
        <v>292</v>
      </c>
      <c r="P235">
        <v>1</v>
      </c>
      <c r="Q235" s="80" t="str">
        <f>REPLACE(INDEX(GroupVertices[Group],MATCH(Edges[[#This Row],[Vertex 1]],GroupVertices[Vertex],0)),1,1,"")</f>
        <v>2</v>
      </c>
      <c r="R235" s="80" t="str">
        <f>REPLACE(INDEX(GroupVertices[Group],MATCH(Edges[[#This Row],[Vertex 2]],GroupVertices[Vertex],0)),1,1,"")</f>
        <v>1</v>
      </c>
      <c r="S235" s="35"/>
      <c r="T235" s="35"/>
      <c r="U235" s="35"/>
      <c r="V235" s="35"/>
      <c r="W235" s="35"/>
      <c r="X235" s="35"/>
      <c r="Y235" s="35"/>
      <c r="Z235" s="35"/>
      <c r="AA235" s="35"/>
    </row>
    <row r="236" spans="1:27" ht="15">
      <c r="A236" s="65" t="s">
        <v>233</v>
      </c>
      <c r="B236" s="65" t="s">
        <v>218</v>
      </c>
      <c r="C236" s="66" t="s">
        <v>2113</v>
      </c>
      <c r="D236" s="67">
        <v>3</v>
      </c>
      <c r="E236" s="68"/>
      <c r="F236" s="69">
        <v>40</v>
      </c>
      <c r="G236" s="66"/>
      <c r="H236" s="70"/>
      <c r="I236" s="71"/>
      <c r="J236" s="71"/>
      <c r="K236" s="35" t="s">
        <v>65</v>
      </c>
      <c r="L236" s="79">
        <v>236</v>
      </c>
      <c r="M236" s="79"/>
      <c r="N236" s="73"/>
      <c r="O236" s="81" t="s">
        <v>292</v>
      </c>
      <c r="P236">
        <v>1</v>
      </c>
      <c r="Q236" s="80" t="str">
        <f>REPLACE(INDEX(GroupVertices[Group],MATCH(Edges[[#This Row],[Vertex 1]],GroupVertices[Vertex],0)),1,1,"")</f>
        <v>1</v>
      </c>
      <c r="R236" s="80" t="str">
        <f>REPLACE(INDEX(GroupVertices[Group],MATCH(Edges[[#This Row],[Vertex 2]],GroupVertices[Vertex],0)),1,1,"")</f>
        <v>1</v>
      </c>
      <c r="S236" s="35"/>
      <c r="T236" s="35"/>
      <c r="U236" s="35"/>
      <c r="V236" s="35"/>
      <c r="W236" s="35"/>
      <c r="X236" s="35"/>
      <c r="Y236" s="35"/>
      <c r="Z236" s="35"/>
      <c r="AA236" s="35"/>
    </row>
    <row r="237" spans="1:27" ht="15">
      <c r="A237" s="65" t="s">
        <v>234</v>
      </c>
      <c r="B237" s="65" t="s">
        <v>218</v>
      </c>
      <c r="C237" s="66" t="s">
        <v>2113</v>
      </c>
      <c r="D237" s="67">
        <v>3</v>
      </c>
      <c r="E237" s="68"/>
      <c r="F237" s="69">
        <v>40</v>
      </c>
      <c r="G237" s="66"/>
      <c r="H237" s="70"/>
      <c r="I237" s="71"/>
      <c r="J237" s="71"/>
      <c r="K237" s="35" t="s">
        <v>65</v>
      </c>
      <c r="L237" s="79">
        <v>237</v>
      </c>
      <c r="M237" s="79"/>
      <c r="N237" s="73"/>
      <c r="O237" s="81" t="s">
        <v>292</v>
      </c>
      <c r="P237">
        <v>1</v>
      </c>
      <c r="Q237" s="80" t="str">
        <f>REPLACE(INDEX(GroupVertices[Group],MATCH(Edges[[#This Row],[Vertex 1]],GroupVertices[Vertex],0)),1,1,"")</f>
        <v>1</v>
      </c>
      <c r="R237" s="80" t="str">
        <f>REPLACE(INDEX(GroupVertices[Group],MATCH(Edges[[#This Row],[Vertex 2]],GroupVertices[Vertex],0)),1,1,"")</f>
        <v>1</v>
      </c>
      <c r="S237" s="35"/>
      <c r="T237" s="35"/>
      <c r="U237" s="35"/>
      <c r="V237" s="35"/>
      <c r="W237" s="35"/>
      <c r="X237" s="35"/>
      <c r="Y237" s="35"/>
      <c r="Z237" s="35"/>
      <c r="AA237" s="35"/>
    </row>
    <row r="238" spans="1:27" ht="15">
      <c r="A238" s="65" t="s">
        <v>235</v>
      </c>
      <c r="B238" s="65" t="s">
        <v>218</v>
      </c>
      <c r="C238" s="66" t="s">
        <v>2113</v>
      </c>
      <c r="D238" s="67">
        <v>3</v>
      </c>
      <c r="E238" s="68"/>
      <c r="F238" s="69">
        <v>40</v>
      </c>
      <c r="G238" s="66"/>
      <c r="H238" s="70"/>
      <c r="I238" s="71"/>
      <c r="J238" s="71"/>
      <c r="K238" s="35" t="s">
        <v>65</v>
      </c>
      <c r="L238" s="79">
        <v>238</v>
      </c>
      <c r="M238" s="79"/>
      <c r="N238" s="73"/>
      <c r="O238" s="81" t="s">
        <v>292</v>
      </c>
      <c r="P238">
        <v>1</v>
      </c>
      <c r="Q238" s="80" t="str">
        <f>REPLACE(INDEX(GroupVertices[Group],MATCH(Edges[[#This Row],[Vertex 1]],GroupVertices[Vertex],0)),1,1,"")</f>
        <v>1</v>
      </c>
      <c r="R238" s="80" t="str">
        <f>REPLACE(INDEX(GroupVertices[Group],MATCH(Edges[[#This Row],[Vertex 2]],GroupVertices[Vertex],0)),1,1,"")</f>
        <v>1</v>
      </c>
      <c r="S238" s="35"/>
      <c r="T238" s="35"/>
      <c r="U238" s="35"/>
      <c r="V238" s="35"/>
      <c r="W238" s="35"/>
      <c r="X238" s="35"/>
      <c r="Y238" s="35"/>
      <c r="Z238" s="35"/>
      <c r="AA238" s="35"/>
    </row>
    <row r="239" spans="1:27" ht="15">
      <c r="A239" s="65" t="s">
        <v>250</v>
      </c>
      <c r="B239" s="65" t="s">
        <v>218</v>
      </c>
      <c r="C239" s="66" t="s">
        <v>2113</v>
      </c>
      <c r="D239" s="67">
        <v>3</v>
      </c>
      <c r="E239" s="68"/>
      <c r="F239" s="69">
        <v>40</v>
      </c>
      <c r="G239" s="66"/>
      <c r="H239" s="70"/>
      <c r="I239" s="71"/>
      <c r="J239" s="71"/>
      <c r="K239" s="35" t="s">
        <v>65</v>
      </c>
      <c r="L239" s="79">
        <v>239</v>
      </c>
      <c r="M239" s="79"/>
      <c r="N239" s="73"/>
      <c r="O239" s="81" t="s">
        <v>292</v>
      </c>
      <c r="P239">
        <v>1</v>
      </c>
      <c r="Q239" s="80" t="str">
        <f>REPLACE(INDEX(GroupVertices[Group],MATCH(Edges[[#This Row],[Vertex 1]],GroupVertices[Vertex],0)),1,1,"")</f>
        <v>3</v>
      </c>
      <c r="R239" s="80" t="str">
        <f>REPLACE(INDEX(GroupVertices[Group],MATCH(Edges[[#This Row],[Vertex 2]],GroupVertices[Vertex],0)),1,1,"")</f>
        <v>1</v>
      </c>
      <c r="S239" s="35"/>
      <c r="T239" s="35"/>
      <c r="U239" s="35"/>
      <c r="V239" s="35"/>
      <c r="W239" s="35"/>
      <c r="X239" s="35"/>
      <c r="Y239" s="35"/>
      <c r="Z239" s="35"/>
      <c r="AA239" s="35"/>
    </row>
    <row r="240" spans="1:27" ht="15">
      <c r="A240" s="65" t="s">
        <v>247</v>
      </c>
      <c r="B240" s="65" t="s">
        <v>218</v>
      </c>
      <c r="C240" s="66" t="s">
        <v>2113</v>
      </c>
      <c r="D240" s="67">
        <v>3</v>
      </c>
      <c r="E240" s="68"/>
      <c r="F240" s="69">
        <v>40</v>
      </c>
      <c r="G240" s="66"/>
      <c r="H240" s="70"/>
      <c r="I240" s="71"/>
      <c r="J240" s="71"/>
      <c r="K240" s="35" t="s">
        <v>65</v>
      </c>
      <c r="L240" s="79">
        <v>240</v>
      </c>
      <c r="M240" s="79"/>
      <c r="N240" s="73"/>
      <c r="O240" s="81" t="s">
        <v>293</v>
      </c>
      <c r="P240">
        <v>1</v>
      </c>
      <c r="Q240" s="80" t="str">
        <f>REPLACE(INDEX(GroupVertices[Group],MATCH(Edges[[#This Row],[Vertex 1]],GroupVertices[Vertex],0)),1,1,"")</f>
        <v>1</v>
      </c>
      <c r="R240" s="80" t="str">
        <f>REPLACE(INDEX(GroupVertices[Group],MATCH(Edges[[#This Row],[Vertex 2]],GroupVertices[Vertex],0)),1,1,"")</f>
        <v>1</v>
      </c>
      <c r="S240" s="35"/>
      <c r="T240" s="35"/>
      <c r="U240" s="35"/>
      <c r="V240" s="35"/>
      <c r="W240" s="35"/>
      <c r="X240" s="35"/>
      <c r="Y240" s="35"/>
      <c r="Z240" s="35"/>
      <c r="AA240" s="35"/>
    </row>
    <row r="241" spans="1:27" ht="15">
      <c r="A241" s="65" t="s">
        <v>219</v>
      </c>
      <c r="B241" s="65" t="s">
        <v>216</v>
      </c>
      <c r="C241" s="66" t="s">
        <v>2113</v>
      </c>
      <c r="D241" s="67">
        <v>3</v>
      </c>
      <c r="E241" s="68"/>
      <c r="F241" s="69">
        <v>40</v>
      </c>
      <c r="G241" s="66"/>
      <c r="H241" s="70"/>
      <c r="I241" s="71"/>
      <c r="J241" s="71"/>
      <c r="K241" s="35" t="s">
        <v>65</v>
      </c>
      <c r="L241" s="79">
        <v>241</v>
      </c>
      <c r="M241" s="79"/>
      <c r="N241" s="73"/>
      <c r="O241" s="81" t="s">
        <v>292</v>
      </c>
      <c r="P241">
        <v>1</v>
      </c>
      <c r="Q241" s="80" t="str">
        <f>REPLACE(INDEX(GroupVertices[Group],MATCH(Edges[[#This Row],[Vertex 1]],GroupVertices[Vertex],0)),1,1,"")</f>
        <v>1</v>
      </c>
      <c r="R241" s="80" t="str">
        <f>REPLACE(INDEX(GroupVertices[Group],MATCH(Edges[[#This Row],[Vertex 2]],GroupVertices[Vertex],0)),1,1,"")</f>
        <v>1</v>
      </c>
      <c r="S241" s="35"/>
      <c r="T241" s="35"/>
      <c r="U241" s="35"/>
      <c r="V241" s="35"/>
      <c r="W241" s="35"/>
      <c r="X241" s="35"/>
      <c r="Y241" s="35"/>
      <c r="Z241" s="35"/>
      <c r="AA241" s="35"/>
    </row>
    <row r="242" spans="1:27" ht="15">
      <c r="A242" s="65" t="s">
        <v>221</v>
      </c>
      <c r="B242" s="65" t="s">
        <v>219</v>
      </c>
      <c r="C242" s="66" t="s">
        <v>2113</v>
      </c>
      <c r="D242" s="67">
        <v>3</v>
      </c>
      <c r="E242" s="68"/>
      <c r="F242" s="69">
        <v>40</v>
      </c>
      <c r="G242" s="66"/>
      <c r="H242" s="70"/>
      <c r="I242" s="71"/>
      <c r="J242" s="71"/>
      <c r="K242" s="35" t="s">
        <v>65</v>
      </c>
      <c r="L242" s="79">
        <v>242</v>
      </c>
      <c r="M242" s="79"/>
      <c r="N242" s="73"/>
      <c r="O242" s="81" t="s">
        <v>292</v>
      </c>
      <c r="P242">
        <v>1</v>
      </c>
      <c r="Q242" s="80" t="str">
        <f>REPLACE(INDEX(GroupVertices[Group],MATCH(Edges[[#This Row],[Vertex 1]],GroupVertices[Vertex],0)),1,1,"")</f>
        <v>1</v>
      </c>
      <c r="R242" s="80" t="str">
        <f>REPLACE(INDEX(GroupVertices[Group],MATCH(Edges[[#This Row],[Vertex 2]],GroupVertices[Vertex],0)),1,1,"")</f>
        <v>1</v>
      </c>
      <c r="S242" s="35"/>
      <c r="T242" s="35"/>
      <c r="U242" s="35"/>
      <c r="V242" s="35"/>
      <c r="W242" s="35"/>
      <c r="X242" s="35"/>
      <c r="Y242" s="35"/>
      <c r="Z242" s="35"/>
      <c r="AA242" s="35"/>
    </row>
    <row r="243" spans="1:27" ht="15">
      <c r="A243" s="65" t="s">
        <v>222</v>
      </c>
      <c r="B243" s="65" t="s">
        <v>219</v>
      </c>
      <c r="C243" s="66" t="s">
        <v>2113</v>
      </c>
      <c r="D243" s="67">
        <v>3</v>
      </c>
      <c r="E243" s="68"/>
      <c r="F243" s="69">
        <v>40</v>
      </c>
      <c r="G243" s="66"/>
      <c r="H243" s="70"/>
      <c r="I243" s="71"/>
      <c r="J243" s="71"/>
      <c r="K243" s="35" t="s">
        <v>65</v>
      </c>
      <c r="L243" s="79">
        <v>243</v>
      </c>
      <c r="M243" s="79"/>
      <c r="N243" s="73"/>
      <c r="O243" s="81" t="s">
        <v>292</v>
      </c>
      <c r="P243">
        <v>1</v>
      </c>
      <c r="Q243" s="80" t="str">
        <f>REPLACE(INDEX(GroupVertices[Group],MATCH(Edges[[#This Row],[Vertex 1]],GroupVertices[Vertex],0)),1,1,"")</f>
        <v>1</v>
      </c>
      <c r="R243" s="80" t="str">
        <f>REPLACE(INDEX(GroupVertices[Group],MATCH(Edges[[#This Row],[Vertex 2]],GroupVertices[Vertex],0)),1,1,"")</f>
        <v>1</v>
      </c>
      <c r="S243" s="35"/>
      <c r="T243" s="35"/>
      <c r="U243" s="35"/>
      <c r="V243" s="35"/>
      <c r="W243" s="35"/>
      <c r="X243" s="35"/>
      <c r="Y243" s="35"/>
      <c r="Z243" s="35"/>
      <c r="AA243" s="35"/>
    </row>
    <row r="244" spans="1:27" ht="15">
      <c r="A244" s="65" t="s">
        <v>223</v>
      </c>
      <c r="B244" s="65" t="s">
        <v>219</v>
      </c>
      <c r="C244" s="66" t="s">
        <v>2113</v>
      </c>
      <c r="D244" s="67">
        <v>3</v>
      </c>
      <c r="E244" s="68"/>
      <c r="F244" s="69">
        <v>40</v>
      </c>
      <c r="G244" s="66"/>
      <c r="H244" s="70"/>
      <c r="I244" s="71"/>
      <c r="J244" s="71"/>
      <c r="K244" s="35" t="s">
        <v>65</v>
      </c>
      <c r="L244" s="79">
        <v>244</v>
      </c>
      <c r="M244" s="79"/>
      <c r="N244" s="73"/>
      <c r="O244" s="81" t="s">
        <v>292</v>
      </c>
      <c r="P244">
        <v>1</v>
      </c>
      <c r="Q244" s="80" t="str">
        <f>REPLACE(INDEX(GroupVertices[Group],MATCH(Edges[[#This Row],[Vertex 1]],GroupVertices[Vertex],0)),1,1,"")</f>
        <v>1</v>
      </c>
      <c r="R244" s="80" t="str">
        <f>REPLACE(INDEX(GroupVertices[Group],MATCH(Edges[[#This Row],[Vertex 2]],GroupVertices[Vertex],0)),1,1,"")</f>
        <v>1</v>
      </c>
      <c r="S244" s="35"/>
      <c r="T244" s="35"/>
      <c r="U244" s="35"/>
      <c r="V244" s="35"/>
      <c r="W244" s="35"/>
      <c r="X244" s="35"/>
      <c r="Y244" s="35"/>
      <c r="Z244" s="35"/>
      <c r="AA244" s="35"/>
    </row>
    <row r="245" spans="1:27" ht="15">
      <c r="A245" s="65" t="s">
        <v>224</v>
      </c>
      <c r="B245" s="65" t="s">
        <v>219</v>
      </c>
      <c r="C245" s="66" t="s">
        <v>2113</v>
      </c>
      <c r="D245" s="67">
        <v>3</v>
      </c>
      <c r="E245" s="68"/>
      <c r="F245" s="69">
        <v>40</v>
      </c>
      <c r="G245" s="66"/>
      <c r="H245" s="70"/>
      <c r="I245" s="71"/>
      <c r="J245" s="71"/>
      <c r="K245" s="35" t="s">
        <v>65</v>
      </c>
      <c r="L245" s="79">
        <v>245</v>
      </c>
      <c r="M245" s="79"/>
      <c r="N245" s="73"/>
      <c r="O245" s="81" t="s">
        <v>292</v>
      </c>
      <c r="P245">
        <v>1</v>
      </c>
      <c r="Q245" s="80" t="str">
        <f>REPLACE(INDEX(GroupVertices[Group],MATCH(Edges[[#This Row],[Vertex 1]],GroupVertices[Vertex],0)),1,1,"")</f>
        <v>1</v>
      </c>
      <c r="R245" s="80" t="str">
        <f>REPLACE(INDEX(GroupVertices[Group],MATCH(Edges[[#This Row],[Vertex 2]],GroupVertices[Vertex],0)),1,1,"")</f>
        <v>1</v>
      </c>
      <c r="S245" s="35"/>
      <c r="T245" s="35"/>
      <c r="U245" s="35"/>
      <c r="V245" s="35"/>
      <c r="W245" s="35"/>
      <c r="X245" s="35"/>
      <c r="Y245" s="35"/>
      <c r="Z245" s="35"/>
      <c r="AA245" s="35"/>
    </row>
    <row r="246" spans="1:27" ht="15">
      <c r="A246" s="65" t="s">
        <v>240</v>
      </c>
      <c r="B246" s="65" t="s">
        <v>219</v>
      </c>
      <c r="C246" s="66" t="s">
        <v>2113</v>
      </c>
      <c r="D246" s="67">
        <v>3</v>
      </c>
      <c r="E246" s="68"/>
      <c r="F246" s="69">
        <v>40</v>
      </c>
      <c r="G246" s="66"/>
      <c r="H246" s="70"/>
      <c r="I246" s="71"/>
      <c r="J246" s="71"/>
      <c r="K246" s="35" t="s">
        <v>65</v>
      </c>
      <c r="L246" s="79">
        <v>246</v>
      </c>
      <c r="M246" s="79"/>
      <c r="N246" s="73"/>
      <c r="O246" s="81" t="s">
        <v>292</v>
      </c>
      <c r="P246">
        <v>1</v>
      </c>
      <c r="Q246" s="80" t="str">
        <f>REPLACE(INDEX(GroupVertices[Group],MATCH(Edges[[#This Row],[Vertex 1]],GroupVertices[Vertex],0)),1,1,"")</f>
        <v>1</v>
      </c>
      <c r="R246" s="80" t="str">
        <f>REPLACE(INDEX(GroupVertices[Group],MATCH(Edges[[#This Row],[Vertex 2]],GroupVertices[Vertex],0)),1,1,"")</f>
        <v>1</v>
      </c>
      <c r="S246" s="35"/>
      <c r="T246" s="35"/>
      <c r="U246" s="35"/>
      <c r="V246" s="35"/>
      <c r="W246" s="35"/>
      <c r="X246" s="35"/>
      <c r="Y246" s="35"/>
      <c r="Z246" s="35"/>
      <c r="AA246" s="35"/>
    </row>
    <row r="247" spans="1:27" ht="15">
      <c r="A247" s="65" t="s">
        <v>226</v>
      </c>
      <c r="B247" s="65" t="s">
        <v>219</v>
      </c>
      <c r="C247" s="66" t="s">
        <v>2113</v>
      </c>
      <c r="D247" s="67">
        <v>3</v>
      </c>
      <c r="E247" s="68"/>
      <c r="F247" s="69">
        <v>40</v>
      </c>
      <c r="G247" s="66"/>
      <c r="H247" s="70"/>
      <c r="I247" s="71"/>
      <c r="J247" s="71"/>
      <c r="K247" s="35" t="s">
        <v>65</v>
      </c>
      <c r="L247" s="79">
        <v>247</v>
      </c>
      <c r="M247" s="79"/>
      <c r="N247" s="73"/>
      <c r="O247" s="81" t="s">
        <v>292</v>
      </c>
      <c r="P247">
        <v>1</v>
      </c>
      <c r="Q247" s="80" t="str">
        <f>REPLACE(INDEX(GroupVertices[Group],MATCH(Edges[[#This Row],[Vertex 1]],GroupVertices[Vertex],0)),1,1,"")</f>
        <v>1</v>
      </c>
      <c r="R247" s="80" t="str">
        <f>REPLACE(INDEX(GroupVertices[Group],MATCH(Edges[[#This Row],[Vertex 2]],GroupVertices[Vertex],0)),1,1,"")</f>
        <v>1</v>
      </c>
      <c r="S247" s="35"/>
      <c r="T247" s="35"/>
      <c r="U247" s="35"/>
      <c r="V247" s="35"/>
      <c r="W247" s="35"/>
      <c r="X247" s="35"/>
      <c r="Y247" s="35"/>
      <c r="Z247" s="35"/>
      <c r="AA247" s="35"/>
    </row>
    <row r="248" spans="1:27" ht="15">
      <c r="A248" s="65" t="s">
        <v>227</v>
      </c>
      <c r="B248" s="65" t="s">
        <v>219</v>
      </c>
      <c r="C248" s="66" t="s">
        <v>2113</v>
      </c>
      <c r="D248" s="67">
        <v>3</v>
      </c>
      <c r="E248" s="68"/>
      <c r="F248" s="69">
        <v>40</v>
      </c>
      <c r="G248" s="66"/>
      <c r="H248" s="70"/>
      <c r="I248" s="71"/>
      <c r="J248" s="71"/>
      <c r="K248" s="35" t="s">
        <v>65</v>
      </c>
      <c r="L248" s="79">
        <v>248</v>
      </c>
      <c r="M248" s="79"/>
      <c r="N248" s="73"/>
      <c r="O248" s="81" t="s">
        <v>292</v>
      </c>
      <c r="P248">
        <v>1</v>
      </c>
      <c r="Q248" s="80" t="str">
        <f>REPLACE(INDEX(GroupVertices[Group],MATCH(Edges[[#This Row],[Vertex 1]],GroupVertices[Vertex],0)),1,1,"")</f>
        <v>1</v>
      </c>
      <c r="R248" s="80" t="str">
        <f>REPLACE(INDEX(GroupVertices[Group],MATCH(Edges[[#This Row],[Vertex 2]],GroupVertices[Vertex],0)),1,1,"")</f>
        <v>1</v>
      </c>
      <c r="S248" s="35"/>
      <c r="T248" s="35"/>
      <c r="U248" s="35"/>
      <c r="V248" s="35"/>
      <c r="W248" s="35"/>
      <c r="X248" s="35"/>
      <c r="Y248" s="35"/>
      <c r="Z248" s="35"/>
      <c r="AA248" s="35"/>
    </row>
    <row r="249" spans="1:27" ht="15">
      <c r="A249" s="65" t="s">
        <v>241</v>
      </c>
      <c r="B249" s="65" t="s">
        <v>219</v>
      </c>
      <c r="C249" s="66" t="s">
        <v>2113</v>
      </c>
      <c r="D249" s="67">
        <v>3</v>
      </c>
      <c r="E249" s="68"/>
      <c r="F249" s="69">
        <v>40</v>
      </c>
      <c r="G249" s="66"/>
      <c r="H249" s="70"/>
      <c r="I249" s="71"/>
      <c r="J249" s="71"/>
      <c r="K249" s="35" t="s">
        <v>65</v>
      </c>
      <c r="L249" s="79">
        <v>249</v>
      </c>
      <c r="M249" s="79"/>
      <c r="N249" s="73"/>
      <c r="O249" s="81" t="s">
        <v>292</v>
      </c>
      <c r="P249">
        <v>1</v>
      </c>
      <c r="Q249" s="80" t="str">
        <f>REPLACE(INDEX(GroupVertices[Group],MATCH(Edges[[#This Row],[Vertex 1]],GroupVertices[Vertex],0)),1,1,"")</f>
        <v>1</v>
      </c>
      <c r="R249" s="80" t="str">
        <f>REPLACE(INDEX(GroupVertices[Group],MATCH(Edges[[#This Row],[Vertex 2]],GroupVertices[Vertex],0)),1,1,"")</f>
        <v>1</v>
      </c>
      <c r="S249" s="35"/>
      <c r="T249" s="35"/>
      <c r="U249" s="35"/>
      <c r="V249" s="35"/>
      <c r="W249" s="35"/>
      <c r="X249" s="35"/>
      <c r="Y249" s="35"/>
      <c r="Z249" s="35"/>
      <c r="AA249" s="35"/>
    </row>
    <row r="250" spans="1:27" ht="15">
      <c r="A250" s="65" t="s">
        <v>228</v>
      </c>
      <c r="B250" s="65" t="s">
        <v>219</v>
      </c>
      <c r="C250" s="66" t="s">
        <v>2113</v>
      </c>
      <c r="D250" s="67">
        <v>3</v>
      </c>
      <c r="E250" s="68"/>
      <c r="F250" s="69">
        <v>40</v>
      </c>
      <c r="G250" s="66"/>
      <c r="H250" s="70"/>
      <c r="I250" s="71"/>
      <c r="J250" s="71"/>
      <c r="K250" s="35" t="s">
        <v>65</v>
      </c>
      <c r="L250" s="79">
        <v>250</v>
      </c>
      <c r="M250" s="79"/>
      <c r="N250" s="73"/>
      <c r="O250" s="81" t="s">
        <v>292</v>
      </c>
      <c r="P250">
        <v>1</v>
      </c>
      <c r="Q250" s="80" t="str">
        <f>REPLACE(INDEX(GroupVertices[Group],MATCH(Edges[[#This Row],[Vertex 1]],GroupVertices[Vertex],0)),1,1,"")</f>
        <v>1</v>
      </c>
      <c r="R250" s="80" t="str">
        <f>REPLACE(INDEX(GroupVertices[Group],MATCH(Edges[[#This Row],[Vertex 2]],GroupVertices[Vertex],0)),1,1,"")</f>
        <v>1</v>
      </c>
      <c r="S250" s="35"/>
      <c r="T250" s="35"/>
      <c r="U250" s="35"/>
      <c r="V250" s="35"/>
      <c r="W250" s="35"/>
      <c r="X250" s="35"/>
      <c r="Y250" s="35"/>
      <c r="Z250" s="35"/>
      <c r="AA250" s="35"/>
    </row>
    <row r="251" spans="1:27" ht="15">
      <c r="A251" s="65" t="s">
        <v>229</v>
      </c>
      <c r="B251" s="65" t="s">
        <v>219</v>
      </c>
      <c r="C251" s="66" t="s">
        <v>2113</v>
      </c>
      <c r="D251" s="67">
        <v>3</v>
      </c>
      <c r="E251" s="68"/>
      <c r="F251" s="69">
        <v>40</v>
      </c>
      <c r="G251" s="66"/>
      <c r="H251" s="70"/>
      <c r="I251" s="71"/>
      <c r="J251" s="71"/>
      <c r="K251" s="35" t="s">
        <v>65</v>
      </c>
      <c r="L251" s="79">
        <v>251</v>
      </c>
      <c r="M251" s="79"/>
      <c r="N251" s="73"/>
      <c r="O251" s="81" t="s">
        <v>292</v>
      </c>
      <c r="P251">
        <v>1</v>
      </c>
      <c r="Q251" s="80" t="str">
        <f>REPLACE(INDEX(GroupVertices[Group],MATCH(Edges[[#This Row],[Vertex 1]],GroupVertices[Vertex],0)),1,1,"")</f>
        <v>1</v>
      </c>
      <c r="R251" s="80" t="str">
        <f>REPLACE(INDEX(GroupVertices[Group],MATCH(Edges[[#This Row],[Vertex 2]],GroupVertices[Vertex],0)),1,1,"")</f>
        <v>1</v>
      </c>
      <c r="S251" s="35"/>
      <c r="T251" s="35"/>
      <c r="U251" s="35"/>
      <c r="V251" s="35"/>
      <c r="W251" s="35"/>
      <c r="X251" s="35"/>
      <c r="Y251" s="35"/>
      <c r="Z251" s="35"/>
      <c r="AA251" s="35"/>
    </row>
    <row r="252" spans="1:27" ht="15">
      <c r="A252" s="65" t="s">
        <v>230</v>
      </c>
      <c r="B252" s="65" t="s">
        <v>219</v>
      </c>
      <c r="C252" s="66" t="s">
        <v>2113</v>
      </c>
      <c r="D252" s="67">
        <v>3</v>
      </c>
      <c r="E252" s="68"/>
      <c r="F252" s="69">
        <v>40</v>
      </c>
      <c r="G252" s="66"/>
      <c r="H252" s="70"/>
      <c r="I252" s="71"/>
      <c r="J252" s="71"/>
      <c r="K252" s="35" t="s">
        <v>65</v>
      </c>
      <c r="L252" s="79">
        <v>252</v>
      </c>
      <c r="M252" s="79"/>
      <c r="N252" s="73"/>
      <c r="O252" s="81" t="s">
        <v>292</v>
      </c>
      <c r="P252">
        <v>1</v>
      </c>
      <c r="Q252" s="80" t="str">
        <f>REPLACE(INDEX(GroupVertices[Group],MATCH(Edges[[#This Row],[Vertex 1]],GroupVertices[Vertex],0)),1,1,"")</f>
        <v>1</v>
      </c>
      <c r="R252" s="80" t="str">
        <f>REPLACE(INDEX(GroupVertices[Group],MATCH(Edges[[#This Row],[Vertex 2]],GroupVertices[Vertex],0)),1,1,"")</f>
        <v>1</v>
      </c>
      <c r="S252" s="35"/>
      <c r="T252" s="35"/>
      <c r="U252" s="35"/>
      <c r="V252" s="35"/>
      <c r="W252" s="35"/>
      <c r="X252" s="35"/>
      <c r="Y252" s="35"/>
      <c r="Z252" s="35"/>
      <c r="AA252" s="35"/>
    </row>
    <row r="253" spans="1:27" ht="15">
      <c r="A253" s="65" t="s">
        <v>231</v>
      </c>
      <c r="B253" s="65" t="s">
        <v>219</v>
      </c>
      <c r="C253" s="66" t="s">
        <v>2113</v>
      </c>
      <c r="D253" s="67">
        <v>3</v>
      </c>
      <c r="E253" s="68"/>
      <c r="F253" s="69">
        <v>40</v>
      </c>
      <c r="G253" s="66"/>
      <c r="H253" s="70"/>
      <c r="I253" s="71"/>
      <c r="J253" s="71"/>
      <c r="K253" s="35" t="s">
        <v>65</v>
      </c>
      <c r="L253" s="79">
        <v>253</v>
      </c>
      <c r="M253" s="79"/>
      <c r="N253" s="73"/>
      <c r="O253" s="81" t="s">
        <v>292</v>
      </c>
      <c r="P253">
        <v>1</v>
      </c>
      <c r="Q253" s="80" t="str">
        <f>REPLACE(INDEX(GroupVertices[Group],MATCH(Edges[[#This Row],[Vertex 1]],GroupVertices[Vertex],0)),1,1,"")</f>
        <v>1</v>
      </c>
      <c r="R253" s="80" t="str">
        <f>REPLACE(INDEX(GroupVertices[Group],MATCH(Edges[[#This Row],[Vertex 2]],GroupVertices[Vertex],0)),1,1,"")</f>
        <v>1</v>
      </c>
      <c r="S253" s="35"/>
      <c r="T253" s="35"/>
      <c r="U253" s="35"/>
      <c r="V253" s="35"/>
      <c r="W253" s="35"/>
      <c r="X253" s="35"/>
      <c r="Y253" s="35"/>
      <c r="Z253" s="35"/>
      <c r="AA253" s="35"/>
    </row>
    <row r="254" spans="1:27" ht="15">
      <c r="A254" s="65" t="s">
        <v>238</v>
      </c>
      <c r="B254" s="65" t="s">
        <v>219</v>
      </c>
      <c r="C254" s="66" t="s">
        <v>2113</v>
      </c>
      <c r="D254" s="67">
        <v>3</v>
      </c>
      <c r="E254" s="68"/>
      <c r="F254" s="69">
        <v>40</v>
      </c>
      <c r="G254" s="66"/>
      <c r="H254" s="70"/>
      <c r="I254" s="71"/>
      <c r="J254" s="71"/>
      <c r="K254" s="35" t="s">
        <v>65</v>
      </c>
      <c r="L254" s="79">
        <v>254</v>
      </c>
      <c r="M254" s="79"/>
      <c r="N254" s="73"/>
      <c r="O254" s="81" t="s">
        <v>292</v>
      </c>
      <c r="P254">
        <v>1</v>
      </c>
      <c r="Q254" s="80" t="str">
        <f>REPLACE(INDEX(GroupVertices[Group],MATCH(Edges[[#This Row],[Vertex 1]],GroupVertices[Vertex],0)),1,1,"")</f>
        <v>4</v>
      </c>
      <c r="R254" s="80" t="str">
        <f>REPLACE(INDEX(GroupVertices[Group],MATCH(Edges[[#This Row],[Vertex 2]],GroupVertices[Vertex],0)),1,1,"")</f>
        <v>1</v>
      </c>
      <c r="S254" s="35"/>
      <c r="T254" s="35"/>
      <c r="U254" s="35"/>
      <c r="V254" s="35"/>
      <c r="W254" s="35"/>
      <c r="X254" s="35"/>
      <c r="Y254" s="35"/>
      <c r="Z254" s="35"/>
      <c r="AA254" s="35"/>
    </row>
    <row r="255" spans="1:27" ht="15">
      <c r="A255" s="65" t="s">
        <v>242</v>
      </c>
      <c r="B255" s="65" t="s">
        <v>219</v>
      </c>
      <c r="C255" s="66" t="s">
        <v>2113</v>
      </c>
      <c r="D255" s="67">
        <v>3</v>
      </c>
      <c r="E255" s="68"/>
      <c r="F255" s="69">
        <v>40</v>
      </c>
      <c r="G255" s="66"/>
      <c r="H255" s="70"/>
      <c r="I255" s="71"/>
      <c r="J255" s="71"/>
      <c r="K255" s="35" t="s">
        <v>65</v>
      </c>
      <c r="L255" s="79">
        <v>255</v>
      </c>
      <c r="M255" s="79"/>
      <c r="N255" s="73"/>
      <c r="O255" s="81" t="s">
        <v>292</v>
      </c>
      <c r="P255">
        <v>1</v>
      </c>
      <c r="Q255" s="80" t="str">
        <f>REPLACE(INDEX(GroupVertices[Group],MATCH(Edges[[#This Row],[Vertex 1]],GroupVertices[Vertex],0)),1,1,"")</f>
        <v>1</v>
      </c>
      <c r="R255" s="80" t="str">
        <f>REPLACE(INDEX(GroupVertices[Group],MATCH(Edges[[#This Row],[Vertex 2]],GroupVertices[Vertex],0)),1,1,"")</f>
        <v>1</v>
      </c>
      <c r="S255" s="35"/>
      <c r="T255" s="35"/>
      <c r="U255" s="35"/>
      <c r="V255" s="35"/>
      <c r="W255" s="35"/>
      <c r="X255" s="35"/>
      <c r="Y255" s="35"/>
      <c r="Z255" s="35"/>
      <c r="AA255" s="35"/>
    </row>
    <row r="256" spans="1:27" ht="15">
      <c r="A256" s="65" t="s">
        <v>232</v>
      </c>
      <c r="B256" s="65" t="s">
        <v>219</v>
      </c>
      <c r="C256" s="66" t="s">
        <v>2113</v>
      </c>
      <c r="D256" s="67">
        <v>3</v>
      </c>
      <c r="E256" s="68"/>
      <c r="F256" s="69">
        <v>40</v>
      </c>
      <c r="G256" s="66"/>
      <c r="H256" s="70"/>
      <c r="I256" s="71"/>
      <c r="J256" s="71"/>
      <c r="K256" s="35" t="s">
        <v>65</v>
      </c>
      <c r="L256" s="79">
        <v>256</v>
      </c>
      <c r="M256" s="79"/>
      <c r="N256" s="73"/>
      <c r="O256" s="81" t="s">
        <v>292</v>
      </c>
      <c r="P256">
        <v>1</v>
      </c>
      <c r="Q256" s="80" t="str">
        <f>REPLACE(INDEX(GroupVertices[Group],MATCH(Edges[[#This Row],[Vertex 1]],GroupVertices[Vertex],0)),1,1,"")</f>
        <v>2</v>
      </c>
      <c r="R256" s="80" t="str">
        <f>REPLACE(INDEX(GroupVertices[Group],MATCH(Edges[[#This Row],[Vertex 2]],GroupVertices[Vertex],0)),1,1,"")</f>
        <v>1</v>
      </c>
      <c r="S256" s="35"/>
      <c r="T256" s="35"/>
      <c r="U256" s="35"/>
      <c r="V256" s="35"/>
      <c r="W256" s="35"/>
      <c r="X256" s="35"/>
      <c r="Y256" s="35"/>
      <c r="Z256" s="35"/>
      <c r="AA256" s="35"/>
    </row>
    <row r="257" spans="1:27" ht="15">
      <c r="A257" s="65" t="s">
        <v>233</v>
      </c>
      <c r="B257" s="65" t="s">
        <v>219</v>
      </c>
      <c r="C257" s="66" t="s">
        <v>2113</v>
      </c>
      <c r="D257" s="67">
        <v>3</v>
      </c>
      <c r="E257" s="68"/>
      <c r="F257" s="69">
        <v>40</v>
      </c>
      <c r="G257" s="66"/>
      <c r="H257" s="70"/>
      <c r="I257" s="71"/>
      <c r="J257" s="71"/>
      <c r="K257" s="35" t="s">
        <v>65</v>
      </c>
      <c r="L257" s="79">
        <v>257</v>
      </c>
      <c r="M257" s="79"/>
      <c r="N257" s="73"/>
      <c r="O257" s="81" t="s">
        <v>292</v>
      </c>
      <c r="P257">
        <v>1</v>
      </c>
      <c r="Q257" s="80" t="str">
        <f>REPLACE(INDEX(GroupVertices[Group],MATCH(Edges[[#This Row],[Vertex 1]],GroupVertices[Vertex],0)),1,1,"")</f>
        <v>1</v>
      </c>
      <c r="R257" s="80" t="str">
        <f>REPLACE(INDEX(GroupVertices[Group],MATCH(Edges[[#This Row],[Vertex 2]],GroupVertices[Vertex],0)),1,1,"")</f>
        <v>1</v>
      </c>
      <c r="S257" s="35"/>
      <c r="T257" s="35"/>
      <c r="U257" s="35"/>
      <c r="V257" s="35"/>
      <c r="W257" s="35"/>
      <c r="X257" s="35"/>
      <c r="Y257" s="35"/>
      <c r="Z257" s="35"/>
      <c r="AA257" s="35"/>
    </row>
    <row r="258" spans="1:27" ht="15">
      <c r="A258" s="65" t="s">
        <v>234</v>
      </c>
      <c r="B258" s="65" t="s">
        <v>219</v>
      </c>
      <c r="C258" s="66" t="s">
        <v>2113</v>
      </c>
      <c r="D258" s="67">
        <v>3</v>
      </c>
      <c r="E258" s="68"/>
      <c r="F258" s="69">
        <v>40</v>
      </c>
      <c r="G258" s="66"/>
      <c r="H258" s="70"/>
      <c r="I258" s="71"/>
      <c r="J258" s="71"/>
      <c r="K258" s="35" t="s">
        <v>65</v>
      </c>
      <c r="L258" s="79">
        <v>258</v>
      </c>
      <c r="M258" s="79"/>
      <c r="N258" s="73"/>
      <c r="O258" s="81" t="s">
        <v>292</v>
      </c>
      <c r="P258">
        <v>1</v>
      </c>
      <c r="Q258" s="80" t="str">
        <f>REPLACE(INDEX(GroupVertices[Group],MATCH(Edges[[#This Row],[Vertex 1]],GroupVertices[Vertex],0)),1,1,"")</f>
        <v>1</v>
      </c>
      <c r="R258" s="80" t="str">
        <f>REPLACE(INDEX(GroupVertices[Group],MATCH(Edges[[#This Row],[Vertex 2]],GroupVertices[Vertex],0)),1,1,"")</f>
        <v>1</v>
      </c>
      <c r="S258" s="35"/>
      <c r="T258" s="35"/>
      <c r="U258" s="35"/>
      <c r="V258" s="35"/>
      <c r="W258" s="35"/>
      <c r="X258" s="35"/>
      <c r="Y258" s="35"/>
      <c r="Z258" s="35"/>
      <c r="AA258" s="35"/>
    </row>
    <row r="259" spans="1:27" ht="15">
      <c r="A259" s="65" t="s">
        <v>235</v>
      </c>
      <c r="B259" s="65" t="s">
        <v>219</v>
      </c>
      <c r="C259" s="66" t="s">
        <v>2113</v>
      </c>
      <c r="D259" s="67">
        <v>3</v>
      </c>
      <c r="E259" s="68"/>
      <c r="F259" s="69">
        <v>40</v>
      </c>
      <c r="G259" s="66"/>
      <c r="H259" s="70"/>
      <c r="I259" s="71"/>
      <c r="J259" s="71"/>
      <c r="K259" s="35" t="s">
        <v>65</v>
      </c>
      <c r="L259" s="79">
        <v>259</v>
      </c>
      <c r="M259" s="79"/>
      <c r="N259" s="73"/>
      <c r="O259" s="81" t="s">
        <v>292</v>
      </c>
      <c r="P259">
        <v>1</v>
      </c>
      <c r="Q259" s="80" t="str">
        <f>REPLACE(INDEX(GroupVertices[Group],MATCH(Edges[[#This Row],[Vertex 1]],GroupVertices[Vertex],0)),1,1,"")</f>
        <v>1</v>
      </c>
      <c r="R259" s="80" t="str">
        <f>REPLACE(INDEX(GroupVertices[Group],MATCH(Edges[[#This Row],[Vertex 2]],GroupVertices[Vertex],0)),1,1,"")</f>
        <v>1</v>
      </c>
      <c r="S259" s="35"/>
      <c r="T259" s="35"/>
      <c r="U259" s="35"/>
      <c r="V259" s="35"/>
      <c r="W259" s="35"/>
      <c r="X259" s="35"/>
      <c r="Y259" s="35"/>
      <c r="Z259" s="35"/>
      <c r="AA259" s="35"/>
    </row>
    <row r="260" spans="1:27" ht="15">
      <c r="A260" s="65" t="s">
        <v>247</v>
      </c>
      <c r="B260" s="65" t="s">
        <v>219</v>
      </c>
      <c r="C260" s="66" t="s">
        <v>2113</v>
      </c>
      <c r="D260" s="67">
        <v>3</v>
      </c>
      <c r="E260" s="68"/>
      <c r="F260" s="69">
        <v>40</v>
      </c>
      <c r="G260" s="66"/>
      <c r="H260" s="70"/>
      <c r="I260" s="71"/>
      <c r="J260" s="71"/>
      <c r="K260" s="35" t="s">
        <v>65</v>
      </c>
      <c r="L260" s="79">
        <v>260</v>
      </c>
      <c r="M260" s="79"/>
      <c r="N260" s="73"/>
      <c r="O260" s="81" t="s">
        <v>293</v>
      </c>
      <c r="P260">
        <v>1</v>
      </c>
      <c r="Q260" s="80" t="str">
        <f>REPLACE(INDEX(GroupVertices[Group],MATCH(Edges[[#This Row],[Vertex 1]],GroupVertices[Vertex],0)),1,1,"")</f>
        <v>1</v>
      </c>
      <c r="R260" s="80" t="str">
        <f>REPLACE(INDEX(GroupVertices[Group],MATCH(Edges[[#This Row],[Vertex 2]],GroupVertices[Vertex],0)),1,1,"")</f>
        <v>1</v>
      </c>
      <c r="S260" s="35"/>
      <c r="T260" s="35"/>
      <c r="U260" s="35"/>
      <c r="V260" s="35"/>
      <c r="W260" s="35"/>
      <c r="X260" s="35"/>
      <c r="Y260" s="35"/>
      <c r="Z260" s="35"/>
      <c r="AA260" s="35"/>
    </row>
    <row r="261" spans="1:27" ht="15">
      <c r="A261" s="65" t="s">
        <v>247</v>
      </c>
      <c r="B261" s="65" t="s">
        <v>216</v>
      </c>
      <c r="C261" s="66" t="s">
        <v>2113</v>
      </c>
      <c r="D261" s="67">
        <v>3</v>
      </c>
      <c r="E261" s="68"/>
      <c r="F261" s="69">
        <v>40</v>
      </c>
      <c r="G261" s="66"/>
      <c r="H261" s="70"/>
      <c r="I261" s="71"/>
      <c r="J261" s="71"/>
      <c r="K261" s="35" t="s">
        <v>65</v>
      </c>
      <c r="L261" s="79">
        <v>261</v>
      </c>
      <c r="M261" s="79"/>
      <c r="N261" s="73"/>
      <c r="O261" s="81" t="s">
        <v>293</v>
      </c>
      <c r="P261">
        <v>1</v>
      </c>
      <c r="Q261" s="80" t="str">
        <f>REPLACE(INDEX(GroupVertices[Group],MATCH(Edges[[#This Row],[Vertex 1]],GroupVertices[Vertex],0)),1,1,"")</f>
        <v>1</v>
      </c>
      <c r="R261" s="80" t="str">
        <f>REPLACE(INDEX(GroupVertices[Group],MATCH(Edges[[#This Row],[Vertex 2]],GroupVertices[Vertex],0)),1,1,"")</f>
        <v>1</v>
      </c>
      <c r="S261" s="35"/>
      <c r="T261" s="35"/>
      <c r="U261" s="35"/>
      <c r="V261" s="35"/>
      <c r="W261" s="35"/>
      <c r="X261" s="35"/>
      <c r="Y261" s="35"/>
      <c r="Z261" s="35"/>
      <c r="AA261" s="35"/>
    </row>
    <row r="262" spans="1:27" ht="15">
      <c r="A262" s="65" t="s">
        <v>247</v>
      </c>
      <c r="B262" s="65" t="s">
        <v>237</v>
      </c>
      <c r="C262" s="66" t="s">
        <v>2113</v>
      </c>
      <c r="D262" s="67">
        <v>3</v>
      </c>
      <c r="E262" s="68"/>
      <c r="F262" s="69">
        <v>40</v>
      </c>
      <c r="G262" s="66"/>
      <c r="H262" s="70"/>
      <c r="I262" s="71"/>
      <c r="J262" s="71"/>
      <c r="K262" s="35" t="s">
        <v>65</v>
      </c>
      <c r="L262" s="79">
        <v>262</v>
      </c>
      <c r="M262" s="79"/>
      <c r="N262" s="73"/>
      <c r="O262" s="81" t="s">
        <v>293</v>
      </c>
      <c r="P262">
        <v>1</v>
      </c>
      <c r="Q262" s="80" t="str">
        <f>REPLACE(INDEX(GroupVertices[Group],MATCH(Edges[[#This Row],[Vertex 1]],GroupVertices[Vertex],0)),1,1,"")</f>
        <v>1</v>
      </c>
      <c r="R262" s="80" t="str">
        <f>REPLACE(INDEX(GroupVertices[Group],MATCH(Edges[[#This Row],[Vertex 2]],GroupVertices[Vertex],0)),1,1,"")</f>
        <v>4</v>
      </c>
      <c r="S262" s="35"/>
      <c r="T262" s="35"/>
      <c r="U262" s="35"/>
      <c r="V262" s="35"/>
      <c r="W262" s="35"/>
      <c r="X262" s="35"/>
      <c r="Y262" s="35"/>
      <c r="Z262" s="35"/>
      <c r="AA262" s="35"/>
    </row>
    <row r="263" spans="1:27" ht="15">
      <c r="A263" s="65" t="s">
        <v>247</v>
      </c>
      <c r="B263" s="65" t="s">
        <v>226</v>
      </c>
      <c r="C263" s="66" t="s">
        <v>2113</v>
      </c>
      <c r="D263" s="67">
        <v>3</v>
      </c>
      <c r="E263" s="68"/>
      <c r="F263" s="69">
        <v>40</v>
      </c>
      <c r="G263" s="66"/>
      <c r="H263" s="70"/>
      <c r="I263" s="71"/>
      <c r="J263" s="71"/>
      <c r="K263" s="35" t="s">
        <v>65</v>
      </c>
      <c r="L263" s="79">
        <v>263</v>
      </c>
      <c r="M263" s="79"/>
      <c r="N263" s="73"/>
      <c r="O263" s="81" t="s">
        <v>293</v>
      </c>
      <c r="P263">
        <v>1</v>
      </c>
      <c r="Q263" s="80" t="str">
        <f>REPLACE(INDEX(GroupVertices[Group],MATCH(Edges[[#This Row],[Vertex 1]],GroupVertices[Vertex],0)),1,1,"")</f>
        <v>1</v>
      </c>
      <c r="R263" s="80" t="str">
        <f>REPLACE(INDEX(GroupVertices[Group],MATCH(Edges[[#This Row],[Vertex 2]],GroupVertices[Vertex],0)),1,1,"")</f>
        <v>1</v>
      </c>
      <c r="S263" s="35"/>
      <c r="T263" s="35"/>
      <c r="U263" s="35"/>
      <c r="V263" s="35"/>
      <c r="W263" s="35"/>
      <c r="X263" s="35"/>
      <c r="Y263" s="35"/>
      <c r="Z263" s="35"/>
      <c r="AA263" s="35"/>
    </row>
    <row r="264" spans="1:27" ht="15">
      <c r="A264" s="65" t="s">
        <v>247</v>
      </c>
      <c r="B264" s="65" t="s">
        <v>230</v>
      </c>
      <c r="C264" s="66" t="s">
        <v>2113</v>
      </c>
      <c r="D264" s="67">
        <v>3</v>
      </c>
      <c r="E264" s="68"/>
      <c r="F264" s="69">
        <v>40</v>
      </c>
      <c r="G264" s="66"/>
      <c r="H264" s="70"/>
      <c r="I264" s="71"/>
      <c r="J264" s="71"/>
      <c r="K264" s="35" t="s">
        <v>65</v>
      </c>
      <c r="L264" s="79">
        <v>264</v>
      </c>
      <c r="M264" s="79"/>
      <c r="N264" s="73"/>
      <c r="O264" s="81" t="s">
        <v>293</v>
      </c>
      <c r="P264">
        <v>1</v>
      </c>
      <c r="Q264" s="80" t="str">
        <f>REPLACE(INDEX(GroupVertices[Group],MATCH(Edges[[#This Row],[Vertex 1]],GroupVertices[Vertex],0)),1,1,"")</f>
        <v>1</v>
      </c>
      <c r="R264" s="80" t="str">
        <f>REPLACE(INDEX(GroupVertices[Group],MATCH(Edges[[#This Row],[Vertex 2]],GroupVertices[Vertex],0)),1,1,"")</f>
        <v>1</v>
      </c>
      <c r="S264" s="35"/>
      <c r="T264" s="35"/>
      <c r="U264" s="35"/>
      <c r="V264" s="35"/>
      <c r="W264" s="35"/>
      <c r="X264" s="35"/>
      <c r="Y264" s="35"/>
      <c r="Z264" s="35"/>
      <c r="AA264" s="35"/>
    </row>
    <row r="265" spans="1:27" ht="15">
      <c r="A265" s="65" t="s">
        <v>247</v>
      </c>
      <c r="B265" s="65" t="s">
        <v>235</v>
      </c>
      <c r="C265" s="66" t="s">
        <v>2113</v>
      </c>
      <c r="D265" s="67">
        <v>3</v>
      </c>
      <c r="E265" s="68"/>
      <c r="F265" s="69">
        <v>40</v>
      </c>
      <c r="G265" s="66"/>
      <c r="H265" s="70"/>
      <c r="I265" s="71"/>
      <c r="J265" s="71"/>
      <c r="K265" s="35" t="s">
        <v>65</v>
      </c>
      <c r="L265" s="79">
        <v>265</v>
      </c>
      <c r="M265" s="79"/>
      <c r="N265" s="73"/>
      <c r="O265" s="81" t="s">
        <v>293</v>
      </c>
      <c r="P265">
        <v>1</v>
      </c>
      <c r="Q265" s="80" t="str">
        <f>REPLACE(INDEX(GroupVertices[Group],MATCH(Edges[[#This Row],[Vertex 1]],GroupVertices[Vertex],0)),1,1,"")</f>
        <v>1</v>
      </c>
      <c r="R265" s="80" t="str">
        <f>REPLACE(INDEX(GroupVertices[Group],MATCH(Edges[[#This Row],[Vertex 2]],GroupVertices[Vertex],0)),1,1,"")</f>
        <v>1</v>
      </c>
      <c r="S265" s="35"/>
      <c r="T265" s="35"/>
      <c r="U265" s="35"/>
      <c r="V265" s="35"/>
      <c r="W265" s="35"/>
      <c r="X265" s="35"/>
      <c r="Y265" s="35"/>
      <c r="Z265" s="35"/>
      <c r="AA265" s="35"/>
    </row>
    <row r="266" spans="1:27" ht="15">
      <c r="A266" s="65" t="s">
        <v>247</v>
      </c>
      <c r="B266" s="65" t="s">
        <v>221</v>
      </c>
      <c r="C266" s="66" t="s">
        <v>2113</v>
      </c>
      <c r="D266" s="67">
        <v>3</v>
      </c>
      <c r="E266" s="68"/>
      <c r="F266" s="69">
        <v>40</v>
      </c>
      <c r="G266" s="66"/>
      <c r="H266" s="70"/>
      <c r="I266" s="71"/>
      <c r="J266" s="71"/>
      <c r="K266" s="35" t="s">
        <v>65</v>
      </c>
      <c r="L266" s="79">
        <v>266</v>
      </c>
      <c r="M266" s="79"/>
      <c r="N266" s="73"/>
      <c r="O266" s="81" t="s">
        <v>293</v>
      </c>
      <c r="P266">
        <v>1</v>
      </c>
      <c r="Q266" s="80" t="str">
        <f>REPLACE(INDEX(GroupVertices[Group],MATCH(Edges[[#This Row],[Vertex 1]],GroupVertices[Vertex],0)),1,1,"")</f>
        <v>1</v>
      </c>
      <c r="R266" s="80" t="str">
        <f>REPLACE(INDEX(GroupVertices[Group],MATCH(Edges[[#This Row],[Vertex 2]],GroupVertices[Vertex],0)),1,1,"")</f>
        <v>1</v>
      </c>
      <c r="S266" s="35"/>
      <c r="T266" s="35"/>
      <c r="U266" s="35"/>
      <c r="V266" s="35"/>
      <c r="W266" s="35"/>
      <c r="X266" s="35"/>
      <c r="Y266" s="35"/>
      <c r="Z266" s="35"/>
      <c r="AA266" s="35"/>
    </row>
    <row r="267" spans="1:27" ht="15">
      <c r="A267" s="65" t="s">
        <v>247</v>
      </c>
      <c r="B267" s="65" t="s">
        <v>243</v>
      </c>
      <c r="C267" s="66" t="s">
        <v>2113</v>
      </c>
      <c r="D267" s="67">
        <v>3</v>
      </c>
      <c r="E267" s="68"/>
      <c r="F267" s="69">
        <v>40</v>
      </c>
      <c r="G267" s="66"/>
      <c r="H267" s="70"/>
      <c r="I267" s="71"/>
      <c r="J267" s="71"/>
      <c r="K267" s="35" t="s">
        <v>65</v>
      </c>
      <c r="L267" s="79">
        <v>267</v>
      </c>
      <c r="M267" s="79"/>
      <c r="N267" s="73"/>
      <c r="O267" s="81" t="s">
        <v>293</v>
      </c>
      <c r="P267">
        <v>1</v>
      </c>
      <c r="Q267" s="80" t="str">
        <f>REPLACE(INDEX(GroupVertices[Group],MATCH(Edges[[#This Row],[Vertex 1]],GroupVertices[Vertex],0)),1,1,"")</f>
        <v>1</v>
      </c>
      <c r="R267" s="80" t="str">
        <f>REPLACE(INDEX(GroupVertices[Group],MATCH(Edges[[#This Row],[Vertex 2]],GroupVertices[Vertex],0)),1,1,"")</f>
        <v>1</v>
      </c>
      <c r="S267" s="35"/>
      <c r="T267" s="35"/>
      <c r="U267" s="35"/>
      <c r="V267" s="35"/>
      <c r="W267" s="35"/>
      <c r="X267" s="35"/>
      <c r="Y267" s="35"/>
      <c r="Z267" s="35"/>
      <c r="AA267" s="35"/>
    </row>
    <row r="268" spans="1:27" ht="15">
      <c r="A268" s="65" t="s">
        <v>247</v>
      </c>
      <c r="B268" s="65" t="s">
        <v>222</v>
      </c>
      <c r="C268" s="66" t="s">
        <v>2113</v>
      </c>
      <c r="D268" s="67">
        <v>3</v>
      </c>
      <c r="E268" s="68"/>
      <c r="F268" s="69">
        <v>40</v>
      </c>
      <c r="G268" s="66"/>
      <c r="H268" s="70"/>
      <c r="I268" s="71"/>
      <c r="J268" s="71"/>
      <c r="K268" s="35" t="s">
        <v>65</v>
      </c>
      <c r="L268" s="79">
        <v>268</v>
      </c>
      <c r="M268" s="79"/>
      <c r="N268" s="73"/>
      <c r="O268" s="81" t="s">
        <v>293</v>
      </c>
      <c r="P268">
        <v>1</v>
      </c>
      <c r="Q268" s="80" t="str">
        <f>REPLACE(INDEX(GroupVertices[Group],MATCH(Edges[[#This Row],[Vertex 1]],GroupVertices[Vertex],0)),1,1,"")</f>
        <v>1</v>
      </c>
      <c r="R268" s="80" t="str">
        <f>REPLACE(INDEX(GroupVertices[Group],MATCH(Edges[[#This Row],[Vertex 2]],GroupVertices[Vertex],0)),1,1,"")</f>
        <v>1</v>
      </c>
      <c r="S268" s="35"/>
      <c r="T268" s="35"/>
      <c r="U268" s="35"/>
      <c r="V268" s="35"/>
      <c r="W268" s="35"/>
      <c r="X268" s="35"/>
      <c r="Y268" s="35"/>
      <c r="Z268" s="35"/>
      <c r="AA268" s="35"/>
    </row>
    <row r="269" spans="1:27" ht="15">
      <c r="A269" s="65" t="s">
        <v>247</v>
      </c>
      <c r="B269" s="65" t="s">
        <v>231</v>
      </c>
      <c r="C269" s="66" t="s">
        <v>2113</v>
      </c>
      <c r="D269" s="67">
        <v>3</v>
      </c>
      <c r="E269" s="68"/>
      <c r="F269" s="69">
        <v>40</v>
      </c>
      <c r="G269" s="66"/>
      <c r="H269" s="70"/>
      <c r="I269" s="71"/>
      <c r="J269" s="71"/>
      <c r="K269" s="35" t="s">
        <v>65</v>
      </c>
      <c r="L269" s="79">
        <v>269</v>
      </c>
      <c r="M269" s="79"/>
      <c r="N269" s="73"/>
      <c r="O269" s="81" t="s">
        <v>293</v>
      </c>
      <c r="P269">
        <v>1</v>
      </c>
      <c r="Q269" s="80" t="str">
        <f>REPLACE(INDEX(GroupVertices[Group],MATCH(Edges[[#This Row],[Vertex 1]],GroupVertices[Vertex],0)),1,1,"")</f>
        <v>1</v>
      </c>
      <c r="R269" s="80" t="str">
        <f>REPLACE(INDEX(GroupVertices[Group],MATCH(Edges[[#This Row],[Vertex 2]],GroupVertices[Vertex],0)),1,1,"")</f>
        <v>1</v>
      </c>
      <c r="S269" s="35"/>
      <c r="T269" s="35"/>
      <c r="U269" s="35"/>
      <c r="V269" s="35"/>
      <c r="W269" s="35"/>
      <c r="X269" s="35"/>
      <c r="Y269" s="35"/>
      <c r="Z269" s="35"/>
      <c r="AA269" s="35"/>
    </row>
    <row r="270" spans="1:27" ht="15">
      <c r="A270" s="65" t="s">
        <v>252</v>
      </c>
      <c r="B270" s="65" t="s">
        <v>280</v>
      </c>
      <c r="C270" s="66" t="s">
        <v>2113</v>
      </c>
      <c r="D270" s="67">
        <v>3</v>
      </c>
      <c r="E270" s="68"/>
      <c r="F270" s="69">
        <v>40</v>
      </c>
      <c r="G270" s="66"/>
      <c r="H270" s="70"/>
      <c r="I270" s="71"/>
      <c r="J270" s="71"/>
      <c r="K270" s="35" t="s">
        <v>65</v>
      </c>
      <c r="L270" s="79">
        <v>270</v>
      </c>
      <c r="M270" s="79"/>
      <c r="N270" s="73"/>
      <c r="O270" s="81" t="s">
        <v>293</v>
      </c>
      <c r="P270">
        <v>1</v>
      </c>
      <c r="Q270" s="80" t="str">
        <f>REPLACE(INDEX(GroupVertices[Group],MATCH(Edges[[#This Row],[Vertex 1]],GroupVertices[Vertex],0)),1,1,"")</f>
        <v>4</v>
      </c>
      <c r="R270" s="80" t="str">
        <f>REPLACE(INDEX(GroupVertices[Group],MATCH(Edges[[#This Row],[Vertex 2]],GroupVertices[Vertex],0)),1,1,"")</f>
        <v>4</v>
      </c>
      <c r="S270" s="35"/>
      <c r="T270" s="35"/>
      <c r="U270" s="35"/>
      <c r="V270" s="35"/>
      <c r="W270" s="35"/>
      <c r="X270" s="35"/>
      <c r="Y270" s="35"/>
      <c r="Z270" s="35"/>
      <c r="AA270" s="35"/>
    </row>
    <row r="271" spans="1:27" ht="15">
      <c r="A271" s="65" t="s">
        <v>252</v>
      </c>
      <c r="B271" s="65" t="s">
        <v>281</v>
      </c>
      <c r="C271" s="66" t="s">
        <v>2113</v>
      </c>
      <c r="D271" s="67">
        <v>3</v>
      </c>
      <c r="E271" s="68"/>
      <c r="F271" s="69">
        <v>40</v>
      </c>
      <c r="G271" s="66"/>
      <c r="H271" s="70"/>
      <c r="I271" s="71"/>
      <c r="J271" s="71"/>
      <c r="K271" s="35" t="s">
        <v>65</v>
      </c>
      <c r="L271" s="79">
        <v>271</v>
      </c>
      <c r="M271" s="79"/>
      <c r="N271" s="73"/>
      <c r="O271" s="81" t="s">
        <v>293</v>
      </c>
      <c r="P271">
        <v>1</v>
      </c>
      <c r="Q271" s="80" t="str">
        <f>REPLACE(INDEX(GroupVertices[Group],MATCH(Edges[[#This Row],[Vertex 1]],GroupVertices[Vertex],0)),1,1,"")</f>
        <v>4</v>
      </c>
      <c r="R271" s="80" t="str">
        <f>REPLACE(INDEX(GroupVertices[Group],MATCH(Edges[[#This Row],[Vertex 2]],GroupVertices[Vertex],0)),1,1,"")</f>
        <v>4</v>
      </c>
      <c r="S271" s="35"/>
      <c r="T271" s="35"/>
      <c r="U271" s="35"/>
      <c r="V271" s="35"/>
      <c r="W271" s="35"/>
      <c r="X271" s="35"/>
      <c r="Y271" s="35"/>
      <c r="Z271" s="35"/>
      <c r="AA271" s="35"/>
    </row>
    <row r="272" spans="1:27" ht="15">
      <c r="A272" s="65" t="s">
        <v>252</v>
      </c>
      <c r="B272" s="65" t="s">
        <v>282</v>
      </c>
      <c r="C272" s="66" t="s">
        <v>2113</v>
      </c>
      <c r="D272" s="67">
        <v>3</v>
      </c>
      <c r="E272" s="68"/>
      <c r="F272" s="69">
        <v>40</v>
      </c>
      <c r="G272" s="66"/>
      <c r="H272" s="70"/>
      <c r="I272" s="71"/>
      <c r="J272" s="71"/>
      <c r="K272" s="35" t="s">
        <v>65</v>
      </c>
      <c r="L272" s="79">
        <v>272</v>
      </c>
      <c r="M272" s="79"/>
      <c r="N272" s="73"/>
      <c r="O272" s="81" t="s">
        <v>293</v>
      </c>
      <c r="P272">
        <v>1</v>
      </c>
      <c r="Q272" s="80" t="str">
        <f>REPLACE(INDEX(GroupVertices[Group],MATCH(Edges[[#This Row],[Vertex 1]],GroupVertices[Vertex],0)),1,1,"")</f>
        <v>4</v>
      </c>
      <c r="R272" s="80" t="str">
        <f>REPLACE(INDEX(GroupVertices[Group],MATCH(Edges[[#This Row],[Vertex 2]],GroupVertices[Vertex],0)),1,1,"")</f>
        <v>4</v>
      </c>
      <c r="S272" s="35"/>
      <c r="T272" s="35"/>
      <c r="U272" s="35"/>
      <c r="V272" s="35"/>
      <c r="W272" s="35"/>
      <c r="X272" s="35"/>
      <c r="Y272" s="35"/>
      <c r="Z272" s="35"/>
      <c r="AA272" s="35"/>
    </row>
    <row r="273" spans="1:27" ht="15">
      <c r="A273" s="65" t="s">
        <v>253</v>
      </c>
      <c r="B273" s="65" t="s">
        <v>283</v>
      </c>
      <c r="C273" s="66" t="s">
        <v>2113</v>
      </c>
      <c r="D273" s="67">
        <v>3</v>
      </c>
      <c r="E273" s="68"/>
      <c r="F273" s="69">
        <v>40</v>
      </c>
      <c r="G273" s="66"/>
      <c r="H273" s="70"/>
      <c r="I273" s="71"/>
      <c r="J273" s="71"/>
      <c r="K273" s="35" t="s">
        <v>65</v>
      </c>
      <c r="L273" s="79">
        <v>273</v>
      </c>
      <c r="M273" s="79"/>
      <c r="N273" s="73"/>
      <c r="O273" s="81" t="s">
        <v>292</v>
      </c>
      <c r="P273">
        <v>1</v>
      </c>
      <c r="Q273" s="80" t="str">
        <f>REPLACE(INDEX(GroupVertices[Group],MATCH(Edges[[#This Row],[Vertex 1]],GroupVertices[Vertex],0)),1,1,"")</f>
        <v>4</v>
      </c>
      <c r="R273" s="80" t="str">
        <f>REPLACE(INDEX(GroupVertices[Group],MATCH(Edges[[#This Row],[Vertex 2]],GroupVertices[Vertex],0)),1,1,"")</f>
        <v>4</v>
      </c>
      <c r="S273" s="35"/>
      <c r="T273" s="35"/>
      <c r="U273" s="35"/>
      <c r="V273" s="35"/>
      <c r="W273" s="35"/>
      <c r="X273" s="35"/>
      <c r="Y273" s="35"/>
      <c r="Z273" s="35"/>
      <c r="AA273" s="35"/>
    </row>
    <row r="274" spans="1:27" ht="15">
      <c r="A274" s="65" t="s">
        <v>252</v>
      </c>
      <c r="B274" s="65" t="s">
        <v>283</v>
      </c>
      <c r="C274" s="66" t="s">
        <v>2113</v>
      </c>
      <c r="D274" s="67">
        <v>3</v>
      </c>
      <c r="E274" s="68"/>
      <c r="F274" s="69">
        <v>40</v>
      </c>
      <c r="G274" s="66"/>
      <c r="H274" s="70"/>
      <c r="I274" s="71"/>
      <c r="J274" s="71"/>
      <c r="K274" s="35" t="s">
        <v>65</v>
      </c>
      <c r="L274" s="79">
        <v>274</v>
      </c>
      <c r="M274" s="79"/>
      <c r="N274" s="73"/>
      <c r="O274" s="81" t="s">
        <v>293</v>
      </c>
      <c r="P274">
        <v>1</v>
      </c>
      <c r="Q274" s="80" t="str">
        <f>REPLACE(INDEX(GroupVertices[Group],MATCH(Edges[[#This Row],[Vertex 1]],GroupVertices[Vertex],0)),1,1,"")</f>
        <v>4</v>
      </c>
      <c r="R274" s="80" t="str">
        <f>REPLACE(INDEX(GroupVertices[Group],MATCH(Edges[[#This Row],[Vertex 2]],GroupVertices[Vertex],0)),1,1,"")</f>
        <v>4</v>
      </c>
      <c r="S274" s="35"/>
      <c r="T274" s="35"/>
      <c r="U274" s="35"/>
      <c r="V274" s="35"/>
      <c r="W274" s="35"/>
      <c r="X274" s="35"/>
      <c r="Y274" s="35"/>
      <c r="Z274" s="35"/>
      <c r="AA274" s="35"/>
    </row>
    <row r="275" spans="1:27" ht="15">
      <c r="A275" s="65" t="s">
        <v>252</v>
      </c>
      <c r="B275" s="65" t="s">
        <v>284</v>
      </c>
      <c r="C275" s="66" t="s">
        <v>2113</v>
      </c>
      <c r="D275" s="67">
        <v>3</v>
      </c>
      <c r="E275" s="68"/>
      <c r="F275" s="69">
        <v>40</v>
      </c>
      <c r="G275" s="66"/>
      <c r="H275" s="70"/>
      <c r="I275" s="71"/>
      <c r="J275" s="71"/>
      <c r="K275" s="35" t="s">
        <v>65</v>
      </c>
      <c r="L275" s="79">
        <v>275</v>
      </c>
      <c r="M275" s="79"/>
      <c r="N275" s="73"/>
      <c r="O275" s="81" t="s">
        <v>293</v>
      </c>
      <c r="P275">
        <v>1</v>
      </c>
      <c r="Q275" s="80" t="str">
        <f>REPLACE(INDEX(GroupVertices[Group],MATCH(Edges[[#This Row],[Vertex 1]],GroupVertices[Vertex],0)),1,1,"")</f>
        <v>4</v>
      </c>
      <c r="R275" s="80" t="str">
        <f>REPLACE(INDEX(GroupVertices[Group],MATCH(Edges[[#This Row],[Vertex 2]],GroupVertices[Vertex],0)),1,1,"")</f>
        <v>4</v>
      </c>
      <c r="S275" s="35"/>
      <c r="T275" s="35"/>
      <c r="U275" s="35"/>
      <c r="V275" s="35"/>
      <c r="W275" s="35"/>
      <c r="X275" s="35"/>
      <c r="Y275" s="35"/>
      <c r="Z275" s="35"/>
      <c r="AA275" s="35"/>
    </row>
    <row r="276" spans="1:27" ht="15">
      <c r="A276" s="65" t="s">
        <v>254</v>
      </c>
      <c r="B276" s="65" t="s">
        <v>249</v>
      </c>
      <c r="C276" s="66" t="s">
        <v>2113</v>
      </c>
      <c r="D276" s="67">
        <v>3</v>
      </c>
      <c r="E276" s="68"/>
      <c r="F276" s="69">
        <v>40</v>
      </c>
      <c r="G276" s="66"/>
      <c r="H276" s="70"/>
      <c r="I276" s="71"/>
      <c r="J276" s="71"/>
      <c r="K276" s="35" t="s">
        <v>65</v>
      </c>
      <c r="L276" s="79">
        <v>276</v>
      </c>
      <c r="M276" s="79"/>
      <c r="N276" s="73"/>
      <c r="O276" s="81" t="s">
        <v>292</v>
      </c>
      <c r="P276">
        <v>1</v>
      </c>
      <c r="Q276" s="80" t="str">
        <f>REPLACE(INDEX(GroupVertices[Group],MATCH(Edges[[#This Row],[Vertex 1]],GroupVertices[Vertex],0)),1,1,"")</f>
        <v>4</v>
      </c>
      <c r="R276" s="80" t="str">
        <f>REPLACE(INDEX(GroupVertices[Group],MATCH(Edges[[#This Row],[Vertex 2]],GroupVertices[Vertex],0)),1,1,"")</f>
        <v>4</v>
      </c>
      <c r="S276" s="35"/>
      <c r="T276" s="35"/>
      <c r="U276" s="35"/>
      <c r="V276" s="35"/>
      <c r="W276" s="35"/>
      <c r="X276" s="35"/>
      <c r="Y276" s="35"/>
      <c r="Z276" s="35"/>
      <c r="AA276" s="35"/>
    </row>
    <row r="277" spans="1:27" ht="15">
      <c r="A277" s="65" t="s">
        <v>255</v>
      </c>
      <c r="B277" s="65" t="s">
        <v>249</v>
      </c>
      <c r="C277" s="66" t="s">
        <v>2113</v>
      </c>
      <c r="D277" s="67">
        <v>3</v>
      </c>
      <c r="E277" s="68"/>
      <c r="F277" s="69">
        <v>40</v>
      </c>
      <c r="G277" s="66"/>
      <c r="H277" s="70"/>
      <c r="I277" s="71"/>
      <c r="J277" s="71"/>
      <c r="K277" s="35" t="s">
        <v>65</v>
      </c>
      <c r="L277" s="79">
        <v>277</v>
      </c>
      <c r="M277" s="79"/>
      <c r="N277" s="73"/>
      <c r="O277" s="81" t="s">
        <v>292</v>
      </c>
      <c r="P277">
        <v>1</v>
      </c>
      <c r="Q277" s="80" t="str">
        <f>REPLACE(INDEX(GroupVertices[Group],MATCH(Edges[[#This Row],[Vertex 1]],GroupVertices[Vertex],0)),1,1,"")</f>
        <v>4</v>
      </c>
      <c r="R277" s="80" t="str">
        <f>REPLACE(INDEX(GroupVertices[Group],MATCH(Edges[[#This Row],[Vertex 2]],GroupVertices[Vertex],0)),1,1,"")</f>
        <v>4</v>
      </c>
      <c r="S277" s="35"/>
      <c r="T277" s="35"/>
      <c r="U277" s="35"/>
      <c r="V277" s="35"/>
      <c r="W277" s="35"/>
      <c r="X277" s="35"/>
      <c r="Y277" s="35"/>
      <c r="Z277" s="35"/>
      <c r="AA277" s="35"/>
    </row>
    <row r="278" spans="1:27" ht="15">
      <c r="A278" s="65" t="s">
        <v>240</v>
      </c>
      <c r="B278" s="65" t="s">
        <v>249</v>
      </c>
      <c r="C278" s="66" t="s">
        <v>2113</v>
      </c>
      <c r="D278" s="67">
        <v>3</v>
      </c>
      <c r="E278" s="68"/>
      <c r="F278" s="69">
        <v>40</v>
      </c>
      <c r="G278" s="66"/>
      <c r="H278" s="70"/>
      <c r="I278" s="71"/>
      <c r="J278" s="71"/>
      <c r="K278" s="35" t="s">
        <v>65</v>
      </c>
      <c r="L278" s="79">
        <v>278</v>
      </c>
      <c r="M278" s="79"/>
      <c r="N278" s="73"/>
      <c r="O278" s="81" t="s">
        <v>292</v>
      </c>
      <c r="P278">
        <v>1</v>
      </c>
      <c r="Q278" s="80" t="str">
        <f>REPLACE(INDEX(GroupVertices[Group],MATCH(Edges[[#This Row],[Vertex 1]],GroupVertices[Vertex],0)),1,1,"")</f>
        <v>1</v>
      </c>
      <c r="R278" s="80" t="str">
        <f>REPLACE(INDEX(GroupVertices[Group],MATCH(Edges[[#This Row],[Vertex 2]],GroupVertices[Vertex],0)),1,1,"")</f>
        <v>4</v>
      </c>
      <c r="S278" s="35"/>
      <c r="T278" s="35"/>
      <c r="U278" s="35"/>
      <c r="V278" s="35"/>
      <c r="W278" s="35"/>
      <c r="X278" s="35"/>
      <c r="Y278" s="35"/>
      <c r="Z278" s="35"/>
      <c r="AA278" s="35"/>
    </row>
    <row r="279" spans="1:27" ht="15">
      <c r="A279" s="65" t="s">
        <v>250</v>
      </c>
      <c r="B279" s="65" t="s">
        <v>249</v>
      </c>
      <c r="C279" s="66" t="s">
        <v>2113</v>
      </c>
      <c r="D279" s="67">
        <v>3</v>
      </c>
      <c r="E279" s="68"/>
      <c r="F279" s="69">
        <v>40</v>
      </c>
      <c r="G279" s="66"/>
      <c r="H279" s="70"/>
      <c r="I279" s="71"/>
      <c r="J279" s="71"/>
      <c r="K279" s="35" t="s">
        <v>65</v>
      </c>
      <c r="L279" s="79">
        <v>279</v>
      </c>
      <c r="M279" s="79"/>
      <c r="N279" s="73"/>
      <c r="O279" s="81" t="s">
        <v>292</v>
      </c>
      <c r="P279">
        <v>1</v>
      </c>
      <c r="Q279" s="80" t="str">
        <f>REPLACE(INDEX(GroupVertices[Group],MATCH(Edges[[#This Row],[Vertex 1]],GroupVertices[Vertex],0)),1,1,"")</f>
        <v>3</v>
      </c>
      <c r="R279" s="80" t="str">
        <f>REPLACE(INDEX(GroupVertices[Group],MATCH(Edges[[#This Row],[Vertex 2]],GroupVertices[Vertex],0)),1,1,"")</f>
        <v>4</v>
      </c>
      <c r="S279" s="35"/>
      <c r="T279" s="35"/>
      <c r="U279" s="35"/>
      <c r="V279" s="35"/>
      <c r="W279" s="35"/>
      <c r="X279" s="35"/>
      <c r="Y279" s="35"/>
      <c r="Z279" s="35"/>
      <c r="AA279" s="35"/>
    </row>
    <row r="280" spans="1:27" ht="15">
      <c r="A280" s="65" t="s">
        <v>252</v>
      </c>
      <c r="B280" s="65" t="s">
        <v>249</v>
      </c>
      <c r="C280" s="66" t="s">
        <v>2113</v>
      </c>
      <c r="D280" s="67">
        <v>3</v>
      </c>
      <c r="E280" s="68"/>
      <c r="F280" s="69">
        <v>40</v>
      </c>
      <c r="G280" s="66"/>
      <c r="H280" s="70"/>
      <c r="I280" s="71"/>
      <c r="J280" s="71"/>
      <c r="K280" s="35" t="s">
        <v>65</v>
      </c>
      <c r="L280" s="79">
        <v>280</v>
      </c>
      <c r="M280" s="79"/>
      <c r="N280" s="73"/>
      <c r="O280" s="81" t="s">
        <v>293</v>
      </c>
      <c r="P280">
        <v>1</v>
      </c>
      <c r="Q280" s="80" t="str">
        <f>REPLACE(INDEX(GroupVertices[Group],MATCH(Edges[[#This Row],[Vertex 1]],GroupVertices[Vertex],0)),1,1,"")</f>
        <v>4</v>
      </c>
      <c r="R280" s="80" t="str">
        <f>REPLACE(INDEX(GroupVertices[Group],MATCH(Edges[[#This Row],[Vertex 2]],GroupVertices[Vertex],0)),1,1,"")</f>
        <v>4</v>
      </c>
      <c r="S280" s="35"/>
      <c r="T280" s="35"/>
      <c r="U280" s="35"/>
      <c r="V280" s="35"/>
      <c r="W280" s="35"/>
      <c r="X280" s="35"/>
      <c r="Y280" s="35"/>
      <c r="Z280" s="35"/>
      <c r="AA280" s="35"/>
    </row>
    <row r="281" spans="1:27" ht="15">
      <c r="A281" s="65" t="s">
        <v>252</v>
      </c>
      <c r="B281" s="65" t="s">
        <v>237</v>
      </c>
      <c r="C281" s="66" t="s">
        <v>2113</v>
      </c>
      <c r="D281" s="67">
        <v>3</v>
      </c>
      <c r="E281" s="68"/>
      <c r="F281" s="69">
        <v>40</v>
      </c>
      <c r="G281" s="66"/>
      <c r="H281" s="70"/>
      <c r="I281" s="71"/>
      <c r="J281" s="71"/>
      <c r="K281" s="35" t="s">
        <v>65</v>
      </c>
      <c r="L281" s="79">
        <v>281</v>
      </c>
      <c r="M281" s="79"/>
      <c r="N281" s="73"/>
      <c r="O281" s="81" t="s">
        <v>293</v>
      </c>
      <c r="P281">
        <v>1</v>
      </c>
      <c r="Q281" s="80" t="str">
        <f>REPLACE(INDEX(GroupVertices[Group],MATCH(Edges[[#This Row],[Vertex 1]],GroupVertices[Vertex],0)),1,1,"")</f>
        <v>4</v>
      </c>
      <c r="R281" s="80" t="str">
        <f>REPLACE(INDEX(GroupVertices[Group],MATCH(Edges[[#This Row],[Vertex 2]],GroupVertices[Vertex],0)),1,1,"")</f>
        <v>4</v>
      </c>
      <c r="S281" s="35"/>
      <c r="T281" s="35"/>
      <c r="U281" s="35"/>
      <c r="V281" s="35"/>
      <c r="W281" s="35"/>
      <c r="X281" s="35"/>
      <c r="Y281" s="35"/>
      <c r="Z281" s="35"/>
      <c r="AA281" s="35"/>
    </row>
    <row r="282" spans="1:27" ht="15">
      <c r="A282" s="65" t="s">
        <v>256</v>
      </c>
      <c r="B282" s="65" t="s">
        <v>285</v>
      </c>
      <c r="C282" s="66" t="s">
        <v>2113</v>
      </c>
      <c r="D282" s="67">
        <v>3</v>
      </c>
      <c r="E282" s="68"/>
      <c r="F282" s="69">
        <v>40</v>
      </c>
      <c r="G282" s="66"/>
      <c r="H282" s="70"/>
      <c r="I282" s="71"/>
      <c r="J282" s="71"/>
      <c r="K282" s="35" t="s">
        <v>65</v>
      </c>
      <c r="L282" s="79">
        <v>282</v>
      </c>
      <c r="M282" s="79"/>
      <c r="N282" s="73"/>
      <c r="O282" s="81" t="s">
        <v>292</v>
      </c>
      <c r="P282">
        <v>1</v>
      </c>
      <c r="Q282" s="80" t="str">
        <f>REPLACE(INDEX(GroupVertices[Group],MATCH(Edges[[#This Row],[Vertex 1]],GroupVertices[Vertex],0)),1,1,"")</f>
        <v>3</v>
      </c>
      <c r="R282" s="80" t="str">
        <f>REPLACE(INDEX(GroupVertices[Group],MATCH(Edges[[#This Row],[Vertex 2]],GroupVertices[Vertex],0)),1,1,"")</f>
        <v>3</v>
      </c>
      <c r="S282" s="35"/>
      <c r="T282" s="35"/>
      <c r="U282" s="35"/>
      <c r="V282" s="35"/>
      <c r="W282" s="35"/>
      <c r="X282" s="35"/>
      <c r="Y282" s="35"/>
      <c r="Z282" s="35"/>
      <c r="AA282" s="35"/>
    </row>
    <row r="283" spans="1:27" ht="15">
      <c r="A283" s="65" t="s">
        <v>257</v>
      </c>
      <c r="B283" s="65" t="s">
        <v>285</v>
      </c>
      <c r="C283" s="66" t="s">
        <v>2113</v>
      </c>
      <c r="D283" s="67">
        <v>3</v>
      </c>
      <c r="E283" s="68"/>
      <c r="F283" s="69">
        <v>40</v>
      </c>
      <c r="G283" s="66"/>
      <c r="H283" s="70"/>
      <c r="I283" s="71"/>
      <c r="J283" s="71"/>
      <c r="K283" s="35" t="s">
        <v>65</v>
      </c>
      <c r="L283" s="79">
        <v>283</v>
      </c>
      <c r="M283" s="79"/>
      <c r="N283" s="73"/>
      <c r="O283" s="81" t="s">
        <v>292</v>
      </c>
      <c r="P283">
        <v>1</v>
      </c>
      <c r="Q283" s="80" t="str">
        <f>REPLACE(INDEX(GroupVertices[Group],MATCH(Edges[[#This Row],[Vertex 1]],GroupVertices[Vertex],0)),1,1,"")</f>
        <v>3</v>
      </c>
      <c r="R283" s="80" t="str">
        <f>REPLACE(INDEX(GroupVertices[Group],MATCH(Edges[[#This Row],[Vertex 2]],GroupVertices[Vertex],0)),1,1,"")</f>
        <v>3</v>
      </c>
      <c r="S283" s="35"/>
      <c r="T283" s="35"/>
      <c r="U283" s="35"/>
      <c r="V283" s="35"/>
      <c r="W283" s="35"/>
      <c r="X283" s="35"/>
      <c r="Y283" s="35"/>
      <c r="Z283" s="35"/>
      <c r="AA283" s="35"/>
    </row>
    <row r="284" spans="1:27" ht="15">
      <c r="A284" s="65" t="s">
        <v>252</v>
      </c>
      <c r="B284" s="65" t="s">
        <v>285</v>
      </c>
      <c r="C284" s="66" t="s">
        <v>2113</v>
      </c>
      <c r="D284" s="67">
        <v>3</v>
      </c>
      <c r="E284" s="68"/>
      <c r="F284" s="69">
        <v>40</v>
      </c>
      <c r="G284" s="66"/>
      <c r="H284" s="70"/>
      <c r="I284" s="71"/>
      <c r="J284" s="71"/>
      <c r="K284" s="35" t="s">
        <v>65</v>
      </c>
      <c r="L284" s="79">
        <v>284</v>
      </c>
      <c r="M284" s="79"/>
      <c r="N284" s="73"/>
      <c r="O284" s="81" t="s">
        <v>293</v>
      </c>
      <c r="P284">
        <v>1</v>
      </c>
      <c r="Q284" s="80" t="str">
        <f>REPLACE(INDEX(GroupVertices[Group],MATCH(Edges[[#This Row],[Vertex 1]],GroupVertices[Vertex],0)),1,1,"")</f>
        <v>4</v>
      </c>
      <c r="R284" s="80" t="str">
        <f>REPLACE(INDEX(GroupVertices[Group],MATCH(Edges[[#This Row],[Vertex 2]],GroupVertices[Vertex],0)),1,1,"")</f>
        <v>3</v>
      </c>
      <c r="S284" s="35"/>
      <c r="T284" s="35"/>
      <c r="U284" s="35"/>
      <c r="V284" s="35"/>
      <c r="W284" s="35"/>
      <c r="X284" s="35"/>
      <c r="Y284" s="35"/>
      <c r="Z284" s="35"/>
      <c r="AA284" s="35"/>
    </row>
    <row r="285" spans="1:27" ht="15">
      <c r="A285" s="65" t="s">
        <v>252</v>
      </c>
      <c r="B285" s="65" t="s">
        <v>286</v>
      </c>
      <c r="C285" s="66" t="s">
        <v>2113</v>
      </c>
      <c r="D285" s="67">
        <v>3</v>
      </c>
      <c r="E285" s="68"/>
      <c r="F285" s="69">
        <v>40</v>
      </c>
      <c r="G285" s="66"/>
      <c r="H285" s="70"/>
      <c r="I285" s="71"/>
      <c r="J285" s="71"/>
      <c r="K285" s="35" t="s">
        <v>65</v>
      </c>
      <c r="L285" s="79">
        <v>285</v>
      </c>
      <c r="M285" s="79"/>
      <c r="N285" s="73"/>
      <c r="O285" s="81" t="s">
        <v>293</v>
      </c>
      <c r="P285">
        <v>1</v>
      </c>
      <c r="Q285" s="80" t="str">
        <f>REPLACE(INDEX(GroupVertices[Group],MATCH(Edges[[#This Row],[Vertex 1]],GroupVertices[Vertex],0)),1,1,"")</f>
        <v>4</v>
      </c>
      <c r="R285" s="80" t="str">
        <f>REPLACE(INDEX(GroupVertices[Group],MATCH(Edges[[#This Row],[Vertex 2]],GroupVertices[Vertex],0)),1,1,"")</f>
        <v>4</v>
      </c>
      <c r="S285" s="35"/>
      <c r="T285" s="35"/>
      <c r="U285" s="35"/>
      <c r="V285" s="35"/>
      <c r="W285" s="35"/>
      <c r="X285" s="35"/>
      <c r="Y285" s="35"/>
      <c r="Z285" s="35"/>
      <c r="AA285" s="35"/>
    </row>
    <row r="286" spans="1:27" ht="15">
      <c r="A286" s="65" t="s">
        <v>252</v>
      </c>
      <c r="B286" s="65" t="s">
        <v>254</v>
      </c>
      <c r="C286" s="66" t="s">
        <v>2113</v>
      </c>
      <c r="D286" s="67">
        <v>3</v>
      </c>
      <c r="E286" s="68"/>
      <c r="F286" s="69">
        <v>40</v>
      </c>
      <c r="G286" s="66"/>
      <c r="H286" s="70"/>
      <c r="I286" s="71"/>
      <c r="J286" s="71"/>
      <c r="K286" s="35" t="s">
        <v>65</v>
      </c>
      <c r="L286" s="79">
        <v>286</v>
      </c>
      <c r="M286" s="79"/>
      <c r="N286" s="73"/>
      <c r="O286" s="81" t="s">
        <v>293</v>
      </c>
      <c r="P286">
        <v>1</v>
      </c>
      <c r="Q286" s="80" t="str">
        <f>REPLACE(INDEX(GroupVertices[Group],MATCH(Edges[[#This Row],[Vertex 1]],GroupVertices[Vertex],0)),1,1,"")</f>
        <v>4</v>
      </c>
      <c r="R286" s="80" t="str">
        <f>REPLACE(INDEX(GroupVertices[Group],MATCH(Edges[[#This Row],[Vertex 2]],GroupVertices[Vertex],0)),1,1,"")</f>
        <v>4</v>
      </c>
      <c r="S286" s="35"/>
      <c r="T286" s="35"/>
      <c r="U286" s="35"/>
      <c r="V286" s="35"/>
      <c r="W286" s="35"/>
      <c r="X286" s="35"/>
      <c r="Y286" s="35"/>
      <c r="Z286" s="35"/>
      <c r="AA286" s="35"/>
    </row>
    <row r="287" spans="1:27" ht="15">
      <c r="A287" s="65" t="s">
        <v>220</v>
      </c>
      <c r="B287" s="65" t="s">
        <v>216</v>
      </c>
      <c r="C287" s="66" t="s">
        <v>2113</v>
      </c>
      <c r="D287" s="67">
        <v>3</v>
      </c>
      <c r="E287" s="68"/>
      <c r="F287" s="69">
        <v>40</v>
      </c>
      <c r="G287" s="66"/>
      <c r="H287" s="70"/>
      <c r="I287" s="71"/>
      <c r="J287" s="71"/>
      <c r="K287" s="35" t="s">
        <v>65</v>
      </c>
      <c r="L287" s="79">
        <v>287</v>
      </c>
      <c r="M287" s="79"/>
      <c r="N287" s="73"/>
      <c r="O287" s="81" t="s">
        <v>292</v>
      </c>
      <c r="P287">
        <v>1</v>
      </c>
      <c r="Q287" s="80" t="str">
        <f>REPLACE(INDEX(GroupVertices[Group],MATCH(Edges[[#This Row],[Vertex 1]],GroupVertices[Vertex],0)),1,1,"")</f>
        <v>1</v>
      </c>
      <c r="R287" s="80" t="str">
        <f>REPLACE(INDEX(GroupVertices[Group],MATCH(Edges[[#This Row],[Vertex 2]],GroupVertices[Vertex],0)),1,1,"")</f>
        <v>1</v>
      </c>
      <c r="S287" s="35"/>
      <c r="T287" s="35"/>
      <c r="U287" s="35"/>
      <c r="V287" s="35"/>
      <c r="W287" s="35"/>
      <c r="X287" s="35"/>
      <c r="Y287" s="35"/>
      <c r="Z287" s="35"/>
      <c r="AA287" s="35"/>
    </row>
    <row r="288" spans="1:27" ht="15">
      <c r="A288" s="65" t="s">
        <v>221</v>
      </c>
      <c r="B288" s="65" t="s">
        <v>220</v>
      </c>
      <c r="C288" s="66" t="s">
        <v>2113</v>
      </c>
      <c r="D288" s="67">
        <v>3</v>
      </c>
      <c r="E288" s="68"/>
      <c r="F288" s="69">
        <v>40</v>
      </c>
      <c r="G288" s="66"/>
      <c r="H288" s="70"/>
      <c r="I288" s="71"/>
      <c r="J288" s="71"/>
      <c r="K288" s="35" t="s">
        <v>65</v>
      </c>
      <c r="L288" s="79">
        <v>288</v>
      </c>
      <c r="M288" s="79"/>
      <c r="N288" s="73"/>
      <c r="O288" s="81" t="s">
        <v>292</v>
      </c>
      <c r="P288">
        <v>1</v>
      </c>
      <c r="Q288" s="80" t="str">
        <f>REPLACE(INDEX(GroupVertices[Group],MATCH(Edges[[#This Row],[Vertex 1]],GroupVertices[Vertex],0)),1,1,"")</f>
        <v>1</v>
      </c>
      <c r="R288" s="80" t="str">
        <f>REPLACE(INDEX(GroupVertices[Group],MATCH(Edges[[#This Row],[Vertex 2]],GroupVertices[Vertex],0)),1,1,"")</f>
        <v>1</v>
      </c>
      <c r="S288" s="35"/>
      <c r="T288" s="35"/>
      <c r="U288" s="35"/>
      <c r="V288" s="35"/>
      <c r="W288" s="35"/>
      <c r="X288" s="35"/>
      <c r="Y288" s="35"/>
      <c r="Z288" s="35"/>
      <c r="AA288" s="35"/>
    </row>
    <row r="289" spans="1:27" ht="15">
      <c r="A289" s="65" t="s">
        <v>222</v>
      </c>
      <c r="B289" s="65" t="s">
        <v>220</v>
      </c>
      <c r="C289" s="66" t="s">
        <v>2113</v>
      </c>
      <c r="D289" s="67">
        <v>3</v>
      </c>
      <c r="E289" s="68"/>
      <c r="F289" s="69">
        <v>40</v>
      </c>
      <c r="G289" s="66"/>
      <c r="H289" s="70"/>
      <c r="I289" s="71"/>
      <c r="J289" s="71"/>
      <c r="K289" s="35" t="s">
        <v>65</v>
      </c>
      <c r="L289" s="79">
        <v>289</v>
      </c>
      <c r="M289" s="79"/>
      <c r="N289" s="73"/>
      <c r="O289" s="81" t="s">
        <v>292</v>
      </c>
      <c r="P289">
        <v>1</v>
      </c>
      <c r="Q289" s="80" t="str">
        <f>REPLACE(INDEX(GroupVertices[Group],MATCH(Edges[[#This Row],[Vertex 1]],GroupVertices[Vertex],0)),1,1,"")</f>
        <v>1</v>
      </c>
      <c r="R289" s="80" t="str">
        <f>REPLACE(INDEX(GroupVertices[Group],MATCH(Edges[[#This Row],[Vertex 2]],GroupVertices[Vertex],0)),1,1,"")</f>
        <v>1</v>
      </c>
      <c r="S289" s="35"/>
      <c r="T289" s="35"/>
      <c r="U289" s="35"/>
      <c r="V289" s="35"/>
      <c r="W289" s="35"/>
      <c r="X289" s="35"/>
      <c r="Y289" s="35"/>
      <c r="Z289" s="35"/>
      <c r="AA289" s="35"/>
    </row>
    <row r="290" spans="1:27" ht="15">
      <c r="A290" s="65" t="s">
        <v>223</v>
      </c>
      <c r="B290" s="65" t="s">
        <v>220</v>
      </c>
      <c r="C290" s="66" t="s">
        <v>2113</v>
      </c>
      <c r="D290" s="67">
        <v>3</v>
      </c>
      <c r="E290" s="68"/>
      <c r="F290" s="69">
        <v>40</v>
      </c>
      <c r="G290" s="66"/>
      <c r="H290" s="70"/>
      <c r="I290" s="71"/>
      <c r="J290" s="71"/>
      <c r="K290" s="35" t="s">
        <v>65</v>
      </c>
      <c r="L290" s="79">
        <v>290</v>
      </c>
      <c r="M290" s="79"/>
      <c r="N290" s="73"/>
      <c r="O290" s="81" t="s">
        <v>292</v>
      </c>
      <c r="P290">
        <v>1</v>
      </c>
      <c r="Q290" s="80" t="str">
        <f>REPLACE(INDEX(GroupVertices[Group],MATCH(Edges[[#This Row],[Vertex 1]],GroupVertices[Vertex],0)),1,1,"")</f>
        <v>1</v>
      </c>
      <c r="R290" s="80" t="str">
        <f>REPLACE(INDEX(GroupVertices[Group],MATCH(Edges[[#This Row],[Vertex 2]],GroupVertices[Vertex],0)),1,1,"")</f>
        <v>1</v>
      </c>
      <c r="S290" s="35"/>
      <c r="T290" s="35"/>
      <c r="U290" s="35"/>
      <c r="V290" s="35"/>
      <c r="W290" s="35"/>
      <c r="X290" s="35"/>
      <c r="Y290" s="35"/>
      <c r="Z290" s="35"/>
      <c r="AA290" s="35"/>
    </row>
    <row r="291" spans="1:27" ht="15">
      <c r="A291" s="65" t="s">
        <v>224</v>
      </c>
      <c r="B291" s="65" t="s">
        <v>220</v>
      </c>
      <c r="C291" s="66" t="s">
        <v>2113</v>
      </c>
      <c r="D291" s="67">
        <v>3</v>
      </c>
      <c r="E291" s="68"/>
      <c r="F291" s="69">
        <v>40</v>
      </c>
      <c r="G291" s="66"/>
      <c r="H291" s="70"/>
      <c r="I291" s="71"/>
      <c r="J291" s="71"/>
      <c r="K291" s="35" t="s">
        <v>65</v>
      </c>
      <c r="L291" s="79">
        <v>291</v>
      </c>
      <c r="M291" s="79"/>
      <c r="N291" s="73"/>
      <c r="O291" s="81" t="s">
        <v>292</v>
      </c>
      <c r="P291">
        <v>1</v>
      </c>
      <c r="Q291" s="80" t="str">
        <f>REPLACE(INDEX(GroupVertices[Group],MATCH(Edges[[#This Row],[Vertex 1]],GroupVertices[Vertex],0)),1,1,"")</f>
        <v>1</v>
      </c>
      <c r="R291" s="80" t="str">
        <f>REPLACE(INDEX(GroupVertices[Group],MATCH(Edges[[#This Row],[Vertex 2]],GroupVertices[Vertex],0)),1,1,"")</f>
        <v>1</v>
      </c>
      <c r="S291" s="35"/>
      <c r="T291" s="35"/>
      <c r="U291" s="35"/>
      <c r="V291" s="35"/>
      <c r="W291" s="35"/>
      <c r="X291" s="35"/>
      <c r="Y291" s="35"/>
      <c r="Z291" s="35"/>
      <c r="AA291" s="35"/>
    </row>
    <row r="292" spans="1:27" ht="15">
      <c r="A292" s="65" t="s">
        <v>225</v>
      </c>
      <c r="B292" s="65" t="s">
        <v>220</v>
      </c>
      <c r="C292" s="66" t="s">
        <v>2113</v>
      </c>
      <c r="D292" s="67">
        <v>3</v>
      </c>
      <c r="E292" s="68"/>
      <c r="F292" s="69">
        <v>40</v>
      </c>
      <c r="G292" s="66"/>
      <c r="H292" s="70"/>
      <c r="I292" s="71"/>
      <c r="J292" s="71"/>
      <c r="K292" s="35" t="s">
        <v>65</v>
      </c>
      <c r="L292" s="79">
        <v>292</v>
      </c>
      <c r="M292" s="79"/>
      <c r="N292" s="73"/>
      <c r="O292" s="81" t="s">
        <v>292</v>
      </c>
      <c r="P292">
        <v>1</v>
      </c>
      <c r="Q292" s="80" t="str">
        <f>REPLACE(INDEX(GroupVertices[Group],MATCH(Edges[[#This Row],[Vertex 1]],GroupVertices[Vertex],0)),1,1,"")</f>
        <v>1</v>
      </c>
      <c r="R292" s="80" t="str">
        <f>REPLACE(INDEX(GroupVertices[Group],MATCH(Edges[[#This Row],[Vertex 2]],GroupVertices[Vertex],0)),1,1,"")</f>
        <v>1</v>
      </c>
      <c r="S292" s="35"/>
      <c r="T292" s="35"/>
      <c r="U292" s="35"/>
      <c r="V292" s="35"/>
      <c r="W292" s="35"/>
      <c r="X292" s="35"/>
      <c r="Y292" s="35"/>
      <c r="Z292" s="35"/>
      <c r="AA292" s="35"/>
    </row>
    <row r="293" spans="1:27" ht="15">
      <c r="A293" s="65" t="s">
        <v>226</v>
      </c>
      <c r="B293" s="65" t="s">
        <v>220</v>
      </c>
      <c r="C293" s="66" t="s">
        <v>2113</v>
      </c>
      <c r="D293" s="67">
        <v>3</v>
      </c>
      <c r="E293" s="68"/>
      <c r="F293" s="69">
        <v>40</v>
      </c>
      <c r="G293" s="66"/>
      <c r="H293" s="70"/>
      <c r="I293" s="71"/>
      <c r="J293" s="71"/>
      <c r="K293" s="35" t="s">
        <v>65</v>
      </c>
      <c r="L293" s="79">
        <v>293</v>
      </c>
      <c r="M293" s="79"/>
      <c r="N293" s="73"/>
      <c r="O293" s="81" t="s">
        <v>292</v>
      </c>
      <c r="P293">
        <v>1</v>
      </c>
      <c r="Q293" s="80" t="str">
        <f>REPLACE(INDEX(GroupVertices[Group],MATCH(Edges[[#This Row],[Vertex 1]],GroupVertices[Vertex],0)),1,1,"")</f>
        <v>1</v>
      </c>
      <c r="R293" s="80" t="str">
        <f>REPLACE(INDEX(GroupVertices[Group],MATCH(Edges[[#This Row],[Vertex 2]],GroupVertices[Vertex],0)),1,1,"")</f>
        <v>1</v>
      </c>
      <c r="S293" s="35"/>
      <c r="T293" s="35"/>
      <c r="U293" s="35"/>
      <c r="V293" s="35"/>
      <c r="W293" s="35"/>
      <c r="X293" s="35"/>
      <c r="Y293" s="35"/>
      <c r="Z293" s="35"/>
      <c r="AA293" s="35"/>
    </row>
    <row r="294" spans="1:27" ht="15">
      <c r="A294" s="65" t="s">
        <v>227</v>
      </c>
      <c r="B294" s="65" t="s">
        <v>220</v>
      </c>
      <c r="C294" s="66" t="s">
        <v>2113</v>
      </c>
      <c r="D294" s="67">
        <v>3</v>
      </c>
      <c r="E294" s="68"/>
      <c r="F294" s="69">
        <v>40</v>
      </c>
      <c r="G294" s="66"/>
      <c r="H294" s="70"/>
      <c r="I294" s="71"/>
      <c r="J294" s="71"/>
      <c r="K294" s="35" t="s">
        <v>65</v>
      </c>
      <c r="L294" s="79">
        <v>294</v>
      </c>
      <c r="M294" s="79"/>
      <c r="N294" s="73"/>
      <c r="O294" s="81" t="s">
        <v>292</v>
      </c>
      <c r="P294">
        <v>1</v>
      </c>
      <c r="Q294" s="80" t="str">
        <f>REPLACE(INDEX(GroupVertices[Group],MATCH(Edges[[#This Row],[Vertex 1]],GroupVertices[Vertex],0)),1,1,"")</f>
        <v>1</v>
      </c>
      <c r="R294" s="80" t="str">
        <f>REPLACE(INDEX(GroupVertices[Group],MATCH(Edges[[#This Row],[Vertex 2]],GroupVertices[Vertex],0)),1,1,"")</f>
        <v>1</v>
      </c>
      <c r="S294" s="35"/>
      <c r="T294" s="35"/>
      <c r="U294" s="35"/>
      <c r="V294" s="35"/>
      <c r="W294" s="35"/>
      <c r="X294" s="35"/>
      <c r="Y294" s="35"/>
      <c r="Z294" s="35"/>
      <c r="AA294" s="35"/>
    </row>
    <row r="295" spans="1:27" ht="15">
      <c r="A295" s="65" t="s">
        <v>228</v>
      </c>
      <c r="B295" s="65" t="s">
        <v>220</v>
      </c>
      <c r="C295" s="66" t="s">
        <v>2113</v>
      </c>
      <c r="D295" s="67">
        <v>3</v>
      </c>
      <c r="E295" s="68"/>
      <c r="F295" s="69">
        <v>40</v>
      </c>
      <c r="G295" s="66"/>
      <c r="H295" s="70"/>
      <c r="I295" s="71"/>
      <c r="J295" s="71"/>
      <c r="K295" s="35" t="s">
        <v>65</v>
      </c>
      <c r="L295" s="79">
        <v>295</v>
      </c>
      <c r="M295" s="79"/>
      <c r="N295" s="73"/>
      <c r="O295" s="81" t="s">
        <v>292</v>
      </c>
      <c r="P295">
        <v>1</v>
      </c>
      <c r="Q295" s="80" t="str">
        <f>REPLACE(INDEX(GroupVertices[Group],MATCH(Edges[[#This Row],[Vertex 1]],GroupVertices[Vertex],0)),1,1,"")</f>
        <v>1</v>
      </c>
      <c r="R295" s="80" t="str">
        <f>REPLACE(INDEX(GroupVertices[Group],MATCH(Edges[[#This Row],[Vertex 2]],GroupVertices[Vertex],0)),1,1,"")</f>
        <v>1</v>
      </c>
      <c r="S295" s="35"/>
      <c r="T295" s="35"/>
      <c r="U295" s="35"/>
      <c r="V295" s="35"/>
      <c r="W295" s="35"/>
      <c r="X295" s="35"/>
      <c r="Y295" s="35"/>
      <c r="Z295" s="35"/>
      <c r="AA295" s="35"/>
    </row>
    <row r="296" spans="1:27" ht="15">
      <c r="A296" s="65" t="s">
        <v>230</v>
      </c>
      <c r="B296" s="65" t="s">
        <v>220</v>
      </c>
      <c r="C296" s="66" t="s">
        <v>2113</v>
      </c>
      <c r="D296" s="67">
        <v>3</v>
      </c>
      <c r="E296" s="68"/>
      <c r="F296" s="69">
        <v>40</v>
      </c>
      <c r="G296" s="66"/>
      <c r="H296" s="70"/>
      <c r="I296" s="71"/>
      <c r="J296" s="71"/>
      <c r="K296" s="35" t="s">
        <v>65</v>
      </c>
      <c r="L296" s="79">
        <v>296</v>
      </c>
      <c r="M296" s="79"/>
      <c r="N296" s="73"/>
      <c r="O296" s="81" t="s">
        <v>292</v>
      </c>
      <c r="P296">
        <v>1</v>
      </c>
      <c r="Q296" s="80" t="str">
        <f>REPLACE(INDEX(GroupVertices[Group],MATCH(Edges[[#This Row],[Vertex 1]],GroupVertices[Vertex],0)),1,1,"")</f>
        <v>1</v>
      </c>
      <c r="R296" s="80" t="str">
        <f>REPLACE(INDEX(GroupVertices[Group],MATCH(Edges[[#This Row],[Vertex 2]],GroupVertices[Vertex],0)),1,1,"")</f>
        <v>1</v>
      </c>
      <c r="S296" s="35"/>
      <c r="T296" s="35"/>
      <c r="U296" s="35"/>
      <c r="V296" s="35"/>
      <c r="W296" s="35"/>
      <c r="X296" s="35"/>
      <c r="Y296" s="35"/>
      <c r="Z296" s="35"/>
      <c r="AA296" s="35"/>
    </row>
    <row r="297" spans="1:27" ht="15">
      <c r="A297" s="65" t="s">
        <v>231</v>
      </c>
      <c r="B297" s="65" t="s">
        <v>220</v>
      </c>
      <c r="C297" s="66" t="s">
        <v>2113</v>
      </c>
      <c r="D297" s="67">
        <v>3</v>
      </c>
      <c r="E297" s="68"/>
      <c r="F297" s="69">
        <v>40</v>
      </c>
      <c r="G297" s="66"/>
      <c r="H297" s="70"/>
      <c r="I297" s="71"/>
      <c r="J297" s="71"/>
      <c r="K297" s="35" t="s">
        <v>65</v>
      </c>
      <c r="L297" s="79">
        <v>297</v>
      </c>
      <c r="M297" s="79"/>
      <c r="N297" s="73"/>
      <c r="O297" s="81" t="s">
        <v>292</v>
      </c>
      <c r="P297">
        <v>1</v>
      </c>
      <c r="Q297" s="80" t="str">
        <f>REPLACE(INDEX(GroupVertices[Group],MATCH(Edges[[#This Row],[Vertex 1]],GroupVertices[Vertex],0)),1,1,"")</f>
        <v>1</v>
      </c>
      <c r="R297" s="80" t="str">
        <f>REPLACE(INDEX(GroupVertices[Group],MATCH(Edges[[#This Row],[Vertex 2]],GroupVertices[Vertex],0)),1,1,"")</f>
        <v>1</v>
      </c>
      <c r="S297" s="35"/>
      <c r="T297" s="35"/>
      <c r="U297" s="35"/>
      <c r="V297" s="35"/>
      <c r="W297" s="35"/>
      <c r="X297" s="35"/>
      <c r="Y297" s="35"/>
      <c r="Z297" s="35"/>
      <c r="AA297" s="35"/>
    </row>
    <row r="298" spans="1:27" ht="15">
      <c r="A298" s="65" t="s">
        <v>232</v>
      </c>
      <c r="B298" s="65" t="s">
        <v>220</v>
      </c>
      <c r="C298" s="66" t="s">
        <v>2113</v>
      </c>
      <c r="D298" s="67">
        <v>3</v>
      </c>
      <c r="E298" s="68"/>
      <c r="F298" s="69">
        <v>40</v>
      </c>
      <c r="G298" s="66"/>
      <c r="H298" s="70"/>
      <c r="I298" s="71"/>
      <c r="J298" s="71"/>
      <c r="K298" s="35" t="s">
        <v>65</v>
      </c>
      <c r="L298" s="79">
        <v>298</v>
      </c>
      <c r="M298" s="79"/>
      <c r="N298" s="73"/>
      <c r="O298" s="81" t="s">
        <v>292</v>
      </c>
      <c r="P298">
        <v>1</v>
      </c>
      <c r="Q298" s="80" t="str">
        <f>REPLACE(INDEX(GroupVertices[Group],MATCH(Edges[[#This Row],[Vertex 1]],GroupVertices[Vertex],0)),1,1,"")</f>
        <v>2</v>
      </c>
      <c r="R298" s="80" t="str">
        <f>REPLACE(INDEX(GroupVertices[Group],MATCH(Edges[[#This Row],[Vertex 2]],GroupVertices[Vertex],0)),1,1,"")</f>
        <v>1</v>
      </c>
      <c r="S298" s="35"/>
      <c r="T298" s="35"/>
      <c r="U298" s="35"/>
      <c r="V298" s="35"/>
      <c r="W298" s="35"/>
      <c r="X298" s="35"/>
      <c r="Y298" s="35"/>
      <c r="Z298" s="35"/>
      <c r="AA298" s="35"/>
    </row>
    <row r="299" spans="1:27" ht="15">
      <c r="A299" s="65" t="s">
        <v>235</v>
      </c>
      <c r="B299" s="65" t="s">
        <v>220</v>
      </c>
      <c r="C299" s="66" t="s">
        <v>2113</v>
      </c>
      <c r="D299" s="67">
        <v>3</v>
      </c>
      <c r="E299" s="68"/>
      <c r="F299" s="69">
        <v>40</v>
      </c>
      <c r="G299" s="66"/>
      <c r="H299" s="70"/>
      <c r="I299" s="71"/>
      <c r="J299" s="71"/>
      <c r="K299" s="35" t="s">
        <v>65</v>
      </c>
      <c r="L299" s="79">
        <v>299</v>
      </c>
      <c r="M299" s="79"/>
      <c r="N299" s="73"/>
      <c r="O299" s="81" t="s">
        <v>292</v>
      </c>
      <c r="P299">
        <v>1</v>
      </c>
      <c r="Q299" s="80" t="str">
        <f>REPLACE(INDEX(GroupVertices[Group],MATCH(Edges[[#This Row],[Vertex 1]],GroupVertices[Vertex],0)),1,1,"")</f>
        <v>1</v>
      </c>
      <c r="R299" s="80" t="str">
        <f>REPLACE(INDEX(GroupVertices[Group],MATCH(Edges[[#This Row],[Vertex 2]],GroupVertices[Vertex],0)),1,1,"")</f>
        <v>1</v>
      </c>
      <c r="S299" s="35"/>
      <c r="T299" s="35"/>
      <c r="U299" s="35"/>
      <c r="V299" s="35"/>
      <c r="W299" s="35"/>
      <c r="X299" s="35"/>
      <c r="Y299" s="35"/>
      <c r="Z299" s="35"/>
      <c r="AA299" s="35"/>
    </row>
    <row r="300" spans="1:27" ht="15">
      <c r="A300" s="65" t="s">
        <v>252</v>
      </c>
      <c r="B300" s="65" t="s">
        <v>220</v>
      </c>
      <c r="C300" s="66" t="s">
        <v>2113</v>
      </c>
      <c r="D300" s="67">
        <v>3</v>
      </c>
      <c r="E300" s="68"/>
      <c r="F300" s="69">
        <v>40</v>
      </c>
      <c r="G300" s="66"/>
      <c r="H300" s="70"/>
      <c r="I300" s="71"/>
      <c r="J300" s="71"/>
      <c r="K300" s="35" t="s">
        <v>65</v>
      </c>
      <c r="L300" s="79">
        <v>300</v>
      </c>
      <c r="M300" s="79"/>
      <c r="N300" s="73"/>
      <c r="O300" s="81" t="s">
        <v>293</v>
      </c>
      <c r="P300">
        <v>1</v>
      </c>
      <c r="Q300" s="80" t="str">
        <f>REPLACE(INDEX(GroupVertices[Group],MATCH(Edges[[#This Row],[Vertex 1]],GroupVertices[Vertex],0)),1,1,"")</f>
        <v>4</v>
      </c>
      <c r="R300" s="80" t="str">
        <f>REPLACE(INDEX(GroupVertices[Group],MATCH(Edges[[#This Row],[Vertex 2]],GroupVertices[Vertex],0)),1,1,"")</f>
        <v>1</v>
      </c>
      <c r="S300" s="35"/>
      <c r="T300" s="35"/>
      <c r="U300" s="35"/>
      <c r="V300" s="35"/>
      <c r="W300" s="35"/>
      <c r="X300" s="35"/>
      <c r="Y300" s="35"/>
      <c r="Z300" s="35"/>
      <c r="AA300" s="35"/>
    </row>
    <row r="301" spans="1:27" ht="15">
      <c r="A301" s="65" t="s">
        <v>252</v>
      </c>
      <c r="B301" s="65" t="s">
        <v>287</v>
      </c>
      <c r="C301" s="66" t="s">
        <v>2113</v>
      </c>
      <c r="D301" s="67">
        <v>3</v>
      </c>
      <c r="E301" s="68"/>
      <c r="F301" s="69">
        <v>40</v>
      </c>
      <c r="G301" s="66"/>
      <c r="H301" s="70"/>
      <c r="I301" s="71"/>
      <c r="J301" s="71"/>
      <c r="K301" s="35" t="s">
        <v>65</v>
      </c>
      <c r="L301" s="79">
        <v>301</v>
      </c>
      <c r="M301" s="79"/>
      <c r="N301" s="73"/>
      <c r="O301" s="81" t="s">
        <v>293</v>
      </c>
      <c r="P301">
        <v>1</v>
      </c>
      <c r="Q301" s="80" t="str">
        <f>REPLACE(INDEX(GroupVertices[Group],MATCH(Edges[[#This Row],[Vertex 1]],GroupVertices[Vertex],0)),1,1,"")</f>
        <v>4</v>
      </c>
      <c r="R301" s="80" t="str">
        <f>REPLACE(INDEX(GroupVertices[Group],MATCH(Edges[[#This Row],[Vertex 2]],GroupVertices[Vertex],0)),1,1,"")</f>
        <v>4</v>
      </c>
      <c r="S301" s="35"/>
      <c r="T301" s="35"/>
      <c r="U301" s="35"/>
      <c r="V301" s="35"/>
      <c r="W301" s="35"/>
      <c r="X301" s="35"/>
      <c r="Y301" s="35"/>
      <c r="Z301" s="35"/>
      <c r="AA301" s="35"/>
    </row>
    <row r="302" spans="1:27" ht="15">
      <c r="A302" s="65" t="s">
        <v>253</v>
      </c>
      <c r="B302" s="65" t="s">
        <v>288</v>
      </c>
      <c r="C302" s="66" t="s">
        <v>2113</v>
      </c>
      <c r="D302" s="67">
        <v>3</v>
      </c>
      <c r="E302" s="68"/>
      <c r="F302" s="69">
        <v>40</v>
      </c>
      <c r="G302" s="66"/>
      <c r="H302" s="70"/>
      <c r="I302" s="71"/>
      <c r="J302" s="71"/>
      <c r="K302" s="35" t="s">
        <v>65</v>
      </c>
      <c r="L302" s="79">
        <v>302</v>
      </c>
      <c r="M302" s="79"/>
      <c r="N302" s="73"/>
      <c r="O302" s="81" t="s">
        <v>292</v>
      </c>
      <c r="P302">
        <v>1</v>
      </c>
      <c r="Q302" s="80" t="str">
        <f>REPLACE(INDEX(GroupVertices[Group],MATCH(Edges[[#This Row],[Vertex 1]],GroupVertices[Vertex],0)),1,1,"")</f>
        <v>4</v>
      </c>
      <c r="R302" s="80" t="str">
        <f>REPLACE(INDEX(GroupVertices[Group],MATCH(Edges[[#This Row],[Vertex 2]],GroupVertices[Vertex],0)),1,1,"")</f>
        <v>4</v>
      </c>
      <c r="S302" s="35"/>
      <c r="T302" s="35"/>
      <c r="U302" s="35"/>
      <c r="V302" s="35"/>
      <c r="W302" s="35"/>
      <c r="X302" s="35"/>
      <c r="Y302" s="35"/>
      <c r="Z302" s="35"/>
      <c r="AA302" s="35"/>
    </row>
    <row r="303" spans="1:27" ht="15">
      <c r="A303" s="65" t="s">
        <v>252</v>
      </c>
      <c r="B303" s="65" t="s">
        <v>288</v>
      </c>
      <c r="C303" s="66" t="s">
        <v>2113</v>
      </c>
      <c r="D303" s="67">
        <v>3</v>
      </c>
      <c r="E303" s="68"/>
      <c r="F303" s="69">
        <v>40</v>
      </c>
      <c r="G303" s="66"/>
      <c r="H303" s="70"/>
      <c r="I303" s="71"/>
      <c r="J303" s="71"/>
      <c r="K303" s="35" t="s">
        <v>65</v>
      </c>
      <c r="L303" s="79">
        <v>303</v>
      </c>
      <c r="M303" s="79"/>
      <c r="N303" s="73"/>
      <c r="O303" s="81" t="s">
        <v>293</v>
      </c>
      <c r="P303">
        <v>1</v>
      </c>
      <c r="Q303" s="80" t="str">
        <f>REPLACE(INDEX(GroupVertices[Group],MATCH(Edges[[#This Row],[Vertex 1]],GroupVertices[Vertex],0)),1,1,"")</f>
        <v>4</v>
      </c>
      <c r="R303" s="80" t="str">
        <f>REPLACE(INDEX(GroupVertices[Group],MATCH(Edges[[#This Row],[Vertex 2]],GroupVertices[Vertex],0)),1,1,"")</f>
        <v>4</v>
      </c>
      <c r="S303" s="35"/>
      <c r="T303" s="35"/>
      <c r="U303" s="35"/>
      <c r="V303" s="35"/>
      <c r="W303" s="35"/>
      <c r="X303" s="35"/>
      <c r="Y303" s="35"/>
      <c r="Z303" s="35"/>
      <c r="AA303" s="35"/>
    </row>
    <row r="304" spans="1:27" ht="15">
      <c r="A304" s="65" t="s">
        <v>252</v>
      </c>
      <c r="B304" s="65" t="s">
        <v>255</v>
      </c>
      <c r="C304" s="66" t="s">
        <v>2113</v>
      </c>
      <c r="D304" s="67">
        <v>3</v>
      </c>
      <c r="E304" s="68"/>
      <c r="F304" s="69">
        <v>40</v>
      </c>
      <c r="G304" s="66"/>
      <c r="H304" s="70"/>
      <c r="I304" s="71"/>
      <c r="J304" s="71"/>
      <c r="K304" s="35" t="s">
        <v>65</v>
      </c>
      <c r="L304" s="79">
        <v>304</v>
      </c>
      <c r="M304" s="79"/>
      <c r="N304" s="73"/>
      <c r="O304" s="81" t="s">
        <v>293</v>
      </c>
      <c r="P304">
        <v>1</v>
      </c>
      <c r="Q304" s="80" t="str">
        <f>REPLACE(INDEX(GroupVertices[Group],MATCH(Edges[[#This Row],[Vertex 1]],GroupVertices[Vertex],0)),1,1,"")</f>
        <v>4</v>
      </c>
      <c r="R304" s="80" t="str">
        <f>REPLACE(INDEX(GroupVertices[Group],MATCH(Edges[[#This Row],[Vertex 2]],GroupVertices[Vertex],0)),1,1,"")</f>
        <v>4</v>
      </c>
      <c r="S304" s="35"/>
      <c r="T304" s="35"/>
      <c r="U304" s="35"/>
      <c r="V304" s="35"/>
      <c r="W304" s="35"/>
      <c r="X304" s="35"/>
      <c r="Y304" s="35"/>
      <c r="Z304" s="35"/>
      <c r="AA304" s="35"/>
    </row>
    <row r="305" spans="1:27" ht="15">
      <c r="A305" s="65" t="s">
        <v>221</v>
      </c>
      <c r="B305" s="65" t="s">
        <v>216</v>
      </c>
      <c r="C305" s="66" t="s">
        <v>2114</v>
      </c>
      <c r="D305" s="67">
        <v>3</v>
      </c>
      <c r="E305" s="68"/>
      <c r="F305" s="69">
        <v>40</v>
      </c>
      <c r="G305" s="66"/>
      <c r="H305" s="70"/>
      <c r="I305" s="71"/>
      <c r="J305" s="71"/>
      <c r="K305" s="35" t="s">
        <v>65</v>
      </c>
      <c r="L305" s="79">
        <v>305</v>
      </c>
      <c r="M305" s="79"/>
      <c r="N305" s="73"/>
      <c r="O305" s="81" t="s">
        <v>292</v>
      </c>
      <c r="P305">
        <v>2</v>
      </c>
      <c r="Q305" s="80" t="str">
        <f>REPLACE(INDEX(GroupVertices[Group],MATCH(Edges[[#This Row],[Vertex 1]],GroupVertices[Vertex],0)),1,1,"")</f>
        <v>1</v>
      </c>
      <c r="R305" s="80" t="str">
        <f>REPLACE(INDEX(GroupVertices[Group],MATCH(Edges[[#This Row],[Vertex 2]],GroupVertices[Vertex],0)),1,1,"")</f>
        <v>1</v>
      </c>
      <c r="S305" s="35"/>
      <c r="T305" s="35"/>
      <c r="U305" s="35"/>
      <c r="V305" s="35"/>
      <c r="W305" s="35"/>
      <c r="X305" s="35"/>
      <c r="Y305" s="35"/>
      <c r="Z305" s="35"/>
      <c r="AA305" s="35"/>
    </row>
    <row r="306" spans="1:27" ht="15">
      <c r="A306" s="65" t="s">
        <v>222</v>
      </c>
      <c r="B306" s="65" t="s">
        <v>221</v>
      </c>
      <c r="C306" s="66" t="s">
        <v>2113</v>
      </c>
      <c r="D306" s="67">
        <v>3</v>
      </c>
      <c r="E306" s="68"/>
      <c r="F306" s="69">
        <v>40</v>
      </c>
      <c r="G306" s="66"/>
      <c r="H306" s="70"/>
      <c r="I306" s="71"/>
      <c r="J306" s="71"/>
      <c r="K306" s="35" t="s">
        <v>65</v>
      </c>
      <c r="L306" s="79">
        <v>306</v>
      </c>
      <c r="M306" s="79"/>
      <c r="N306" s="73"/>
      <c r="O306" s="81" t="s">
        <v>292</v>
      </c>
      <c r="P306">
        <v>1</v>
      </c>
      <c r="Q306" s="80" t="str">
        <f>REPLACE(INDEX(GroupVertices[Group],MATCH(Edges[[#This Row],[Vertex 1]],GroupVertices[Vertex],0)),1,1,"")</f>
        <v>1</v>
      </c>
      <c r="R306" s="80" t="str">
        <f>REPLACE(INDEX(GroupVertices[Group],MATCH(Edges[[#This Row],[Vertex 2]],GroupVertices[Vertex],0)),1,1,"")</f>
        <v>1</v>
      </c>
      <c r="S306" s="35"/>
      <c r="T306" s="35"/>
      <c r="U306" s="35"/>
      <c r="V306" s="35"/>
      <c r="W306" s="35"/>
      <c r="X306" s="35"/>
      <c r="Y306" s="35"/>
      <c r="Z306" s="35"/>
      <c r="AA306" s="35"/>
    </row>
    <row r="307" spans="1:27" ht="15">
      <c r="A307" s="65" t="s">
        <v>223</v>
      </c>
      <c r="B307" s="65" t="s">
        <v>221</v>
      </c>
      <c r="C307" s="66" t="s">
        <v>2113</v>
      </c>
      <c r="D307" s="67">
        <v>3</v>
      </c>
      <c r="E307" s="68"/>
      <c r="F307" s="69">
        <v>40</v>
      </c>
      <c r="G307" s="66"/>
      <c r="H307" s="70"/>
      <c r="I307" s="71"/>
      <c r="J307" s="71"/>
      <c r="K307" s="35" t="s">
        <v>65</v>
      </c>
      <c r="L307" s="79">
        <v>307</v>
      </c>
      <c r="M307" s="79"/>
      <c r="N307" s="73"/>
      <c r="O307" s="81" t="s">
        <v>292</v>
      </c>
      <c r="P307">
        <v>1</v>
      </c>
      <c r="Q307" s="80" t="str">
        <f>REPLACE(INDEX(GroupVertices[Group],MATCH(Edges[[#This Row],[Vertex 1]],GroupVertices[Vertex],0)),1,1,"")</f>
        <v>1</v>
      </c>
      <c r="R307" s="80" t="str">
        <f>REPLACE(INDEX(GroupVertices[Group],MATCH(Edges[[#This Row],[Vertex 2]],GroupVertices[Vertex],0)),1,1,"")</f>
        <v>1</v>
      </c>
      <c r="S307" s="35"/>
      <c r="T307" s="35"/>
      <c r="U307" s="35"/>
      <c r="V307" s="35"/>
      <c r="W307" s="35"/>
      <c r="X307" s="35"/>
      <c r="Y307" s="35"/>
      <c r="Z307" s="35"/>
      <c r="AA307" s="35"/>
    </row>
    <row r="308" spans="1:27" ht="15">
      <c r="A308" s="65" t="s">
        <v>224</v>
      </c>
      <c r="B308" s="65" t="s">
        <v>221</v>
      </c>
      <c r="C308" s="66" t="s">
        <v>2113</v>
      </c>
      <c r="D308" s="67">
        <v>3</v>
      </c>
      <c r="E308" s="68"/>
      <c r="F308" s="69">
        <v>40</v>
      </c>
      <c r="G308" s="66"/>
      <c r="H308" s="70"/>
      <c r="I308" s="71"/>
      <c r="J308" s="71"/>
      <c r="K308" s="35" t="s">
        <v>66</v>
      </c>
      <c r="L308" s="79">
        <v>308</v>
      </c>
      <c r="M308" s="79"/>
      <c r="N308" s="73"/>
      <c r="O308" s="81" t="s">
        <v>292</v>
      </c>
      <c r="P308">
        <v>1</v>
      </c>
      <c r="Q308" s="80" t="str">
        <f>REPLACE(INDEX(GroupVertices[Group],MATCH(Edges[[#This Row],[Vertex 1]],GroupVertices[Vertex],0)),1,1,"")</f>
        <v>1</v>
      </c>
      <c r="R308" s="80" t="str">
        <f>REPLACE(INDEX(GroupVertices[Group],MATCH(Edges[[#This Row],[Vertex 2]],GroupVertices[Vertex],0)),1,1,"")</f>
        <v>1</v>
      </c>
      <c r="S308" s="35"/>
      <c r="T308" s="35"/>
      <c r="U308" s="35"/>
      <c r="V308" s="35"/>
      <c r="W308" s="35"/>
      <c r="X308" s="35"/>
      <c r="Y308" s="35"/>
      <c r="Z308" s="35"/>
      <c r="AA308" s="35"/>
    </row>
    <row r="309" spans="1:27" ht="15">
      <c r="A309" s="65" t="s">
        <v>240</v>
      </c>
      <c r="B309" s="65" t="s">
        <v>221</v>
      </c>
      <c r="C309" s="66" t="s">
        <v>2113</v>
      </c>
      <c r="D309" s="67">
        <v>3</v>
      </c>
      <c r="E309" s="68"/>
      <c r="F309" s="69">
        <v>40</v>
      </c>
      <c r="G309" s="66"/>
      <c r="H309" s="70"/>
      <c r="I309" s="71"/>
      <c r="J309" s="71"/>
      <c r="K309" s="35" t="s">
        <v>65</v>
      </c>
      <c r="L309" s="79">
        <v>309</v>
      </c>
      <c r="M309" s="79"/>
      <c r="N309" s="73"/>
      <c r="O309" s="81" t="s">
        <v>292</v>
      </c>
      <c r="P309">
        <v>1</v>
      </c>
      <c r="Q309" s="80" t="str">
        <f>REPLACE(INDEX(GroupVertices[Group],MATCH(Edges[[#This Row],[Vertex 1]],GroupVertices[Vertex],0)),1,1,"")</f>
        <v>1</v>
      </c>
      <c r="R309" s="80" t="str">
        <f>REPLACE(INDEX(GroupVertices[Group],MATCH(Edges[[#This Row],[Vertex 2]],GroupVertices[Vertex],0)),1,1,"")</f>
        <v>1</v>
      </c>
      <c r="S309" s="35"/>
      <c r="T309" s="35"/>
      <c r="U309" s="35"/>
      <c r="V309" s="35"/>
      <c r="W309" s="35"/>
      <c r="X309" s="35"/>
      <c r="Y309" s="35"/>
      <c r="Z309" s="35"/>
      <c r="AA309" s="35"/>
    </row>
    <row r="310" spans="1:27" ht="15">
      <c r="A310" s="65" t="s">
        <v>226</v>
      </c>
      <c r="B310" s="65" t="s">
        <v>221</v>
      </c>
      <c r="C310" s="66" t="s">
        <v>2113</v>
      </c>
      <c r="D310" s="67">
        <v>3</v>
      </c>
      <c r="E310" s="68"/>
      <c r="F310" s="69">
        <v>40</v>
      </c>
      <c r="G310" s="66"/>
      <c r="H310" s="70"/>
      <c r="I310" s="71"/>
      <c r="J310" s="71"/>
      <c r="K310" s="35" t="s">
        <v>66</v>
      </c>
      <c r="L310" s="79">
        <v>310</v>
      </c>
      <c r="M310" s="79"/>
      <c r="N310" s="73"/>
      <c r="O310" s="81" t="s">
        <v>292</v>
      </c>
      <c r="P310">
        <v>1</v>
      </c>
      <c r="Q310" s="80" t="str">
        <f>REPLACE(INDEX(GroupVertices[Group],MATCH(Edges[[#This Row],[Vertex 1]],GroupVertices[Vertex],0)),1,1,"")</f>
        <v>1</v>
      </c>
      <c r="R310" s="80" t="str">
        <f>REPLACE(INDEX(GroupVertices[Group],MATCH(Edges[[#This Row],[Vertex 2]],GroupVertices[Vertex],0)),1,1,"")</f>
        <v>1</v>
      </c>
      <c r="S310" s="35"/>
      <c r="T310" s="35"/>
      <c r="U310" s="35"/>
      <c r="V310" s="35"/>
      <c r="W310" s="35"/>
      <c r="X310" s="35"/>
      <c r="Y310" s="35"/>
      <c r="Z310" s="35"/>
      <c r="AA310" s="35"/>
    </row>
    <row r="311" spans="1:27" ht="15">
      <c r="A311" s="65" t="s">
        <v>227</v>
      </c>
      <c r="B311" s="65" t="s">
        <v>221</v>
      </c>
      <c r="C311" s="66" t="s">
        <v>2113</v>
      </c>
      <c r="D311" s="67">
        <v>3</v>
      </c>
      <c r="E311" s="68"/>
      <c r="F311" s="69">
        <v>40</v>
      </c>
      <c r="G311" s="66"/>
      <c r="H311" s="70"/>
      <c r="I311" s="71"/>
      <c r="J311" s="71"/>
      <c r="K311" s="35" t="s">
        <v>65</v>
      </c>
      <c r="L311" s="79">
        <v>311</v>
      </c>
      <c r="M311" s="79"/>
      <c r="N311" s="73"/>
      <c r="O311" s="81" t="s">
        <v>292</v>
      </c>
      <c r="P311">
        <v>1</v>
      </c>
      <c r="Q311" s="80" t="str">
        <f>REPLACE(INDEX(GroupVertices[Group],MATCH(Edges[[#This Row],[Vertex 1]],GroupVertices[Vertex],0)),1,1,"")</f>
        <v>1</v>
      </c>
      <c r="R311" s="80" t="str">
        <f>REPLACE(INDEX(GroupVertices[Group],MATCH(Edges[[#This Row],[Vertex 2]],GroupVertices[Vertex],0)),1,1,"")</f>
        <v>1</v>
      </c>
      <c r="S311" s="35"/>
      <c r="T311" s="35"/>
      <c r="U311" s="35"/>
      <c r="V311" s="35"/>
      <c r="W311" s="35"/>
      <c r="X311" s="35"/>
      <c r="Y311" s="35"/>
      <c r="Z311" s="35"/>
      <c r="AA311" s="35"/>
    </row>
    <row r="312" spans="1:27" ht="15">
      <c r="A312" s="65" t="s">
        <v>241</v>
      </c>
      <c r="B312" s="65" t="s">
        <v>221</v>
      </c>
      <c r="C312" s="66" t="s">
        <v>2113</v>
      </c>
      <c r="D312" s="67">
        <v>3</v>
      </c>
      <c r="E312" s="68"/>
      <c r="F312" s="69">
        <v>40</v>
      </c>
      <c r="G312" s="66"/>
      <c r="H312" s="70"/>
      <c r="I312" s="71"/>
      <c r="J312" s="71"/>
      <c r="K312" s="35" t="s">
        <v>66</v>
      </c>
      <c r="L312" s="79">
        <v>312</v>
      </c>
      <c r="M312" s="79"/>
      <c r="N312" s="73"/>
      <c r="O312" s="81" t="s">
        <v>292</v>
      </c>
      <c r="P312">
        <v>1</v>
      </c>
      <c r="Q312" s="80" t="str">
        <f>REPLACE(INDEX(GroupVertices[Group],MATCH(Edges[[#This Row],[Vertex 1]],GroupVertices[Vertex],0)),1,1,"")</f>
        <v>1</v>
      </c>
      <c r="R312" s="80" t="str">
        <f>REPLACE(INDEX(GroupVertices[Group],MATCH(Edges[[#This Row],[Vertex 2]],GroupVertices[Vertex],0)),1,1,"")</f>
        <v>1</v>
      </c>
      <c r="S312" s="35"/>
      <c r="T312" s="35"/>
      <c r="U312" s="35"/>
      <c r="V312" s="35"/>
      <c r="W312" s="35"/>
      <c r="X312" s="35"/>
      <c r="Y312" s="35"/>
      <c r="Z312" s="35"/>
      <c r="AA312" s="35"/>
    </row>
    <row r="313" spans="1:27" ht="15">
      <c r="A313" s="65" t="s">
        <v>228</v>
      </c>
      <c r="B313" s="65" t="s">
        <v>221</v>
      </c>
      <c r="C313" s="66" t="s">
        <v>2113</v>
      </c>
      <c r="D313" s="67">
        <v>3</v>
      </c>
      <c r="E313" s="68"/>
      <c r="F313" s="69">
        <v>40</v>
      </c>
      <c r="G313" s="66"/>
      <c r="H313" s="70"/>
      <c r="I313" s="71"/>
      <c r="J313" s="71"/>
      <c r="K313" s="35" t="s">
        <v>65</v>
      </c>
      <c r="L313" s="79">
        <v>313</v>
      </c>
      <c r="M313" s="79"/>
      <c r="N313" s="73"/>
      <c r="O313" s="81" t="s">
        <v>292</v>
      </c>
      <c r="P313">
        <v>1</v>
      </c>
      <c r="Q313" s="80" t="str">
        <f>REPLACE(INDEX(GroupVertices[Group],MATCH(Edges[[#This Row],[Vertex 1]],GroupVertices[Vertex],0)),1,1,"")</f>
        <v>1</v>
      </c>
      <c r="R313" s="80" t="str">
        <f>REPLACE(INDEX(GroupVertices[Group],MATCH(Edges[[#This Row],[Vertex 2]],GroupVertices[Vertex],0)),1,1,"")</f>
        <v>1</v>
      </c>
      <c r="S313" s="35"/>
      <c r="T313" s="35"/>
      <c r="U313" s="35"/>
      <c r="V313" s="35"/>
      <c r="W313" s="35"/>
      <c r="X313" s="35"/>
      <c r="Y313" s="35"/>
      <c r="Z313" s="35"/>
      <c r="AA313" s="35"/>
    </row>
    <row r="314" spans="1:27" ht="15">
      <c r="A314" s="65" t="s">
        <v>229</v>
      </c>
      <c r="B314" s="65" t="s">
        <v>221</v>
      </c>
      <c r="C314" s="66" t="s">
        <v>2113</v>
      </c>
      <c r="D314" s="67">
        <v>3</v>
      </c>
      <c r="E314" s="68"/>
      <c r="F314" s="69">
        <v>40</v>
      </c>
      <c r="G314" s="66"/>
      <c r="H314" s="70"/>
      <c r="I314" s="71"/>
      <c r="J314" s="71"/>
      <c r="K314" s="35" t="s">
        <v>65</v>
      </c>
      <c r="L314" s="79">
        <v>314</v>
      </c>
      <c r="M314" s="79"/>
      <c r="N314" s="73"/>
      <c r="O314" s="81" t="s">
        <v>292</v>
      </c>
      <c r="P314">
        <v>1</v>
      </c>
      <c r="Q314" s="80" t="str">
        <f>REPLACE(INDEX(GroupVertices[Group],MATCH(Edges[[#This Row],[Vertex 1]],GroupVertices[Vertex],0)),1,1,"")</f>
        <v>1</v>
      </c>
      <c r="R314" s="80" t="str">
        <f>REPLACE(INDEX(GroupVertices[Group],MATCH(Edges[[#This Row],[Vertex 2]],GroupVertices[Vertex],0)),1,1,"")</f>
        <v>1</v>
      </c>
      <c r="S314" s="35"/>
      <c r="T314" s="35"/>
      <c r="U314" s="35"/>
      <c r="V314" s="35"/>
      <c r="W314" s="35"/>
      <c r="X314" s="35"/>
      <c r="Y314" s="35"/>
      <c r="Z314" s="35"/>
      <c r="AA314" s="35"/>
    </row>
    <row r="315" spans="1:27" ht="15">
      <c r="A315" s="65" t="s">
        <v>230</v>
      </c>
      <c r="B315" s="65" t="s">
        <v>221</v>
      </c>
      <c r="C315" s="66" t="s">
        <v>2113</v>
      </c>
      <c r="D315" s="67">
        <v>3</v>
      </c>
      <c r="E315" s="68"/>
      <c r="F315" s="69">
        <v>40</v>
      </c>
      <c r="G315" s="66"/>
      <c r="H315" s="70"/>
      <c r="I315" s="71"/>
      <c r="J315" s="71"/>
      <c r="K315" s="35" t="s">
        <v>65</v>
      </c>
      <c r="L315" s="79">
        <v>315</v>
      </c>
      <c r="M315" s="79"/>
      <c r="N315" s="73"/>
      <c r="O315" s="81" t="s">
        <v>292</v>
      </c>
      <c r="P315">
        <v>1</v>
      </c>
      <c r="Q315" s="80" t="str">
        <f>REPLACE(INDEX(GroupVertices[Group],MATCH(Edges[[#This Row],[Vertex 1]],GroupVertices[Vertex],0)),1,1,"")</f>
        <v>1</v>
      </c>
      <c r="R315" s="80" t="str">
        <f>REPLACE(INDEX(GroupVertices[Group],MATCH(Edges[[#This Row],[Vertex 2]],GroupVertices[Vertex],0)),1,1,"")</f>
        <v>1</v>
      </c>
      <c r="S315" s="35"/>
      <c r="T315" s="35"/>
      <c r="U315" s="35"/>
      <c r="V315" s="35"/>
      <c r="W315" s="35"/>
      <c r="X315" s="35"/>
      <c r="Y315" s="35"/>
      <c r="Z315" s="35"/>
      <c r="AA315" s="35"/>
    </row>
    <row r="316" spans="1:27" ht="15">
      <c r="A316" s="65" t="s">
        <v>231</v>
      </c>
      <c r="B316" s="65" t="s">
        <v>221</v>
      </c>
      <c r="C316" s="66" t="s">
        <v>2113</v>
      </c>
      <c r="D316" s="67">
        <v>3</v>
      </c>
      <c r="E316" s="68"/>
      <c r="F316" s="69">
        <v>40</v>
      </c>
      <c r="G316" s="66"/>
      <c r="H316" s="70"/>
      <c r="I316" s="71"/>
      <c r="J316" s="71"/>
      <c r="K316" s="35" t="s">
        <v>66</v>
      </c>
      <c r="L316" s="79">
        <v>316</v>
      </c>
      <c r="M316" s="79"/>
      <c r="N316" s="73"/>
      <c r="O316" s="81" t="s">
        <v>292</v>
      </c>
      <c r="P316">
        <v>1</v>
      </c>
      <c r="Q316" s="80" t="str">
        <f>REPLACE(INDEX(GroupVertices[Group],MATCH(Edges[[#This Row],[Vertex 1]],GroupVertices[Vertex],0)),1,1,"")</f>
        <v>1</v>
      </c>
      <c r="R316" s="80" t="str">
        <f>REPLACE(INDEX(GroupVertices[Group],MATCH(Edges[[#This Row],[Vertex 2]],GroupVertices[Vertex],0)),1,1,"")</f>
        <v>1</v>
      </c>
      <c r="S316" s="35"/>
      <c r="T316" s="35"/>
      <c r="U316" s="35"/>
      <c r="V316" s="35"/>
      <c r="W316" s="35"/>
      <c r="X316" s="35"/>
      <c r="Y316" s="35"/>
      <c r="Z316" s="35"/>
      <c r="AA316" s="35"/>
    </row>
    <row r="317" spans="1:27" ht="15">
      <c r="A317" s="65" t="s">
        <v>242</v>
      </c>
      <c r="B317" s="65" t="s">
        <v>221</v>
      </c>
      <c r="C317" s="66" t="s">
        <v>2113</v>
      </c>
      <c r="D317" s="67">
        <v>3</v>
      </c>
      <c r="E317" s="68"/>
      <c r="F317" s="69">
        <v>40</v>
      </c>
      <c r="G317" s="66"/>
      <c r="H317" s="70"/>
      <c r="I317" s="71"/>
      <c r="J317" s="71"/>
      <c r="K317" s="35" t="s">
        <v>65</v>
      </c>
      <c r="L317" s="79">
        <v>317</v>
      </c>
      <c r="M317" s="79"/>
      <c r="N317" s="73"/>
      <c r="O317" s="81" t="s">
        <v>292</v>
      </c>
      <c r="P317">
        <v>1</v>
      </c>
      <c r="Q317" s="80" t="str">
        <f>REPLACE(INDEX(GroupVertices[Group],MATCH(Edges[[#This Row],[Vertex 1]],GroupVertices[Vertex],0)),1,1,"")</f>
        <v>1</v>
      </c>
      <c r="R317" s="80" t="str">
        <f>REPLACE(INDEX(GroupVertices[Group],MATCH(Edges[[#This Row],[Vertex 2]],GroupVertices[Vertex],0)),1,1,"")</f>
        <v>1</v>
      </c>
      <c r="S317" s="35"/>
      <c r="T317" s="35"/>
      <c r="U317" s="35"/>
      <c r="V317" s="35"/>
      <c r="W317" s="35"/>
      <c r="X317" s="35"/>
      <c r="Y317" s="35"/>
      <c r="Z317" s="35"/>
      <c r="AA317" s="35"/>
    </row>
    <row r="318" spans="1:27" ht="15">
      <c r="A318" s="65" t="s">
        <v>232</v>
      </c>
      <c r="B318" s="65" t="s">
        <v>221</v>
      </c>
      <c r="C318" s="66" t="s">
        <v>2113</v>
      </c>
      <c r="D318" s="67">
        <v>3</v>
      </c>
      <c r="E318" s="68"/>
      <c r="F318" s="69">
        <v>40</v>
      </c>
      <c r="G318" s="66"/>
      <c r="H318" s="70"/>
      <c r="I318" s="71"/>
      <c r="J318" s="71"/>
      <c r="K318" s="35" t="s">
        <v>66</v>
      </c>
      <c r="L318" s="79">
        <v>318</v>
      </c>
      <c r="M318" s="79"/>
      <c r="N318" s="73"/>
      <c r="O318" s="81" t="s">
        <v>292</v>
      </c>
      <c r="P318">
        <v>1</v>
      </c>
      <c r="Q318" s="80" t="str">
        <f>REPLACE(INDEX(GroupVertices[Group],MATCH(Edges[[#This Row],[Vertex 1]],GroupVertices[Vertex],0)),1,1,"")</f>
        <v>2</v>
      </c>
      <c r="R318" s="80" t="str">
        <f>REPLACE(INDEX(GroupVertices[Group],MATCH(Edges[[#This Row],[Vertex 2]],GroupVertices[Vertex],0)),1,1,"")</f>
        <v>1</v>
      </c>
      <c r="S318" s="35"/>
      <c r="T318" s="35"/>
      <c r="U318" s="35"/>
      <c r="V318" s="35"/>
      <c r="W318" s="35"/>
      <c r="X318" s="35"/>
      <c r="Y318" s="35"/>
      <c r="Z318" s="35"/>
      <c r="AA318" s="35"/>
    </row>
    <row r="319" spans="1:27" ht="15">
      <c r="A319" s="65" t="s">
        <v>233</v>
      </c>
      <c r="B319" s="65" t="s">
        <v>221</v>
      </c>
      <c r="C319" s="66" t="s">
        <v>2113</v>
      </c>
      <c r="D319" s="67">
        <v>3</v>
      </c>
      <c r="E319" s="68"/>
      <c r="F319" s="69">
        <v>40</v>
      </c>
      <c r="G319" s="66"/>
      <c r="H319" s="70"/>
      <c r="I319" s="71"/>
      <c r="J319" s="71"/>
      <c r="K319" s="35" t="s">
        <v>66</v>
      </c>
      <c r="L319" s="79">
        <v>319</v>
      </c>
      <c r="M319" s="79"/>
      <c r="N319" s="73"/>
      <c r="O319" s="81" t="s">
        <v>292</v>
      </c>
      <c r="P319">
        <v>1</v>
      </c>
      <c r="Q319" s="80" t="str">
        <f>REPLACE(INDEX(GroupVertices[Group],MATCH(Edges[[#This Row],[Vertex 1]],GroupVertices[Vertex],0)),1,1,"")</f>
        <v>1</v>
      </c>
      <c r="R319" s="80" t="str">
        <f>REPLACE(INDEX(GroupVertices[Group],MATCH(Edges[[#This Row],[Vertex 2]],GroupVertices[Vertex],0)),1,1,"")</f>
        <v>1</v>
      </c>
      <c r="S319" s="35"/>
      <c r="T319" s="35"/>
      <c r="U319" s="35"/>
      <c r="V319" s="35"/>
      <c r="W319" s="35"/>
      <c r="X319" s="35"/>
      <c r="Y319" s="35"/>
      <c r="Z319" s="35"/>
      <c r="AA319" s="35"/>
    </row>
    <row r="320" spans="1:27" ht="15">
      <c r="A320" s="65" t="s">
        <v>234</v>
      </c>
      <c r="B320" s="65" t="s">
        <v>221</v>
      </c>
      <c r="C320" s="66" t="s">
        <v>2113</v>
      </c>
      <c r="D320" s="67">
        <v>3</v>
      </c>
      <c r="E320" s="68"/>
      <c r="F320" s="69">
        <v>40</v>
      </c>
      <c r="G320" s="66"/>
      <c r="H320" s="70"/>
      <c r="I320" s="71"/>
      <c r="J320" s="71"/>
      <c r="K320" s="35" t="s">
        <v>66</v>
      </c>
      <c r="L320" s="79">
        <v>320</v>
      </c>
      <c r="M320" s="79"/>
      <c r="N320" s="73"/>
      <c r="O320" s="81" t="s">
        <v>292</v>
      </c>
      <c r="P320">
        <v>1</v>
      </c>
      <c r="Q320" s="80" t="str">
        <f>REPLACE(INDEX(GroupVertices[Group],MATCH(Edges[[#This Row],[Vertex 1]],GroupVertices[Vertex],0)),1,1,"")</f>
        <v>1</v>
      </c>
      <c r="R320" s="80" t="str">
        <f>REPLACE(INDEX(GroupVertices[Group],MATCH(Edges[[#This Row],[Vertex 2]],GroupVertices[Vertex],0)),1,1,"")</f>
        <v>1</v>
      </c>
      <c r="S320" s="35"/>
      <c r="T320" s="35"/>
      <c r="U320" s="35"/>
      <c r="V320" s="35"/>
      <c r="W320" s="35"/>
      <c r="X320" s="35"/>
      <c r="Y320" s="35"/>
      <c r="Z320" s="35"/>
      <c r="AA320" s="35"/>
    </row>
    <row r="321" spans="1:27" ht="15">
      <c r="A321" s="65" t="s">
        <v>235</v>
      </c>
      <c r="B321" s="65" t="s">
        <v>221</v>
      </c>
      <c r="C321" s="66" t="s">
        <v>2113</v>
      </c>
      <c r="D321" s="67">
        <v>3</v>
      </c>
      <c r="E321" s="68"/>
      <c r="F321" s="69">
        <v>40</v>
      </c>
      <c r="G321" s="66"/>
      <c r="H321" s="70"/>
      <c r="I321" s="71"/>
      <c r="J321" s="71"/>
      <c r="K321" s="35" t="s">
        <v>66</v>
      </c>
      <c r="L321" s="79">
        <v>321</v>
      </c>
      <c r="M321" s="79"/>
      <c r="N321" s="73"/>
      <c r="O321" s="81" t="s">
        <v>292</v>
      </c>
      <c r="P321">
        <v>1</v>
      </c>
      <c r="Q321" s="80" t="str">
        <f>REPLACE(INDEX(GroupVertices[Group],MATCH(Edges[[#This Row],[Vertex 1]],GroupVertices[Vertex],0)),1,1,"")</f>
        <v>1</v>
      </c>
      <c r="R321" s="80" t="str">
        <f>REPLACE(INDEX(GroupVertices[Group],MATCH(Edges[[#This Row],[Vertex 2]],GroupVertices[Vertex],0)),1,1,"")</f>
        <v>1</v>
      </c>
      <c r="S321" s="35"/>
      <c r="T321" s="35"/>
      <c r="U321" s="35"/>
      <c r="V321" s="35"/>
      <c r="W321" s="35"/>
      <c r="X321" s="35"/>
      <c r="Y321" s="35"/>
      <c r="Z321" s="35"/>
      <c r="AA321" s="35"/>
    </row>
    <row r="322" spans="1:27" ht="15">
      <c r="A322" s="65" t="s">
        <v>252</v>
      </c>
      <c r="B322" s="65" t="s">
        <v>221</v>
      </c>
      <c r="C322" s="66" t="s">
        <v>2113</v>
      </c>
      <c r="D322" s="67">
        <v>3</v>
      </c>
      <c r="E322" s="68"/>
      <c r="F322" s="69">
        <v>40</v>
      </c>
      <c r="G322" s="66"/>
      <c r="H322" s="70"/>
      <c r="I322" s="71"/>
      <c r="J322" s="71"/>
      <c r="K322" s="35" t="s">
        <v>65</v>
      </c>
      <c r="L322" s="79">
        <v>322</v>
      </c>
      <c r="M322" s="79"/>
      <c r="N322" s="73"/>
      <c r="O322" s="81" t="s">
        <v>293</v>
      </c>
      <c r="P322">
        <v>1</v>
      </c>
      <c r="Q322" s="80" t="str">
        <f>REPLACE(INDEX(GroupVertices[Group],MATCH(Edges[[#This Row],[Vertex 1]],GroupVertices[Vertex],0)),1,1,"")</f>
        <v>4</v>
      </c>
      <c r="R322" s="80" t="str">
        <f>REPLACE(INDEX(GroupVertices[Group],MATCH(Edges[[#This Row],[Vertex 2]],GroupVertices[Vertex],0)),1,1,"")</f>
        <v>1</v>
      </c>
      <c r="S322" s="35"/>
      <c r="T322" s="35"/>
      <c r="U322" s="35"/>
      <c r="V322" s="35"/>
      <c r="W322" s="35"/>
      <c r="X322" s="35"/>
      <c r="Y322" s="35"/>
      <c r="Z322" s="35"/>
      <c r="AA322" s="35"/>
    </row>
    <row r="323" spans="1:27" ht="15">
      <c r="A323" s="65" t="s">
        <v>252</v>
      </c>
      <c r="B323" s="65" t="s">
        <v>253</v>
      </c>
      <c r="C323" s="66" t="s">
        <v>2113</v>
      </c>
      <c r="D323" s="67">
        <v>3</v>
      </c>
      <c r="E323" s="68"/>
      <c r="F323" s="69">
        <v>40</v>
      </c>
      <c r="G323" s="66"/>
      <c r="H323" s="70"/>
      <c r="I323" s="71"/>
      <c r="J323" s="71"/>
      <c r="K323" s="35" t="s">
        <v>65</v>
      </c>
      <c r="L323" s="79">
        <v>323</v>
      </c>
      <c r="M323" s="79"/>
      <c r="N323" s="73"/>
      <c r="O323" s="81" t="s">
        <v>293</v>
      </c>
      <c r="P323">
        <v>1</v>
      </c>
      <c r="Q323" s="80" t="str">
        <f>REPLACE(INDEX(GroupVertices[Group],MATCH(Edges[[#This Row],[Vertex 1]],GroupVertices[Vertex],0)),1,1,"")</f>
        <v>4</v>
      </c>
      <c r="R323" s="80" t="str">
        <f>REPLACE(INDEX(GroupVertices[Group],MATCH(Edges[[#This Row],[Vertex 2]],GroupVertices[Vertex],0)),1,1,"")</f>
        <v>4</v>
      </c>
      <c r="S323" s="35"/>
      <c r="T323" s="35"/>
      <c r="U323" s="35"/>
      <c r="V323" s="35"/>
      <c r="W323" s="35"/>
      <c r="X323" s="35"/>
      <c r="Y323" s="35"/>
      <c r="Z323" s="35"/>
      <c r="AA323" s="35"/>
    </row>
    <row r="324" spans="1:27" ht="15">
      <c r="A324" s="65" t="s">
        <v>222</v>
      </c>
      <c r="B324" s="65" t="s">
        <v>216</v>
      </c>
      <c r="C324" s="66" t="s">
        <v>2113</v>
      </c>
      <c r="D324" s="67">
        <v>3</v>
      </c>
      <c r="E324" s="68"/>
      <c r="F324" s="69">
        <v>40</v>
      </c>
      <c r="G324" s="66"/>
      <c r="H324" s="70"/>
      <c r="I324" s="71"/>
      <c r="J324" s="71"/>
      <c r="K324" s="35" t="s">
        <v>65</v>
      </c>
      <c r="L324" s="79">
        <v>324</v>
      </c>
      <c r="M324" s="79"/>
      <c r="N324" s="73"/>
      <c r="O324" s="81" t="s">
        <v>292</v>
      </c>
      <c r="P324">
        <v>1</v>
      </c>
      <c r="Q324" s="80" t="str">
        <f>REPLACE(INDEX(GroupVertices[Group],MATCH(Edges[[#This Row],[Vertex 1]],GroupVertices[Vertex],0)),1,1,"")</f>
        <v>1</v>
      </c>
      <c r="R324" s="80" t="str">
        <f>REPLACE(INDEX(GroupVertices[Group],MATCH(Edges[[#This Row],[Vertex 2]],GroupVertices[Vertex],0)),1,1,"")</f>
        <v>1</v>
      </c>
      <c r="S324" s="35"/>
      <c r="T324" s="35"/>
      <c r="U324" s="35"/>
      <c r="V324" s="35"/>
      <c r="W324" s="35"/>
      <c r="X324" s="35"/>
      <c r="Y324" s="35"/>
      <c r="Z324" s="35"/>
      <c r="AA324" s="35"/>
    </row>
    <row r="325" spans="1:27" ht="15">
      <c r="A325" s="65" t="s">
        <v>223</v>
      </c>
      <c r="B325" s="65" t="s">
        <v>222</v>
      </c>
      <c r="C325" s="66" t="s">
        <v>2113</v>
      </c>
      <c r="D325" s="67">
        <v>3</v>
      </c>
      <c r="E325" s="68"/>
      <c r="F325" s="69">
        <v>40</v>
      </c>
      <c r="G325" s="66"/>
      <c r="H325" s="70"/>
      <c r="I325" s="71"/>
      <c r="J325" s="71"/>
      <c r="K325" s="35" t="s">
        <v>65</v>
      </c>
      <c r="L325" s="79">
        <v>325</v>
      </c>
      <c r="M325" s="79"/>
      <c r="N325" s="73"/>
      <c r="O325" s="81" t="s">
        <v>292</v>
      </c>
      <c r="P325">
        <v>1</v>
      </c>
      <c r="Q325" s="80" t="str">
        <f>REPLACE(INDEX(GroupVertices[Group],MATCH(Edges[[#This Row],[Vertex 1]],GroupVertices[Vertex],0)),1,1,"")</f>
        <v>1</v>
      </c>
      <c r="R325" s="80" t="str">
        <f>REPLACE(INDEX(GroupVertices[Group],MATCH(Edges[[#This Row],[Vertex 2]],GroupVertices[Vertex],0)),1,1,"")</f>
        <v>1</v>
      </c>
      <c r="S325" s="35"/>
      <c r="T325" s="35"/>
      <c r="U325" s="35"/>
      <c r="V325" s="35"/>
      <c r="W325" s="35"/>
      <c r="X325" s="35"/>
      <c r="Y325" s="35"/>
      <c r="Z325" s="35"/>
      <c r="AA325" s="35"/>
    </row>
    <row r="326" spans="1:27" ht="15">
      <c r="A326" s="65" t="s">
        <v>224</v>
      </c>
      <c r="B326" s="65" t="s">
        <v>222</v>
      </c>
      <c r="C326" s="66" t="s">
        <v>2113</v>
      </c>
      <c r="D326" s="67">
        <v>3</v>
      </c>
      <c r="E326" s="68"/>
      <c r="F326" s="69">
        <v>40</v>
      </c>
      <c r="G326" s="66"/>
      <c r="H326" s="70"/>
      <c r="I326" s="71"/>
      <c r="J326" s="71"/>
      <c r="K326" s="35" t="s">
        <v>65</v>
      </c>
      <c r="L326" s="79">
        <v>326</v>
      </c>
      <c r="M326" s="79"/>
      <c r="N326" s="73"/>
      <c r="O326" s="81" t="s">
        <v>292</v>
      </c>
      <c r="P326">
        <v>1</v>
      </c>
      <c r="Q326" s="80" t="str">
        <f>REPLACE(INDEX(GroupVertices[Group],MATCH(Edges[[#This Row],[Vertex 1]],GroupVertices[Vertex],0)),1,1,"")</f>
        <v>1</v>
      </c>
      <c r="R326" s="80" t="str">
        <f>REPLACE(INDEX(GroupVertices[Group],MATCH(Edges[[#This Row],[Vertex 2]],GroupVertices[Vertex],0)),1,1,"")</f>
        <v>1</v>
      </c>
      <c r="S326" s="35"/>
      <c r="T326" s="35"/>
      <c r="U326" s="35"/>
      <c r="V326" s="35"/>
      <c r="W326" s="35"/>
      <c r="X326" s="35"/>
      <c r="Y326" s="35"/>
      <c r="Z326" s="35"/>
      <c r="AA326" s="35"/>
    </row>
    <row r="327" spans="1:27" ht="15">
      <c r="A327" s="65" t="s">
        <v>226</v>
      </c>
      <c r="B327" s="65" t="s">
        <v>222</v>
      </c>
      <c r="C327" s="66" t="s">
        <v>2113</v>
      </c>
      <c r="D327" s="67">
        <v>3</v>
      </c>
      <c r="E327" s="68"/>
      <c r="F327" s="69">
        <v>40</v>
      </c>
      <c r="G327" s="66"/>
      <c r="H327" s="70"/>
      <c r="I327" s="71"/>
      <c r="J327" s="71"/>
      <c r="K327" s="35" t="s">
        <v>65</v>
      </c>
      <c r="L327" s="79">
        <v>327</v>
      </c>
      <c r="M327" s="79"/>
      <c r="N327" s="73"/>
      <c r="O327" s="81" t="s">
        <v>292</v>
      </c>
      <c r="P327">
        <v>1</v>
      </c>
      <c r="Q327" s="80" t="str">
        <f>REPLACE(INDEX(GroupVertices[Group],MATCH(Edges[[#This Row],[Vertex 1]],GroupVertices[Vertex],0)),1,1,"")</f>
        <v>1</v>
      </c>
      <c r="R327" s="80" t="str">
        <f>REPLACE(INDEX(GroupVertices[Group],MATCH(Edges[[#This Row],[Vertex 2]],GroupVertices[Vertex],0)),1,1,"")</f>
        <v>1</v>
      </c>
      <c r="S327" s="35"/>
      <c r="T327" s="35"/>
      <c r="U327" s="35"/>
      <c r="V327" s="35"/>
      <c r="W327" s="35"/>
      <c r="X327" s="35"/>
      <c r="Y327" s="35"/>
      <c r="Z327" s="35"/>
      <c r="AA327" s="35"/>
    </row>
    <row r="328" spans="1:27" ht="15">
      <c r="A328" s="65" t="s">
        <v>227</v>
      </c>
      <c r="B328" s="65" t="s">
        <v>222</v>
      </c>
      <c r="C328" s="66" t="s">
        <v>2113</v>
      </c>
      <c r="D328" s="67">
        <v>3</v>
      </c>
      <c r="E328" s="68"/>
      <c r="F328" s="69">
        <v>40</v>
      </c>
      <c r="G328" s="66"/>
      <c r="H328" s="70"/>
      <c r="I328" s="71"/>
      <c r="J328" s="71"/>
      <c r="K328" s="35" t="s">
        <v>65</v>
      </c>
      <c r="L328" s="79">
        <v>328</v>
      </c>
      <c r="M328" s="79"/>
      <c r="N328" s="73"/>
      <c r="O328" s="81" t="s">
        <v>292</v>
      </c>
      <c r="P328">
        <v>1</v>
      </c>
      <c r="Q328" s="80" t="str">
        <f>REPLACE(INDEX(GroupVertices[Group],MATCH(Edges[[#This Row],[Vertex 1]],GroupVertices[Vertex],0)),1,1,"")</f>
        <v>1</v>
      </c>
      <c r="R328" s="80" t="str">
        <f>REPLACE(INDEX(GroupVertices[Group],MATCH(Edges[[#This Row],[Vertex 2]],GroupVertices[Vertex],0)),1,1,"")</f>
        <v>1</v>
      </c>
      <c r="S328" s="35"/>
      <c r="T328" s="35"/>
      <c r="U328" s="35"/>
      <c r="V328" s="35"/>
      <c r="W328" s="35"/>
      <c r="X328" s="35"/>
      <c r="Y328" s="35"/>
      <c r="Z328" s="35"/>
      <c r="AA328" s="35"/>
    </row>
    <row r="329" spans="1:27" ht="15">
      <c r="A329" s="65" t="s">
        <v>228</v>
      </c>
      <c r="B329" s="65" t="s">
        <v>222</v>
      </c>
      <c r="C329" s="66" t="s">
        <v>2113</v>
      </c>
      <c r="D329" s="67">
        <v>3</v>
      </c>
      <c r="E329" s="68"/>
      <c r="F329" s="69">
        <v>40</v>
      </c>
      <c r="G329" s="66"/>
      <c r="H329" s="70"/>
      <c r="I329" s="71"/>
      <c r="J329" s="71"/>
      <c r="K329" s="35" t="s">
        <v>65</v>
      </c>
      <c r="L329" s="79">
        <v>329</v>
      </c>
      <c r="M329" s="79"/>
      <c r="N329" s="73"/>
      <c r="O329" s="81" t="s">
        <v>292</v>
      </c>
      <c r="P329">
        <v>1</v>
      </c>
      <c r="Q329" s="80" t="str">
        <f>REPLACE(INDEX(GroupVertices[Group],MATCH(Edges[[#This Row],[Vertex 1]],GroupVertices[Vertex],0)),1,1,"")</f>
        <v>1</v>
      </c>
      <c r="R329" s="80" t="str">
        <f>REPLACE(INDEX(GroupVertices[Group],MATCH(Edges[[#This Row],[Vertex 2]],GroupVertices[Vertex],0)),1,1,"")</f>
        <v>1</v>
      </c>
      <c r="S329" s="35"/>
      <c r="T329" s="35"/>
      <c r="U329" s="35"/>
      <c r="V329" s="35"/>
      <c r="W329" s="35"/>
      <c r="X329" s="35"/>
      <c r="Y329" s="35"/>
      <c r="Z329" s="35"/>
      <c r="AA329" s="35"/>
    </row>
    <row r="330" spans="1:27" ht="15">
      <c r="A330" s="65" t="s">
        <v>230</v>
      </c>
      <c r="B330" s="65" t="s">
        <v>222</v>
      </c>
      <c r="C330" s="66" t="s">
        <v>2113</v>
      </c>
      <c r="D330" s="67">
        <v>3</v>
      </c>
      <c r="E330" s="68"/>
      <c r="F330" s="69">
        <v>40</v>
      </c>
      <c r="G330" s="66"/>
      <c r="H330" s="70"/>
      <c r="I330" s="71"/>
      <c r="J330" s="71"/>
      <c r="K330" s="35" t="s">
        <v>65</v>
      </c>
      <c r="L330" s="79">
        <v>330</v>
      </c>
      <c r="M330" s="79"/>
      <c r="N330" s="73"/>
      <c r="O330" s="81" t="s">
        <v>292</v>
      </c>
      <c r="P330">
        <v>1</v>
      </c>
      <c r="Q330" s="80" t="str">
        <f>REPLACE(INDEX(GroupVertices[Group],MATCH(Edges[[#This Row],[Vertex 1]],GroupVertices[Vertex],0)),1,1,"")</f>
        <v>1</v>
      </c>
      <c r="R330" s="80" t="str">
        <f>REPLACE(INDEX(GroupVertices[Group],MATCH(Edges[[#This Row],[Vertex 2]],GroupVertices[Vertex],0)),1,1,"")</f>
        <v>1</v>
      </c>
      <c r="S330" s="35"/>
      <c r="T330" s="35"/>
      <c r="U330" s="35"/>
      <c r="V330" s="35"/>
      <c r="W330" s="35"/>
      <c r="X330" s="35"/>
      <c r="Y330" s="35"/>
      <c r="Z330" s="35"/>
      <c r="AA330" s="35"/>
    </row>
    <row r="331" spans="1:27" ht="15">
      <c r="A331" s="65" t="s">
        <v>231</v>
      </c>
      <c r="B331" s="65" t="s">
        <v>222</v>
      </c>
      <c r="C331" s="66" t="s">
        <v>2113</v>
      </c>
      <c r="D331" s="67">
        <v>3</v>
      </c>
      <c r="E331" s="68"/>
      <c r="F331" s="69">
        <v>40</v>
      </c>
      <c r="G331" s="66"/>
      <c r="H331" s="70"/>
      <c r="I331" s="71"/>
      <c r="J331" s="71"/>
      <c r="K331" s="35" t="s">
        <v>65</v>
      </c>
      <c r="L331" s="79">
        <v>331</v>
      </c>
      <c r="M331" s="79"/>
      <c r="N331" s="73"/>
      <c r="O331" s="81" t="s">
        <v>292</v>
      </c>
      <c r="P331">
        <v>1</v>
      </c>
      <c r="Q331" s="80" t="str">
        <f>REPLACE(INDEX(GroupVertices[Group],MATCH(Edges[[#This Row],[Vertex 1]],GroupVertices[Vertex],0)),1,1,"")</f>
        <v>1</v>
      </c>
      <c r="R331" s="80" t="str">
        <f>REPLACE(INDEX(GroupVertices[Group],MATCH(Edges[[#This Row],[Vertex 2]],GroupVertices[Vertex],0)),1,1,"")</f>
        <v>1</v>
      </c>
      <c r="S331" s="35"/>
      <c r="T331" s="35"/>
      <c r="U331" s="35"/>
      <c r="V331" s="35"/>
      <c r="W331" s="35"/>
      <c r="X331" s="35"/>
      <c r="Y331" s="35"/>
      <c r="Z331" s="35"/>
      <c r="AA331" s="35"/>
    </row>
    <row r="332" spans="1:27" ht="15">
      <c r="A332" s="65" t="s">
        <v>232</v>
      </c>
      <c r="B332" s="65" t="s">
        <v>222</v>
      </c>
      <c r="C332" s="66" t="s">
        <v>2113</v>
      </c>
      <c r="D332" s="67">
        <v>3</v>
      </c>
      <c r="E332" s="68"/>
      <c r="F332" s="69">
        <v>40</v>
      </c>
      <c r="G332" s="66"/>
      <c r="H332" s="70"/>
      <c r="I332" s="71"/>
      <c r="J332" s="71"/>
      <c r="K332" s="35" t="s">
        <v>65</v>
      </c>
      <c r="L332" s="79">
        <v>332</v>
      </c>
      <c r="M332" s="79"/>
      <c r="N332" s="73"/>
      <c r="O332" s="81" t="s">
        <v>292</v>
      </c>
      <c r="P332">
        <v>1</v>
      </c>
      <c r="Q332" s="80" t="str">
        <f>REPLACE(INDEX(GroupVertices[Group],MATCH(Edges[[#This Row],[Vertex 1]],GroupVertices[Vertex],0)),1,1,"")</f>
        <v>2</v>
      </c>
      <c r="R332" s="80" t="str">
        <f>REPLACE(INDEX(GroupVertices[Group],MATCH(Edges[[#This Row],[Vertex 2]],GroupVertices[Vertex],0)),1,1,"")</f>
        <v>1</v>
      </c>
      <c r="S332" s="35"/>
      <c r="T332" s="35"/>
      <c r="U332" s="35"/>
      <c r="V332" s="35"/>
      <c r="W332" s="35"/>
      <c r="X332" s="35"/>
      <c r="Y332" s="35"/>
      <c r="Z332" s="35"/>
      <c r="AA332" s="35"/>
    </row>
    <row r="333" spans="1:27" ht="15">
      <c r="A333" s="65" t="s">
        <v>235</v>
      </c>
      <c r="B333" s="65" t="s">
        <v>222</v>
      </c>
      <c r="C333" s="66" t="s">
        <v>2114</v>
      </c>
      <c r="D333" s="67">
        <v>3</v>
      </c>
      <c r="E333" s="68"/>
      <c r="F333" s="69">
        <v>40</v>
      </c>
      <c r="G333" s="66"/>
      <c r="H333" s="70"/>
      <c r="I333" s="71"/>
      <c r="J333" s="71"/>
      <c r="K333" s="35" t="s">
        <v>65</v>
      </c>
      <c r="L333" s="79">
        <v>333</v>
      </c>
      <c r="M333" s="79"/>
      <c r="N333" s="73"/>
      <c r="O333" s="81" t="s">
        <v>292</v>
      </c>
      <c r="P333">
        <v>2</v>
      </c>
      <c r="Q333" s="80" t="str">
        <f>REPLACE(INDEX(GroupVertices[Group],MATCH(Edges[[#This Row],[Vertex 1]],GroupVertices[Vertex],0)),1,1,"")</f>
        <v>1</v>
      </c>
      <c r="R333" s="80" t="str">
        <f>REPLACE(INDEX(GroupVertices[Group],MATCH(Edges[[#This Row],[Vertex 2]],GroupVertices[Vertex],0)),1,1,"")</f>
        <v>1</v>
      </c>
      <c r="S333" s="35"/>
      <c r="T333" s="35"/>
      <c r="U333" s="35"/>
      <c r="V333" s="35"/>
      <c r="W333" s="35"/>
      <c r="X333" s="35"/>
      <c r="Y333" s="35"/>
      <c r="Z333" s="35"/>
      <c r="AA333" s="35"/>
    </row>
    <row r="334" spans="1:27" ht="15">
      <c r="A334" s="65" t="s">
        <v>252</v>
      </c>
      <c r="B334" s="65" t="s">
        <v>222</v>
      </c>
      <c r="C334" s="66" t="s">
        <v>2113</v>
      </c>
      <c r="D334" s="67">
        <v>3</v>
      </c>
      <c r="E334" s="68"/>
      <c r="F334" s="69">
        <v>40</v>
      </c>
      <c r="G334" s="66"/>
      <c r="H334" s="70"/>
      <c r="I334" s="71"/>
      <c r="J334" s="71"/>
      <c r="K334" s="35" t="s">
        <v>65</v>
      </c>
      <c r="L334" s="79">
        <v>334</v>
      </c>
      <c r="M334" s="79"/>
      <c r="N334" s="73"/>
      <c r="O334" s="81" t="s">
        <v>293</v>
      </c>
      <c r="P334">
        <v>1</v>
      </c>
      <c r="Q334" s="80" t="str">
        <f>REPLACE(INDEX(GroupVertices[Group],MATCH(Edges[[#This Row],[Vertex 1]],GroupVertices[Vertex],0)),1,1,"")</f>
        <v>4</v>
      </c>
      <c r="R334" s="80" t="str">
        <f>REPLACE(INDEX(GroupVertices[Group],MATCH(Edges[[#This Row],[Vertex 2]],GroupVertices[Vertex],0)),1,1,"")</f>
        <v>1</v>
      </c>
      <c r="S334" s="35"/>
      <c r="T334" s="35"/>
      <c r="U334" s="35"/>
      <c r="V334" s="35"/>
      <c r="W334" s="35"/>
      <c r="X334" s="35"/>
      <c r="Y334" s="35"/>
      <c r="Z334" s="35"/>
      <c r="AA334" s="35"/>
    </row>
    <row r="335" spans="1:27" ht="15">
      <c r="A335" s="65" t="s">
        <v>252</v>
      </c>
      <c r="B335" s="65" t="s">
        <v>230</v>
      </c>
      <c r="C335" s="66" t="s">
        <v>2113</v>
      </c>
      <c r="D335" s="67">
        <v>3</v>
      </c>
      <c r="E335" s="68"/>
      <c r="F335" s="69">
        <v>40</v>
      </c>
      <c r="G335" s="66"/>
      <c r="H335" s="70"/>
      <c r="I335" s="71"/>
      <c r="J335" s="71"/>
      <c r="K335" s="35" t="s">
        <v>65</v>
      </c>
      <c r="L335" s="79">
        <v>335</v>
      </c>
      <c r="M335" s="79"/>
      <c r="N335" s="73"/>
      <c r="O335" s="81" t="s">
        <v>293</v>
      </c>
      <c r="P335">
        <v>1</v>
      </c>
      <c r="Q335" s="80" t="str">
        <f>REPLACE(INDEX(GroupVertices[Group],MATCH(Edges[[#This Row],[Vertex 1]],GroupVertices[Vertex],0)),1,1,"")</f>
        <v>4</v>
      </c>
      <c r="R335" s="80" t="str">
        <f>REPLACE(INDEX(GroupVertices[Group],MATCH(Edges[[#This Row],[Vertex 2]],GroupVertices[Vertex],0)),1,1,"")</f>
        <v>1</v>
      </c>
      <c r="S335" s="35"/>
      <c r="T335" s="35"/>
      <c r="U335" s="35"/>
      <c r="V335" s="35"/>
      <c r="W335" s="35"/>
      <c r="X335" s="35"/>
      <c r="Y335" s="35"/>
      <c r="Z335" s="35"/>
      <c r="AA335" s="35"/>
    </row>
    <row r="336" spans="1:27" ht="15">
      <c r="A336" s="65" t="s">
        <v>252</v>
      </c>
      <c r="B336" s="65" t="s">
        <v>243</v>
      </c>
      <c r="C336" s="66" t="s">
        <v>2113</v>
      </c>
      <c r="D336" s="67">
        <v>3</v>
      </c>
      <c r="E336" s="68"/>
      <c r="F336" s="69">
        <v>40</v>
      </c>
      <c r="G336" s="66"/>
      <c r="H336" s="70"/>
      <c r="I336" s="71"/>
      <c r="J336" s="71"/>
      <c r="K336" s="35" t="s">
        <v>65</v>
      </c>
      <c r="L336" s="79">
        <v>336</v>
      </c>
      <c r="M336" s="79"/>
      <c r="N336" s="73"/>
      <c r="O336" s="81" t="s">
        <v>293</v>
      </c>
      <c r="P336">
        <v>1</v>
      </c>
      <c r="Q336" s="80" t="str">
        <f>REPLACE(INDEX(GroupVertices[Group],MATCH(Edges[[#This Row],[Vertex 1]],GroupVertices[Vertex],0)),1,1,"")</f>
        <v>4</v>
      </c>
      <c r="R336" s="80" t="str">
        <f>REPLACE(INDEX(GroupVertices[Group],MATCH(Edges[[#This Row],[Vertex 2]],GroupVertices[Vertex],0)),1,1,"")</f>
        <v>1</v>
      </c>
      <c r="S336" s="35"/>
      <c r="T336" s="35"/>
      <c r="U336" s="35"/>
      <c r="V336" s="35"/>
      <c r="W336" s="35"/>
      <c r="X336" s="35"/>
      <c r="Y336" s="35"/>
      <c r="Z336" s="35"/>
      <c r="AA336" s="35"/>
    </row>
    <row r="337" spans="1:27" ht="15">
      <c r="A337" s="65" t="s">
        <v>252</v>
      </c>
      <c r="B337" s="65" t="s">
        <v>231</v>
      </c>
      <c r="C337" s="66" t="s">
        <v>2113</v>
      </c>
      <c r="D337" s="67">
        <v>3</v>
      </c>
      <c r="E337" s="68"/>
      <c r="F337" s="69">
        <v>40</v>
      </c>
      <c r="G337" s="66"/>
      <c r="H337" s="70"/>
      <c r="I337" s="71"/>
      <c r="J337" s="71"/>
      <c r="K337" s="35" t="s">
        <v>65</v>
      </c>
      <c r="L337" s="79">
        <v>337</v>
      </c>
      <c r="M337" s="79"/>
      <c r="N337" s="73"/>
      <c r="O337" s="81" t="s">
        <v>293</v>
      </c>
      <c r="P337">
        <v>1</v>
      </c>
      <c r="Q337" s="80" t="str">
        <f>REPLACE(INDEX(GroupVertices[Group],MATCH(Edges[[#This Row],[Vertex 1]],GroupVertices[Vertex],0)),1,1,"")</f>
        <v>4</v>
      </c>
      <c r="R337" s="80" t="str">
        <f>REPLACE(INDEX(GroupVertices[Group],MATCH(Edges[[#This Row],[Vertex 2]],GroupVertices[Vertex],0)),1,1,"")</f>
        <v>1</v>
      </c>
      <c r="S337" s="35"/>
      <c r="T337" s="35"/>
      <c r="U337" s="35"/>
      <c r="V337" s="35"/>
      <c r="W337" s="35"/>
      <c r="X337" s="35"/>
      <c r="Y337" s="35"/>
      <c r="Z337" s="35"/>
      <c r="AA337" s="35"/>
    </row>
    <row r="338" spans="1:27" ht="15">
      <c r="A338" s="65" t="s">
        <v>223</v>
      </c>
      <c r="B338" s="65" t="s">
        <v>216</v>
      </c>
      <c r="C338" s="66" t="s">
        <v>2113</v>
      </c>
      <c r="D338" s="67">
        <v>3</v>
      </c>
      <c r="E338" s="68"/>
      <c r="F338" s="69">
        <v>40</v>
      </c>
      <c r="G338" s="66"/>
      <c r="H338" s="70"/>
      <c r="I338" s="71"/>
      <c r="J338" s="71"/>
      <c r="K338" s="35" t="s">
        <v>66</v>
      </c>
      <c r="L338" s="79">
        <v>338</v>
      </c>
      <c r="M338" s="79"/>
      <c r="N338" s="73"/>
      <c r="O338" s="81" t="s">
        <v>292</v>
      </c>
      <c r="P338">
        <v>1</v>
      </c>
      <c r="Q338" s="80" t="str">
        <f>REPLACE(INDEX(GroupVertices[Group],MATCH(Edges[[#This Row],[Vertex 1]],GroupVertices[Vertex],0)),1,1,"")</f>
        <v>1</v>
      </c>
      <c r="R338" s="80" t="str">
        <f>REPLACE(INDEX(GroupVertices[Group],MATCH(Edges[[#This Row],[Vertex 2]],GroupVertices[Vertex],0)),1,1,"")</f>
        <v>1</v>
      </c>
      <c r="S338" s="35"/>
      <c r="T338" s="35"/>
      <c r="U338" s="35"/>
      <c r="V338" s="35"/>
      <c r="W338" s="35"/>
      <c r="X338" s="35"/>
      <c r="Y338" s="35"/>
      <c r="Z338" s="35"/>
      <c r="AA338" s="35"/>
    </row>
    <row r="339" spans="1:27" ht="15">
      <c r="A339" s="65" t="s">
        <v>224</v>
      </c>
      <c r="B339" s="65" t="s">
        <v>223</v>
      </c>
      <c r="C339" s="66" t="s">
        <v>2113</v>
      </c>
      <c r="D339" s="67">
        <v>3</v>
      </c>
      <c r="E339" s="68"/>
      <c r="F339" s="69">
        <v>40</v>
      </c>
      <c r="G339" s="66"/>
      <c r="H339" s="70"/>
      <c r="I339" s="71"/>
      <c r="J339" s="71"/>
      <c r="K339" s="35" t="s">
        <v>65</v>
      </c>
      <c r="L339" s="79">
        <v>339</v>
      </c>
      <c r="M339" s="79"/>
      <c r="N339" s="73"/>
      <c r="O339" s="81" t="s">
        <v>292</v>
      </c>
      <c r="P339">
        <v>1</v>
      </c>
      <c r="Q339" s="80" t="str">
        <f>REPLACE(INDEX(GroupVertices[Group],MATCH(Edges[[#This Row],[Vertex 1]],GroupVertices[Vertex],0)),1,1,"")</f>
        <v>1</v>
      </c>
      <c r="R339" s="80" t="str">
        <f>REPLACE(INDEX(GroupVertices[Group],MATCH(Edges[[#This Row],[Vertex 2]],GroupVertices[Vertex],0)),1,1,"")</f>
        <v>1</v>
      </c>
      <c r="S339" s="35"/>
      <c r="T339" s="35"/>
      <c r="U339" s="35"/>
      <c r="V339" s="35"/>
      <c r="W339" s="35"/>
      <c r="X339" s="35"/>
      <c r="Y339" s="35"/>
      <c r="Z339" s="35"/>
      <c r="AA339" s="35"/>
    </row>
    <row r="340" spans="1:27" ht="15">
      <c r="A340" s="65" t="s">
        <v>225</v>
      </c>
      <c r="B340" s="65" t="s">
        <v>223</v>
      </c>
      <c r="C340" s="66" t="s">
        <v>2113</v>
      </c>
      <c r="D340" s="67">
        <v>3</v>
      </c>
      <c r="E340" s="68"/>
      <c r="F340" s="69">
        <v>40</v>
      </c>
      <c r="G340" s="66"/>
      <c r="H340" s="70"/>
      <c r="I340" s="71"/>
      <c r="J340" s="71"/>
      <c r="K340" s="35" t="s">
        <v>65</v>
      </c>
      <c r="L340" s="79">
        <v>340</v>
      </c>
      <c r="M340" s="79"/>
      <c r="N340" s="73"/>
      <c r="O340" s="81" t="s">
        <v>292</v>
      </c>
      <c r="P340">
        <v>1</v>
      </c>
      <c r="Q340" s="80" t="str">
        <f>REPLACE(INDEX(GroupVertices[Group],MATCH(Edges[[#This Row],[Vertex 1]],GroupVertices[Vertex],0)),1,1,"")</f>
        <v>1</v>
      </c>
      <c r="R340" s="80" t="str">
        <f>REPLACE(INDEX(GroupVertices[Group],MATCH(Edges[[#This Row],[Vertex 2]],GroupVertices[Vertex],0)),1,1,"")</f>
        <v>1</v>
      </c>
      <c r="S340" s="35"/>
      <c r="T340" s="35"/>
      <c r="U340" s="35"/>
      <c r="V340" s="35"/>
      <c r="W340" s="35"/>
      <c r="X340" s="35"/>
      <c r="Y340" s="35"/>
      <c r="Z340" s="35"/>
      <c r="AA340" s="35"/>
    </row>
    <row r="341" spans="1:27" ht="15">
      <c r="A341" s="65" t="s">
        <v>240</v>
      </c>
      <c r="B341" s="65" t="s">
        <v>223</v>
      </c>
      <c r="C341" s="66" t="s">
        <v>2113</v>
      </c>
      <c r="D341" s="67">
        <v>3</v>
      </c>
      <c r="E341" s="68"/>
      <c r="F341" s="69">
        <v>40</v>
      </c>
      <c r="G341" s="66"/>
      <c r="H341" s="70"/>
      <c r="I341" s="71"/>
      <c r="J341" s="71"/>
      <c r="K341" s="35" t="s">
        <v>65</v>
      </c>
      <c r="L341" s="79">
        <v>341</v>
      </c>
      <c r="M341" s="79"/>
      <c r="N341" s="73"/>
      <c r="O341" s="81" t="s">
        <v>292</v>
      </c>
      <c r="P341">
        <v>1</v>
      </c>
      <c r="Q341" s="80" t="str">
        <f>REPLACE(INDEX(GroupVertices[Group],MATCH(Edges[[#This Row],[Vertex 1]],GroupVertices[Vertex],0)),1,1,"")</f>
        <v>1</v>
      </c>
      <c r="R341" s="80" t="str">
        <f>REPLACE(INDEX(GroupVertices[Group],MATCH(Edges[[#This Row],[Vertex 2]],GroupVertices[Vertex],0)),1,1,"")</f>
        <v>1</v>
      </c>
      <c r="S341" s="35"/>
      <c r="T341" s="35"/>
      <c r="U341" s="35"/>
      <c r="V341" s="35"/>
      <c r="W341" s="35"/>
      <c r="X341" s="35"/>
      <c r="Y341" s="35"/>
      <c r="Z341" s="35"/>
      <c r="AA341" s="35"/>
    </row>
    <row r="342" spans="1:27" ht="15">
      <c r="A342" s="65" t="s">
        <v>226</v>
      </c>
      <c r="B342" s="65" t="s">
        <v>223</v>
      </c>
      <c r="C342" s="66" t="s">
        <v>2113</v>
      </c>
      <c r="D342" s="67">
        <v>3</v>
      </c>
      <c r="E342" s="68"/>
      <c r="F342" s="69">
        <v>40</v>
      </c>
      <c r="G342" s="66"/>
      <c r="H342" s="70"/>
      <c r="I342" s="71"/>
      <c r="J342" s="71"/>
      <c r="K342" s="35" t="s">
        <v>65</v>
      </c>
      <c r="L342" s="79">
        <v>342</v>
      </c>
      <c r="M342" s="79"/>
      <c r="N342" s="73"/>
      <c r="O342" s="81" t="s">
        <v>292</v>
      </c>
      <c r="P342">
        <v>1</v>
      </c>
      <c r="Q342" s="80" t="str">
        <f>REPLACE(INDEX(GroupVertices[Group],MATCH(Edges[[#This Row],[Vertex 1]],GroupVertices[Vertex],0)),1,1,"")</f>
        <v>1</v>
      </c>
      <c r="R342" s="80" t="str">
        <f>REPLACE(INDEX(GroupVertices[Group],MATCH(Edges[[#This Row],[Vertex 2]],GroupVertices[Vertex],0)),1,1,"")</f>
        <v>1</v>
      </c>
      <c r="S342" s="35"/>
      <c r="T342" s="35"/>
      <c r="U342" s="35"/>
      <c r="V342" s="35"/>
      <c r="W342" s="35"/>
      <c r="X342" s="35"/>
      <c r="Y342" s="35"/>
      <c r="Z342" s="35"/>
      <c r="AA342" s="35"/>
    </row>
    <row r="343" spans="1:27" ht="15">
      <c r="A343" s="65" t="s">
        <v>227</v>
      </c>
      <c r="B343" s="65" t="s">
        <v>223</v>
      </c>
      <c r="C343" s="66" t="s">
        <v>2113</v>
      </c>
      <c r="D343" s="67">
        <v>3</v>
      </c>
      <c r="E343" s="68"/>
      <c r="F343" s="69">
        <v>40</v>
      </c>
      <c r="G343" s="66"/>
      <c r="H343" s="70"/>
      <c r="I343" s="71"/>
      <c r="J343" s="71"/>
      <c r="K343" s="35" t="s">
        <v>65</v>
      </c>
      <c r="L343" s="79">
        <v>343</v>
      </c>
      <c r="M343" s="79"/>
      <c r="N343" s="73"/>
      <c r="O343" s="81" t="s">
        <v>292</v>
      </c>
      <c r="P343">
        <v>1</v>
      </c>
      <c r="Q343" s="80" t="str">
        <f>REPLACE(INDEX(GroupVertices[Group],MATCH(Edges[[#This Row],[Vertex 1]],GroupVertices[Vertex],0)),1,1,"")</f>
        <v>1</v>
      </c>
      <c r="R343" s="80" t="str">
        <f>REPLACE(INDEX(GroupVertices[Group],MATCH(Edges[[#This Row],[Vertex 2]],GroupVertices[Vertex],0)),1,1,"")</f>
        <v>1</v>
      </c>
      <c r="S343" s="35"/>
      <c r="T343" s="35"/>
      <c r="U343" s="35"/>
      <c r="V343" s="35"/>
      <c r="W343" s="35"/>
      <c r="X343" s="35"/>
      <c r="Y343" s="35"/>
      <c r="Z343" s="35"/>
      <c r="AA343" s="35"/>
    </row>
    <row r="344" spans="1:27" ht="15">
      <c r="A344" s="65" t="s">
        <v>241</v>
      </c>
      <c r="B344" s="65" t="s">
        <v>223</v>
      </c>
      <c r="C344" s="66" t="s">
        <v>2113</v>
      </c>
      <c r="D344" s="67">
        <v>3</v>
      </c>
      <c r="E344" s="68"/>
      <c r="F344" s="69">
        <v>40</v>
      </c>
      <c r="G344" s="66"/>
      <c r="H344" s="70"/>
      <c r="I344" s="71"/>
      <c r="J344" s="71"/>
      <c r="K344" s="35" t="s">
        <v>65</v>
      </c>
      <c r="L344" s="79">
        <v>344</v>
      </c>
      <c r="M344" s="79"/>
      <c r="N344" s="73"/>
      <c r="O344" s="81" t="s">
        <v>292</v>
      </c>
      <c r="P344">
        <v>1</v>
      </c>
      <c r="Q344" s="80" t="str">
        <f>REPLACE(INDEX(GroupVertices[Group],MATCH(Edges[[#This Row],[Vertex 1]],GroupVertices[Vertex],0)),1,1,"")</f>
        <v>1</v>
      </c>
      <c r="R344" s="80" t="str">
        <f>REPLACE(INDEX(GroupVertices[Group],MATCH(Edges[[#This Row],[Vertex 2]],GroupVertices[Vertex],0)),1,1,"")</f>
        <v>1</v>
      </c>
      <c r="S344" s="35"/>
      <c r="T344" s="35"/>
      <c r="U344" s="35"/>
      <c r="V344" s="35"/>
      <c r="W344" s="35"/>
      <c r="X344" s="35"/>
      <c r="Y344" s="35"/>
      <c r="Z344" s="35"/>
      <c r="AA344" s="35"/>
    </row>
    <row r="345" spans="1:27" ht="15">
      <c r="A345" s="65" t="s">
        <v>228</v>
      </c>
      <c r="B345" s="65" t="s">
        <v>223</v>
      </c>
      <c r="C345" s="66" t="s">
        <v>2113</v>
      </c>
      <c r="D345" s="67">
        <v>3</v>
      </c>
      <c r="E345" s="68"/>
      <c r="F345" s="69">
        <v>40</v>
      </c>
      <c r="G345" s="66"/>
      <c r="H345" s="70"/>
      <c r="I345" s="71"/>
      <c r="J345" s="71"/>
      <c r="K345" s="35" t="s">
        <v>65</v>
      </c>
      <c r="L345" s="79">
        <v>345</v>
      </c>
      <c r="M345" s="79"/>
      <c r="N345" s="73"/>
      <c r="O345" s="81" t="s">
        <v>292</v>
      </c>
      <c r="P345">
        <v>1</v>
      </c>
      <c r="Q345" s="80" t="str">
        <f>REPLACE(INDEX(GroupVertices[Group],MATCH(Edges[[#This Row],[Vertex 1]],GroupVertices[Vertex],0)),1,1,"")</f>
        <v>1</v>
      </c>
      <c r="R345" s="80" t="str">
        <f>REPLACE(INDEX(GroupVertices[Group],MATCH(Edges[[#This Row],[Vertex 2]],GroupVertices[Vertex],0)),1,1,"")</f>
        <v>1</v>
      </c>
      <c r="S345" s="35"/>
      <c r="T345" s="35"/>
      <c r="U345" s="35"/>
      <c r="V345" s="35"/>
      <c r="W345" s="35"/>
      <c r="X345" s="35"/>
      <c r="Y345" s="35"/>
      <c r="Z345" s="35"/>
      <c r="AA345" s="35"/>
    </row>
    <row r="346" spans="1:27" ht="15">
      <c r="A346" s="65" t="s">
        <v>229</v>
      </c>
      <c r="B346" s="65" t="s">
        <v>223</v>
      </c>
      <c r="C346" s="66" t="s">
        <v>2113</v>
      </c>
      <c r="D346" s="67">
        <v>3</v>
      </c>
      <c r="E346" s="68"/>
      <c r="F346" s="69">
        <v>40</v>
      </c>
      <c r="G346" s="66"/>
      <c r="H346" s="70"/>
      <c r="I346" s="71"/>
      <c r="J346" s="71"/>
      <c r="K346" s="35" t="s">
        <v>65</v>
      </c>
      <c r="L346" s="79">
        <v>346</v>
      </c>
      <c r="M346" s="79"/>
      <c r="N346" s="73"/>
      <c r="O346" s="81" t="s">
        <v>292</v>
      </c>
      <c r="P346">
        <v>1</v>
      </c>
      <c r="Q346" s="80" t="str">
        <f>REPLACE(INDEX(GroupVertices[Group],MATCH(Edges[[#This Row],[Vertex 1]],GroupVertices[Vertex],0)),1,1,"")</f>
        <v>1</v>
      </c>
      <c r="R346" s="80" t="str">
        <f>REPLACE(INDEX(GroupVertices[Group],MATCH(Edges[[#This Row],[Vertex 2]],GroupVertices[Vertex],0)),1,1,"")</f>
        <v>1</v>
      </c>
      <c r="S346" s="35"/>
      <c r="T346" s="35"/>
      <c r="U346" s="35"/>
      <c r="V346" s="35"/>
      <c r="W346" s="35"/>
      <c r="X346" s="35"/>
      <c r="Y346" s="35"/>
      <c r="Z346" s="35"/>
      <c r="AA346" s="35"/>
    </row>
    <row r="347" spans="1:27" ht="15">
      <c r="A347" s="65" t="s">
        <v>230</v>
      </c>
      <c r="B347" s="65" t="s">
        <v>223</v>
      </c>
      <c r="C347" s="66" t="s">
        <v>2113</v>
      </c>
      <c r="D347" s="67">
        <v>3</v>
      </c>
      <c r="E347" s="68"/>
      <c r="F347" s="69">
        <v>40</v>
      </c>
      <c r="G347" s="66"/>
      <c r="H347" s="70"/>
      <c r="I347" s="71"/>
      <c r="J347" s="71"/>
      <c r="K347" s="35" t="s">
        <v>65</v>
      </c>
      <c r="L347" s="79">
        <v>347</v>
      </c>
      <c r="M347" s="79"/>
      <c r="N347" s="73"/>
      <c r="O347" s="81" t="s">
        <v>292</v>
      </c>
      <c r="P347">
        <v>1</v>
      </c>
      <c r="Q347" s="80" t="str">
        <f>REPLACE(INDEX(GroupVertices[Group],MATCH(Edges[[#This Row],[Vertex 1]],GroupVertices[Vertex],0)),1,1,"")</f>
        <v>1</v>
      </c>
      <c r="R347" s="80" t="str">
        <f>REPLACE(INDEX(GroupVertices[Group],MATCH(Edges[[#This Row],[Vertex 2]],GroupVertices[Vertex],0)),1,1,"")</f>
        <v>1</v>
      </c>
      <c r="S347" s="35"/>
      <c r="T347" s="35"/>
      <c r="U347" s="35"/>
      <c r="V347" s="35"/>
      <c r="W347" s="35"/>
      <c r="X347" s="35"/>
      <c r="Y347" s="35"/>
      <c r="Z347" s="35"/>
      <c r="AA347" s="35"/>
    </row>
    <row r="348" spans="1:27" ht="15">
      <c r="A348" s="65" t="s">
        <v>231</v>
      </c>
      <c r="B348" s="65" t="s">
        <v>223</v>
      </c>
      <c r="C348" s="66" t="s">
        <v>2113</v>
      </c>
      <c r="D348" s="67">
        <v>3</v>
      </c>
      <c r="E348" s="68"/>
      <c r="F348" s="69">
        <v>40</v>
      </c>
      <c r="G348" s="66"/>
      <c r="H348" s="70"/>
      <c r="I348" s="71"/>
      <c r="J348" s="71"/>
      <c r="K348" s="35" t="s">
        <v>65</v>
      </c>
      <c r="L348" s="79">
        <v>348</v>
      </c>
      <c r="M348" s="79"/>
      <c r="N348" s="73"/>
      <c r="O348" s="81" t="s">
        <v>292</v>
      </c>
      <c r="P348">
        <v>1</v>
      </c>
      <c r="Q348" s="80" t="str">
        <f>REPLACE(INDEX(GroupVertices[Group],MATCH(Edges[[#This Row],[Vertex 1]],GroupVertices[Vertex],0)),1,1,"")</f>
        <v>1</v>
      </c>
      <c r="R348" s="80" t="str">
        <f>REPLACE(INDEX(GroupVertices[Group],MATCH(Edges[[#This Row],[Vertex 2]],GroupVertices[Vertex],0)),1,1,"")</f>
        <v>1</v>
      </c>
      <c r="S348" s="35"/>
      <c r="T348" s="35"/>
      <c r="U348" s="35"/>
      <c r="V348" s="35"/>
      <c r="W348" s="35"/>
      <c r="X348" s="35"/>
      <c r="Y348" s="35"/>
      <c r="Z348" s="35"/>
      <c r="AA348" s="35"/>
    </row>
    <row r="349" spans="1:27" ht="15">
      <c r="A349" s="65" t="s">
        <v>242</v>
      </c>
      <c r="B349" s="65" t="s">
        <v>223</v>
      </c>
      <c r="C349" s="66" t="s">
        <v>2113</v>
      </c>
      <c r="D349" s="67">
        <v>3</v>
      </c>
      <c r="E349" s="68"/>
      <c r="F349" s="69">
        <v>40</v>
      </c>
      <c r="G349" s="66"/>
      <c r="H349" s="70"/>
      <c r="I349" s="71"/>
      <c r="J349" s="71"/>
      <c r="K349" s="35" t="s">
        <v>65</v>
      </c>
      <c r="L349" s="79">
        <v>349</v>
      </c>
      <c r="M349" s="79"/>
      <c r="N349" s="73"/>
      <c r="O349" s="81" t="s">
        <v>292</v>
      </c>
      <c r="P349">
        <v>1</v>
      </c>
      <c r="Q349" s="80" t="str">
        <f>REPLACE(INDEX(GroupVertices[Group],MATCH(Edges[[#This Row],[Vertex 1]],GroupVertices[Vertex],0)),1,1,"")</f>
        <v>1</v>
      </c>
      <c r="R349" s="80" t="str">
        <f>REPLACE(INDEX(GroupVertices[Group],MATCH(Edges[[#This Row],[Vertex 2]],GroupVertices[Vertex],0)),1,1,"")</f>
        <v>1</v>
      </c>
      <c r="S349" s="35"/>
      <c r="T349" s="35"/>
      <c r="U349" s="35"/>
      <c r="V349" s="35"/>
      <c r="W349" s="35"/>
      <c r="X349" s="35"/>
      <c r="Y349" s="35"/>
      <c r="Z349" s="35"/>
      <c r="AA349" s="35"/>
    </row>
    <row r="350" spans="1:27" ht="15">
      <c r="A350" s="65" t="s">
        <v>232</v>
      </c>
      <c r="B350" s="65" t="s">
        <v>223</v>
      </c>
      <c r="C350" s="66" t="s">
        <v>2113</v>
      </c>
      <c r="D350" s="67">
        <v>3</v>
      </c>
      <c r="E350" s="68"/>
      <c r="F350" s="69">
        <v>40</v>
      </c>
      <c r="G350" s="66"/>
      <c r="H350" s="70"/>
      <c r="I350" s="71"/>
      <c r="J350" s="71"/>
      <c r="K350" s="35" t="s">
        <v>65</v>
      </c>
      <c r="L350" s="79">
        <v>350</v>
      </c>
      <c r="M350" s="79"/>
      <c r="N350" s="73"/>
      <c r="O350" s="81" t="s">
        <v>292</v>
      </c>
      <c r="P350">
        <v>1</v>
      </c>
      <c r="Q350" s="80" t="str">
        <f>REPLACE(INDEX(GroupVertices[Group],MATCH(Edges[[#This Row],[Vertex 1]],GroupVertices[Vertex],0)),1,1,"")</f>
        <v>2</v>
      </c>
      <c r="R350" s="80" t="str">
        <f>REPLACE(INDEX(GroupVertices[Group],MATCH(Edges[[#This Row],[Vertex 2]],GroupVertices[Vertex],0)),1,1,"")</f>
        <v>1</v>
      </c>
      <c r="S350" s="35"/>
      <c r="T350" s="35"/>
      <c r="U350" s="35"/>
      <c r="V350" s="35"/>
      <c r="W350" s="35"/>
      <c r="X350" s="35"/>
      <c r="Y350" s="35"/>
      <c r="Z350" s="35"/>
      <c r="AA350" s="35"/>
    </row>
    <row r="351" spans="1:27" ht="15">
      <c r="A351" s="65" t="s">
        <v>233</v>
      </c>
      <c r="B351" s="65" t="s">
        <v>223</v>
      </c>
      <c r="C351" s="66" t="s">
        <v>2113</v>
      </c>
      <c r="D351" s="67">
        <v>3</v>
      </c>
      <c r="E351" s="68"/>
      <c r="F351" s="69">
        <v>40</v>
      </c>
      <c r="G351" s="66"/>
      <c r="H351" s="70"/>
      <c r="I351" s="71"/>
      <c r="J351" s="71"/>
      <c r="K351" s="35" t="s">
        <v>65</v>
      </c>
      <c r="L351" s="79">
        <v>351</v>
      </c>
      <c r="M351" s="79"/>
      <c r="N351" s="73"/>
      <c r="O351" s="81" t="s">
        <v>292</v>
      </c>
      <c r="P351">
        <v>1</v>
      </c>
      <c r="Q351" s="80" t="str">
        <f>REPLACE(INDEX(GroupVertices[Group],MATCH(Edges[[#This Row],[Vertex 1]],GroupVertices[Vertex],0)),1,1,"")</f>
        <v>1</v>
      </c>
      <c r="R351" s="80" t="str">
        <f>REPLACE(INDEX(GroupVertices[Group],MATCH(Edges[[#This Row],[Vertex 2]],GroupVertices[Vertex],0)),1,1,"")</f>
        <v>1</v>
      </c>
      <c r="S351" s="35"/>
      <c r="T351" s="35"/>
      <c r="U351" s="35"/>
      <c r="V351" s="35"/>
      <c r="W351" s="35"/>
      <c r="X351" s="35"/>
      <c r="Y351" s="35"/>
      <c r="Z351" s="35"/>
      <c r="AA351" s="35"/>
    </row>
    <row r="352" spans="1:27" ht="15">
      <c r="A352" s="65" t="s">
        <v>234</v>
      </c>
      <c r="B352" s="65" t="s">
        <v>223</v>
      </c>
      <c r="C352" s="66" t="s">
        <v>2113</v>
      </c>
      <c r="D352" s="67">
        <v>3</v>
      </c>
      <c r="E352" s="68"/>
      <c r="F352" s="69">
        <v>40</v>
      </c>
      <c r="G352" s="66"/>
      <c r="H352" s="70"/>
      <c r="I352" s="71"/>
      <c r="J352" s="71"/>
      <c r="K352" s="35" t="s">
        <v>65</v>
      </c>
      <c r="L352" s="79">
        <v>352</v>
      </c>
      <c r="M352" s="79"/>
      <c r="N352" s="73"/>
      <c r="O352" s="81" t="s">
        <v>292</v>
      </c>
      <c r="P352">
        <v>1</v>
      </c>
      <c r="Q352" s="80" t="str">
        <f>REPLACE(INDEX(GroupVertices[Group],MATCH(Edges[[#This Row],[Vertex 1]],GroupVertices[Vertex],0)),1,1,"")</f>
        <v>1</v>
      </c>
      <c r="R352" s="80" t="str">
        <f>REPLACE(INDEX(GroupVertices[Group],MATCH(Edges[[#This Row],[Vertex 2]],GroupVertices[Vertex],0)),1,1,"")</f>
        <v>1</v>
      </c>
      <c r="S352" s="35"/>
      <c r="T352" s="35"/>
      <c r="U352" s="35"/>
      <c r="V352" s="35"/>
      <c r="W352" s="35"/>
      <c r="X352" s="35"/>
      <c r="Y352" s="35"/>
      <c r="Z352" s="35"/>
      <c r="AA352" s="35"/>
    </row>
    <row r="353" spans="1:27" ht="15">
      <c r="A353" s="65" t="s">
        <v>235</v>
      </c>
      <c r="B353" s="65" t="s">
        <v>223</v>
      </c>
      <c r="C353" s="66" t="s">
        <v>2114</v>
      </c>
      <c r="D353" s="67">
        <v>3</v>
      </c>
      <c r="E353" s="68"/>
      <c r="F353" s="69">
        <v>40</v>
      </c>
      <c r="G353" s="66"/>
      <c r="H353" s="70"/>
      <c r="I353" s="71"/>
      <c r="J353" s="71"/>
      <c r="K353" s="35" t="s">
        <v>65</v>
      </c>
      <c r="L353" s="79">
        <v>353</v>
      </c>
      <c r="M353" s="79"/>
      <c r="N353" s="73"/>
      <c r="O353" s="81" t="s">
        <v>292</v>
      </c>
      <c r="P353">
        <v>2</v>
      </c>
      <c r="Q353" s="80" t="str">
        <f>REPLACE(INDEX(GroupVertices[Group],MATCH(Edges[[#This Row],[Vertex 1]],GroupVertices[Vertex],0)),1,1,"")</f>
        <v>1</v>
      </c>
      <c r="R353" s="80" t="str">
        <f>REPLACE(INDEX(GroupVertices[Group],MATCH(Edges[[#This Row],[Vertex 2]],GroupVertices[Vertex],0)),1,1,"")</f>
        <v>1</v>
      </c>
      <c r="S353" s="35"/>
      <c r="T353" s="35"/>
      <c r="U353" s="35"/>
      <c r="V353" s="35"/>
      <c r="W353" s="35"/>
      <c r="X353" s="35"/>
      <c r="Y353" s="35"/>
      <c r="Z353" s="35"/>
      <c r="AA353" s="35"/>
    </row>
    <row r="354" spans="1:27" ht="15">
      <c r="A354" s="65" t="s">
        <v>250</v>
      </c>
      <c r="B354" s="65" t="s">
        <v>223</v>
      </c>
      <c r="C354" s="66" t="s">
        <v>2113</v>
      </c>
      <c r="D354" s="67">
        <v>3</v>
      </c>
      <c r="E354" s="68"/>
      <c r="F354" s="69">
        <v>40</v>
      </c>
      <c r="G354" s="66"/>
      <c r="H354" s="70"/>
      <c r="I354" s="71"/>
      <c r="J354" s="71"/>
      <c r="K354" s="35" t="s">
        <v>65</v>
      </c>
      <c r="L354" s="79">
        <v>354</v>
      </c>
      <c r="M354" s="79"/>
      <c r="N354" s="73"/>
      <c r="O354" s="81" t="s">
        <v>292</v>
      </c>
      <c r="P354">
        <v>1</v>
      </c>
      <c r="Q354" s="80" t="str">
        <f>REPLACE(INDEX(GroupVertices[Group],MATCH(Edges[[#This Row],[Vertex 1]],GroupVertices[Vertex],0)),1,1,"")</f>
        <v>3</v>
      </c>
      <c r="R354" s="80" t="str">
        <f>REPLACE(INDEX(GroupVertices[Group],MATCH(Edges[[#This Row],[Vertex 2]],GroupVertices[Vertex],0)),1,1,"")</f>
        <v>1</v>
      </c>
      <c r="S354" s="35"/>
      <c r="T354" s="35"/>
      <c r="U354" s="35"/>
      <c r="V354" s="35"/>
      <c r="W354" s="35"/>
      <c r="X354" s="35"/>
      <c r="Y354" s="35"/>
      <c r="Z354" s="35"/>
      <c r="AA354" s="35"/>
    </row>
    <row r="355" spans="1:27" ht="15">
      <c r="A355" s="65" t="s">
        <v>216</v>
      </c>
      <c r="B355" s="65" t="s">
        <v>223</v>
      </c>
      <c r="C355" s="66" t="s">
        <v>2113</v>
      </c>
      <c r="D355" s="67">
        <v>3</v>
      </c>
      <c r="E355" s="68"/>
      <c r="F355" s="69">
        <v>40</v>
      </c>
      <c r="G355" s="66"/>
      <c r="H355" s="70"/>
      <c r="I355" s="71"/>
      <c r="J355" s="71"/>
      <c r="K355" s="35" t="s">
        <v>66</v>
      </c>
      <c r="L355" s="79">
        <v>355</v>
      </c>
      <c r="M355" s="79"/>
      <c r="N355" s="73"/>
      <c r="O355" s="81" t="s">
        <v>293</v>
      </c>
      <c r="P355">
        <v>1</v>
      </c>
      <c r="Q355" s="80" t="str">
        <f>REPLACE(INDEX(GroupVertices[Group],MATCH(Edges[[#This Row],[Vertex 1]],GroupVertices[Vertex],0)),1,1,"")</f>
        <v>1</v>
      </c>
      <c r="R355" s="80" t="str">
        <f>REPLACE(INDEX(GroupVertices[Group],MATCH(Edges[[#This Row],[Vertex 2]],GroupVertices[Vertex],0)),1,1,"")</f>
        <v>1</v>
      </c>
      <c r="S355" s="35"/>
      <c r="T355" s="35"/>
      <c r="U355" s="35"/>
      <c r="V355" s="35"/>
      <c r="W355" s="35"/>
      <c r="X355" s="35"/>
      <c r="Y355" s="35"/>
      <c r="Z355" s="35"/>
      <c r="AA355" s="35"/>
    </row>
    <row r="356" spans="1:27" ht="15">
      <c r="A356" s="65" t="s">
        <v>224</v>
      </c>
      <c r="B356" s="65" t="s">
        <v>216</v>
      </c>
      <c r="C356" s="66" t="s">
        <v>2114</v>
      </c>
      <c r="D356" s="67">
        <v>3</v>
      </c>
      <c r="E356" s="68"/>
      <c r="F356" s="69">
        <v>40</v>
      </c>
      <c r="G356" s="66"/>
      <c r="H356" s="70"/>
      <c r="I356" s="71"/>
      <c r="J356" s="71"/>
      <c r="K356" s="35" t="s">
        <v>66</v>
      </c>
      <c r="L356" s="79">
        <v>356</v>
      </c>
      <c r="M356" s="79"/>
      <c r="N356" s="73"/>
      <c r="O356" s="81" t="s">
        <v>292</v>
      </c>
      <c r="P356">
        <v>2</v>
      </c>
      <c r="Q356" s="80" t="str">
        <f>REPLACE(INDEX(GroupVertices[Group],MATCH(Edges[[#This Row],[Vertex 1]],GroupVertices[Vertex],0)),1,1,"")</f>
        <v>1</v>
      </c>
      <c r="R356" s="80" t="str">
        <f>REPLACE(INDEX(GroupVertices[Group],MATCH(Edges[[#This Row],[Vertex 2]],GroupVertices[Vertex],0)),1,1,"")</f>
        <v>1</v>
      </c>
      <c r="S356" s="35"/>
      <c r="T356" s="35"/>
      <c r="U356" s="35"/>
      <c r="V356" s="35"/>
      <c r="W356" s="35"/>
      <c r="X356" s="35"/>
      <c r="Y356" s="35"/>
      <c r="Z356" s="35"/>
      <c r="AA356" s="35"/>
    </row>
    <row r="357" spans="1:27" ht="15">
      <c r="A357" s="65" t="s">
        <v>225</v>
      </c>
      <c r="B357" s="65" t="s">
        <v>224</v>
      </c>
      <c r="C357" s="66" t="s">
        <v>2113</v>
      </c>
      <c r="D357" s="67">
        <v>3</v>
      </c>
      <c r="E357" s="68"/>
      <c r="F357" s="69">
        <v>40</v>
      </c>
      <c r="G357" s="66"/>
      <c r="H357" s="70"/>
      <c r="I357" s="71"/>
      <c r="J357" s="71"/>
      <c r="K357" s="35" t="s">
        <v>65</v>
      </c>
      <c r="L357" s="79">
        <v>357</v>
      </c>
      <c r="M357" s="79"/>
      <c r="N357" s="73"/>
      <c r="O357" s="81" t="s">
        <v>292</v>
      </c>
      <c r="P357">
        <v>1</v>
      </c>
      <c r="Q357" s="80" t="str">
        <f>REPLACE(INDEX(GroupVertices[Group],MATCH(Edges[[#This Row],[Vertex 1]],GroupVertices[Vertex],0)),1,1,"")</f>
        <v>1</v>
      </c>
      <c r="R357" s="80" t="str">
        <f>REPLACE(INDEX(GroupVertices[Group],MATCH(Edges[[#This Row],[Vertex 2]],GroupVertices[Vertex],0)),1,1,"")</f>
        <v>1</v>
      </c>
      <c r="S357" s="35"/>
      <c r="T357" s="35"/>
      <c r="U357" s="35"/>
      <c r="V357" s="35"/>
      <c r="W357" s="35"/>
      <c r="X357" s="35"/>
      <c r="Y357" s="35"/>
      <c r="Z357" s="35"/>
      <c r="AA357" s="35"/>
    </row>
    <row r="358" spans="1:27" ht="15">
      <c r="A358" s="65" t="s">
        <v>240</v>
      </c>
      <c r="B358" s="65" t="s">
        <v>224</v>
      </c>
      <c r="C358" s="66" t="s">
        <v>2113</v>
      </c>
      <c r="D358" s="67">
        <v>3</v>
      </c>
      <c r="E358" s="68"/>
      <c r="F358" s="69">
        <v>40</v>
      </c>
      <c r="G358" s="66"/>
      <c r="H358" s="70"/>
      <c r="I358" s="71"/>
      <c r="J358" s="71"/>
      <c r="K358" s="35" t="s">
        <v>65</v>
      </c>
      <c r="L358" s="79">
        <v>358</v>
      </c>
      <c r="M358" s="79"/>
      <c r="N358" s="73"/>
      <c r="O358" s="81" t="s">
        <v>292</v>
      </c>
      <c r="P358">
        <v>1</v>
      </c>
      <c r="Q358" s="80" t="str">
        <f>REPLACE(INDEX(GroupVertices[Group],MATCH(Edges[[#This Row],[Vertex 1]],GroupVertices[Vertex],0)),1,1,"")</f>
        <v>1</v>
      </c>
      <c r="R358" s="80" t="str">
        <f>REPLACE(INDEX(GroupVertices[Group],MATCH(Edges[[#This Row],[Vertex 2]],GroupVertices[Vertex],0)),1,1,"")</f>
        <v>1</v>
      </c>
      <c r="S358" s="35"/>
      <c r="T358" s="35"/>
      <c r="U358" s="35"/>
      <c r="V358" s="35"/>
      <c r="W358" s="35"/>
      <c r="X358" s="35"/>
      <c r="Y358" s="35"/>
      <c r="Z358" s="35"/>
      <c r="AA358" s="35"/>
    </row>
    <row r="359" spans="1:27" ht="15">
      <c r="A359" s="65" t="s">
        <v>226</v>
      </c>
      <c r="B359" s="65" t="s">
        <v>224</v>
      </c>
      <c r="C359" s="66" t="s">
        <v>2114</v>
      </c>
      <c r="D359" s="67">
        <v>3</v>
      </c>
      <c r="E359" s="68"/>
      <c r="F359" s="69">
        <v>40</v>
      </c>
      <c r="G359" s="66"/>
      <c r="H359" s="70"/>
      <c r="I359" s="71"/>
      <c r="J359" s="71"/>
      <c r="K359" s="35" t="s">
        <v>66</v>
      </c>
      <c r="L359" s="79">
        <v>359</v>
      </c>
      <c r="M359" s="79"/>
      <c r="N359" s="73"/>
      <c r="O359" s="81" t="s">
        <v>292</v>
      </c>
      <c r="P359">
        <v>2</v>
      </c>
      <c r="Q359" s="80" t="str">
        <f>REPLACE(INDEX(GroupVertices[Group],MATCH(Edges[[#This Row],[Vertex 1]],GroupVertices[Vertex],0)),1,1,"")</f>
        <v>1</v>
      </c>
      <c r="R359" s="80" t="str">
        <f>REPLACE(INDEX(GroupVertices[Group],MATCH(Edges[[#This Row],[Vertex 2]],GroupVertices[Vertex],0)),1,1,"")</f>
        <v>1</v>
      </c>
      <c r="S359" s="35"/>
      <c r="T359" s="35"/>
      <c r="U359" s="35"/>
      <c r="V359" s="35"/>
      <c r="W359" s="35"/>
      <c r="X359" s="35"/>
      <c r="Y359" s="35"/>
      <c r="Z359" s="35"/>
      <c r="AA359" s="35"/>
    </row>
    <row r="360" spans="1:27" ht="15">
      <c r="A360" s="65" t="s">
        <v>227</v>
      </c>
      <c r="B360" s="65" t="s">
        <v>224</v>
      </c>
      <c r="C360" s="66" t="s">
        <v>2113</v>
      </c>
      <c r="D360" s="67">
        <v>3</v>
      </c>
      <c r="E360" s="68"/>
      <c r="F360" s="69">
        <v>40</v>
      </c>
      <c r="G360" s="66"/>
      <c r="H360" s="70"/>
      <c r="I360" s="71"/>
      <c r="J360" s="71"/>
      <c r="K360" s="35" t="s">
        <v>65</v>
      </c>
      <c r="L360" s="79">
        <v>360</v>
      </c>
      <c r="M360" s="79"/>
      <c r="N360" s="73"/>
      <c r="O360" s="81" t="s">
        <v>292</v>
      </c>
      <c r="P360">
        <v>1</v>
      </c>
      <c r="Q360" s="80" t="str">
        <f>REPLACE(INDEX(GroupVertices[Group],MATCH(Edges[[#This Row],[Vertex 1]],GroupVertices[Vertex],0)),1,1,"")</f>
        <v>1</v>
      </c>
      <c r="R360" s="80" t="str">
        <f>REPLACE(INDEX(GroupVertices[Group],MATCH(Edges[[#This Row],[Vertex 2]],GroupVertices[Vertex],0)),1,1,"")</f>
        <v>1</v>
      </c>
      <c r="S360" s="35"/>
      <c r="T360" s="35"/>
      <c r="U360" s="35"/>
      <c r="V360" s="35"/>
      <c r="W360" s="35"/>
      <c r="X360" s="35"/>
      <c r="Y360" s="35"/>
      <c r="Z360" s="35"/>
      <c r="AA360" s="35"/>
    </row>
    <row r="361" spans="1:27" ht="15">
      <c r="A361" s="65" t="s">
        <v>241</v>
      </c>
      <c r="B361" s="65" t="s">
        <v>224</v>
      </c>
      <c r="C361" s="66" t="s">
        <v>2114</v>
      </c>
      <c r="D361" s="67">
        <v>3</v>
      </c>
      <c r="E361" s="68"/>
      <c r="F361" s="69">
        <v>40</v>
      </c>
      <c r="G361" s="66"/>
      <c r="H361" s="70"/>
      <c r="I361" s="71"/>
      <c r="J361" s="71"/>
      <c r="K361" s="35" t="s">
        <v>66</v>
      </c>
      <c r="L361" s="79">
        <v>361</v>
      </c>
      <c r="M361" s="79"/>
      <c r="N361" s="73"/>
      <c r="O361" s="81" t="s">
        <v>292</v>
      </c>
      <c r="P361">
        <v>2</v>
      </c>
      <c r="Q361" s="80" t="str">
        <f>REPLACE(INDEX(GroupVertices[Group],MATCH(Edges[[#This Row],[Vertex 1]],GroupVertices[Vertex],0)),1,1,"")</f>
        <v>1</v>
      </c>
      <c r="R361" s="80" t="str">
        <f>REPLACE(INDEX(GroupVertices[Group],MATCH(Edges[[#This Row],[Vertex 2]],GroupVertices[Vertex],0)),1,1,"")</f>
        <v>1</v>
      </c>
      <c r="S361" s="35"/>
      <c r="T361" s="35"/>
      <c r="U361" s="35"/>
      <c r="V361" s="35"/>
      <c r="W361" s="35"/>
      <c r="X361" s="35"/>
      <c r="Y361" s="35"/>
      <c r="Z361" s="35"/>
      <c r="AA361" s="35"/>
    </row>
    <row r="362" spans="1:27" ht="15">
      <c r="A362" s="65" t="s">
        <v>228</v>
      </c>
      <c r="B362" s="65" t="s">
        <v>224</v>
      </c>
      <c r="C362" s="66" t="s">
        <v>2113</v>
      </c>
      <c r="D362" s="67">
        <v>3</v>
      </c>
      <c r="E362" s="68"/>
      <c r="F362" s="69">
        <v>40</v>
      </c>
      <c r="G362" s="66"/>
      <c r="H362" s="70"/>
      <c r="I362" s="71"/>
      <c r="J362" s="71"/>
      <c r="K362" s="35" t="s">
        <v>65</v>
      </c>
      <c r="L362" s="79">
        <v>362</v>
      </c>
      <c r="M362" s="79"/>
      <c r="N362" s="73"/>
      <c r="O362" s="81" t="s">
        <v>292</v>
      </c>
      <c r="P362">
        <v>1</v>
      </c>
      <c r="Q362" s="80" t="str">
        <f>REPLACE(INDEX(GroupVertices[Group],MATCH(Edges[[#This Row],[Vertex 1]],GroupVertices[Vertex],0)),1,1,"")</f>
        <v>1</v>
      </c>
      <c r="R362" s="80" t="str">
        <f>REPLACE(INDEX(GroupVertices[Group],MATCH(Edges[[#This Row],[Vertex 2]],GroupVertices[Vertex],0)),1,1,"")</f>
        <v>1</v>
      </c>
      <c r="S362" s="35"/>
      <c r="T362" s="35"/>
      <c r="U362" s="35"/>
      <c r="V362" s="35"/>
      <c r="W362" s="35"/>
      <c r="X362" s="35"/>
      <c r="Y362" s="35"/>
      <c r="Z362" s="35"/>
      <c r="AA362" s="35"/>
    </row>
    <row r="363" spans="1:27" ht="15">
      <c r="A363" s="65" t="s">
        <v>229</v>
      </c>
      <c r="B363" s="65" t="s">
        <v>224</v>
      </c>
      <c r="C363" s="66" t="s">
        <v>2113</v>
      </c>
      <c r="D363" s="67">
        <v>3</v>
      </c>
      <c r="E363" s="68"/>
      <c r="F363" s="69">
        <v>40</v>
      </c>
      <c r="G363" s="66"/>
      <c r="H363" s="70"/>
      <c r="I363" s="71"/>
      <c r="J363" s="71"/>
      <c r="K363" s="35" t="s">
        <v>65</v>
      </c>
      <c r="L363" s="79">
        <v>363</v>
      </c>
      <c r="M363" s="79"/>
      <c r="N363" s="73"/>
      <c r="O363" s="81" t="s">
        <v>292</v>
      </c>
      <c r="P363">
        <v>1</v>
      </c>
      <c r="Q363" s="80" t="str">
        <f>REPLACE(INDEX(GroupVertices[Group],MATCH(Edges[[#This Row],[Vertex 1]],GroupVertices[Vertex],0)),1,1,"")</f>
        <v>1</v>
      </c>
      <c r="R363" s="80" t="str">
        <f>REPLACE(INDEX(GroupVertices[Group],MATCH(Edges[[#This Row],[Vertex 2]],GroupVertices[Vertex],0)),1,1,"")</f>
        <v>1</v>
      </c>
      <c r="S363" s="35"/>
      <c r="T363" s="35"/>
      <c r="U363" s="35"/>
      <c r="V363" s="35"/>
      <c r="W363" s="35"/>
      <c r="X363" s="35"/>
      <c r="Y363" s="35"/>
      <c r="Z363" s="35"/>
      <c r="AA363" s="35"/>
    </row>
    <row r="364" spans="1:27" ht="15">
      <c r="A364" s="65" t="s">
        <v>230</v>
      </c>
      <c r="B364" s="65" t="s">
        <v>224</v>
      </c>
      <c r="C364" s="66" t="s">
        <v>2113</v>
      </c>
      <c r="D364" s="67">
        <v>3</v>
      </c>
      <c r="E364" s="68"/>
      <c r="F364" s="69">
        <v>40</v>
      </c>
      <c r="G364" s="66"/>
      <c r="H364" s="70"/>
      <c r="I364" s="71"/>
      <c r="J364" s="71"/>
      <c r="K364" s="35" t="s">
        <v>65</v>
      </c>
      <c r="L364" s="79">
        <v>364</v>
      </c>
      <c r="M364" s="79"/>
      <c r="N364" s="73"/>
      <c r="O364" s="81" t="s">
        <v>292</v>
      </c>
      <c r="P364">
        <v>1</v>
      </c>
      <c r="Q364" s="80" t="str">
        <f>REPLACE(INDEX(GroupVertices[Group],MATCH(Edges[[#This Row],[Vertex 1]],GroupVertices[Vertex],0)),1,1,"")</f>
        <v>1</v>
      </c>
      <c r="R364" s="80" t="str">
        <f>REPLACE(INDEX(GroupVertices[Group],MATCH(Edges[[#This Row],[Vertex 2]],GroupVertices[Vertex],0)),1,1,"")</f>
        <v>1</v>
      </c>
      <c r="S364" s="35"/>
      <c r="T364" s="35"/>
      <c r="U364" s="35"/>
      <c r="V364" s="35"/>
      <c r="W364" s="35"/>
      <c r="X364" s="35"/>
      <c r="Y364" s="35"/>
      <c r="Z364" s="35"/>
      <c r="AA364" s="35"/>
    </row>
    <row r="365" spans="1:27" ht="15">
      <c r="A365" s="65" t="s">
        <v>231</v>
      </c>
      <c r="B365" s="65" t="s">
        <v>224</v>
      </c>
      <c r="C365" s="66" t="s">
        <v>2114</v>
      </c>
      <c r="D365" s="67">
        <v>3</v>
      </c>
      <c r="E365" s="68"/>
      <c r="F365" s="69">
        <v>40</v>
      </c>
      <c r="G365" s="66"/>
      <c r="H365" s="70"/>
      <c r="I365" s="71"/>
      <c r="J365" s="71"/>
      <c r="K365" s="35" t="s">
        <v>66</v>
      </c>
      <c r="L365" s="79">
        <v>365</v>
      </c>
      <c r="M365" s="79"/>
      <c r="N365" s="73"/>
      <c r="O365" s="81" t="s">
        <v>292</v>
      </c>
      <c r="P365">
        <v>2</v>
      </c>
      <c r="Q365" s="80" t="str">
        <f>REPLACE(INDEX(GroupVertices[Group],MATCH(Edges[[#This Row],[Vertex 1]],GroupVertices[Vertex],0)),1,1,"")</f>
        <v>1</v>
      </c>
      <c r="R365" s="80" t="str">
        <f>REPLACE(INDEX(GroupVertices[Group],MATCH(Edges[[#This Row],[Vertex 2]],GroupVertices[Vertex],0)),1,1,"")</f>
        <v>1</v>
      </c>
      <c r="S365" s="35"/>
      <c r="T365" s="35"/>
      <c r="U365" s="35"/>
      <c r="V365" s="35"/>
      <c r="W365" s="35"/>
      <c r="X365" s="35"/>
      <c r="Y365" s="35"/>
      <c r="Z365" s="35"/>
      <c r="AA365" s="35"/>
    </row>
    <row r="366" spans="1:27" ht="15">
      <c r="A366" s="65" t="s">
        <v>242</v>
      </c>
      <c r="B366" s="65" t="s">
        <v>224</v>
      </c>
      <c r="C366" s="66" t="s">
        <v>2113</v>
      </c>
      <c r="D366" s="67">
        <v>3</v>
      </c>
      <c r="E366" s="68"/>
      <c r="F366" s="69">
        <v>40</v>
      </c>
      <c r="G366" s="66"/>
      <c r="H366" s="70"/>
      <c r="I366" s="71"/>
      <c r="J366" s="71"/>
      <c r="K366" s="35" t="s">
        <v>65</v>
      </c>
      <c r="L366" s="79">
        <v>366</v>
      </c>
      <c r="M366" s="79"/>
      <c r="N366" s="73"/>
      <c r="O366" s="81" t="s">
        <v>292</v>
      </c>
      <c r="P366">
        <v>1</v>
      </c>
      <c r="Q366" s="80" t="str">
        <f>REPLACE(INDEX(GroupVertices[Group],MATCH(Edges[[#This Row],[Vertex 1]],GroupVertices[Vertex],0)),1,1,"")</f>
        <v>1</v>
      </c>
      <c r="R366" s="80" t="str">
        <f>REPLACE(INDEX(GroupVertices[Group],MATCH(Edges[[#This Row],[Vertex 2]],GroupVertices[Vertex],0)),1,1,"")</f>
        <v>1</v>
      </c>
      <c r="S366" s="35"/>
      <c r="T366" s="35"/>
      <c r="U366" s="35"/>
      <c r="V366" s="35"/>
      <c r="W366" s="35"/>
      <c r="X366" s="35"/>
      <c r="Y366" s="35"/>
      <c r="Z366" s="35"/>
      <c r="AA366" s="35"/>
    </row>
    <row r="367" spans="1:27" ht="15">
      <c r="A367" s="65" t="s">
        <v>232</v>
      </c>
      <c r="B367" s="65" t="s">
        <v>224</v>
      </c>
      <c r="C367" s="66" t="s">
        <v>2115</v>
      </c>
      <c r="D367" s="67">
        <v>3</v>
      </c>
      <c r="E367" s="68"/>
      <c r="F367" s="69">
        <v>40</v>
      </c>
      <c r="G367" s="66"/>
      <c r="H367" s="70"/>
      <c r="I367" s="71"/>
      <c r="J367" s="71"/>
      <c r="K367" s="35" t="s">
        <v>66</v>
      </c>
      <c r="L367" s="79">
        <v>367</v>
      </c>
      <c r="M367" s="79"/>
      <c r="N367" s="73"/>
      <c r="O367" s="81" t="s">
        <v>292</v>
      </c>
      <c r="P367">
        <v>3</v>
      </c>
      <c r="Q367" s="80" t="str">
        <f>REPLACE(INDEX(GroupVertices[Group],MATCH(Edges[[#This Row],[Vertex 1]],GroupVertices[Vertex],0)),1,1,"")</f>
        <v>2</v>
      </c>
      <c r="R367" s="80" t="str">
        <f>REPLACE(INDEX(GroupVertices[Group],MATCH(Edges[[#This Row],[Vertex 2]],GroupVertices[Vertex],0)),1,1,"")</f>
        <v>1</v>
      </c>
      <c r="S367" s="35"/>
      <c r="T367" s="35"/>
      <c r="U367" s="35"/>
      <c r="V367" s="35"/>
      <c r="W367" s="35"/>
      <c r="X367" s="35"/>
      <c r="Y367" s="35"/>
      <c r="Z367" s="35"/>
      <c r="AA367" s="35"/>
    </row>
    <row r="368" spans="1:27" ht="15">
      <c r="A368" s="65" t="s">
        <v>233</v>
      </c>
      <c r="B368" s="65" t="s">
        <v>224</v>
      </c>
      <c r="C368" s="66" t="s">
        <v>2114</v>
      </c>
      <c r="D368" s="67">
        <v>3</v>
      </c>
      <c r="E368" s="68"/>
      <c r="F368" s="69">
        <v>40</v>
      </c>
      <c r="G368" s="66"/>
      <c r="H368" s="70"/>
      <c r="I368" s="71"/>
      <c r="J368" s="71"/>
      <c r="K368" s="35" t="s">
        <v>66</v>
      </c>
      <c r="L368" s="79">
        <v>368</v>
      </c>
      <c r="M368" s="79"/>
      <c r="N368" s="73"/>
      <c r="O368" s="81" t="s">
        <v>292</v>
      </c>
      <c r="P368">
        <v>2</v>
      </c>
      <c r="Q368" s="80" t="str">
        <f>REPLACE(INDEX(GroupVertices[Group],MATCH(Edges[[#This Row],[Vertex 1]],GroupVertices[Vertex],0)),1,1,"")</f>
        <v>1</v>
      </c>
      <c r="R368" s="80" t="str">
        <f>REPLACE(INDEX(GroupVertices[Group],MATCH(Edges[[#This Row],[Vertex 2]],GroupVertices[Vertex],0)),1,1,"")</f>
        <v>1</v>
      </c>
      <c r="S368" s="35"/>
      <c r="T368" s="35"/>
      <c r="U368" s="35"/>
      <c r="V368" s="35"/>
      <c r="W368" s="35"/>
      <c r="X368" s="35"/>
      <c r="Y368" s="35"/>
      <c r="Z368" s="35"/>
      <c r="AA368" s="35"/>
    </row>
    <row r="369" spans="1:27" ht="15">
      <c r="A369" s="65" t="s">
        <v>234</v>
      </c>
      <c r="B369" s="65" t="s">
        <v>224</v>
      </c>
      <c r="C369" s="66" t="s">
        <v>2114</v>
      </c>
      <c r="D369" s="67">
        <v>3</v>
      </c>
      <c r="E369" s="68"/>
      <c r="F369" s="69">
        <v>40</v>
      </c>
      <c r="G369" s="66"/>
      <c r="H369" s="70"/>
      <c r="I369" s="71"/>
      <c r="J369" s="71"/>
      <c r="K369" s="35" t="s">
        <v>66</v>
      </c>
      <c r="L369" s="79">
        <v>369</v>
      </c>
      <c r="M369" s="79"/>
      <c r="N369" s="73"/>
      <c r="O369" s="81" t="s">
        <v>292</v>
      </c>
      <c r="P369">
        <v>2</v>
      </c>
      <c r="Q369" s="80" t="str">
        <f>REPLACE(INDEX(GroupVertices[Group],MATCH(Edges[[#This Row],[Vertex 1]],GroupVertices[Vertex],0)),1,1,"")</f>
        <v>1</v>
      </c>
      <c r="R369" s="80" t="str">
        <f>REPLACE(INDEX(GroupVertices[Group],MATCH(Edges[[#This Row],[Vertex 2]],GroupVertices[Vertex],0)),1,1,"")</f>
        <v>1</v>
      </c>
      <c r="S369" s="35"/>
      <c r="T369" s="35"/>
      <c r="U369" s="35"/>
      <c r="V369" s="35"/>
      <c r="W369" s="35"/>
      <c r="X369" s="35"/>
      <c r="Y369" s="35"/>
      <c r="Z369" s="35"/>
      <c r="AA369" s="35"/>
    </row>
    <row r="370" spans="1:27" ht="15">
      <c r="A370" s="65" t="s">
        <v>235</v>
      </c>
      <c r="B370" s="65" t="s">
        <v>224</v>
      </c>
      <c r="C370" s="66" t="s">
        <v>2115</v>
      </c>
      <c r="D370" s="67">
        <v>3</v>
      </c>
      <c r="E370" s="68"/>
      <c r="F370" s="69">
        <v>40</v>
      </c>
      <c r="G370" s="66"/>
      <c r="H370" s="70"/>
      <c r="I370" s="71"/>
      <c r="J370" s="71"/>
      <c r="K370" s="35" t="s">
        <v>66</v>
      </c>
      <c r="L370" s="79">
        <v>370</v>
      </c>
      <c r="M370" s="79"/>
      <c r="N370" s="73"/>
      <c r="O370" s="81" t="s">
        <v>292</v>
      </c>
      <c r="P370">
        <v>3</v>
      </c>
      <c r="Q370" s="80" t="str">
        <f>REPLACE(INDEX(GroupVertices[Group],MATCH(Edges[[#This Row],[Vertex 1]],GroupVertices[Vertex],0)),1,1,"")</f>
        <v>1</v>
      </c>
      <c r="R370" s="80" t="str">
        <f>REPLACE(INDEX(GroupVertices[Group],MATCH(Edges[[#This Row],[Vertex 2]],GroupVertices[Vertex],0)),1,1,"")</f>
        <v>1</v>
      </c>
      <c r="S370" s="35"/>
      <c r="T370" s="35"/>
      <c r="U370" s="35"/>
      <c r="V370" s="35"/>
      <c r="W370" s="35"/>
      <c r="X370" s="35"/>
      <c r="Y370" s="35"/>
      <c r="Z370" s="35"/>
      <c r="AA370" s="35"/>
    </row>
    <row r="371" spans="1:27" ht="15">
      <c r="A371" s="65" t="s">
        <v>216</v>
      </c>
      <c r="B371" s="65" t="s">
        <v>224</v>
      </c>
      <c r="C371" s="66" t="s">
        <v>2114</v>
      </c>
      <c r="D371" s="67">
        <v>3</v>
      </c>
      <c r="E371" s="68"/>
      <c r="F371" s="69">
        <v>40</v>
      </c>
      <c r="G371" s="66"/>
      <c r="H371" s="70"/>
      <c r="I371" s="71"/>
      <c r="J371" s="71"/>
      <c r="K371" s="35" t="s">
        <v>66</v>
      </c>
      <c r="L371" s="79">
        <v>371</v>
      </c>
      <c r="M371" s="79"/>
      <c r="N371" s="73"/>
      <c r="O371" s="81" t="s">
        <v>293</v>
      </c>
      <c r="P371">
        <v>2</v>
      </c>
      <c r="Q371" s="80" t="str">
        <f>REPLACE(INDEX(GroupVertices[Group],MATCH(Edges[[#This Row],[Vertex 1]],GroupVertices[Vertex],0)),1,1,"")</f>
        <v>1</v>
      </c>
      <c r="R371" s="80" t="str">
        <f>REPLACE(INDEX(GroupVertices[Group],MATCH(Edges[[#This Row],[Vertex 2]],GroupVertices[Vertex],0)),1,1,"")</f>
        <v>1</v>
      </c>
      <c r="S371" s="35"/>
      <c r="T371" s="35"/>
      <c r="U371" s="35"/>
      <c r="V371" s="35"/>
      <c r="W371" s="35"/>
      <c r="X371" s="35"/>
      <c r="Y371" s="35"/>
      <c r="Z371" s="35"/>
      <c r="AA371" s="35"/>
    </row>
    <row r="372" spans="1:27" ht="15">
      <c r="A372" s="65" t="s">
        <v>225</v>
      </c>
      <c r="B372" s="65" t="s">
        <v>216</v>
      </c>
      <c r="C372" s="66" t="s">
        <v>2113</v>
      </c>
      <c r="D372" s="67">
        <v>3</v>
      </c>
      <c r="E372" s="68"/>
      <c r="F372" s="69">
        <v>40</v>
      </c>
      <c r="G372" s="66"/>
      <c r="H372" s="70"/>
      <c r="I372" s="71"/>
      <c r="J372" s="71"/>
      <c r="K372" s="35" t="s">
        <v>66</v>
      </c>
      <c r="L372" s="79">
        <v>372</v>
      </c>
      <c r="M372" s="79"/>
      <c r="N372" s="73"/>
      <c r="O372" s="81" t="s">
        <v>292</v>
      </c>
      <c r="P372">
        <v>1</v>
      </c>
      <c r="Q372" s="80" t="str">
        <f>REPLACE(INDEX(GroupVertices[Group],MATCH(Edges[[#This Row],[Vertex 1]],GroupVertices[Vertex],0)),1,1,"")</f>
        <v>1</v>
      </c>
      <c r="R372" s="80" t="str">
        <f>REPLACE(INDEX(GroupVertices[Group],MATCH(Edges[[#This Row],[Vertex 2]],GroupVertices[Vertex],0)),1,1,"")</f>
        <v>1</v>
      </c>
      <c r="S372" s="35"/>
      <c r="T372" s="35"/>
      <c r="U372" s="35"/>
      <c r="V372" s="35"/>
      <c r="W372" s="35"/>
      <c r="X372" s="35"/>
      <c r="Y372" s="35"/>
      <c r="Z372" s="35"/>
      <c r="AA372" s="35"/>
    </row>
    <row r="373" spans="1:27" ht="15">
      <c r="A373" s="65" t="s">
        <v>240</v>
      </c>
      <c r="B373" s="65" t="s">
        <v>225</v>
      </c>
      <c r="C373" s="66" t="s">
        <v>2113</v>
      </c>
      <c r="D373" s="67">
        <v>3</v>
      </c>
      <c r="E373" s="68"/>
      <c r="F373" s="69">
        <v>40</v>
      </c>
      <c r="G373" s="66"/>
      <c r="H373" s="70"/>
      <c r="I373" s="71"/>
      <c r="J373" s="71"/>
      <c r="K373" s="35" t="s">
        <v>65</v>
      </c>
      <c r="L373" s="79">
        <v>373</v>
      </c>
      <c r="M373" s="79"/>
      <c r="N373" s="73"/>
      <c r="O373" s="81" t="s">
        <v>292</v>
      </c>
      <c r="P373">
        <v>1</v>
      </c>
      <c r="Q373" s="80" t="str">
        <f>REPLACE(INDEX(GroupVertices[Group],MATCH(Edges[[#This Row],[Vertex 1]],GroupVertices[Vertex],0)),1,1,"")</f>
        <v>1</v>
      </c>
      <c r="R373" s="80" t="str">
        <f>REPLACE(INDEX(GroupVertices[Group],MATCH(Edges[[#This Row],[Vertex 2]],GroupVertices[Vertex],0)),1,1,"")</f>
        <v>1</v>
      </c>
      <c r="S373" s="35"/>
      <c r="T373" s="35"/>
      <c r="U373" s="35"/>
      <c r="V373" s="35"/>
      <c r="W373" s="35"/>
      <c r="X373" s="35"/>
      <c r="Y373" s="35"/>
      <c r="Z373" s="35"/>
      <c r="AA373" s="35"/>
    </row>
    <row r="374" spans="1:27" ht="15">
      <c r="A374" s="65" t="s">
        <v>226</v>
      </c>
      <c r="B374" s="65" t="s">
        <v>225</v>
      </c>
      <c r="C374" s="66" t="s">
        <v>2113</v>
      </c>
      <c r="D374" s="67">
        <v>3</v>
      </c>
      <c r="E374" s="68"/>
      <c r="F374" s="69">
        <v>40</v>
      </c>
      <c r="G374" s="66"/>
      <c r="H374" s="70"/>
      <c r="I374" s="71"/>
      <c r="J374" s="71"/>
      <c r="K374" s="35" t="s">
        <v>65</v>
      </c>
      <c r="L374" s="79">
        <v>374</v>
      </c>
      <c r="M374" s="79"/>
      <c r="N374" s="73"/>
      <c r="O374" s="81" t="s">
        <v>292</v>
      </c>
      <c r="P374">
        <v>1</v>
      </c>
      <c r="Q374" s="80" t="str">
        <f>REPLACE(INDEX(GroupVertices[Group],MATCH(Edges[[#This Row],[Vertex 1]],GroupVertices[Vertex],0)),1,1,"")</f>
        <v>1</v>
      </c>
      <c r="R374" s="80" t="str">
        <f>REPLACE(INDEX(GroupVertices[Group],MATCH(Edges[[#This Row],[Vertex 2]],GroupVertices[Vertex],0)),1,1,"")</f>
        <v>1</v>
      </c>
      <c r="S374" s="35"/>
      <c r="T374" s="35"/>
      <c r="U374" s="35"/>
      <c r="V374" s="35"/>
      <c r="W374" s="35"/>
      <c r="X374" s="35"/>
      <c r="Y374" s="35"/>
      <c r="Z374" s="35"/>
      <c r="AA374" s="35"/>
    </row>
    <row r="375" spans="1:27" ht="15">
      <c r="A375" s="65" t="s">
        <v>227</v>
      </c>
      <c r="B375" s="65" t="s">
        <v>225</v>
      </c>
      <c r="C375" s="66" t="s">
        <v>2113</v>
      </c>
      <c r="D375" s="67">
        <v>3</v>
      </c>
      <c r="E375" s="68"/>
      <c r="F375" s="69">
        <v>40</v>
      </c>
      <c r="G375" s="66"/>
      <c r="H375" s="70"/>
      <c r="I375" s="71"/>
      <c r="J375" s="71"/>
      <c r="K375" s="35" t="s">
        <v>65</v>
      </c>
      <c r="L375" s="79">
        <v>375</v>
      </c>
      <c r="M375" s="79"/>
      <c r="N375" s="73"/>
      <c r="O375" s="81" t="s">
        <v>292</v>
      </c>
      <c r="P375">
        <v>1</v>
      </c>
      <c r="Q375" s="80" t="str">
        <f>REPLACE(INDEX(GroupVertices[Group],MATCH(Edges[[#This Row],[Vertex 1]],GroupVertices[Vertex],0)),1,1,"")</f>
        <v>1</v>
      </c>
      <c r="R375" s="80" t="str">
        <f>REPLACE(INDEX(GroupVertices[Group],MATCH(Edges[[#This Row],[Vertex 2]],GroupVertices[Vertex],0)),1,1,"")</f>
        <v>1</v>
      </c>
      <c r="S375" s="35"/>
      <c r="T375" s="35"/>
      <c r="U375" s="35"/>
      <c r="V375" s="35"/>
      <c r="W375" s="35"/>
      <c r="X375" s="35"/>
      <c r="Y375" s="35"/>
      <c r="Z375" s="35"/>
      <c r="AA375" s="35"/>
    </row>
    <row r="376" spans="1:27" ht="15">
      <c r="A376" s="65" t="s">
        <v>241</v>
      </c>
      <c r="B376" s="65" t="s">
        <v>225</v>
      </c>
      <c r="C376" s="66" t="s">
        <v>2113</v>
      </c>
      <c r="D376" s="67">
        <v>3</v>
      </c>
      <c r="E376" s="68"/>
      <c r="F376" s="69">
        <v>40</v>
      </c>
      <c r="G376" s="66"/>
      <c r="H376" s="70"/>
      <c r="I376" s="71"/>
      <c r="J376" s="71"/>
      <c r="K376" s="35" t="s">
        <v>65</v>
      </c>
      <c r="L376" s="79">
        <v>376</v>
      </c>
      <c r="M376" s="79"/>
      <c r="N376" s="73"/>
      <c r="O376" s="81" t="s">
        <v>292</v>
      </c>
      <c r="P376">
        <v>1</v>
      </c>
      <c r="Q376" s="80" t="str">
        <f>REPLACE(INDEX(GroupVertices[Group],MATCH(Edges[[#This Row],[Vertex 1]],GroupVertices[Vertex],0)),1,1,"")</f>
        <v>1</v>
      </c>
      <c r="R376" s="80" t="str">
        <f>REPLACE(INDEX(GroupVertices[Group],MATCH(Edges[[#This Row],[Vertex 2]],GroupVertices[Vertex],0)),1,1,"")</f>
        <v>1</v>
      </c>
      <c r="S376" s="35"/>
      <c r="T376" s="35"/>
      <c r="U376" s="35"/>
      <c r="V376" s="35"/>
      <c r="W376" s="35"/>
      <c r="X376" s="35"/>
      <c r="Y376" s="35"/>
      <c r="Z376" s="35"/>
      <c r="AA376" s="35"/>
    </row>
    <row r="377" spans="1:27" ht="15">
      <c r="A377" s="65" t="s">
        <v>228</v>
      </c>
      <c r="B377" s="65" t="s">
        <v>225</v>
      </c>
      <c r="C377" s="66" t="s">
        <v>2113</v>
      </c>
      <c r="D377" s="67">
        <v>3</v>
      </c>
      <c r="E377" s="68"/>
      <c r="F377" s="69">
        <v>40</v>
      </c>
      <c r="G377" s="66"/>
      <c r="H377" s="70"/>
      <c r="I377" s="71"/>
      <c r="J377" s="71"/>
      <c r="K377" s="35" t="s">
        <v>65</v>
      </c>
      <c r="L377" s="79">
        <v>377</v>
      </c>
      <c r="M377" s="79"/>
      <c r="N377" s="73"/>
      <c r="O377" s="81" t="s">
        <v>292</v>
      </c>
      <c r="P377">
        <v>1</v>
      </c>
      <c r="Q377" s="80" t="str">
        <f>REPLACE(INDEX(GroupVertices[Group],MATCH(Edges[[#This Row],[Vertex 1]],GroupVertices[Vertex],0)),1,1,"")</f>
        <v>1</v>
      </c>
      <c r="R377" s="80" t="str">
        <f>REPLACE(INDEX(GroupVertices[Group],MATCH(Edges[[#This Row],[Vertex 2]],GroupVertices[Vertex],0)),1,1,"")</f>
        <v>1</v>
      </c>
      <c r="S377" s="35"/>
      <c r="T377" s="35"/>
      <c r="U377" s="35"/>
      <c r="V377" s="35"/>
      <c r="W377" s="35"/>
      <c r="X377" s="35"/>
      <c r="Y377" s="35"/>
      <c r="Z377" s="35"/>
      <c r="AA377" s="35"/>
    </row>
    <row r="378" spans="1:27" ht="15">
      <c r="A378" s="65" t="s">
        <v>258</v>
      </c>
      <c r="B378" s="65" t="s">
        <v>225</v>
      </c>
      <c r="C378" s="66" t="s">
        <v>2113</v>
      </c>
      <c r="D378" s="67">
        <v>3</v>
      </c>
      <c r="E378" s="68"/>
      <c r="F378" s="69">
        <v>40</v>
      </c>
      <c r="G378" s="66"/>
      <c r="H378" s="70"/>
      <c r="I378" s="71"/>
      <c r="J378" s="71"/>
      <c r="K378" s="35" t="s">
        <v>65</v>
      </c>
      <c r="L378" s="79">
        <v>378</v>
      </c>
      <c r="M378" s="79"/>
      <c r="N378" s="73"/>
      <c r="O378" s="81" t="s">
        <v>292</v>
      </c>
      <c r="P378">
        <v>1</v>
      </c>
      <c r="Q378" s="80" t="str">
        <f>REPLACE(INDEX(GroupVertices[Group],MATCH(Edges[[#This Row],[Vertex 1]],GroupVertices[Vertex],0)),1,1,"")</f>
        <v>1</v>
      </c>
      <c r="R378" s="80" t="str">
        <f>REPLACE(INDEX(GroupVertices[Group],MATCH(Edges[[#This Row],[Vertex 2]],GroupVertices[Vertex],0)),1,1,"")</f>
        <v>1</v>
      </c>
      <c r="S378" s="35"/>
      <c r="T378" s="35"/>
      <c r="U378" s="35"/>
      <c r="V378" s="35"/>
      <c r="W378" s="35"/>
      <c r="X378" s="35"/>
      <c r="Y378" s="35"/>
      <c r="Z378" s="35"/>
      <c r="AA378" s="35"/>
    </row>
    <row r="379" spans="1:27" ht="15">
      <c r="A379" s="65" t="s">
        <v>230</v>
      </c>
      <c r="B379" s="65" t="s">
        <v>225</v>
      </c>
      <c r="C379" s="66" t="s">
        <v>2113</v>
      </c>
      <c r="D379" s="67">
        <v>3</v>
      </c>
      <c r="E379" s="68"/>
      <c r="F379" s="69">
        <v>40</v>
      </c>
      <c r="G379" s="66"/>
      <c r="H379" s="70"/>
      <c r="I379" s="71"/>
      <c r="J379" s="71"/>
      <c r="K379" s="35" t="s">
        <v>65</v>
      </c>
      <c r="L379" s="79">
        <v>379</v>
      </c>
      <c r="M379" s="79"/>
      <c r="N379" s="73"/>
      <c r="O379" s="81" t="s">
        <v>292</v>
      </c>
      <c r="P379">
        <v>1</v>
      </c>
      <c r="Q379" s="80" t="str">
        <f>REPLACE(INDEX(GroupVertices[Group],MATCH(Edges[[#This Row],[Vertex 1]],GroupVertices[Vertex],0)),1,1,"")</f>
        <v>1</v>
      </c>
      <c r="R379" s="80" t="str">
        <f>REPLACE(INDEX(GroupVertices[Group],MATCH(Edges[[#This Row],[Vertex 2]],GroupVertices[Vertex],0)),1,1,"")</f>
        <v>1</v>
      </c>
      <c r="S379" s="35"/>
      <c r="T379" s="35"/>
      <c r="U379" s="35"/>
      <c r="V379" s="35"/>
      <c r="W379" s="35"/>
      <c r="X379" s="35"/>
      <c r="Y379" s="35"/>
      <c r="Z379" s="35"/>
      <c r="AA379" s="35"/>
    </row>
    <row r="380" spans="1:27" ht="15">
      <c r="A380" s="65" t="s">
        <v>232</v>
      </c>
      <c r="B380" s="65" t="s">
        <v>225</v>
      </c>
      <c r="C380" s="66" t="s">
        <v>2113</v>
      </c>
      <c r="D380" s="67">
        <v>3</v>
      </c>
      <c r="E380" s="68"/>
      <c r="F380" s="69">
        <v>40</v>
      </c>
      <c r="G380" s="66"/>
      <c r="H380" s="70"/>
      <c r="I380" s="71"/>
      <c r="J380" s="71"/>
      <c r="K380" s="35" t="s">
        <v>65</v>
      </c>
      <c r="L380" s="79">
        <v>380</v>
      </c>
      <c r="M380" s="79"/>
      <c r="N380" s="73"/>
      <c r="O380" s="81" t="s">
        <v>292</v>
      </c>
      <c r="P380">
        <v>1</v>
      </c>
      <c r="Q380" s="80" t="str">
        <f>REPLACE(INDEX(GroupVertices[Group],MATCH(Edges[[#This Row],[Vertex 1]],GroupVertices[Vertex],0)),1,1,"")</f>
        <v>2</v>
      </c>
      <c r="R380" s="80" t="str">
        <f>REPLACE(INDEX(GroupVertices[Group],MATCH(Edges[[#This Row],[Vertex 2]],GroupVertices[Vertex],0)),1,1,"")</f>
        <v>1</v>
      </c>
      <c r="S380" s="35"/>
      <c r="T380" s="35"/>
      <c r="U380" s="35"/>
      <c r="V380" s="35"/>
      <c r="W380" s="35"/>
      <c r="X380" s="35"/>
      <c r="Y380" s="35"/>
      <c r="Z380" s="35"/>
      <c r="AA380" s="35"/>
    </row>
    <row r="381" spans="1:27" ht="15">
      <c r="A381" s="65" t="s">
        <v>235</v>
      </c>
      <c r="B381" s="65" t="s">
        <v>225</v>
      </c>
      <c r="C381" s="66" t="s">
        <v>2114</v>
      </c>
      <c r="D381" s="67">
        <v>3</v>
      </c>
      <c r="E381" s="68"/>
      <c r="F381" s="69">
        <v>40</v>
      </c>
      <c r="G381" s="66"/>
      <c r="H381" s="70"/>
      <c r="I381" s="71"/>
      <c r="J381" s="71"/>
      <c r="K381" s="35" t="s">
        <v>65</v>
      </c>
      <c r="L381" s="79">
        <v>381</v>
      </c>
      <c r="M381" s="79"/>
      <c r="N381" s="73"/>
      <c r="O381" s="81" t="s">
        <v>292</v>
      </c>
      <c r="P381">
        <v>2</v>
      </c>
      <c r="Q381" s="80" t="str">
        <f>REPLACE(INDEX(GroupVertices[Group],MATCH(Edges[[#This Row],[Vertex 1]],GroupVertices[Vertex],0)),1,1,"")</f>
        <v>1</v>
      </c>
      <c r="R381" s="80" t="str">
        <f>REPLACE(INDEX(GroupVertices[Group],MATCH(Edges[[#This Row],[Vertex 2]],GroupVertices[Vertex],0)),1,1,"")</f>
        <v>1</v>
      </c>
      <c r="S381" s="35"/>
      <c r="T381" s="35"/>
      <c r="U381" s="35"/>
      <c r="V381" s="35"/>
      <c r="W381" s="35"/>
      <c r="X381" s="35"/>
      <c r="Y381" s="35"/>
      <c r="Z381" s="35"/>
      <c r="AA381" s="35"/>
    </row>
    <row r="382" spans="1:27" ht="15">
      <c r="A382" s="65" t="s">
        <v>216</v>
      </c>
      <c r="B382" s="65" t="s">
        <v>225</v>
      </c>
      <c r="C382" s="66" t="s">
        <v>2113</v>
      </c>
      <c r="D382" s="67">
        <v>3</v>
      </c>
      <c r="E382" s="68"/>
      <c r="F382" s="69">
        <v>40</v>
      </c>
      <c r="G382" s="66"/>
      <c r="H382" s="70"/>
      <c r="I382" s="71"/>
      <c r="J382" s="71"/>
      <c r="K382" s="35" t="s">
        <v>66</v>
      </c>
      <c r="L382" s="79">
        <v>382</v>
      </c>
      <c r="M382" s="79"/>
      <c r="N382" s="73"/>
      <c r="O382" s="81" t="s">
        <v>293</v>
      </c>
      <c r="P382">
        <v>1</v>
      </c>
      <c r="Q382" s="80" t="str">
        <f>REPLACE(INDEX(GroupVertices[Group],MATCH(Edges[[#This Row],[Vertex 1]],GroupVertices[Vertex],0)),1,1,"")</f>
        <v>1</v>
      </c>
      <c r="R382" s="80" t="str">
        <f>REPLACE(INDEX(GroupVertices[Group],MATCH(Edges[[#This Row],[Vertex 2]],GroupVertices[Vertex],0)),1,1,"")</f>
        <v>1</v>
      </c>
      <c r="S382" s="35"/>
      <c r="T382" s="35"/>
      <c r="U382" s="35"/>
      <c r="V382" s="35"/>
      <c r="W382" s="35"/>
      <c r="X382" s="35"/>
      <c r="Y382" s="35"/>
      <c r="Z382" s="35"/>
      <c r="AA382" s="35"/>
    </row>
    <row r="383" spans="1:27" ht="15">
      <c r="A383" s="65" t="s">
        <v>240</v>
      </c>
      <c r="B383" s="65" t="s">
        <v>216</v>
      </c>
      <c r="C383" s="66" t="s">
        <v>2113</v>
      </c>
      <c r="D383" s="67">
        <v>3</v>
      </c>
      <c r="E383" s="68"/>
      <c r="F383" s="69">
        <v>40</v>
      </c>
      <c r="G383" s="66"/>
      <c r="H383" s="70"/>
      <c r="I383" s="71"/>
      <c r="J383" s="71"/>
      <c r="K383" s="35" t="s">
        <v>66</v>
      </c>
      <c r="L383" s="79">
        <v>383</v>
      </c>
      <c r="M383" s="79"/>
      <c r="N383" s="73"/>
      <c r="O383" s="81" t="s">
        <v>292</v>
      </c>
      <c r="P383">
        <v>1</v>
      </c>
      <c r="Q383" s="80" t="str">
        <f>REPLACE(INDEX(GroupVertices[Group],MATCH(Edges[[#This Row],[Vertex 1]],GroupVertices[Vertex],0)),1,1,"")</f>
        <v>1</v>
      </c>
      <c r="R383" s="80" t="str">
        <f>REPLACE(INDEX(GroupVertices[Group],MATCH(Edges[[#This Row],[Vertex 2]],GroupVertices[Vertex],0)),1,1,"")</f>
        <v>1</v>
      </c>
      <c r="S383" s="35"/>
      <c r="T383" s="35"/>
      <c r="U383" s="35"/>
      <c r="V383" s="35"/>
      <c r="W383" s="35"/>
      <c r="X383" s="35"/>
      <c r="Y383" s="35"/>
      <c r="Z383" s="35"/>
      <c r="AA383" s="35"/>
    </row>
    <row r="384" spans="1:27" ht="15">
      <c r="A384" s="65" t="s">
        <v>226</v>
      </c>
      <c r="B384" s="65" t="s">
        <v>240</v>
      </c>
      <c r="C384" s="66" t="s">
        <v>2113</v>
      </c>
      <c r="D384" s="67">
        <v>3</v>
      </c>
      <c r="E384" s="68"/>
      <c r="F384" s="69">
        <v>40</v>
      </c>
      <c r="G384" s="66"/>
      <c r="H384" s="70"/>
      <c r="I384" s="71"/>
      <c r="J384" s="71"/>
      <c r="K384" s="35" t="s">
        <v>65</v>
      </c>
      <c r="L384" s="79">
        <v>384</v>
      </c>
      <c r="M384" s="79"/>
      <c r="N384" s="73"/>
      <c r="O384" s="81" t="s">
        <v>292</v>
      </c>
      <c r="P384">
        <v>1</v>
      </c>
      <c r="Q384" s="80" t="str">
        <f>REPLACE(INDEX(GroupVertices[Group],MATCH(Edges[[#This Row],[Vertex 1]],GroupVertices[Vertex],0)),1,1,"")</f>
        <v>1</v>
      </c>
      <c r="R384" s="80" t="str">
        <f>REPLACE(INDEX(GroupVertices[Group],MATCH(Edges[[#This Row],[Vertex 2]],GroupVertices[Vertex],0)),1,1,"")</f>
        <v>1</v>
      </c>
      <c r="S384" s="35"/>
      <c r="T384" s="35"/>
      <c r="U384" s="35"/>
      <c r="V384" s="35"/>
      <c r="W384" s="35"/>
      <c r="X384" s="35"/>
      <c r="Y384" s="35"/>
      <c r="Z384" s="35"/>
      <c r="AA384" s="35"/>
    </row>
    <row r="385" spans="1:27" ht="15">
      <c r="A385" s="65" t="s">
        <v>227</v>
      </c>
      <c r="B385" s="65" t="s">
        <v>240</v>
      </c>
      <c r="C385" s="66" t="s">
        <v>2113</v>
      </c>
      <c r="D385" s="67">
        <v>3</v>
      </c>
      <c r="E385" s="68"/>
      <c r="F385" s="69">
        <v>40</v>
      </c>
      <c r="G385" s="66"/>
      <c r="H385" s="70"/>
      <c r="I385" s="71"/>
      <c r="J385" s="71"/>
      <c r="K385" s="35" t="s">
        <v>65</v>
      </c>
      <c r="L385" s="79">
        <v>385</v>
      </c>
      <c r="M385" s="79"/>
      <c r="N385" s="73"/>
      <c r="O385" s="81" t="s">
        <v>292</v>
      </c>
      <c r="P385">
        <v>1</v>
      </c>
      <c r="Q385" s="80" t="str">
        <f>REPLACE(INDEX(GroupVertices[Group],MATCH(Edges[[#This Row],[Vertex 1]],GroupVertices[Vertex],0)),1,1,"")</f>
        <v>1</v>
      </c>
      <c r="R385" s="80" t="str">
        <f>REPLACE(INDEX(GroupVertices[Group],MATCH(Edges[[#This Row],[Vertex 2]],GroupVertices[Vertex],0)),1,1,"")</f>
        <v>1</v>
      </c>
      <c r="S385" s="35"/>
      <c r="T385" s="35"/>
      <c r="U385" s="35"/>
      <c r="V385" s="35"/>
      <c r="W385" s="35"/>
      <c r="X385" s="35"/>
      <c r="Y385" s="35"/>
      <c r="Z385" s="35"/>
      <c r="AA385" s="35"/>
    </row>
    <row r="386" spans="1:27" ht="15">
      <c r="A386" s="65" t="s">
        <v>241</v>
      </c>
      <c r="B386" s="65" t="s">
        <v>240</v>
      </c>
      <c r="C386" s="66" t="s">
        <v>2113</v>
      </c>
      <c r="D386" s="67">
        <v>3</v>
      </c>
      <c r="E386" s="68"/>
      <c r="F386" s="69">
        <v>40</v>
      </c>
      <c r="G386" s="66"/>
      <c r="H386" s="70"/>
      <c r="I386" s="71"/>
      <c r="J386" s="71"/>
      <c r="K386" s="35" t="s">
        <v>65</v>
      </c>
      <c r="L386" s="79">
        <v>386</v>
      </c>
      <c r="M386" s="79"/>
      <c r="N386" s="73"/>
      <c r="O386" s="81" t="s">
        <v>292</v>
      </c>
      <c r="P386">
        <v>1</v>
      </c>
      <c r="Q386" s="80" t="str">
        <f>REPLACE(INDEX(GroupVertices[Group],MATCH(Edges[[#This Row],[Vertex 1]],GroupVertices[Vertex],0)),1,1,"")</f>
        <v>1</v>
      </c>
      <c r="R386" s="80" t="str">
        <f>REPLACE(INDEX(GroupVertices[Group],MATCH(Edges[[#This Row],[Vertex 2]],GroupVertices[Vertex],0)),1,1,"")</f>
        <v>1</v>
      </c>
      <c r="S386" s="35"/>
      <c r="T386" s="35"/>
      <c r="U386" s="35"/>
      <c r="V386" s="35"/>
      <c r="W386" s="35"/>
      <c r="X386" s="35"/>
      <c r="Y386" s="35"/>
      <c r="Z386" s="35"/>
      <c r="AA386" s="35"/>
    </row>
    <row r="387" spans="1:27" ht="15">
      <c r="A387" s="65" t="s">
        <v>228</v>
      </c>
      <c r="B387" s="65" t="s">
        <v>240</v>
      </c>
      <c r="C387" s="66" t="s">
        <v>2113</v>
      </c>
      <c r="D387" s="67">
        <v>3</v>
      </c>
      <c r="E387" s="68"/>
      <c r="F387" s="69">
        <v>40</v>
      </c>
      <c r="G387" s="66"/>
      <c r="H387" s="70"/>
      <c r="I387" s="71"/>
      <c r="J387" s="71"/>
      <c r="K387" s="35" t="s">
        <v>65</v>
      </c>
      <c r="L387" s="79">
        <v>387</v>
      </c>
      <c r="M387" s="79"/>
      <c r="N387" s="73"/>
      <c r="O387" s="81" t="s">
        <v>292</v>
      </c>
      <c r="P387">
        <v>1</v>
      </c>
      <c r="Q387" s="80" t="str">
        <f>REPLACE(INDEX(GroupVertices[Group],MATCH(Edges[[#This Row],[Vertex 1]],GroupVertices[Vertex],0)),1,1,"")</f>
        <v>1</v>
      </c>
      <c r="R387" s="80" t="str">
        <f>REPLACE(INDEX(GroupVertices[Group],MATCH(Edges[[#This Row],[Vertex 2]],GroupVertices[Vertex],0)),1,1,"")</f>
        <v>1</v>
      </c>
      <c r="S387" s="35"/>
      <c r="T387" s="35"/>
      <c r="U387" s="35"/>
      <c r="V387" s="35"/>
      <c r="W387" s="35"/>
      <c r="X387" s="35"/>
      <c r="Y387" s="35"/>
      <c r="Z387" s="35"/>
      <c r="AA387" s="35"/>
    </row>
    <row r="388" spans="1:27" ht="15">
      <c r="A388" s="65" t="s">
        <v>258</v>
      </c>
      <c r="B388" s="65" t="s">
        <v>240</v>
      </c>
      <c r="C388" s="66" t="s">
        <v>2113</v>
      </c>
      <c r="D388" s="67">
        <v>3</v>
      </c>
      <c r="E388" s="68"/>
      <c r="F388" s="69">
        <v>40</v>
      </c>
      <c r="G388" s="66"/>
      <c r="H388" s="70"/>
      <c r="I388" s="71"/>
      <c r="J388" s="71"/>
      <c r="K388" s="35" t="s">
        <v>65</v>
      </c>
      <c r="L388" s="79">
        <v>388</v>
      </c>
      <c r="M388" s="79"/>
      <c r="N388" s="73"/>
      <c r="O388" s="81" t="s">
        <v>292</v>
      </c>
      <c r="P388">
        <v>1</v>
      </c>
      <c r="Q388" s="80" t="str">
        <f>REPLACE(INDEX(GroupVertices[Group],MATCH(Edges[[#This Row],[Vertex 1]],GroupVertices[Vertex],0)),1,1,"")</f>
        <v>1</v>
      </c>
      <c r="R388" s="80" t="str">
        <f>REPLACE(INDEX(GroupVertices[Group],MATCH(Edges[[#This Row],[Vertex 2]],GroupVertices[Vertex],0)),1,1,"")</f>
        <v>1</v>
      </c>
      <c r="S388" s="35"/>
      <c r="T388" s="35"/>
      <c r="U388" s="35"/>
      <c r="V388" s="35"/>
      <c r="W388" s="35"/>
      <c r="X388" s="35"/>
      <c r="Y388" s="35"/>
      <c r="Z388" s="35"/>
      <c r="AA388" s="35"/>
    </row>
    <row r="389" spans="1:27" ht="15">
      <c r="A389" s="65" t="s">
        <v>229</v>
      </c>
      <c r="B389" s="65" t="s">
        <v>240</v>
      </c>
      <c r="C389" s="66" t="s">
        <v>2113</v>
      </c>
      <c r="D389" s="67">
        <v>3</v>
      </c>
      <c r="E389" s="68"/>
      <c r="F389" s="69">
        <v>40</v>
      </c>
      <c r="G389" s="66"/>
      <c r="H389" s="70"/>
      <c r="I389" s="71"/>
      <c r="J389" s="71"/>
      <c r="K389" s="35" t="s">
        <v>65</v>
      </c>
      <c r="L389" s="79">
        <v>389</v>
      </c>
      <c r="M389" s="79"/>
      <c r="N389" s="73"/>
      <c r="O389" s="81" t="s">
        <v>292</v>
      </c>
      <c r="P389">
        <v>1</v>
      </c>
      <c r="Q389" s="80" t="str">
        <f>REPLACE(INDEX(GroupVertices[Group],MATCH(Edges[[#This Row],[Vertex 1]],GroupVertices[Vertex],0)),1,1,"")</f>
        <v>1</v>
      </c>
      <c r="R389" s="80" t="str">
        <f>REPLACE(INDEX(GroupVertices[Group],MATCH(Edges[[#This Row],[Vertex 2]],GroupVertices[Vertex],0)),1,1,"")</f>
        <v>1</v>
      </c>
      <c r="S389" s="35"/>
      <c r="T389" s="35"/>
      <c r="U389" s="35"/>
      <c r="V389" s="35"/>
      <c r="W389" s="35"/>
      <c r="X389" s="35"/>
      <c r="Y389" s="35"/>
      <c r="Z389" s="35"/>
      <c r="AA389" s="35"/>
    </row>
    <row r="390" spans="1:27" ht="15">
      <c r="A390" s="65" t="s">
        <v>259</v>
      </c>
      <c r="B390" s="65" t="s">
        <v>240</v>
      </c>
      <c r="C390" s="66" t="s">
        <v>2113</v>
      </c>
      <c r="D390" s="67">
        <v>3</v>
      </c>
      <c r="E390" s="68"/>
      <c r="F390" s="69">
        <v>40</v>
      </c>
      <c r="G390" s="66"/>
      <c r="H390" s="70"/>
      <c r="I390" s="71"/>
      <c r="J390" s="71"/>
      <c r="K390" s="35" t="s">
        <v>65</v>
      </c>
      <c r="L390" s="79">
        <v>390</v>
      </c>
      <c r="M390" s="79"/>
      <c r="N390" s="73"/>
      <c r="O390" s="81" t="s">
        <v>292</v>
      </c>
      <c r="P390">
        <v>1</v>
      </c>
      <c r="Q390" s="80" t="str">
        <f>REPLACE(INDEX(GroupVertices[Group],MATCH(Edges[[#This Row],[Vertex 1]],GroupVertices[Vertex],0)),1,1,"")</f>
        <v>1</v>
      </c>
      <c r="R390" s="80" t="str">
        <f>REPLACE(INDEX(GroupVertices[Group],MATCH(Edges[[#This Row],[Vertex 2]],GroupVertices[Vertex],0)),1,1,"")</f>
        <v>1</v>
      </c>
      <c r="S390" s="35"/>
      <c r="T390" s="35"/>
      <c r="U390" s="35"/>
      <c r="V390" s="35"/>
      <c r="W390" s="35"/>
      <c r="X390" s="35"/>
      <c r="Y390" s="35"/>
      <c r="Z390" s="35"/>
      <c r="AA390" s="35"/>
    </row>
    <row r="391" spans="1:27" ht="15">
      <c r="A391" s="65" t="s">
        <v>230</v>
      </c>
      <c r="B391" s="65" t="s">
        <v>240</v>
      </c>
      <c r="C391" s="66" t="s">
        <v>2113</v>
      </c>
      <c r="D391" s="67">
        <v>3</v>
      </c>
      <c r="E391" s="68"/>
      <c r="F391" s="69">
        <v>40</v>
      </c>
      <c r="G391" s="66"/>
      <c r="H391" s="70"/>
      <c r="I391" s="71"/>
      <c r="J391" s="71"/>
      <c r="K391" s="35" t="s">
        <v>65</v>
      </c>
      <c r="L391" s="79">
        <v>391</v>
      </c>
      <c r="M391" s="79"/>
      <c r="N391" s="73"/>
      <c r="O391" s="81" t="s">
        <v>292</v>
      </c>
      <c r="P391">
        <v>1</v>
      </c>
      <c r="Q391" s="80" t="str">
        <f>REPLACE(INDEX(GroupVertices[Group],MATCH(Edges[[#This Row],[Vertex 1]],GroupVertices[Vertex],0)),1,1,"")</f>
        <v>1</v>
      </c>
      <c r="R391" s="80" t="str">
        <f>REPLACE(INDEX(GroupVertices[Group],MATCH(Edges[[#This Row],[Vertex 2]],GroupVertices[Vertex],0)),1,1,"")</f>
        <v>1</v>
      </c>
      <c r="S391" s="35"/>
      <c r="T391" s="35"/>
      <c r="U391" s="35"/>
      <c r="V391" s="35"/>
      <c r="W391" s="35"/>
      <c r="X391" s="35"/>
      <c r="Y391" s="35"/>
      <c r="Z391" s="35"/>
      <c r="AA391" s="35"/>
    </row>
    <row r="392" spans="1:27" ht="15">
      <c r="A392" s="65" t="s">
        <v>231</v>
      </c>
      <c r="B392" s="65" t="s">
        <v>240</v>
      </c>
      <c r="C392" s="66" t="s">
        <v>2113</v>
      </c>
      <c r="D392" s="67">
        <v>3</v>
      </c>
      <c r="E392" s="68"/>
      <c r="F392" s="69">
        <v>40</v>
      </c>
      <c r="G392" s="66"/>
      <c r="H392" s="70"/>
      <c r="I392" s="71"/>
      <c r="J392" s="71"/>
      <c r="K392" s="35" t="s">
        <v>65</v>
      </c>
      <c r="L392" s="79">
        <v>392</v>
      </c>
      <c r="M392" s="79"/>
      <c r="N392" s="73"/>
      <c r="O392" s="81" t="s">
        <v>292</v>
      </c>
      <c r="P392">
        <v>1</v>
      </c>
      <c r="Q392" s="80" t="str">
        <f>REPLACE(INDEX(GroupVertices[Group],MATCH(Edges[[#This Row],[Vertex 1]],GroupVertices[Vertex],0)),1,1,"")</f>
        <v>1</v>
      </c>
      <c r="R392" s="80" t="str">
        <f>REPLACE(INDEX(GroupVertices[Group],MATCH(Edges[[#This Row],[Vertex 2]],GroupVertices[Vertex],0)),1,1,"")</f>
        <v>1</v>
      </c>
      <c r="S392" s="35"/>
      <c r="T392" s="35"/>
      <c r="U392" s="35"/>
      <c r="V392" s="35"/>
      <c r="W392" s="35"/>
      <c r="X392" s="35"/>
      <c r="Y392" s="35"/>
      <c r="Z392" s="35"/>
      <c r="AA392" s="35"/>
    </row>
    <row r="393" spans="1:27" ht="15">
      <c r="A393" s="65" t="s">
        <v>242</v>
      </c>
      <c r="B393" s="65" t="s">
        <v>240</v>
      </c>
      <c r="C393" s="66" t="s">
        <v>2113</v>
      </c>
      <c r="D393" s="67">
        <v>3</v>
      </c>
      <c r="E393" s="68"/>
      <c r="F393" s="69">
        <v>40</v>
      </c>
      <c r="G393" s="66"/>
      <c r="H393" s="70"/>
      <c r="I393" s="71"/>
      <c r="J393" s="71"/>
      <c r="K393" s="35" t="s">
        <v>65</v>
      </c>
      <c r="L393" s="79">
        <v>393</v>
      </c>
      <c r="M393" s="79"/>
      <c r="N393" s="73"/>
      <c r="O393" s="81" t="s">
        <v>292</v>
      </c>
      <c r="P393">
        <v>1</v>
      </c>
      <c r="Q393" s="80" t="str">
        <f>REPLACE(INDEX(GroupVertices[Group],MATCH(Edges[[#This Row],[Vertex 1]],GroupVertices[Vertex],0)),1,1,"")</f>
        <v>1</v>
      </c>
      <c r="R393" s="80" t="str">
        <f>REPLACE(INDEX(GroupVertices[Group],MATCH(Edges[[#This Row],[Vertex 2]],GroupVertices[Vertex],0)),1,1,"")</f>
        <v>1</v>
      </c>
      <c r="S393" s="35"/>
      <c r="T393" s="35"/>
      <c r="U393" s="35"/>
      <c r="V393" s="35"/>
      <c r="W393" s="35"/>
      <c r="X393" s="35"/>
      <c r="Y393" s="35"/>
      <c r="Z393" s="35"/>
      <c r="AA393" s="35"/>
    </row>
    <row r="394" spans="1:27" ht="15">
      <c r="A394" s="65" t="s">
        <v>232</v>
      </c>
      <c r="B394" s="65" t="s">
        <v>240</v>
      </c>
      <c r="C394" s="66" t="s">
        <v>2113</v>
      </c>
      <c r="D394" s="67">
        <v>3</v>
      </c>
      <c r="E394" s="68"/>
      <c r="F394" s="69">
        <v>40</v>
      </c>
      <c r="G394" s="66"/>
      <c r="H394" s="70"/>
      <c r="I394" s="71"/>
      <c r="J394" s="71"/>
      <c r="K394" s="35" t="s">
        <v>65</v>
      </c>
      <c r="L394" s="79">
        <v>394</v>
      </c>
      <c r="M394" s="79"/>
      <c r="N394" s="73"/>
      <c r="O394" s="81" t="s">
        <v>292</v>
      </c>
      <c r="P394">
        <v>1</v>
      </c>
      <c r="Q394" s="80" t="str">
        <f>REPLACE(INDEX(GroupVertices[Group],MATCH(Edges[[#This Row],[Vertex 1]],GroupVertices[Vertex],0)),1,1,"")</f>
        <v>2</v>
      </c>
      <c r="R394" s="80" t="str">
        <f>REPLACE(INDEX(GroupVertices[Group],MATCH(Edges[[#This Row],[Vertex 2]],GroupVertices[Vertex],0)),1,1,"")</f>
        <v>1</v>
      </c>
      <c r="S394" s="35"/>
      <c r="T394" s="35"/>
      <c r="U394" s="35"/>
      <c r="V394" s="35"/>
      <c r="W394" s="35"/>
      <c r="X394" s="35"/>
      <c r="Y394" s="35"/>
      <c r="Z394" s="35"/>
      <c r="AA394" s="35"/>
    </row>
    <row r="395" spans="1:27" ht="15">
      <c r="A395" s="65" t="s">
        <v>233</v>
      </c>
      <c r="B395" s="65" t="s">
        <v>240</v>
      </c>
      <c r="C395" s="66" t="s">
        <v>2113</v>
      </c>
      <c r="D395" s="67">
        <v>3</v>
      </c>
      <c r="E395" s="68"/>
      <c r="F395" s="69">
        <v>40</v>
      </c>
      <c r="G395" s="66"/>
      <c r="H395" s="70"/>
      <c r="I395" s="71"/>
      <c r="J395" s="71"/>
      <c r="K395" s="35" t="s">
        <v>65</v>
      </c>
      <c r="L395" s="79">
        <v>395</v>
      </c>
      <c r="M395" s="79"/>
      <c r="N395" s="73"/>
      <c r="O395" s="81" t="s">
        <v>292</v>
      </c>
      <c r="P395">
        <v>1</v>
      </c>
      <c r="Q395" s="80" t="str">
        <f>REPLACE(INDEX(GroupVertices[Group],MATCH(Edges[[#This Row],[Vertex 1]],GroupVertices[Vertex],0)),1,1,"")</f>
        <v>1</v>
      </c>
      <c r="R395" s="80" t="str">
        <f>REPLACE(INDEX(GroupVertices[Group],MATCH(Edges[[#This Row],[Vertex 2]],GroupVertices[Vertex],0)),1,1,"")</f>
        <v>1</v>
      </c>
      <c r="S395" s="35"/>
      <c r="T395" s="35"/>
      <c r="U395" s="35"/>
      <c r="V395" s="35"/>
      <c r="W395" s="35"/>
      <c r="X395" s="35"/>
      <c r="Y395" s="35"/>
      <c r="Z395" s="35"/>
      <c r="AA395" s="35"/>
    </row>
    <row r="396" spans="1:27" ht="15">
      <c r="A396" s="65" t="s">
        <v>234</v>
      </c>
      <c r="B396" s="65" t="s">
        <v>240</v>
      </c>
      <c r="C396" s="66" t="s">
        <v>2113</v>
      </c>
      <c r="D396" s="67">
        <v>3</v>
      </c>
      <c r="E396" s="68"/>
      <c r="F396" s="69">
        <v>40</v>
      </c>
      <c r="G396" s="66"/>
      <c r="H396" s="70"/>
      <c r="I396" s="71"/>
      <c r="J396" s="71"/>
      <c r="K396" s="35" t="s">
        <v>65</v>
      </c>
      <c r="L396" s="79">
        <v>396</v>
      </c>
      <c r="M396" s="79"/>
      <c r="N396" s="73"/>
      <c r="O396" s="81" t="s">
        <v>292</v>
      </c>
      <c r="P396">
        <v>1</v>
      </c>
      <c r="Q396" s="80" t="str">
        <f>REPLACE(INDEX(GroupVertices[Group],MATCH(Edges[[#This Row],[Vertex 1]],GroupVertices[Vertex],0)),1,1,"")</f>
        <v>1</v>
      </c>
      <c r="R396" s="80" t="str">
        <f>REPLACE(INDEX(GroupVertices[Group],MATCH(Edges[[#This Row],[Vertex 2]],GroupVertices[Vertex],0)),1,1,"")</f>
        <v>1</v>
      </c>
      <c r="S396" s="35"/>
      <c r="T396" s="35"/>
      <c r="U396" s="35"/>
      <c r="V396" s="35"/>
      <c r="W396" s="35"/>
      <c r="X396" s="35"/>
      <c r="Y396" s="35"/>
      <c r="Z396" s="35"/>
      <c r="AA396" s="35"/>
    </row>
    <row r="397" spans="1:27" ht="15">
      <c r="A397" s="65" t="s">
        <v>235</v>
      </c>
      <c r="B397" s="65" t="s">
        <v>240</v>
      </c>
      <c r="C397" s="66" t="s">
        <v>2113</v>
      </c>
      <c r="D397" s="67">
        <v>3</v>
      </c>
      <c r="E397" s="68"/>
      <c r="F397" s="69">
        <v>40</v>
      </c>
      <c r="G397" s="66"/>
      <c r="H397" s="70"/>
      <c r="I397" s="71"/>
      <c r="J397" s="71"/>
      <c r="K397" s="35" t="s">
        <v>65</v>
      </c>
      <c r="L397" s="79">
        <v>397</v>
      </c>
      <c r="M397" s="79"/>
      <c r="N397" s="73"/>
      <c r="O397" s="81" t="s">
        <v>292</v>
      </c>
      <c r="P397">
        <v>1</v>
      </c>
      <c r="Q397" s="80" t="str">
        <f>REPLACE(INDEX(GroupVertices[Group],MATCH(Edges[[#This Row],[Vertex 1]],GroupVertices[Vertex],0)),1,1,"")</f>
        <v>1</v>
      </c>
      <c r="R397" s="80" t="str">
        <f>REPLACE(INDEX(GroupVertices[Group],MATCH(Edges[[#This Row],[Vertex 2]],GroupVertices[Vertex],0)),1,1,"")</f>
        <v>1</v>
      </c>
      <c r="S397" s="35"/>
      <c r="T397" s="35"/>
      <c r="U397" s="35"/>
      <c r="V397" s="35"/>
      <c r="W397" s="35"/>
      <c r="X397" s="35"/>
      <c r="Y397" s="35"/>
      <c r="Z397" s="35"/>
      <c r="AA397" s="35"/>
    </row>
    <row r="398" spans="1:27" ht="15">
      <c r="A398" s="65" t="s">
        <v>250</v>
      </c>
      <c r="B398" s="65" t="s">
        <v>240</v>
      </c>
      <c r="C398" s="66" t="s">
        <v>2113</v>
      </c>
      <c r="D398" s="67">
        <v>3</v>
      </c>
      <c r="E398" s="68"/>
      <c r="F398" s="69">
        <v>40</v>
      </c>
      <c r="G398" s="66"/>
      <c r="H398" s="70"/>
      <c r="I398" s="71"/>
      <c r="J398" s="71"/>
      <c r="K398" s="35" t="s">
        <v>65</v>
      </c>
      <c r="L398" s="79">
        <v>398</v>
      </c>
      <c r="M398" s="79"/>
      <c r="N398" s="73"/>
      <c r="O398" s="81" t="s">
        <v>292</v>
      </c>
      <c r="P398">
        <v>1</v>
      </c>
      <c r="Q398" s="80" t="str">
        <f>REPLACE(INDEX(GroupVertices[Group],MATCH(Edges[[#This Row],[Vertex 1]],GroupVertices[Vertex],0)),1,1,"")</f>
        <v>3</v>
      </c>
      <c r="R398" s="80" t="str">
        <f>REPLACE(INDEX(GroupVertices[Group],MATCH(Edges[[#This Row],[Vertex 2]],GroupVertices[Vertex],0)),1,1,"")</f>
        <v>1</v>
      </c>
      <c r="S398" s="35"/>
      <c r="T398" s="35"/>
      <c r="U398" s="35"/>
      <c r="V398" s="35"/>
      <c r="W398" s="35"/>
      <c r="X398" s="35"/>
      <c r="Y398" s="35"/>
      <c r="Z398" s="35"/>
      <c r="AA398" s="35"/>
    </row>
    <row r="399" spans="1:27" ht="15">
      <c r="A399" s="65" t="s">
        <v>216</v>
      </c>
      <c r="B399" s="65" t="s">
        <v>240</v>
      </c>
      <c r="C399" s="66" t="s">
        <v>2113</v>
      </c>
      <c r="D399" s="67">
        <v>3</v>
      </c>
      <c r="E399" s="68"/>
      <c r="F399" s="69">
        <v>40</v>
      </c>
      <c r="G399" s="66"/>
      <c r="H399" s="70"/>
      <c r="I399" s="71"/>
      <c r="J399" s="71"/>
      <c r="K399" s="35" t="s">
        <v>66</v>
      </c>
      <c r="L399" s="79">
        <v>399</v>
      </c>
      <c r="M399" s="79"/>
      <c r="N399" s="73"/>
      <c r="O399" s="81" t="s">
        <v>293</v>
      </c>
      <c r="P399">
        <v>1</v>
      </c>
      <c r="Q399" s="80" t="str">
        <f>REPLACE(INDEX(GroupVertices[Group],MATCH(Edges[[#This Row],[Vertex 1]],GroupVertices[Vertex],0)),1,1,"")</f>
        <v>1</v>
      </c>
      <c r="R399" s="80" t="str">
        <f>REPLACE(INDEX(GroupVertices[Group],MATCH(Edges[[#This Row],[Vertex 2]],GroupVertices[Vertex],0)),1,1,"")</f>
        <v>1</v>
      </c>
      <c r="S399" s="35"/>
      <c r="T399" s="35"/>
      <c r="U399" s="35"/>
      <c r="V399" s="35"/>
      <c r="W399" s="35"/>
      <c r="X399" s="35"/>
      <c r="Y399" s="35"/>
      <c r="Z399" s="35"/>
      <c r="AA399" s="35"/>
    </row>
    <row r="400" spans="1:27" ht="15">
      <c r="A400" s="65" t="s">
        <v>226</v>
      </c>
      <c r="B400" s="65" t="s">
        <v>216</v>
      </c>
      <c r="C400" s="66" t="s">
        <v>2113</v>
      </c>
      <c r="D400" s="67">
        <v>3</v>
      </c>
      <c r="E400" s="68"/>
      <c r="F400" s="69">
        <v>40</v>
      </c>
      <c r="G400" s="66"/>
      <c r="H400" s="70"/>
      <c r="I400" s="71"/>
      <c r="J400" s="71"/>
      <c r="K400" s="35" t="s">
        <v>66</v>
      </c>
      <c r="L400" s="79">
        <v>400</v>
      </c>
      <c r="M400" s="79"/>
      <c r="N400" s="73"/>
      <c r="O400" s="81" t="s">
        <v>292</v>
      </c>
      <c r="P400">
        <v>1</v>
      </c>
      <c r="Q400" s="80" t="str">
        <f>REPLACE(INDEX(GroupVertices[Group],MATCH(Edges[[#This Row],[Vertex 1]],GroupVertices[Vertex],0)),1,1,"")</f>
        <v>1</v>
      </c>
      <c r="R400" s="80" t="str">
        <f>REPLACE(INDEX(GroupVertices[Group],MATCH(Edges[[#This Row],[Vertex 2]],GroupVertices[Vertex],0)),1,1,"")</f>
        <v>1</v>
      </c>
      <c r="S400" s="35"/>
      <c r="T400" s="35"/>
      <c r="U400" s="35"/>
      <c r="V400" s="35"/>
      <c r="W400" s="35"/>
      <c r="X400" s="35"/>
      <c r="Y400" s="35"/>
      <c r="Z400" s="35"/>
      <c r="AA400" s="35"/>
    </row>
    <row r="401" spans="1:27" ht="15">
      <c r="A401" s="65" t="s">
        <v>227</v>
      </c>
      <c r="B401" s="65" t="s">
        <v>226</v>
      </c>
      <c r="C401" s="66" t="s">
        <v>2113</v>
      </c>
      <c r="D401" s="67">
        <v>3</v>
      </c>
      <c r="E401" s="68"/>
      <c r="F401" s="69">
        <v>40</v>
      </c>
      <c r="G401" s="66"/>
      <c r="H401" s="70"/>
      <c r="I401" s="71"/>
      <c r="J401" s="71"/>
      <c r="K401" s="35" t="s">
        <v>65</v>
      </c>
      <c r="L401" s="79">
        <v>401</v>
      </c>
      <c r="M401" s="79"/>
      <c r="N401" s="73"/>
      <c r="O401" s="81" t="s">
        <v>292</v>
      </c>
      <c r="P401">
        <v>1</v>
      </c>
      <c r="Q401" s="80" t="str">
        <f>REPLACE(INDEX(GroupVertices[Group],MATCH(Edges[[#This Row],[Vertex 1]],GroupVertices[Vertex],0)),1,1,"")</f>
        <v>1</v>
      </c>
      <c r="R401" s="80" t="str">
        <f>REPLACE(INDEX(GroupVertices[Group],MATCH(Edges[[#This Row],[Vertex 2]],GroupVertices[Vertex],0)),1,1,"")</f>
        <v>1</v>
      </c>
      <c r="S401" s="35"/>
      <c r="T401" s="35"/>
      <c r="U401" s="35"/>
      <c r="V401" s="35"/>
      <c r="W401" s="35"/>
      <c r="X401" s="35"/>
      <c r="Y401" s="35"/>
      <c r="Z401" s="35"/>
      <c r="AA401" s="35"/>
    </row>
    <row r="402" spans="1:27" ht="15">
      <c r="A402" s="65" t="s">
        <v>241</v>
      </c>
      <c r="B402" s="65" t="s">
        <v>226</v>
      </c>
      <c r="C402" s="66" t="s">
        <v>2113</v>
      </c>
      <c r="D402" s="67">
        <v>3</v>
      </c>
      <c r="E402" s="68"/>
      <c r="F402" s="69">
        <v>40</v>
      </c>
      <c r="G402" s="66"/>
      <c r="H402" s="70"/>
      <c r="I402" s="71"/>
      <c r="J402" s="71"/>
      <c r="K402" s="35" t="s">
        <v>66</v>
      </c>
      <c r="L402" s="79">
        <v>402</v>
      </c>
      <c r="M402" s="79"/>
      <c r="N402" s="73"/>
      <c r="O402" s="81" t="s">
        <v>292</v>
      </c>
      <c r="P402">
        <v>1</v>
      </c>
      <c r="Q402" s="80" t="str">
        <f>REPLACE(INDEX(GroupVertices[Group],MATCH(Edges[[#This Row],[Vertex 1]],GroupVertices[Vertex],0)),1,1,"")</f>
        <v>1</v>
      </c>
      <c r="R402" s="80" t="str">
        <f>REPLACE(INDEX(GroupVertices[Group],MATCH(Edges[[#This Row],[Vertex 2]],GroupVertices[Vertex],0)),1,1,"")</f>
        <v>1</v>
      </c>
      <c r="S402" s="35"/>
      <c r="T402" s="35"/>
      <c r="U402" s="35"/>
      <c r="V402" s="35"/>
      <c r="W402" s="35"/>
      <c r="X402" s="35"/>
      <c r="Y402" s="35"/>
      <c r="Z402" s="35"/>
      <c r="AA402" s="35"/>
    </row>
    <row r="403" spans="1:27" ht="15">
      <c r="A403" s="65" t="s">
        <v>228</v>
      </c>
      <c r="B403" s="65" t="s">
        <v>226</v>
      </c>
      <c r="C403" s="66" t="s">
        <v>2113</v>
      </c>
      <c r="D403" s="67">
        <v>3</v>
      </c>
      <c r="E403" s="68"/>
      <c r="F403" s="69">
        <v>40</v>
      </c>
      <c r="G403" s="66"/>
      <c r="H403" s="70"/>
      <c r="I403" s="71"/>
      <c r="J403" s="71"/>
      <c r="K403" s="35" t="s">
        <v>65</v>
      </c>
      <c r="L403" s="79">
        <v>403</v>
      </c>
      <c r="M403" s="79"/>
      <c r="N403" s="73"/>
      <c r="O403" s="81" t="s">
        <v>292</v>
      </c>
      <c r="P403">
        <v>1</v>
      </c>
      <c r="Q403" s="80" t="str">
        <f>REPLACE(INDEX(GroupVertices[Group],MATCH(Edges[[#This Row],[Vertex 1]],GroupVertices[Vertex],0)),1,1,"")</f>
        <v>1</v>
      </c>
      <c r="R403" s="80" t="str">
        <f>REPLACE(INDEX(GroupVertices[Group],MATCH(Edges[[#This Row],[Vertex 2]],GroupVertices[Vertex],0)),1,1,"")</f>
        <v>1</v>
      </c>
      <c r="S403" s="35"/>
      <c r="T403" s="35"/>
      <c r="U403" s="35"/>
      <c r="V403" s="35"/>
      <c r="W403" s="35"/>
      <c r="X403" s="35"/>
      <c r="Y403" s="35"/>
      <c r="Z403" s="35"/>
      <c r="AA403" s="35"/>
    </row>
    <row r="404" spans="1:27" ht="15">
      <c r="A404" s="65" t="s">
        <v>229</v>
      </c>
      <c r="B404" s="65" t="s">
        <v>226</v>
      </c>
      <c r="C404" s="66" t="s">
        <v>2113</v>
      </c>
      <c r="D404" s="67">
        <v>3</v>
      </c>
      <c r="E404" s="68"/>
      <c r="F404" s="69">
        <v>40</v>
      </c>
      <c r="G404" s="66"/>
      <c r="H404" s="70"/>
      <c r="I404" s="71"/>
      <c r="J404" s="71"/>
      <c r="K404" s="35" t="s">
        <v>65</v>
      </c>
      <c r="L404" s="79">
        <v>404</v>
      </c>
      <c r="M404" s="79"/>
      <c r="N404" s="73"/>
      <c r="O404" s="81" t="s">
        <v>292</v>
      </c>
      <c r="P404">
        <v>1</v>
      </c>
      <c r="Q404" s="80" t="str">
        <f>REPLACE(INDEX(GroupVertices[Group],MATCH(Edges[[#This Row],[Vertex 1]],GroupVertices[Vertex],0)),1,1,"")</f>
        <v>1</v>
      </c>
      <c r="R404" s="80" t="str">
        <f>REPLACE(INDEX(GroupVertices[Group],MATCH(Edges[[#This Row],[Vertex 2]],GroupVertices[Vertex],0)),1,1,"")</f>
        <v>1</v>
      </c>
      <c r="S404" s="35"/>
      <c r="T404" s="35"/>
      <c r="U404" s="35"/>
      <c r="V404" s="35"/>
      <c r="W404" s="35"/>
      <c r="X404" s="35"/>
      <c r="Y404" s="35"/>
      <c r="Z404" s="35"/>
      <c r="AA404" s="35"/>
    </row>
    <row r="405" spans="1:27" ht="15">
      <c r="A405" s="65" t="s">
        <v>230</v>
      </c>
      <c r="B405" s="65" t="s">
        <v>226</v>
      </c>
      <c r="C405" s="66" t="s">
        <v>2113</v>
      </c>
      <c r="D405" s="67">
        <v>3</v>
      </c>
      <c r="E405" s="68"/>
      <c r="F405" s="69">
        <v>40</v>
      </c>
      <c r="G405" s="66"/>
      <c r="H405" s="70"/>
      <c r="I405" s="71"/>
      <c r="J405" s="71"/>
      <c r="K405" s="35" t="s">
        <v>65</v>
      </c>
      <c r="L405" s="79">
        <v>405</v>
      </c>
      <c r="M405" s="79"/>
      <c r="N405" s="73"/>
      <c r="O405" s="81" t="s">
        <v>292</v>
      </c>
      <c r="P405">
        <v>1</v>
      </c>
      <c r="Q405" s="80" t="str">
        <f>REPLACE(INDEX(GroupVertices[Group],MATCH(Edges[[#This Row],[Vertex 1]],GroupVertices[Vertex],0)),1,1,"")</f>
        <v>1</v>
      </c>
      <c r="R405" s="80" t="str">
        <f>REPLACE(INDEX(GroupVertices[Group],MATCH(Edges[[#This Row],[Vertex 2]],GroupVertices[Vertex],0)),1,1,"")</f>
        <v>1</v>
      </c>
      <c r="S405" s="35"/>
      <c r="T405" s="35"/>
      <c r="U405" s="35"/>
      <c r="V405" s="35"/>
      <c r="W405" s="35"/>
      <c r="X405" s="35"/>
      <c r="Y405" s="35"/>
      <c r="Z405" s="35"/>
      <c r="AA405" s="35"/>
    </row>
    <row r="406" spans="1:27" ht="15">
      <c r="A406" s="65" t="s">
        <v>231</v>
      </c>
      <c r="B406" s="65" t="s">
        <v>226</v>
      </c>
      <c r="C406" s="66" t="s">
        <v>2113</v>
      </c>
      <c r="D406" s="67">
        <v>3</v>
      </c>
      <c r="E406" s="68"/>
      <c r="F406" s="69">
        <v>40</v>
      </c>
      <c r="G406" s="66"/>
      <c r="H406" s="70"/>
      <c r="I406" s="71"/>
      <c r="J406" s="71"/>
      <c r="K406" s="35" t="s">
        <v>66</v>
      </c>
      <c r="L406" s="79">
        <v>406</v>
      </c>
      <c r="M406" s="79"/>
      <c r="N406" s="73"/>
      <c r="O406" s="81" t="s">
        <v>292</v>
      </c>
      <c r="P406">
        <v>1</v>
      </c>
      <c r="Q406" s="80" t="str">
        <f>REPLACE(INDEX(GroupVertices[Group],MATCH(Edges[[#This Row],[Vertex 1]],GroupVertices[Vertex],0)),1,1,"")</f>
        <v>1</v>
      </c>
      <c r="R406" s="80" t="str">
        <f>REPLACE(INDEX(GroupVertices[Group],MATCH(Edges[[#This Row],[Vertex 2]],GroupVertices[Vertex],0)),1,1,"")</f>
        <v>1</v>
      </c>
      <c r="S406" s="35"/>
      <c r="T406" s="35"/>
      <c r="U406" s="35"/>
      <c r="V406" s="35"/>
      <c r="W406" s="35"/>
      <c r="X406" s="35"/>
      <c r="Y406" s="35"/>
      <c r="Z406" s="35"/>
      <c r="AA406" s="35"/>
    </row>
    <row r="407" spans="1:27" ht="15">
      <c r="A407" s="65" t="s">
        <v>242</v>
      </c>
      <c r="B407" s="65" t="s">
        <v>226</v>
      </c>
      <c r="C407" s="66" t="s">
        <v>2113</v>
      </c>
      <c r="D407" s="67">
        <v>3</v>
      </c>
      <c r="E407" s="68"/>
      <c r="F407" s="69">
        <v>40</v>
      </c>
      <c r="G407" s="66"/>
      <c r="H407" s="70"/>
      <c r="I407" s="71"/>
      <c r="J407" s="71"/>
      <c r="K407" s="35" t="s">
        <v>65</v>
      </c>
      <c r="L407" s="79">
        <v>407</v>
      </c>
      <c r="M407" s="79"/>
      <c r="N407" s="73"/>
      <c r="O407" s="81" t="s">
        <v>292</v>
      </c>
      <c r="P407">
        <v>1</v>
      </c>
      <c r="Q407" s="80" t="str">
        <f>REPLACE(INDEX(GroupVertices[Group],MATCH(Edges[[#This Row],[Vertex 1]],GroupVertices[Vertex],0)),1,1,"")</f>
        <v>1</v>
      </c>
      <c r="R407" s="80" t="str">
        <f>REPLACE(INDEX(GroupVertices[Group],MATCH(Edges[[#This Row],[Vertex 2]],GroupVertices[Vertex],0)),1,1,"")</f>
        <v>1</v>
      </c>
      <c r="S407" s="35"/>
      <c r="T407" s="35"/>
      <c r="U407" s="35"/>
      <c r="V407" s="35"/>
      <c r="W407" s="35"/>
      <c r="X407" s="35"/>
      <c r="Y407" s="35"/>
      <c r="Z407" s="35"/>
      <c r="AA407" s="35"/>
    </row>
    <row r="408" spans="1:27" ht="15">
      <c r="A408" s="65" t="s">
        <v>232</v>
      </c>
      <c r="B408" s="65" t="s">
        <v>226</v>
      </c>
      <c r="C408" s="66" t="s">
        <v>2115</v>
      </c>
      <c r="D408" s="67">
        <v>3</v>
      </c>
      <c r="E408" s="68"/>
      <c r="F408" s="69">
        <v>40</v>
      </c>
      <c r="G408" s="66"/>
      <c r="H408" s="70"/>
      <c r="I408" s="71"/>
      <c r="J408" s="71"/>
      <c r="K408" s="35" t="s">
        <v>65</v>
      </c>
      <c r="L408" s="79">
        <v>408</v>
      </c>
      <c r="M408" s="79"/>
      <c r="N408" s="73"/>
      <c r="O408" s="81" t="s">
        <v>292</v>
      </c>
      <c r="P408">
        <v>3</v>
      </c>
      <c r="Q408" s="80" t="str">
        <f>REPLACE(INDEX(GroupVertices[Group],MATCH(Edges[[#This Row],[Vertex 1]],GroupVertices[Vertex],0)),1,1,"")</f>
        <v>2</v>
      </c>
      <c r="R408" s="80" t="str">
        <f>REPLACE(INDEX(GroupVertices[Group],MATCH(Edges[[#This Row],[Vertex 2]],GroupVertices[Vertex],0)),1,1,"")</f>
        <v>1</v>
      </c>
      <c r="S408" s="35"/>
      <c r="T408" s="35"/>
      <c r="U408" s="35"/>
      <c r="V408" s="35"/>
      <c r="W408" s="35"/>
      <c r="X408" s="35"/>
      <c r="Y408" s="35"/>
      <c r="Z408" s="35"/>
      <c r="AA408" s="35"/>
    </row>
    <row r="409" spans="1:27" ht="15">
      <c r="A409" s="65" t="s">
        <v>233</v>
      </c>
      <c r="B409" s="65" t="s">
        <v>226</v>
      </c>
      <c r="C409" s="66" t="s">
        <v>2113</v>
      </c>
      <c r="D409" s="67">
        <v>3</v>
      </c>
      <c r="E409" s="68"/>
      <c r="F409" s="69">
        <v>40</v>
      </c>
      <c r="G409" s="66"/>
      <c r="H409" s="70"/>
      <c r="I409" s="71"/>
      <c r="J409" s="71"/>
      <c r="K409" s="35" t="s">
        <v>66</v>
      </c>
      <c r="L409" s="79">
        <v>409</v>
      </c>
      <c r="M409" s="79"/>
      <c r="N409" s="73"/>
      <c r="O409" s="81" t="s">
        <v>292</v>
      </c>
      <c r="P409">
        <v>1</v>
      </c>
      <c r="Q409" s="80" t="str">
        <f>REPLACE(INDEX(GroupVertices[Group],MATCH(Edges[[#This Row],[Vertex 1]],GroupVertices[Vertex],0)),1,1,"")</f>
        <v>1</v>
      </c>
      <c r="R409" s="80" t="str">
        <f>REPLACE(INDEX(GroupVertices[Group],MATCH(Edges[[#This Row],[Vertex 2]],GroupVertices[Vertex],0)),1,1,"")</f>
        <v>1</v>
      </c>
      <c r="S409" s="35"/>
      <c r="T409" s="35"/>
      <c r="U409" s="35"/>
      <c r="V409" s="35"/>
      <c r="W409" s="35"/>
      <c r="X409" s="35"/>
      <c r="Y409" s="35"/>
      <c r="Z409" s="35"/>
      <c r="AA409" s="35"/>
    </row>
    <row r="410" spans="1:27" ht="15">
      <c r="A410" s="65" t="s">
        <v>234</v>
      </c>
      <c r="B410" s="65" t="s">
        <v>226</v>
      </c>
      <c r="C410" s="66" t="s">
        <v>2113</v>
      </c>
      <c r="D410" s="67">
        <v>3</v>
      </c>
      <c r="E410" s="68"/>
      <c r="F410" s="69">
        <v>40</v>
      </c>
      <c r="G410" s="66"/>
      <c r="H410" s="70"/>
      <c r="I410" s="71"/>
      <c r="J410" s="71"/>
      <c r="K410" s="35" t="s">
        <v>66</v>
      </c>
      <c r="L410" s="79">
        <v>410</v>
      </c>
      <c r="M410" s="79"/>
      <c r="N410" s="73"/>
      <c r="O410" s="81" t="s">
        <v>292</v>
      </c>
      <c r="P410">
        <v>1</v>
      </c>
      <c r="Q410" s="80" t="str">
        <f>REPLACE(INDEX(GroupVertices[Group],MATCH(Edges[[#This Row],[Vertex 1]],GroupVertices[Vertex],0)),1,1,"")</f>
        <v>1</v>
      </c>
      <c r="R410" s="80" t="str">
        <f>REPLACE(INDEX(GroupVertices[Group],MATCH(Edges[[#This Row],[Vertex 2]],GroupVertices[Vertex],0)),1,1,"")</f>
        <v>1</v>
      </c>
      <c r="S410" s="35"/>
      <c r="T410" s="35"/>
      <c r="U410" s="35"/>
      <c r="V410" s="35"/>
      <c r="W410" s="35"/>
      <c r="X410" s="35"/>
      <c r="Y410" s="35"/>
      <c r="Z410" s="35"/>
      <c r="AA410" s="35"/>
    </row>
    <row r="411" spans="1:27" ht="15">
      <c r="A411" s="65" t="s">
        <v>235</v>
      </c>
      <c r="B411" s="65" t="s">
        <v>226</v>
      </c>
      <c r="C411" s="66" t="s">
        <v>2114</v>
      </c>
      <c r="D411" s="67">
        <v>3</v>
      </c>
      <c r="E411" s="68"/>
      <c r="F411" s="69">
        <v>40</v>
      </c>
      <c r="G411" s="66"/>
      <c r="H411" s="70"/>
      <c r="I411" s="71"/>
      <c r="J411" s="71"/>
      <c r="K411" s="35" t="s">
        <v>66</v>
      </c>
      <c r="L411" s="79">
        <v>411</v>
      </c>
      <c r="M411" s="79"/>
      <c r="N411" s="73"/>
      <c r="O411" s="81" t="s">
        <v>292</v>
      </c>
      <c r="P411">
        <v>2</v>
      </c>
      <c r="Q411" s="80" t="str">
        <f>REPLACE(INDEX(GroupVertices[Group],MATCH(Edges[[#This Row],[Vertex 1]],GroupVertices[Vertex],0)),1,1,"")</f>
        <v>1</v>
      </c>
      <c r="R411" s="80" t="str">
        <f>REPLACE(INDEX(GroupVertices[Group],MATCH(Edges[[#This Row],[Vertex 2]],GroupVertices[Vertex],0)),1,1,"")</f>
        <v>1</v>
      </c>
      <c r="S411" s="35"/>
      <c r="T411" s="35"/>
      <c r="U411" s="35"/>
      <c r="V411" s="35"/>
      <c r="W411" s="35"/>
      <c r="X411" s="35"/>
      <c r="Y411" s="35"/>
      <c r="Z411" s="35"/>
      <c r="AA411" s="35"/>
    </row>
    <row r="412" spans="1:27" ht="15">
      <c r="A412" s="65" t="s">
        <v>216</v>
      </c>
      <c r="B412" s="65" t="s">
        <v>226</v>
      </c>
      <c r="C412" s="66" t="s">
        <v>2114</v>
      </c>
      <c r="D412" s="67">
        <v>3</v>
      </c>
      <c r="E412" s="68"/>
      <c r="F412" s="69">
        <v>40</v>
      </c>
      <c r="G412" s="66"/>
      <c r="H412" s="70"/>
      <c r="I412" s="71"/>
      <c r="J412" s="71"/>
      <c r="K412" s="35" t="s">
        <v>66</v>
      </c>
      <c r="L412" s="79">
        <v>412</v>
      </c>
      <c r="M412" s="79"/>
      <c r="N412" s="73"/>
      <c r="O412" s="81" t="s">
        <v>293</v>
      </c>
      <c r="P412">
        <v>2</v>
      </c>
      <c r="Q412" s="80" t="str">
        <f>REPLACE(INDEX(GroupVertices[Group],MATCH(Edges[[#This Row],[Vertex 1]],GroupVertices[Vertex],0)),1,1,"")</f>
        <v>1</v>
      </c>
      <c r="R412" s="80" t="str">
        <f>REPLACE(INDEX(GroupVertices[Group],MATCH(Edges[[#This Row],[Vertex 2]],GroupVertices[Vertex],0)),1,1,"")</f>
        <v>1</v>
      </c>
      <c r="S412" s="35"/>
      <c r="T412" s="35"/>
      <c r="U412" s="35"/>
      <c r="V412" s="35"/>
      <c r="W412" s="35"/>
      <c r="X412" s="35"/>
      <c r="Y412" s="35"/>
      <c r="Z412" s="35"/>
      <c r="AA412" s="35"/>
    </row>
    <row r="413" spans="1:27" ht="15">
      <c r="A413" s="65" t="s">
        <v>227</v>
      </c>
      <c r="B413" s="65" t="s">
        <v>216</v>
      </c>
      <c r="C413" s="66" t="s">
        <v>2113</v>
      </c>
      <c r="D413" s="67">
        <v>3</v>
      </c>
      <c r="E413" s="68"/>
      <c r="F413" s="69">
        <v>40</v>
      </c>
      <c r="G413" s="66"/>
      <c r="H413" s="70"/>
      <c r="I413" s="71"/>
      <c r="J413" s="71"/>
      <c r="K413" s="35" t="s">
        <v>66</v>
      </c>
      <c r="L413" s="79">
        <v>413</v>
      </c>
      <c r="M413" s="79"/>
      <c r="N413" s="73"/>
      <c r="O413" s="81" t="s">
        <v>292</v>
      </c>
      <c r="P413">
        <v>1</v>
      </c>
      <c r="Q413" s="80" t="str">
        <f>REPLACE(INDEX(GroupVertices[Group],MATCH(Edges[[#This Row],[Vertex 1]],GroupVertices[Vertex],0)),1,1,"")</f>
        <v>1</v>
      </c>
      <c r="R413" s="80" t="str">
        <f>REPLACE(INDEX(GroupVertices[Group],MATCH(Edges[[#This Row],[Vertex 2]],GroupVertices[Vertex],0)),1,1,"")</f>
        <v>1</v>
      </c>
      <c r="S413" s="35"/>
      <c r="T413" s="35"/>
      <c r="U413" s="35"/>
      <c r="V413" s="35"/>
      <c r="W413" s="35"/>
      <c r="X413" s="35"/>
      <c r="Y413" s="35"/>
      <c r="Z413" s="35"/>
      <c r="AA413" s="35"/>
    </row>
    <row r="414" spans="1:27" ht="15">
      <c r="A414" s="65" t="s">
        <v>241</v>
      </c>
      <c r="B414" s="65" t="s">
        <v>227</v>
      </c>
      <c r="C414" s="66" t="s">
        <v>2113</v>
      </c>
      <c r="D414" s="67">
        <v>3</v>
      </c>
      <c r="E414" s="68"/>
      <c r="F414" s="69">
        <v>40</v>
      </c>
      <c r="G414" s="66"/>
      <c r="H414" s="70"/>
      <c r="I414" s="71"/>
      <c r="J414" s="71"/>
      <c r="K414" s="35" t="s">
        <v>65</v>
      </c>
      <c r="L414" s="79">
        <v>414</v>
      </c>
      <c r="M414" s="79"/>
      <c r="N414" s="73"/>
      <c r="O414" s="81" t="s">
        <v>292</v>
      </c>
      <c r="P414">
        <v>1</v>
      </c>
      <c r="Q414" s="80" t="str">
        <f>REPLACE(INDEX(GroupVertices[Group],MATCH(Edges[[#This Row],[Vertex 1]],GroupVertices[Vertex],0)),1,1,"")</f>
        <v>1</v>
      </c>
      <c r="R414" s="80" t="str">
        <f>REPLACE(INDEX(GroupVertices[Group],MATCH(Edges[[#This Row],[Vertex 2]],GroupVertices[Vertex],0)),1,1,"")</f>
        <v>1</v>
      </c>
      <c r="S414" s="35"/>
      <c r="T414" s="35"/>
      <c r="U414" s="35"/>
      <c r="V414" s="35"/>
      <c r="W414" s="35"/>
      <c r="X414" s="35"/>
      <c r="Y414" s="35"/>
      <c r="Z414" s="35"/>
      <c r="AA414" s="35"/>
    </row>
    <row r="415" spans="1:27" ht="15">
      <c r="A415" s="65" t="s">
        <v>228</v>
      </c>
      <c r="B415" s="65" t="s">
        <v>227</v>
      </c>
      <c r="C415" s="66" t="s">
        <v>2113</v>
      </c>
      <c r="D415" s="67">
        <v>3</v>
      </c>
      <c r="E415" s="68"/>
      <c r="F415" s="69">
        <v>40</v>
      </c>
      <c r="G415" s="66"/>
      <c r="H415" s="70"/>
      <c r="I415" s="71"/>
      <c r="J415" s="71"/>
      <c r="K415" s="35" t="s">
        <v>65</v>
      </c>
      <c r="L415" s="79">
        <v>415</v>
      </c>
      <c r="M415" s="79"/>
      <c r="N415" s="73"/>
      <c r="O415" s="81" t="s">
        <v>292</v>
      </c>
      <c r="P415">
        <v>1</v>
      </c>
      <c r="Q415" s="80" t="str">
        <f>REPLACE(INDEX(GroupVertices[Group],MATCH(Edges[[#This Row],[Vertex 1]],GroupVertices[Vertex],0)),1,1,"")</f>
        <v>1</v>
      </c>
      <c r="R415" s="80" t="str">
        <f>REPLACE(INDEX(GroupVertices[Group],MATCH(Edges[[#This Row],[Vertex 2]],GroupVertices[Vertex],0)),1,1,"")</f>
        <v>1</v>
      </c>
      <c r="S415" s="35"/>
      <c r="T415" s="35"/>
      <c r="U415" s="35"/>
      <c r="V415" s="35"/>
      <c r="W415" s="35"/>
      <c r="X415" s="35"/>
      <c r="Y415" s="35"/>
      <c r="Z415" s="35"/>
      <c r="AA415" s="35"/>
    </row>
    <row r="416" spans="1:27" ht="15">
      <c r="A416" s="65" t="s">
        <v>229</v>
      </c>
      <c r="B416" s="65" t="s">
        <v>227</v>
      </c>
      <c r="C416" s="66" t="s">
        <v>2113</v>
      </c>
      <c r="D416" s="67">
        <v>3</v>
      </c>
      <c r="E416" s="68"/>
      <c r="F416" s="69">
        <v>40</v>
      </c>
      <c r="G416" s="66"/>
      <c r="H416" s="70"/>
      <c r="I416" s="71"/>
      <c r="J416" s="71"/>
      <c r="K416" s="35" t="s">
        <v>65</v>
      </c>
      <c r="L416" s="79">
        <v>416</v>
      </c>
      <c r="M416" s="79"/>
      <c r="N416" s="73"/>
      <c r="O416" s="81" t="s">
        <v>292</v>
      </c>
      <c r="P416">
        <v>1</v>
      </c>
      <c r="Q416" s="80" t="str">
        <f>REPLACE(INDEX(GroupVertices[Group],MATCH(Edges[[#This Row],[Vertex 1]],GroupVertices[Vertex],0)),1,1,"")</f>
        <v>1</v>
      </c>
      <c r="R416" s="80" t="str">
        <f>REPLACE(INDEX(GroupVertices[Group],MATCH(Edges[[#This Row],[Vertex 2]],GroupVertices[Vertex],0)),1,1,"")</f>
        <v>1</v>
      </c>
      <c r="S416" s="35"/>
      <c r="T416" s="35"/>
      <c r="U416" s="35"/>
      <c r="V416" s="35"/>
      <c r="W416" s="35"/>
      <c r="X416" s="35"/>
      <c r="Y416" s="35"/>
      <c r="Z416" s="35"/>
      <c r="AA416" s="35"/>
    </row>
    <row r="417" spans="1:27" ht="15">
      <c r="A417" s="65" t="s">
        <v>230</v>
      </c>
      <c r="B417" s="65" t="s">
        <v>227</v>
      </c>
      <c r="C417" s="66" t="s">
        <v>2113</v>
      </c>
      <c r="D417" s="67">
        <v>3</v>
      </c>
      <c r="E417" s="68"/>
      <c r="F417" s="69">
        <v>40</v>
      </c>
      <c r="G417" s="66"/>
      <c r="H417" s="70"/>
      <c r="I417" s="71"/>
      <c r="J417" s="71"/>
      <c r="K417" s="35" t="s">
        <v>65</v>
      </c>
      <c r="L417" s="79">
        <v>417</v>
      </c>
      <c r="M417" s="79"/>
      <c r="N417" s="73"/>
      <c r="O417" s="81" t="s">
        <v>292</v>
      </c>
      <c r="P417">
        <v>1</v>
      </c>
      <c r="Q417" s="80" t="str">
        <f>REPLACE(INDEX(GroupVertices[Group],MATCH(Edges[[#This Row],[Vertex 1]],GroupVertices[Vertex],0)),1,1,"")</f>
        <v>1</v>
      </c>
      <c r="R417" s="80" t="str">
        <f>REPLACE(INDEX(GroupVertices[Group],MATCH(Edges[[#This Row],[Vertex 2]],GroupVertices[Vertex],0)),1,1,"")</f>
        <v>1</v>
      </c>
      <c r="S417" s="35"/>
      <c r="T417" s="35"/>
      <c r="U417" s="35"/>
      <c r="V417" s="35"/>
      <c r="W417" s="35"/>
      <c r="X417" s="35"/>
      <c r="Y417" s="35"/>
      <c r="Z417" s="35"/>
      <c r="AA417" s="35"/>
    </row>
    <row r="418" spans="1:27" ht="15">
      <c r="A418" s="65" t="s">
        <v>231</v>
      </c>
      <c r="B418" s="65" t="s">
        <v>227</v>
      </c>
      <c r="C418" s="66" t="s">
        <v>2113</v>
      </c>
      <c r="D418" s="67">
        <v>3</v>
      </c>
      <c r="E418" s="68"/>
      <c r="F418" s="69">
        <v>40</v>
      </c>
      <c r="G418" s="66"/>
      <c r="H418" s="70"/>
      <c r="I418" s="71"/>
      <c r="J418" s="71"/>
      <c r="K418" s="35" t="s">
        <v>65</v>
      </c>
      <c r="L418" s="79">
        <v>418</v>
      </c>
      <c r="M418" s="79"/>
      <c r="N418" s="73"/>
      <c r="O418" s="81" t="s">
        <v>292</v>
      </c>
      <c r="P418">
        <v>1</v>
      </c>
      <c r="Q418" s="80" t="str">
        <f>REPLACE(INDEX(GroupVertices[Group],MATCH(Edges[[#This Row],[Vertex 1]],GroupVertices[Vertex],0)),1,1,"")</f>
        <v>1</v>
      </c>
      <c r="R418" s="80" t="str">
        <f>REPLACE(INDEX(GroupVertices[Group],MATCH(Edges[[#This Row],[Vertex 2]],GroupVertices[Vertex],0)),1,1,"")</f>
        <v>1</v>
      </c>
      <c r="S418" s="35"/>
      <c r="T418" s="35"/>
      <c r="U418" s="35"/>
      <c r="V418" s="35"/>
      <c r="W418" s="35"/>
      <c r="X418" s="35"/>
      <c r="Y418" s="35"/>
      <c r="Z418" s="35"/>
      <c r="AA418" s="35"/>
    </row>
    <row r="419" spans="1:27" ht="15">
      <c r="A419" s="65" t="s">
        <v>238</v>
      </c>
      <c r="B419" s="65" t="s">
        <v>227</v>
      </c>
      <c r="C419" s="66" t="s">
        <v>2113</v>
      </c>
      <c r="D419" s="67">
        <v>3</v>
      </c>
      <c r="E419" s="68"/>
      <c r="F419" s="69">
        <v>40</v>
      </c>
      <c r="G419" s="66"/>
      <c r="H419" s="70"/>
      <c r="I419" s="71"/>
      <c r="J419" s="71"/>
      <c r="K419" s="35" t="s">
        <v>65</v>
      </c>
      <c r="L419" s="79">
        <v>419</v>
      </c>
      <c r="M419" s="79"/>
      <c r="N419" s="73"/>
      <c r="O419" s="81" t="s">
        <v>292</v>
      </c>
      <c r="P419">
        <v>1</v>
      </c>
      <c r="Q419" s="80" t="str">
        <f>REPLACE(INDEX(GroupVertices[Group],MATCH(Edges[[#This Row],[Vertex 1]],GroupVertices[Vertex],0)),1,1,"")</f>
        <v>4</v>
      </c>
      <c r="R419" s="80" t="str">
        <f>REPLACE(INDEX(GroupVertices[Group],MATCH(Edges[[#This Row],[Vertex 2]],GroupVertices[Vertex],0)),1,1,"")</f>
        <v>1</v>
      </c>
      <c r="S419" s="35"/>
      <c r="T419" s="35"/>
      <c r="U419" s="35"/>
      <c r="V419" s="35"/>
      <c r="W419" s="35"/>
      <c r="X419" s="35"/>
      <c r="Y419" s="35"/>
      <c r="Z419" s="35"/>
      <c r="AA419" s="35"/>
    </row>
    <row r="420" spans="1:27" ht="15">
      <c r="A420" s="65" t="s">
        <v>242</v>
      </c>
      <c r="B420" s="65" t="s">
        <v>227</v>
      </c>
      <c r="C420" s="66" t="s">
        <v>2113</v>
      </c>
      <c r="D420" s="67">
        <v>3</v>
      </c>
      <c r="E420" s="68"/>
      <c r="F420" s="69">
        <v>40</v>
      </c>
      <c r="G420" s="66"/>
      <c r="H420" s="70"/>
      <c r="I420" s="71"/>
      <c r="J420" s="71"/>
      <c r="K420" s="35" t="s">
        <v>65</v>
      </c>
      <c r="L420" s="79">
        <v>420</v>
      </c>
      <c r="M420" s="79"/>
      <c r="N420" s="73"/>
      <c r="O420" s="81" t="s">
        <v>292</v>
      </c>
      <c r="P420">
        <v>1</v>
      </c>
      <c r="Q420" s="80" t="str">
        <f>REPLACE(INDEX(GroupVertices[Group],MATCH(Edges[[#This Row],[Vertex 1]],GroupVertices[Vertex],0)),1,1,"")</f>
        <v>1</v>
      </c>
      <c r="R420" s="80" t="str">
        <f>REPLACE(INDEX(GroupVertices[Group],MATCH(Edges[[#This Row],[Vertex 2]],GroupVertices[Vertex],0)),1,1,"")</f>
        <v>1</v>
      </c>
      <c r="S420" s="35"/>
      <c r="T420" s="35"/>
      <c r="U420" s="35"/>
      <c r="V420" s="35"/>
      <c r="W420" s="35"/>
      <c r="X420" s="35"/>
      <c r="Y420" s="35"/>
      <c r="Z420" s="35"/>
      <c r="AA420" s="35"/>
    </row>
    <row r="421" spans="1:27" ht="15">
      <c r="A421" s="65" t="s">
        <v>232</v>
      </c>
      <c r="B421" s="65" t="s">
        <v>227</v>
      </c>
      <c r="C421" s="66" t="s">
        <v>2113</v>
      </c>
      <c r="D421" s="67">
        <v>3</v>
      </c>
      <c r="E421" s="68"/>
      <c r="F421" s="69">
        <v>40</v>
      </c>
      <c r="G421" s="66"/>
      <c r="H421" s="70"/>
      <c r="I421" s="71"/>
      <c r="J421" s="71"/>
      <c r="K421" s="35" t="s">
        <v>65</v>
      </c>
      <c r="L421" s="79">
        <v>421</v>
      </c>
      <c r="M421" s="79"/>
      <c r="N421" s="73"/>
      <c r="O421" s="81" t="s">
        <v>292</v>
      </c>
      <c r="P421">
        <v>1</v>
      </c>
      <c r="Q421" s="80" t="str">
        <f>REPLACE(INDEX(GroupVertices[Group],MATCH(Edges[[#This Row],[Vertex 1]],GroupVertices[Vertex],0)),1,1,"")</f>
        <v>2</v>
      </c>
      <c r="R421" s="80" t="str">
        <f>REPLACE(INDEX(GroupVertices[Group],MATCH(Edges[[#This Row],[Vertex 2]],GroupVertices[Vertex],0)),1,1,"")</f>
        <v>1</v>
      </c>
      <c r="S421" s="35"/>
      <c r="T421" s="35"/>
      <c r="U421" s="35"/>
      <c r="V421" s="35"/>
      <c r="W421" s="35"/>
      <c r="X421" s="35"/>
      <c r="Y421" s="35"/>
      <c r="Z421" s="35"/>
      <c r="AA421" s="35"/>
    </row>
    <row r="422" spans="1:27" ht="15">
      <c r="A422" s="65" t="s">
        <v>233</v>
      </c>
      <c r="B422" s="65" t="s">
        <v>227</v>
      </c>
      <c r="C422" s="66" t="s">
        <v>2113</v>
      </c>
      <c r="D422" s="67">
        <v>3</v>
      </c>
      <c r="E422" s="68"/>
      <c r="F422" s="69">
        <v>40</v>
      </c>
      <c r="G422" s="66"/>
      <c r="H422" s="70"/>
      <c r="I422" s="71"/>
      <c r="J422" s="71"/>
      <c r="K422" s="35" t="s">
        <v>65</v>
      </c>
      <c r="L422" s="79">
        <v>422</v>
      </c>
      <c r="M422" s="79"/>
      <c r="N422" s="73"/>
      <c r="O422" s="81" t="s">
        <v>292</v>
      </c>
      <c r="P422">
        <v>1</v>
      </c>
      <c r="Q422" s="80" t="str">
        <f>REPLACE(INDEX(GroupVertices[Group],MATCH(Edges[[#This Row],[Vertex 1]],GroupVertices[Vertex],0)),1,1,"")</f>
        <v>1</v>
      </c>
      <c r="R422" s="80" t="str">
        <f>REPLACE(INDEX(GroupVertices[Group],MATCH(Edges[[#This Row],[Vertex 2]],GroupVertices[Vertex],0)),1,1,"")</f>
        <v>1</v>
      </c>
      <c r="S422" s="35"/>
      <c r="T422" s="35"/>
      <c r="U422" s="35"/>
      <c r="V422" s="35"/>
      <c r="W422" s="35"/>
      <c r="X422" s="35"/>
      <c r="Y422" s="35"/>
      <c r="Z422" s="35"/>
      <c r="AA422" s="35"/>
    </row>
    <row r="423" spans="1:27" ht="15">
      <c r="A423" s="65" t="s">
        <v>234</v>
      </c>
      <c r="B423" s="65" t="s">
        <v>227</v>
      </c>
      <c r="C423" s="66" t="s">
        <v>2113</v>
      </c>
      <c r="D423" s="67">
        <v>3</v>
      </c>
      <c r="E423" s="68"/>
      <c r="F423" s="69">
        <v>40</v>
      </c>
      <c r="G423" s="66"/>
      <c r="H423" s="70"/>
      <c r="I423" s="71"/>
      <c r="J423" s="71"/>
      <c r="K423" s="35" t="s">
        <v>65</v>
      </c>
      <c r="L423" s="79">
        <v>423</v>
      </c>
      <c r="M423" s="79"/>
      <c r="N423" s="73"/>
      <c r="O423" s="81" t="s">
        <v>292</v>
      </c>
      <c r="P423">
        <v>1</v>
      </c>
      <c r="Q423" s="80" t="str">
        <f>REPLACE(INDEX(GroupVertices[Group],MATCH(Edges[[#This Row],[Vertex 1]],GroupVertices[Vertex],0)),1,1,"")</f>
        <v>1</v>
      </c>
      <c r="R423" s="80" t="str">
        <f>REPLACE(INDEX(GroupVertices[Group],MATCH(Edges[[#This Row],[Vertex 2]],GroupVertices[Vertex],0)),1,1,"")</f>
        <v>1</v>
      </c>
      <c r="S423" s="35"/>
      <c r="T423" s="35"/>
      <c r="U423" s="35"/>
      <c r="V423" s="35"/>
      <c r="W423" s="35"/>
      <c r="X423" s="35"/>
      <c r="Y423" s="35"/>
      <c r="Z423" s="35"/>
      <c r="AA423" s="35"/>
    </row>
    <row r="424" spans="1:27" ht="15">
      <c r="A424" s="65" t="s">
        <v>243</v>
      </c>
      <c r="B424" s="65" t="s">
        <v>227</v>
      </c>
      <c r="C424" s="66" t="s">
        <v>2113</v>
      </c>
      <c r="D424" s="67">
        <v>3</v>
      </c>
      <c r="E424" s="68"/>
      <c r="F424" s="69">
        <v>40</v>
      </c>
      <c r="G424" s="66"/>
      <c r="H424" s="70"/>
      <c r="I424" s="71"/>
      <c r="J424" s="71"/>
      <c r="K424" s="35" t="s">
        <v>65</v>
      </c>
      <c r="L424" s="79">
        <v>424</v>
      </c>
      <c r="M424" s="79"/>
      <c r="N424" s="73"/>
      <c r="O424" s="81" t="s">
        <v>292</v>
      </c>
      <c r="P424">
        <v>1</v>
      </c>
      <c r="Q424" s="80" t="str">
        <f>REPLACE(INDEX(GroupVertices[Group],MATCH(Edges[[#This Row],[Vertex 1]],GroupVertices[Vertex],0)),1,1,"")</f>
        <v>1</v>
      </c>
      <c r="R424" s="80" t="str">
        <f>REPLACE(INDEX(GroupVertices[Group],MATCH(Edges[[#This Row],[Vertex 2]],GroupVertices[Vertex],0)),1,1,"")</f>
        <v>1</v>
      </c>
      <c r="S424" s="35"/>
      <c r="T424" s="35"/>
      <c r="U424" s="35"/>
      <c r="V424" s="35"/>
      <c r="W424" s="35"/>
      <c r="X424" s="35"/>
      <c r="Y424" s="35"/>
      <c r="Z424" s="35"/>
      <c r="AA424" s="35"/>
    </row>
    <row r="425" spans="1:27" ht="15">
      <c r="A425" s="65" t="s">
        <v>235</v>
      </c>
      <c r="B425" s="65" t="s">
        <v>227</v>
      </c>
      <c r="C425" s="66" t="s">
        <v>2113</v>
      </c>
      <c r="D425" s="67">
        <v>3</v>
      </c>
      <c r="E425" s="68"/>
      <c r="F425" s="69">
        <v>40</v>
      </c>
      <c r="G425" s="66"/>
      <c r="H425" s="70"/>
      <c r="I425" s="71"/>
      <c r="J425" s="71"/>
      <c r="K425" s="35" t="s">
        <v>65</v>
      </c>
      <c r="L425" s="79">
        <v>425</v>
      </c>
      <c r="M425" s="79"/>
      <c r="N425" s="73"/>
      <c r="O425" s="81" t="s">
        <v>292</v>
      </c>
      <c r="P425">
        <v>1</v>
      </c>
      <c r="Q425" s="80" t="str">
        <f>REPLACE(INDEX(GroupVertices[Group],MATCH(Edges[[#This Row],[Vertex 1]],GroupVertices[Vertex],0)),1,1,"")</f>
        <v>1</v>
      </c>
      <c r="R425" s="80" t="str">
        <f>REPLACE(INDEX(GroupVertices[Group],MATCH(Edges[[#This Row],[Vertex 2]],GroupVertices[Vertex],0)),1,1,"")</f>
        <v>1</v>
      </c>
      <c r="S425" s="35"/>
      <c r="T425" s="35"/>
      <c r="U425" s="35"/>
      <c r="V425" s="35"/>
      <c r="W425" s="35"/>
      <c r="X425" s="35"/>
      <c r="Y425" s="35"/>
      <c r="Z425" s="35"/>
      <c r="AA425" s="35"/>
    </row>
    <row r="426" spans="1:27" ht="15">
      <c r="A426" s="65" t="s">
        <v>216</v>
      </c>
      <c r="B426" s="65" t="s">
        <v>227</v>
      </c>
      <c r="C426" s="66" t="s">
        <v>2113</v>
      </c>
      <c r="D426" s="67">
        <v>3</v>
      </c>
      <c r="E426" s="68"/>
      <c r="F426" s="69">
        <v>40</v>
      </c>
      <c r="G426" s="66"/>
      <c r="H426" s="70"/>
      <c r="I426" s="71"/>
      <c r="J426" s="71"/>
      <c r="K426" s="35" t="s">
        <v>66</v>
      </c>
      <c r="L426" s="79">
        <v>426</v>
      </c>
      <c r="M426" s="79"/>
      <c r="N426" s="73"/>
      <c r="O426" s="81" t="s">
        <v>293</v>
      </c>
      <c r="P426">
        <v>1</v>
      </c>
      <c r="Q426" s="80" t="str">
        <f>REPLACE(INDEX(GroupVertices[Group],MATCH(Edges[[#This Row],[Vertex 1]],GroupVertices[Vertex],0)),1,1,"")</f>
        <v>1</v>
      </c>
      <c r="R426" s="80" t="str">
        <f>REPLACE(INDEX(GroupVertices[Group],MATCH(Edges[[#This Row],[Vertex 2]],GroupVertices[Vertex],0)),1,1,"")</f>
        <v>1</v>
      </c>
      <c r="S426" s="35"/>
      <c r="T426" s="35"/>
      <c r="U426" s="35"/>
      <c r="V426" s="35"/>
      <c r="W426" s="35"/>
      <c r="X426" s="35"/>
      <c r="Y426" s="35"/>
      <c r="Z426" s="35"/>
      <c r="AA426" s="35"/>
    </row>
    <row r="427" spans="1:27" ht="15">
      <c r="A427" s="65" t="s">
        <v>241</v>
      </c>
      <c r="B427" s="65" t="s">
        <v>216</v>
      </c>
      <c r="C427" s="66" t="s">
        <v>2113</v>
      </c>
      <c r="D427" s="67">
        <v>3</v>
      </c>
      <c r="E427" s="68"/>
      <c r="F427" s="69">
        <v>40</v>
      </c>
      <c r="G427" s="66"/>
      <c r="H427" s="70"/>
      <c r="I427" s="71"/>
      <c r="J427" s="71"/>
      <c r="K427" s="35" t="s">
        <v>66</v>
      </c>
      <c r="L427" s="79">
        <v>427</v>
      </c>
      <c r="M427" s="79"/>
      <c r="N427" s="73"/>
      <c r="O427" s="81" t="s">
        <v>292</v>
      </c>
      <c r="P427">
        <v>1</v>
      </c>
      <c r="Q427" s="80" t="str">
        <f>REPLACE(INDEX(GroupVertices[Group],MATCH(Edges[[#This Row],[Vertex 1]],GroupVertices[Vertex],0)),1,1,"")</f>
        <v>1</v>
      </c>
      <c r="R427" s="80" t="str">
        <f>REPLACE(INDEX(GroupVertices[Group],MATCH(Edges[[#This Row],[Vertex 2]],GroupVertices[Vertex],0)),1,1,"")</f>
        <v>1</v>
      </c>
      <c r="S427" s="35"/>
      <c r="T427" s="35"/>
      <c r="U427" s="35"/>
      <c r="V427" s="35"/>
      <c r="W427" s="35"/>
      <c r="X427" s="35"/>
      <c r="Y427" s="35"/>
      <c r="Z427" s="35"/>
      <c r="AA427" s="35"/>
    </row>
    <row r="428" spans="1:27" ht="15">
      <c r="A428" s="65" t="s">
        <v>228</v>
      </c>
      <c r="B428" s="65" t="s">
        <v>241</v>
      </c>
      <c r="C428" s="66" t="s">
        <v>2113</v>
      </c>
      <c r="D428" s="67">
        <v>3</v>
      </c>
      <c r="E428" s="68"/>
      <c r="F428" s="69">
        <v>40</v>
      </c>
      <c r="G428" s="66"/>
      <c r="H428" s="70"/>
      <c r="I428" s="71"/>
      <c r="J428" s="71"/>
      <c r="K428" s="35" t="s">
        <v>65</v>
      </c>
      <c r="L428" s="79">
        <v>428</v>
      </c>
      <c r="M428" s="79"/>
      <c r="N428" s="73"/>
      <c r="O428" s="81" t="s">
        <v>292</v>
      </c>
      <c r="P428">
        <v>1</v>
      </c>
      <c r="Q428" s="80" t="str">
        <f>REPLACE(INDEX(GroupVertices[Group],MATCH(Edges[[#This Row],[Vertex 1]],GroupVertices[Vertex],0)),1,1,"")</f>
        <v>1</v>
      </c>
      <c r="R428" s="80" t="str">
        <f>REPLACE(INDEX(GroupVertices[Group],MATCH(Edges[[#This Row],[Vertex 2]],GroupVertices[Vertex],0)),1,1,"")</f>
        <v>1</v>
      </c>
      <c r="S428" s="35"/>
      <c r="T428" s="35"/>
      <c r="U428" s="35"/>
      <c r="V428" s="35"/>
      <c r="W428" s="35"/>
      <c r="X428" s="35"/>
      <c r="Y428" s="35"/>
      <c r="Z428" s="35"/>
      <c r="AA428" s="35"/>
    </row>
    <row r="429" spans="1:27" ht="15">
      <c r="A429" s="65" t="s">
        <v>229</v>
      </c>
      <c r="B429" s="65" t="s">
        <v>241</v>
      </c>
      <c r="C429" s="66" t="s">
        <v>2113</v>
      </c>
      <c r="D429" s="67">
        <v>3</v>
      </c>
      <c r="E429" s="68"/>
      <c r="F429" s="69">
        <v>40</v>
      </c>
      <c r="G429" s="66"/>
      <c r="H429" s="70"/>
      <c r="I429" s="71"/>
      <c r="J429" s="71"/>
      <c r="K429" s="35" t="s">
        <v>65</v>
      </c>
      <c r="L429" s="79">
        <v>429</v>
      </c>
      <c r="M429" s="79"/>
      <c r="N429" s="73"/>
      <c r="O429" s="81" t="s">
        <v>292</v>
      </c>
      <c r="P429">
        <v>1</v>
      </c>
      <c r="Q429" s="80" t="str">
        <f>REPLACE(INDEX(GroupVertices[Group],MATCH(Edges[[#This Row],[Vertex 1]],GroupVertices[Vertex],0)),1,1,"")</f>
        <v>1</v>
      </c>
      <c r="R429" s="80" t="str">
        <f>REPLACE(INDEX(GroupVertices[Group],MATCH(Edges[[#This Row],[Vertex 2]],GroupVertices[Vertex],0)),1,1,"")</f>
        <v>1</v>
      </c>
      <c r="S429" s="35"/>
      <c r="T429" s="35"/>
      <c r="U429" s="35"/>
      <c r="V429" s="35"/>
      <c r="W429" s="35"/>
      <c r="X429" s="35"/>
      <c r="Y429" s="35"/>
      <c r="Z429" s="35"/>
      <c r="AA429" s="35"/>
    </row>
    <row r="430" spans="1:27" ht="15">
      <c r="A430" s="65" t="s">
        <v>230</v>
      </c>
      <c r="B430" s="65" t="s">
        <v>241</v>
      </c>
      <c r="C430" s="66" t="s">
        <v>2113</v>
      </c>
      <c r="D430" s="67">
        <v>3</v>
      </c>
      <c r="E430" s="68"/>
      <c r="F430" s="69">
        <v>40</v>
      </c>
      <c r="G430" s="66"/>
      <c r="H430" s="70"/>
      <c r="I430" s="71"/>
      <c r="J430" s="71"/>
      <c r="K430" s="35" t="s">
        <v>65</v>
      </c>
      <c r="L430" s="79">
        <v>430</v>
      </c>
      <c r="M430" s="79"/>
      <c r="N430" s="73"/>
      <c r="O430" s="81" t="s">
        <v>292</v>
      </c>
      <c r="P430">
        <v>1</v>
      </c>
      <c r="Q430" s="80" t="str">
        <f>REPLACE(INDEX(GroupVertices[Group],MATCH(Edges[[#This Row],[Vertex 1]],GroupVertices[Vertex],0)),1,1,"")</f>
        <v>1</v>
      </c>
      <c r="R430" s="80" t="str">
        <f>REPLACE(INDEX(GroupVertices[Group],MATCH(Edges[[#This Row],[Vertex 2]],GroupVertices[Vertex],0)),1,1,"")</f>
        <v>1</v>
      </c>
      <c r="S430" s="35"/>
      <c r="T430" s="35"/>
      <c r="U430" s="35"/>
      <c r="V430" s="35"/>
      <c r="W430" s="35"/>
      <c r="X430" s="35"/>
      <c r="Y430" s="35"/>
      <c r="Z430" s="35"/>
      <c r="AA430" s="35"/>
    </row>
    <row r="431" spans="1:27" ht="15">
      <c r="A431" s="65" t="s">
        <v>231</v>
      </c>
      <c r="B431" s="65" t="s">
        <v>241</v>
      </c>
      <c r="C431" s="66" t="s">
        <v>2114</v>
      </c>
      <c r="D431" s="67">
        <v>3</v>
      </c>
      <c r="E431" s="68"/>
      <c r="F431" s="69">
        <v>40</v>
      </c>
      <c r="G431" s="66"/>
      <c r="H431" s="70"/>
      <c r="I431" s="71"/>
      <c r="J431" s="71"/>
      <c r="K431" s="35" t="s">
        <v>65</v>
      </c>
      <c r="L431" s="79">
        <v>431</v>
      </c>
      <c r="M431" s="79"/>
      <c r="N431" s="73"/>
      <c r="O431" s="81" t="s">
        <v>292</v>
      </c>
      <c r="P431">
        <v>2</v>
      </c>
      <c r="Q431" s="80" t="str">
        <f>REPLACE(INDEX(GroupVertices[Group],MATCH(Edges[[#This Row],[Vertex 1]],GroupVertices[Vertex],0)),1,1,"")</f>
        <v>1</v>
      </c>
      <c r="R431" s="80" t="str">
        <f>REPLACE(INDEX(GroupVertices[Group],MATCH(Edges[[#This Row],[Vertex 2]],GroupVertices[Vertex],0)),1,1,"")</f>
        <v>1</v>
      </c>
      <c r="S431" s="35"/>
      <c r="T431" s="35"/>
      <c r="U431" s="35"/>
      <c r="V431" s="35"/>
      <c r="W431" s="35"/>
      <c r="X431" s="35"/>
      <c r="Y431" s="35"/>
      <c r="Z431" s="35"/>
      <c r="AA431" s="35"/>
    </row>
    <row r="432" spans="1:27" ht="15">
      <c r="A432" s="65" t="s">
        <v>242</v>
      </c>
      <c r="B432" s="65" t="s">
        <v>241</v>
      </c>
      <c r="C432" s="66" t="s">
        <v>2113</v>
      </c>
      <c r="D432" s="67">
        <v>3</v>
      </c>
      <c r="E432" s="68"/>
      <c r="F432" s="69">
        <v>40</v>
      </c>
      <c r="G432" s="66"/>
      <c r="H432" s="70"/>
      <c r="I432" s="71"/>
      <c r="J432" s="71"/>
      <c r="K432" s="35" t="s">
        <v>65</v>
      </c>
      <c r="L432" s="79">
        <v>432</v>
      </c>
      <c r="M432" s="79"/>
      <c r="N432" s="73"/>
      <c r="O432" s="81" t="s">
        <v>292</v>
      </c>
      <c r="P432">
        <v>1</v>
      </c>
      <c r="Q432" s="80" t="str">
        <f>REPLACE(INDEX(GroupVertices[Group],MATCH(Edges[[#This Row],[Vertex 1]],GroupVertices[Vertex],0)),1,1,"")</f>
        <v>1</v>
      </c>
      <c r="R432" s="80" t="str">
        <f>REPLACE(INDEX(GroupVertices[Group],MATCH(Edges[[#This Row],[Vertex 2]],GroupVertices[Vertex],0)),1,1,"")</f>
        <v>1</v>
      </c>
      <c r="S432" s="35"/>
      <c r="T432" s="35"/>
      <c r="U432" s="35"/>
      <c r="V432" s="35"/>
      <c r="W432" s="35"/>
      <c r="X432" s="35"/>
      <c r="Y432" s="35"/>
      <c r="Z432" s="35"/>
      <c r="AA432" s="35"/>
    </row>
    <row r="433" spans="1:27" ht="15">
      <c r="A433" s="65" t="s">
        <v>232</v>
      </c>
      <c r="B433" s="65" t="s">
        <v>241</v>
      </c>
      <c r="C433" s="66" t="s">
        <v>2114</v>
      </c>
      <c r="D433" s="67">
        <v>3</v>
      </c>
      <c r="E433" s="68"/>
      <c r="F433" s="69">
        <v>40</v>
      </c>
      <c r="G433" s="66"/>
      <c r="H433" s="70"/>
      <c r="I433" s="71"/>
      <c r="J433" s="71"/>
      <c r="K433" s="35" t="s">
        <v>65</v>
      </c>
      <c r="L433" s="79">
        <v>433</v>
      </c>
      <c r="M433" s="79"/>
      <c r="N433" s="73"/>
      <c r="O433" s="81" t="s">
        <v>292</v>
      </c>
      <c r="P433">
        <v>2</v>
      </c>
      <c r="Q433" s="80" t="str">
        <f>REPLACE(INDEX(GroupVertices[Group],MATCH(Edges[[#This Row],[Vertex 1]],GroupVertices[Vertex],0)),1,1,"")</f>
        <v>2</v>
      </c>
      <c r="R433" s="80" t="str">
        <f>REPLACE(INDEX(GroupVertices[Group],MATCH(Edges[[#This Row],[Vertex 2]],GroupVertices[Vertex],0)),1,1,"")</f>
        <v>1</v>
      </c>
      <c r="S433" s="35"/>
      <c r="T433" s="35"/>
      <c r="U433" s="35"/>
      <c r="V433" s="35"/>
      <c r="W433" s="35"/>
      <c r="X433" s="35"/>
      <c r="Y433" s="35"/>
      <c r="Z433" s="35"/>
      <c r="AA433" s="35"/>
    </row>
    <row r="434" spans="1:27" ht="15">
      <c r="A434" s="65" t="s">
        <v>233</v>
      </c>
      <c r="B434" s="65" t="s">
        <v>241</v>
      </c>
      <c r="C434" s="66" t="s">
        <v>2113</v>
      </c>
      <c r="D434" s="67">
        <v>3</v>
      </c>
      <c r="E434" s="68"/>
      <c r="F434" s="69">
        <v>40</v>
      </c>
      <c r="G434" s="66"/>
      <c r="H434" s="70"/>
      <c r="I434" s="71"/>
      <c r="J434" s="71"/>
      <c r="K434" s="35" t="s">
        <v>66</v>
      </c>
      <c r="L434" s="79">
        <v>434</v>
      </c>
      <c r="M434" s="79"/>
      <c r="N434" s="73"/>
      <c r="O434" s="81" t="s">
        <v>292</v>
      </c>
      <c r="P434">
        <v>1</v>
      </c>
      <c r="Q434" s="80" t="str">
        <f>REPLACE(INDEX(GroupVertices[Group],MATCH(Edges[[#This Row],[Vertex 1]],GroupVertices[Vertex],0)),1,1,"")</f>
        <v>1</v>
      </c>
      <c r="R434" s="80" t="str">
        <f>REPLACE(INDEX(GroupVertices[Group],MATCH(Edges[[#This Row],[Vertex 2]],GroupVertices[Vertex],0)),1,1,"")</f>
        <v>1</v>
      </c>
      <c r="S434" s="35"/>
      <c r="T434" s="35"/>
      <c r="U434" s="35"/>
      <c r="V434" s="35"/>
      <c r="W434" s="35"/>
      <c r="X434" s="35"/>
      <c r="Y434" s="35"/>
      <c r="Z434" s="35"/>
      <c r="AA434" s="35"/>
    </row>
    <row r="435" spans="1:27" ht="15">
      <c r="A435" s="65" t="s">
        <v>234</v>
      </c>
      <c r="B435" s="65" t="s">
        <v>241</v>
      </c>
      <c r="C435" s="66" t="s">
        <v>2114</v>
      </c>
      <c r="D435" s="67">
        <v>3</v>
      </c>
      <c r="E435" s="68"/>
      <c r="F435" s="69">
        <v>40</v>
      </c>
      <c r="G435" s="66"/>
      <c r="H435" s="70"/>
      <c r="I435" s="71"/>
      <c r="J435" s="71"/>
      <c r="K435" s="35" t="s">
        <v>65</v>
      </c>
      <c r="L435" s="79">
        <v>435</v>
      </c>
      <c r="M435" s="79"/>
      <c r="N435" s="73"/>
      <c r="O435" s="81" t="s">
        <v>292</v>
      </c>
      <c r="P435">
        <v>2</v>
      </c>
      <c r="Q435" s="80" t="str">
        <f>REPLACE(INDEX(GroupVertices[Group],MATCH(Edges[[#This Row],[Vertex 1]],GroupVertices[Vertex],0)),1,1,"")</f>
        <v>1</v>
      </c>
      <c r="R435" s="80" t="str">
        <f>REPLACE(INDEX(GroupVertices[Group],MATCH(Edges[[#This Row],[Vertex 2]],GroupVertices[Vertex],0)),1,1,"")</f>
        <v>1</v>
      </c>
      <c r="S435" s="35"/>
      <c r="T435" s="35"/>
      <c r="U435" s="35"/>
      <c r="V435" s="35"/>
      <c r="W435" s="35"/>
      <c r="X435" s="35"/>
      <c r="Y435" s="35"/>
      <c r="Z435" s="35"/>
      <c r="AA435" s="35"/>
    </row>
    <row r="436" spans="1:27" ht="15">
      <c r="A436" s="65" t="s">
        <v>235</v>
      </c>
      <c r="B436" s="65" t="s">
        <v>241</v>
      </c>
      <c r="C436" s="66" t="s">
        <v>2114</v>
      </c>
      <c r="D436" s="67">
        <v>3</v>
      </c>
      <c r="E436" s="68"/>
      <c r="F436" s="69">
        <v>40</v>
      </c>
      <c r="G436" s="66"/>
      <c r="H436" s="70"/>
      <c r="I436" s="71"/>
      <c r="J436" s="71"/>
      <c r="K436" s="35" t="s">
        <v>65</v>
      </c>
      <c r="L436" s="79">
        <v>436</v>
      </c>
      <c r="M436" s="79"/>
      <c r="N436" s="73"/>
      <c r="O436" s="81" t="s">
        <v>292</v>
      </c>
      <c r="P436">
        <v>2</v>
      </c>
      <c r="Q436" s="80" t="str">
        <f>REPLACE(INDEX(GroupVertices[Group],MATCH(Edges[[#This Row],[Vertex 1]],GroupVertices[Vertex],0)),1,1,"")</f>
        <v>1</v>
      </c>
      <c r="R436" s="80" t="str">
        <f>REPLACE(INDEX(GroupVertices[Group],MATCH(Edges[[#This Row],[Vertex 2]],GroupVertices[Vertex],0)),1,1,"")</f>
        <v>1</v>
      </c>
      <c r="S436" s="35"/>
      <c r="T436" s="35"/>
      <c r="U436" s="35"/>
      <c r="V436" s="35"/>
      <c r="W436" s="35"/>
      <c r="X436" s="35"/>
      <c r="Y436" s="35"/>
      <c r="Z436" s="35"/>
      <c r="AA436" s="35"/>
    </row>
    <row r="437" spans="1:27" ht="15">
      <c r="A437" s="65" t="s">
        <v>216</v>
      </c>
      <c r="B437" s="65" t="s">
        <v>241</v>
      </c>
      <c r="C437" s="66" t="s">
        <v>2114</v>
      </c>
      <c r="D437" s="67">
        <v>3</v>
      </c>
      <c r="E437" s="68"/>
      <c r="F437" s="69">
        <v>40</v>
      </c>
      <c r="G437" s="66"/>
      <c r="H437" s="70"/>
      <c r="I437" s="71"/>
      <c r="J437" s="71"/>
      <c r="K437" s="35" t="s">
        <v>66</v>
      </c>
      <c r="L437" s="79">
        <v>437</v>
      </c>
      <c r="M437" s="79"/>
      <c r="N437" s="73"/>
      <c r="O437" s="81" t="s">
        <v>293</v>
      </c>
      <c r="P437">
        <v>2</v>
      </c>
      <c r="Q437" s="80" t="str">
        <f>REPLACE(INDEX(GroupVertices[Group],MATCH(Edges[[#This Row],[Vertex 1]],GroupVertices[Vertex],0)),1,1,"")</f>
        <v>1</v>
      </c>
      <c r="R437" s="80" t="str">
        <f>REPLACE(INDEX(GroupVertices[Group],MATCH(Edges[[#This Row],[Vertex 2]],GroupVertices[Vertex],0)),1,1,"")</f>
        <v>1</v>
      </c>
      <c r="S437" s="35"/>
      <c r="T437" s="35"/>
      <c r="U437" s="35"/>
      <c r="V437" s="35"/>
      <c r="W437" s="35"/>
      <c r="X437" s="35"/>
      <c r="Y437" s="35"/>
      <c r="Z437" s="35"/>
      <c r="AA437" s="35"/>
    </row>
    <row r="438" spans="1:27" ht="15">
      <c r="A438" s="65" t="s">
        <v>228</v>
      </c>
      <c r="B438" s="65" t="s">
        <v>216</v>
      </c>
      <c r="C438" s="66" t="s">
        <v>2113</v>
      </c>
      <c r="D438" s="67">
        <v>3</v>
      </c>
      <c r="E438" s="68"/>
      <c r="F438" s="69">
        <v>40</v>
      </c>
      <c r="G438" s="66"/>
      <c r="H438" s="70"/>
      <c r="I438" s="71"/>
      <c r="J438" s="71"/>
      <c r="K438" s="35" t="s">
        <v>66</v>
      </c>
      <c r="L438" s="79">
        <v>438</v>
      </c>
      <c r="M438" s="79"/>
      <c r="N438" s="73"/>
      <c r="O438" s="81" t="s">
        <v>292</v>
      </c>
      <c r="P438">
        <v>1</v>
      </c>
      <c r="Q438" s="80" t="str">
        <f>REPLACE(INDEX(GroupVertices[Group],MATCH(Edges[[#This Row],[Vertex 1]],GroupVertices[Vertex],0)),1,1,"")</f>
        <v>1</v>
      </c>
      <c r="R438" s="80" t="str">
        <f>REPLACE(INDEX(GroupVertices[Group],MATCH(Edges[[#This Row],[Vertex 2]],GroupVertices[Vertex],0)),1,1,"")</f>
        <v>1</v>
      </c>
      <c r="S438" s="35"/>
      <c r="T438" s="35"/>
      <c r="U438" s="35"/>
      <c r="V438" s="35"/>
      <c r="W438" s="35"/>
      <c r="X438" s="35"/>
      <c r="Y438" s="35"/>
      <c r="Z438" s="35"/>
      <c r="AA438" s="35"/>
    </row>
    <row r="439" spans="1:27" ht="15">
      <c r="A439" s="65" t="s">
        <v>229</v>
      </c>
      <c r="B439" s="65" t="s">
        <v>228</v>
      </c>
      <c r="C439" s="66" t="s">
        <v>2113</v>
      </c>
      <c r="D439" s="67">
        <v>3</v>
      </c>
      <c r="E439" s="68"/>
      <c r="F439" s="69">
        <v>40</v>
      </c>
      <c r="G439" s="66"/>
      <c r="H439" s="70"/>
      <c r="I439" s="71"/>
      <c r="J439" s="71"/>
      <c r="K439" s="35" t="s">
        <v>65</v>
      </c>
      <c r="L439" s="79">
        <v>439</v>
      </c>
      <c r="M439" s="79"/>
      <c r="N439" s="73"/>
      <c r="O439" s="81" t="s">
        <v>292</v>
      </c>
      <c r="P439">
        <v>1</v>
      </c>
      <c r="Q439" s="80" t="str">
        <f>REPLACE(INDEX(GroupVertices[Group],MATCH(Edges[[#This Row],[Vertex 1]],GroupVertices[Vertex],0)),1,1,"")</f>
        <v>1</v>
      </c>
      <c r="R439" s="80" t="str">
        <f>REPLACE(INDEX(GroupVertices[Group],MATCH(Edges[[#This Row],[Vertex 2]],GroupVertices[Vertex],0)),1,1,"")</f>
        <v>1</v>
      </c>
      <c r="S439" s="35"/>
      <c r="T439" s="35"/>
      <c r="U439" s="35"/>
      <c r="V439" s="35"/>
      <c r="W439" s="35"/>
      <c r="X439" s="35"/>
      <c r="Y439" s="35"/>
      <c r="Z439" s="35"/>
      <c r="AA439" s="35"/>
    </row>
    <row r="440" spans="1:27" ht="15">
      <c r="A440" s="65" t="s">
        <v>230</v>
      </c>
      <c r="B440" s="65" t="s">
        <v>228</v>
      </c>
      <c r="C440" s="66" t="s">
        <v>2113</v>
      </c>
      <c r="D440" s="67">
        <v>3</v>
      </c>
      <c r="E440" s="68"/>
      <c r="F440" s="69">
        <v>40</v>
      </c>
      <c r="G440" s="66"/>
      <c r="H440" s="70"/>
      <c r="I440" s="71"/>
      <c r="J440" s="71"/>
      <c r="K440" s="35" t="s">
        <v>65</v>
      </c>
      <c r="L440" s="79">
        <v>440</v>
      </c>
      <c r="M440" s="79"/>
      <c r="N440" s="73"/>
      <c r="O440" s="81" t="s">
        <v>292</v>
      </c>
      <c r="P440">
        <v>1</v>
      </c>
      <c r="Q440" s="80" t="str">
        <f>REPLACE(INDEX(GroupVertices[Group],MATCH(Edges[[#This Row],[Vertex 1]],GroupVertices[Vertex],0)),1,1,"")</f>
        <v>1</v>
      </c>
      <c r="R440" s="80" t="str">
        <f>REPLACE(INDEX(GroupVertices[Group],MATCH(Edges[[#This Row],[Vertex 2]],GroupVertices[Vertex],0)),1,1,"")</f>
        <v>1</v>
      </c>
      <c r="S440" s="35"/>
      <c r="T440" s="35"/>
      <c r="U440" s="35"/>
      <c r="V440" s="35"/>
      <c r="W440" s="35"/>
      <c r="X440" s="35"/>
      <c r="Y440" s="35"/>
      <c r="Z440" s="35"/>
      <c r="AA440" s="35"/>
    </row>
    <row r="441" spans="1:27" ht="15">
      <c r="A441" s="65" t="s">
        <v>231</v>
      </c>
      <c r="B441" s="65" t="s">
        <v>228</v>
      </c>
      <c r="C441" s="66" t="s">
        <v>2113</v>
      </c>
      <c r="D441" s="67">
        <v>3</v>
      </c>
      <c r="E441" s="68"/>
      <c r="F441" s="69">
        <v>40</v>
      </c>
      <c r="G441" s="66"/>
      <c r="H441" s="70"/>
      <c r="I441" s="71"/>
      <c r="J441" s="71"/>
      <c r="K441" s="35" t="s">
        <v>65</v>
      </c>
      <c r="L441" s="79">
        <v>441</v>
      </c>
      <c r="M441" s="79"/>
      <c r="N441" s="73"/>
      <c r="O441" s="81" t="s">
        <v>292</v>
      </c>
      <c r="P441">
        <v>1</v>
      </c>
      <c r="Q441" s="80" t="str">
        <f>REPLACE(INDEX(GroupVertices[Group],MATCH(Edges[[#This Row],[Vertex 1]],GroupVertices[Vertex],0)),1,1,"")</f>
        <v>1</v>
      </c>
      <c r="R441" s="80" t="str">
        <f>REPLACE(INDEX(GroupVertices[Group],MATCH(Edges[[#This Row],[Vertex 2]],GroupVertices[Vertex],0)),1,1,"")</f>
        <v>1</v>
      </c>
      <c r="S441" s="35"/>
      <c r="T441" s="35"/>
      <c r="U441" s="35"/>
      <c r="V441" s="35"/>
      <c r="W441" s="35"/>
      <c r="X441" s="35"/>
      <c r="Y441" s="35"/>
      <c r="Z441" s="35"/>
      <c r="AA441" s="35"/>
    </row>
    <row r="442" spans="1:27" ht="15">
      <c r="A442" s="65" t="s">
        <v>242</v>
      </c>
      <c r="B442" s="65" t="s">
        <v>228</v>
      </c>
      <c r="C442" s="66" t="s">
        <v>2113</v>
      </c>
      <c r="D442" s="67">
        <v>3</v>
      </c>
      <c r="E442" s="68"/>
      <c r="F442" s="69">
        <v>40</v>
      </c>
      <c r="G442" s="66"/>
      <c r="H442" s="70"/>
      <c r="I442" s="71"/>
      <c r="J442" s="71"/>
      <c r="K442" s="35" t="s">
        <v>65</v>
      </c>
      <c r="L442" s="79">
        <v>442</v>
      </c>
      <c r="M442" s="79"/>
      <c r="N442" s="73"/>
      <c r="O442" s="81" t="s">
        <v>292</v>
      </c>
      <c r="P442">
        <v>1</v>
      </c>
      <c r="Q442" s="80" t="str">
        <f>REPLACE(INDEX(GroupVertices[Group],MATCH(Edges[[#This Row],[Vertex 1]],GroupVertices[Vertex],0)),1,1,"")</f>
        <v>1</v>
      </c>
      <c r="R442" s="80" t="str">
        <f>REPLACE(INDEX(GroupVertices[Group],MATCH(Edges[[#This Row],[Vertex 2]],GroupVertices[Vertex],0)),1,1,"")</f>
        <v>1</v>
      </c>
      <c r="S442" s="35"/>
      <c r="T442" s="35"/>
      <c r="U442" s="35"/>
      <c r="V442" s="35"/>
      <c r="W442" s="35"/>
      <c r="X442" s="35"/>
      <c r="Y442" s="35"/>
      <c r="Z442" s="35"/>
      <c r="AA442" s="35"/>
    </row>
    <row r="443" spans="1:27" ht="15">
      <c r="A443" s="65" t="s">
        <v>232</v>
      </c>
      <c r="B443" s="65" t="s">
        <v>228</v>
      </c>
      <c r="C443" s="66" t="s">
        <v>2114</v>
      </c>
      <c r="D443" s="67">
        <v>3</v>
      </c>
      <c r="E443" s="68"/>
      <c r="F443" s="69">
        <v>40</v>
      </c>
      <c r="G443" s="66"/>
      <c r="H443" s="70"/>
      <c r="I443" s="71"/>
      <c r="J443" s="71"/>
      <c r="K443" s="35" t="s">
        <v>65</v>
      </c>
      <c r="L443" s="79">
        <v>443</v>
      </c>
      <c r="M443" s="79"/>
      <c r="N443" s="73"/>
      <c r="O443" s="81" t="s">
        <v>292</v>
      </c>
      <c r="P443">
        <v>2</v>
      </c>
      <c r="Q443" s="80" t="str">
        <f>REPLACE(INDEX(GroupVertices[Group],MATCH(Edges[[#This Row],[Vertex 1]],GroupVertices[Vertex],0)),1,1,"")</f>
        <v>2</v>
      </c>
      <c r="R443" s="80" t="str">
        <f>REPLACE(INDEX(GroupVertices[Group],MATCH(Edges[[#This Row],[Vertex 2]],GroupVertices[Vertex],0)),1,1,"")</f>
        <v>1</v>
      </c>
      <c r="S443" s="35"/>
      <c r="T443" s="35"/>
      <c r="U443" s="35"/>
      <c r="V443" s="35"/>
      <c r="W443" s="35"/>
      <c r="X443" s="35"/>
      <c r="Y443" s="35"/>
      <c r="Z443" s="35"/>
      <c r="AA443" s="35"/>
    </row>
    <row r="444" spans="1:27" ht="15">
      <c r="A444" s="65" t="s">
        <v>233</v>
      </c>
      <c r="B444" s="65" t="s">
        <v>228</v>
      </c>
      <c r="C444" s="66" t="s">
        <v>2113</v>
      </c>
      <c r="D444" s="67">
        <v>3</v>
      </c>
      <c r="E444" s="68"/>
      <c r="F444" s="69">
        <v>40</v>
      </c>
      <c r="G444" s="66"/>
      <c r="H444" s="70"/>
      <c r="I444" s="71"/>
      <c r="J444" s="71"/>
      <c r="K444" s="35" t="s">
        <v>65</v>
      </c>
      <c r="L444" s="79">
        <v>444</v>
      </c>
      <c r="M444" s="79"/>
      <c r="N444" s="73"/>
      <c r="O444" s="81" t="s">
        <v>292</v>
      </c>
      <c r="P444">
        <v>1</v>
      </c>
      <c r="Q444" s="80" t="str">
        <f>REPLACE(INDEX(GroupVertices[Group],MATCH(Edges[[#This Row],[Vertex 1]],GroupVertices[Vertex],0)),1,1,"")</f>
        <v>1</v>
      </c>
      <c r="R444" s="80" t="str">
        <f>REPLACE(INDEX(GroupVertices[Group],MATCH(Edges[[#This Row],[Vertex 2]],GroupVertices[Vertex],0)),1,1,"")</f>
        <v>1</v>
      </c>
      <c r="S444" s="35"/>
      <c r="T444" s="35"/>
      <c r="U444" s="35"/>
      <c r="V444" s="35"/>
      <c r="W444" s="35"/>
      <c r="X444" s="35"/>
      <c r="Y444" s="35"/>
      <c r="Z444" s="35"/>
      <c r="AA444" s="35"/>
    </row>
    <row r="445" spans="1:27" ht="15">
      <c r="A445" s="65" t="s">
        <v>234</v>
      </c>
      <c r="B445" s="65" t="s">
        <v>228</v>
      </c>
      <c r="C445" s="66" t="s">
        <v>2113</v>
      </c>
      <c r="D445" s="67">
        <v>3</v>
      </c>
      <c r="E445" s="68"/>
      <c r="F445" s="69">
        <v>40</v>
      </c>
      <c r="G445" s="66"/>
      <c r="H445" s="70"/>
      <c r="I445" s="71"/>
      <c r="J445" s="71"/>
      <c r="K445" s="35" t="s">
        <v>65</v>
      </c>
      <c r="L445" s="79">
        <v>445</v>
      </c>
      <c r="M445" s="79"/>
      <c r="N445" s="73"/>
      <c r="O445" s="81" t="s">
        <v>292</v>
      </c>
      <c r="P445">
        <v>1</v>
      </c>
      <c r="Q445" s="80" t="str">
        <f>REPLACE(INDEX(GroupVertices[Group],MATCH(Edges[[#This Row],[Vertex 1]],GroupVertices[Vertex],0)),1,1,"")</f>
        <v>1</v>
      </c>
      <c r="R445" s="80" t="str">
        <f>REPLACE(INDEX(GroupVertices[Group],MATCH(Edges[[#This Row],[Vertex 2]],GroupVertices[Vertex],0)),1,1,"")</f>
        <v>1</v>
      </c>
      <c r="S445" s="35"/>
      <c r="T445" s="35"/>
      <c r="U445" s="35"/>
      <c r="V445" s="35"/>
      <c r="W445" s="35"/>
      <c r="X445" s="35"/>
      <c r="Y445" s="35"/>
      <c r="Z445" s="35"/>
      <c r="AA445" s="35"/>
    </row>
    <row r="446" spans="1:27" ht="15">
      <c r="A446" s="65" t="s">
        <v>235</v>
      </c>
      <c r="B446" s="65" t="s">
        <v>228</v>
      </c>
      <c r="C446" s="66" t="s">
        <v>2113</v>
      </c>
      <c r="D446" s="67">
        <v>3</v>
      </c>
      <c r="E446" s="68"/>
      <c r="F446" s="69">
        <v>40</v>
      </c>
      <c r="G446" s="66"/>
      <c r="H446" s="70"/>
      <c r="I446" s="71"/>
      <c r="J446" s="71"/>
      <c r="K446" s="35" t="s">
        <v>65</v>
      </c>
      <c r="L446" s="79">
        <v>446</v>
      </c>
      <c r="M446" s="79"/>
      <c r="N446" s="73"/>
      <c r="O446" s="81" t="s">
        <v>292</v>
      </c>
      <c r="P446">
        <v>1</v>
      </c>
      <c r="Q446" s="80" t="str">
        <f>REPLACE(INDEX(GroupVertices[Group],MATCH(Edges[[#This Row],[Vertex 1]],GroupVertices[Vertex],0)),1,1,"")</f>
        <v>1</v>
      </c>
      <c r="R446" s="80" t="str">
        <f>REPLACE(INDEX(GroupVertices[Group],MATCH(Edges[[#This Row],[Vertex 2]],GroupVertices[Vertex],0)),1,1,"")</f>
        <v>1</v>
      </c>
      <c r="S446" s="35"/>
      <c r="T446" s="35"/>
      <c r="U446" s="35"/>
      <c r="V446" s="35"/>
      <c r="W446" s="35"/>
      <c r="X446" s="35"/>
      <c r="Y446" s="35"/>
      <c r="Z446" s="35"/>
      <c r="AA446" s="35"/>
    </row>
    <row r="447" spans="1:27" ht="15">
      <c r="A447" s="65" t="s">
        <v>216</v>
      </c>
      <c r="B447" s="65" t="s">
        <v>228</v>
      </c>
      <c r="C447" s="66" t="s">
        <v>2113</v>
      </c>
      <c r="D447" s="67">
        <v>3</v>
      </c>
      <c r="E447" s="68"/>
      <c r="F447" s="69">
        <v>40</v>
      </c>
      <c r="G447" s="66"/>
      <c r="H447" s="70"/>
      <c r="I447" s="71"/>
      <c r="J447" s="71"/>
      <c r="K447" s="35" t="s">
        <v>66</v>
      </c>
      <c r="L447" s="79">
        <v>447</v>
      </c>
      <c r="M447" s="79"/>
      <c r="N447" s="73"/>
      <c r="O447" s="81" t="s">
        <v>293</v>
      </c>
      <c r="P447">
        <v>1</v>
      </c>
      <c r="Q447" s="80" t="str">
        <f>REPLACE(INDEX(GroupVertices[Group],MATCH(Edges[[#This Row],[Vertex 1]],GroupVertices[Vertex],0)),1,1,"")</f>
        <v>1</v>
      </c>
      <c r="R447" s="80" t="str">
        <f>REPLACE(INDEX(GroupVertices[Group],MATCH(Edges[[#This Row],[Vertex 2]],GroupVertices[Vertex],0)),1,1,"")</f>
        <v>1</v>
      </c>
      <c r="S447" s="35"/>
      <c r="T447" s="35"/>
      <c r="U447" s="35"/>
      <c r="V447" s="35"/>
      <c r="W447" s="35"/>
      <c r="X447" s="35"/>
      <c r="Y447" s="35"/>
      <c r="Z447" s="35"/>
      <c r="AA447" s="35"/>
    </row>
    <row r="448" spans="1:27" ht="15">
      <c r="A448" s="65" t="s">
        <v>216</v>
      </c>
      <c r="B448" s="65" t="s">
        <v>258</v>
      </c>
      <c r="C448" s="66" t="s">
        <v>2113</v>
      </c>
      <c r="D448" s="67">
        <v>3</v>
      </c>
      <c r="E448" s="68"/>
      <c r="F448" s="69">
        <v>40</v>
      </c>
      <c r="G448" s="66"/>
      <c r="H448" s="70"/>
      <c r="I448" s="71"/>
      <c r="J448" s="71"/>
      <c r="K448" s="35" t="s">
        <v>65</v>
      </c>
      <c r="L448" s="79">
        <v>448</v>
      </c>
      <c r="M448" s="79"/>
      <c r="N448" s="73"/>
      <c r="O448" s="81" t="s">
        <v>293</v>
      </c>
      <c r="P448">
        <v>1</v>
      </c>
      <c r="Q448" s="80" t="str">
        <f>REPLACE(INDEX(GroupVertices[Group],MATCH(Edges[[#This Row],[Vertex 1]],GroupVertices[Vertex],0)),1,1,"")</f>
        <v>1</v>
      </c>
      <c r="R448" s="80" t="str">
        <f>REPLACE(INDEX(GroupVertices[Group],MATCH(Edges[[#This Row],[Vertex 2]],GroupVertices[Vertex],0)),1,1,"")</f>
        <v>1</v>
      </c>
      <c r="S448" s="35"/>
      <c r="T448" s="35"/>
      <c r="U448" s="35"/>
      <c r="V448" s="35"/>
      <c r="W448" s="35"/>
      <c r="X448" s="35"/>
      <c r="Y448" s="35"/>
      <c r="Z448" s="35"/>
      <c r="AA448" s="35"/>
    </row>
    <row r="449" spans="1:27" ht="15">
      <c r="A449" s="65" t="s">
        <v>229</v>
      </c>
      <c r="B449" s="65" t="s">
        <v>216</v>
      </c>
      <c r="C449" s="66" t="s">
        <v>2113</v>
      </c>
      <c r="D449" s="67">
        <v>3</v>
      </c>
      <c r="E449" s="68"/>
      <c r="F449" s="69">
        <v>40</v>
      </c>
      <c r="G449" s="66"/>
      <c r="H449" s="70"/>
      <c r="I449" s="71"/>
      <c r="J449" s="71"/>
      <c r="K449" s="35" t="s">
        <v>66</v>
      </c>
      <c r="L449" s="79">
        <v>449</v>
      </c>
      <c r="M449" s="79"/>
      <c r="N449" s="73"/>
      <c r="O449" s="81" t="s">
        <v>292</v>
      </c>
      <c r="P449">
        <v>1</v>
      </c>
      <c r="Q449" s="80" t="str">
        <f>REPLACE(INDEX(GroupVertices[Group],MATCH(Edges[[#This Row],[Vertex 1]],GroupVertices[Vertex],0)),1,1,"")</f>
        <v>1</v>
      </c>
      <c r="R449" s="80" t="str">
        <f>REPLACE(INDEX(GroupVertices[Group],MATCH(Edges[[#This Row],[Vertex 2]],GroupVertices[Vertex],0)),1,1,"")</f>
        <v>1</v>
      </c>
      <c r="S449" s="35"/>
      <c r="T449" s="35"/>
      <c r="U449" s="35"/>
      <c r="V449" s="35"/>
      <c r="W449" s="35"/>
      <c r="X449" s="35"/>
      <c r="Y449" s="35"/>
      <c r="Z449" s="35"/>
      <c r="AA449" s="35"/>
    </row>
    <row r="450" spans="1:27" ht="15">
      <c r="A450" s="65" t="s">
        <v>230</v>
      </c>
      <c r="B450" s="65" t="s">
        <v>229</v>
      </c>
      <c r="C450" s="66" t="s">
        <v>2113</v>
      </c>
      <c r="D450" s="67">
        <v>3</v>
      </c>
      <c r="E450" s="68"/>
      <c r="F450" s="69">
        <v>40</v>
      </c>
      <c r="G450" s="66"/>
      <c r="H450" s="70"/>
      <c r="I450" s="71"/>
      <c r="J450" s="71"/>
      <c r="K450" s="35" t="s">
        <v>65</v>
      </c>
      <c r="L450" s="79">
        <v>450</v>
      </c>
      <c r="M450" s="79"/>
      <c r="N450" s="73"/>
      <c r="O450" s="81" t="s">
        <v>292</v>
      </c>
      <c r="P450">
        <v>1</v>
      </c>
      <c r="Q450" s="80" t="str">
        <f>REPLACE(INDEX(GroupVertices[Group],MATCH(Edges[[#This Row],[Vertex 1]],GroupVertices[Vertex],0)),1,1,"")</f>
        <v>1</v>
      </c>
      <c r="R450" s="80" t="str">
        <f>REPLACE(INDEX(GroupVertices[Group],MATCH(Edges[[#This Row],[Vertex 2]],GroupVertices[Vertex],0)),1,1,"")</f>
        <v>1</v>
      </c>
      <c r="S450" s="35"/>
      <c r="T450" s="35"/>
      <c r="U450" s="35"/>
      <c r="V450" s="35"/>
      <c r="W450" s="35"/>
      <c r="X450" s="35"/>
      <c r="Y450" s="35"/>
      <c r="Z450" s="35"/>
      <c r="AA450" s="35"/>
    </row>
    <row r="451" spans="1:27" ht="15">
      <c r="A451" s="65" t="s">
        <v>231</v>
      </c>
      <c r="B451" s="65" t="s">
        <v>229</v>
      </c>
      <c r="C451" s="66" t="s">
        <v>2113</v>
      </c>
      <c r="D451" s="67">
        <v>3</v>
      </c>
      <c r="E451" s="68"/>
      <c r="F451" s="69">
        <v>40</v>
      </c>
      <c r="G451" s="66"/>
      <c r="H451" s="70"/>
      <c r="I451" s="71"/>
      <c r="J451" s="71"/>
      <c r="K451" s="35" t="s">
        <v>65</v>
      </c>
      <c r="L451" s="79">
        <v>451</v>
      </c>
      <c r="M451" s="79"/>
      <c r="N451" s="73"/>
      <c r="O451" s="81" t="s">
        <v>292</v>
      </c>
      <c r="P451">
        <v>1</v>
      </c>
      <c r="Q451" s="80" t="str">
        <f>REPLACE(INDEX(GroupVertices[Group],MATCH(Edges[[#This Row],[Vertex 1]],GroupVertices[Vertex],0)),1,1,"")</f>
        <v>1</v>
      </c>
      <c r="R451" s="80" t="str">
        <f>REPLACE(INDEX(GroupVertices[Group],MATCH(Edges[[#This Row],[Vertex 2]],GroupVertices[Vertex],0)),1,1,"")</f>
        <v>1</v>
      </c>
      <c r="S451" s="35"/>
      <c r="T451" s="35"/>
      <c r="U451" s="35"/>
      <c r="V451" s="35"/>
      <c r="W451" s="35"/>
      <c r="X451" s="35"/>
      <c r="Y451" s="35"/>
      <c r="Z451" s="35"/>
      <c r="AA451" s="35"/>
    </row>
    <row r="452" spans="1:27" ht="15">
      <c r="A452" s="65" t="s">
        <v>242</v>
      </c>
      <c r="B452" s="65" t="s">
        <v>229</v>
      </c>
      <c r="C452" s="66" t="s">
        <v>2113</v>
      </c>
      <c r="D452" s="67">
        <v>3</v>
      </c>
      <c r="E452" s="68"/>
      <c r="F452" s="69">
        <v>40</v>
      </c>
      <c r="G452" s="66"/>
      <c r="H452" s="70"/>
      <c r="I452" s="71"/>
      <c r="J452" s="71"/>
      <c r="K452" s="35" t="s">
        <v>65</v>
      </c>
      <c r="L452" s="79">
        <v>452</v>
      </c>
      <c r="M452" s="79"/>
      <c r="N452" s="73"/>
      <c r="O452" s="81" t="s">
        <v>292</v>
      </c>
      <c r="P452">
        <v>1</v>
      </c>
      <c r="Q452" s="80" t="str">
        <f>REPLACE(INDEX(GroupVertices[Group],MATCH(Edges[[#This Row],[Vertex 1]],GroupVertices[Vertex],0)),1,1,"")</f>
        <v>1</v>
      </c>
      <c r="R452" s="80" t="str">
        <f>REPLACE(INDEX(GroupVertices[Group],MATCH(Edges[[#This Row],[Vertex 2]],GroupVertices[Vertex],0)),1,1,"")</f>
        <v>1</v>
      </c>
      <c r="S452" s="35"/>
      <c r="T452" s="35"/>
      <c r="U452" s="35"/>
      <c r="V452" s="35"/>
      <c r="W452" s="35"/>
      <c r="X452" s="35"/>
      <c r="Y452" s="35"/>
      <c r="Z452" s="35"/>
      <c r="AA452" s="35"/>
    </row>
    <row r="453" spans="1:27" ht="15">
      <c r="A453" s="65" t="s">
        <v>232</v>
      </c>
      <c r="B453" s="65" t="s">
        <v>229</v>
      </c>
      <c r="C453" s="66" t="s">
        <v>2113</v>
      </c>
      <c r="D453" s="67">
        <v>3</v>
      </c>
      <c r="E453" s="68"/>
      <c r="F453" s="69">
        <v>40</v>
      </c>
      <c r="G453" s="66"/>
      <c r="H453" s="70"/>
      <c r="I453" s="71"/>
      <c r="J453" s="71"/>
      <c r="K453" s="35" t="s">
        <v>65</v>
      </c>
      <c r="L453" s="79">
        <v>453</v>
      </c>
      <c r="M453" s="79"/>
      <c r="N453" s="73"/>
      <c r="O453" s="81" t="s">
        <v>292</v>
      </c>
      <c r="P453">
        <v>1</v>
      </c>
      <c r="Q453" s="80" t="str">
        <f>REPLACE(INDEX(GroupVertices[Group],MATCH(Edges[[#This Row],[Vertex 1]],GroupVertices[Vertex],0)),1,1,"")</f>
        <v>2</v>
      </c>
      <c r="R453" s="80" t="str">
        <f>REPLACE(INDEX(GroupVertices[Group],MATCH(Edges[[#This Row],[Vertex 2]],GroupVertices[Vertex],0)),1,1,"")</f>
        <v>1</v>
      </c>
      <c r="S453" s="35"/>
      <c r="T453" s="35"/>
      <c r="U453" s="35"/>
      <c r="V453" s="35"/>
      <c r="W453" s="35"/>
      <c r="X453" s="35"/>
      <c r="Y453" s="35"/>
      <c r="Z453" s="35"/>
      <c r="AA453" s="35"/>
    </row>
    <row r="454" spans="1:27" ht="15">
      <c r="A454" s="65" t="s">
        <v>233</v>
      </c>
      <c r="B454" s="65" t="s">
        <v>229</v>
      </c>
      <c r="C454" s="66" t="s">
        <v>2113</v>
      </c>
      <c r="D454" s="67">
        <v>3</v>
      </c>
      <c r="E454" s="68"/>
      <c r="F454" s="69">
        <v>40</v>
      </c>
      <c r="G454" s="66"/>
      <c r="H454" s="70"/>
      <c r="I454" s="71"/>
      <c r="J454" s="71"/>
      <c r="K454" s="35" t="s">
        <v>65</v>
      </c>
      <c r="L454" s="79">
        <v>454</v>
      </c>
      <c r="M454" s="79"/>
      <c r="N454" s="73"/>
      <c r="O454" s="81" t="s">
        <v>292</v>
      </c>
      <c r="P454">
        <v>1</v>
      </c>
      <c r="Q454" s="80" t="str">
        <f>REPLACE(INDEX(GroupVertices[Group],MATCH(Edges[[#This Row],[Vertex 1]],GroupVertices[Vertex],0)),1,1,"")</f>
        <v>1</v>
      </c>
      <c r="R454" s="80" t="str">
        <f>REPLACE(INDEX(GroupVertices[Group],MATCH(Edges[[#This Row],[Vertex 2]],GroupVertices[Vertex],0)),1,1,"")</f>
        <v>1</v>
      </c>
      <c r="S454" s="35"/>
      <c r="T454" s="35"/>
      <c r="U454" s="35"/>
      <c r="V454" s="35"/>
      <c r="W454" s="35"/>
      <c r="X454" s="35"/>
      <c r="Y454" s="35"/>
      <c r="Z454" s="35"/>
      <c r="AA454" s="35"/>
    </row>
    <row r="455" spans="1:27" ht="15">
      <c r="A455" s="65" t="s">
        <v>234</v>
      </c>
      <c r="B455" s="65" t="s">
        <v>229</v>
      </c>
      <c r="C455" s="66" t="s">
        <v>2113</v>
      </c>
      <c r="D455" s="67">
        <v>3</v>
      </c>
      <c r="E455" s="68"/>
      <c r="F455" s="69">
        <v>40</v>
      </c>
      <c r="G455" s="66"/>
      <c r="H455" s="70"/>
      <c r="I455" s="71"/>
      <c r="J455" s="71"/>
      <c r="K455" s="35" t="s">
        <v>65</v>
      </c>
      <c r="L455" s="79">
        <v>455</v>
      </c>
      <c r="M455" s="79"/>
      <c r="N455" s="73"/>
      <c r="O455" s="81" t="s">
        <v>292</v>
      </c>
      <c r="P455">
        <v>1</v>
      </c>
      <c r="Q455" s="80" t="str">
        <f>REPLACE(INDEX(GroupVertices[Group],MATCH(Edges[[#This Row],[Vertex 1]],GroupVertices[Vertex],0)),1,1,"")</f>
        <v>1</v>
      </c>
      <c r="R455" s="80" t="str">
        <f>REPLACE(INDEX(GroupVertices[Group],MATCH(Edges[[#This Row],[Vertex 2]],GroupVertices[Vertex],0)),1,1,"")</f>
        <v>1</v>
      </c>
      <c r="S455" s="35"/>
      <c r="T455" s="35"/>
      <c r="U455" s="35"/>
      <c r="V455" s="35"/>
      <c r="W455" s="35"/>
      <c r="X455" s="35"/>
      <c r="Y455" s="35"/>
      <c r="Z455" s="35"/>
      <c r="AA455" s="35"/>
    </row>
    <row r="456" spans="1:27" ht="15">
      <c r="A456" s="65" t="s">
        <v>235</v>
      </c>
      <c r="B456" s="65" t="s">
        <v>229</v>
      </c>
      <c r="C456" s="66" t="s">
        <v>2113</v>
      </c>
      <c r="D456" s="67">
        <v>3</v>
      </c>
      <c r="E456" s="68"/>
      <c r="F456" s="69">
        <v>40</v>
      </c>
      <c r="G456" s="66"/>
      <c r="H456" s="70"/>
      <c r="I456" s="71"/>
      <c r="J456" s="71"/>
      <c r="K456" s="35" t="s">
        <v>65</v>
      </c>
      <c r="L456" s="79">
        <v>456</v>
      </c>
      <c r="M456" s="79"/>
      <c r="N456" s="73"/>
      <c r="O456" s="81" t="s">
        <v>292</v>
      </c>
      <c r="P456">
        <v>1</v>
      </c>
      <c r="Q456" s="80" t="str">
        <f>REPLACE(INDEX(GroupVertices[Group],MATCH(Edges[[#This Row],[Vertex 1]],GroupVertices[Vertex],0)),1,1,"")</f>
        <v>1</v>
      </c>
      <c r="R456" s="80" t="str">
        <f>REPLACE(INDEX(GroupVertices[Group],MATCH(Edges[[#This Row],[Vertex 2]],GroupVertices[Vertex],0)),1,1,"")</f>
        <v>1</v>
      </c>
      <c r="S456" s="35"/>
      <c r="T456" s="35"/>
      <c r="U456" s="35"/>
      <c r="V456" s="35"/>
      <c r="W456" s="35"/>
      <c r="X456" s="35"/>
      <c r="Y456" s="35"/>
      <c r="Z456" s="35"/>
      <c r="AA456" s="35"/>
    </row>
    <row r="457" spans="1:27" ht="15">
      <c r="A457" s="65" t="s">
        <v>216</v>
      </c>
      <c r="B457" s="65" t="s">
        <v>229</v>
      </c>
      <c r="C457" s="66" t="s">
        <v>2113</v>
      </c>
      <c r="D457" s="67">
        <v>3</v>
      </c>
      <c r="E457" s="68"/>
      <c r="F457" s="69">
        <v>40</v>
      </c>
      <c r="G457" s="66"/>
      <c r="H457" s="70"/>
      <c r="I457" s="71"/>
      <c r="J457" s="71"/>
      <c r="K457" s="35" t="s">
        <v>66</v>
      </c>
      <c r="L457" s="79">
        <v>457</v>
      </c>
      <c r="M457" s="79"/>
      <c r="N457" s="73"/>
      <c r="O457" s="81" t="s">
        <v>293</v>
      </c>
      <c r="P457">
        <v>1</v>
      </c>
      <c r="Q457" s="80" t="str">
        <f>REPLACE(INDEX(GroupVertices[Group],MATCH(Edges[[#This Row],[Vertex 1]],GroupVertices[Vertex],0)),1,1,"")</f>
        <v>1</v>
      </c>
      <c r="R457" s="80" t="str">
        <f>REPLACE(INDEX(GroupVertices[Group],MATCH(Edges[[#This Row],[Vertex 2]],GroupVertices[Vertex],0)),1,1,"")</f>
        <v>1</v>
      </c>
      <c r="S457" s="35"/>
      <c r="T457" s="35"/>
      <c r="U457" s="35"/>
      <c r="V457" s="35"/>
      <c r="W457" s="35"/>
      <c r="X457" s="35"/>
      <c r="Y457" s="35"/>
      <c r="Z457" s="35"/>
      <c r="AA457" s="35"/>
    </row>
    <row r="458" spans="1:27" ht="15">
      <c r="A458" s="65" t="s">
        <v>216</v>
      </c>
      <c r="B458" s="65" t="s">
        <v>259</v>
      </c>
      <c r="C458" s="66" t="s">
        <v>2113</v>
      </c>
      <c r="D458" s="67">
        <v>3</v>
      </c>
      <c r="E458" s="68"/>
      <c r="F458" s="69">
        <v>40</v>
      </c>
      <c r="G458" s="66"/>
      <c r="H458" s="70"/>
      <c r="I458" s="71"/>
      <c r="J458" s="71"/>
      <c r="K458" s="35" t="s">
        <v>65</v>
      </c>
      <c r="L458" s="79">
        <v>458</v>
      </c>
      <c r="M458" s="79"/>
      <c r="N458" s="73"/>
      <c r="O458" s="81" t="s">
        <v>293</v>
      </c>
      <c r="P458">
        <v>1</v>
      </c>
      <c r="Q458" s="80" t="str">
        <f>REPLACE(INDEX(GroupVertices[Group],MATCH(Edges[[#This Row],[Vertex 1]],GroupVertices[Vertex],0)),1,1,"")</f>
        <v>1</v>
      </c>
      <c r="R458" s="80" t="str">
        <f>REPLACE(INDEX(GroupVertices[Group],MATCH(Edges[[#This Row],[Vertex 2]],GroupVertices[Vertex],0)),1,1,"")</f>
        <v>1</v>
      </c>
      <c r="S458" s="35"/>
      <c r="T458" s="35"/>
      <c r="U458" s="35"/>
      <c r="V458" s="35"/>
      <c r="W458" s="35"/>
      <c r="X458" s="35"/>
      <c r="Y458" s="35"/>
      <c r="Z458" s="35"/>
      <c r="AA458" s="35"/>
    </row>
    <row r="459" spans="1:27" ht="15">
      <c r="A459" s="65" t="s">
        <v>230</v>
      </c>
      <c r="B459" s="65" t="s">
        <v>216</v>
      </c>
      <c r="C459" s="66" t="s">
        <v>2113</v>
      </c>
      <c r="D459" s="67">
        <v>3</v>
      </c>
      <c r="E459" s="68"/>
      <c r="F459" s="69">
        <v>40</v>
      </c>
      <c r="G459" s="66"/>
      <c r="H459" s="70"/>
      <c r="I459" s="71"/>
      <c r="J459" s="71"/>
      <c r="K459" s="35" t="s">
        <v>66</v>
      </c>
      <c r="L459" s="79">
        <v>459</v>
      </c>
      <c r="M459" s="79"/>
      <c r="N459" s="73"/>
      <c r="O459" s="81" t="s">
        <v>292</v>
      </c>
      <c r="P459">
        <v>1</v>
      </c>
      <c r="Q459" s="80" t="str">
        <f>REPLACE(INDEX(GroupVertices[Group],MATCH(Edges[[#This Row],[Vertex 1]],GroupVertices[Vertex],0)),1,1,"")</f>
        <v>1</v>
      </c>
      <c r="R459" s="80" t="str">
        <f>REPLACE(INDEX(GroupVertices[Group],MATCH(Edges[[#This Row],[Vertex 2]],GroupVertices[Vertex],0)),1,1,"")</f>
        <v>1</v>
      </c>
      <c r="S459" s="35"/>
      <c r="T459" s="35"/>
      <c r="U459" s="35"/>
      <c r="V459" s="35"/>
      <c r="W459" s="35"/>
      <c r="X459" s="35"/>
      <c r="Y459" s="35"/>
      <c r="Z459" s="35"/>
      <c r="AA459" s="35"/>
    </row>
    <row r="460" spans="1:27" ht="15">
      <c r="A460" s="65" t="s">
        <v>231</v>
      </c>
      <c r="B460" s="65" t="s">
        <v>230</v>
      </c>
      <c r="C460" s="66" t="s">
        <v>2113</v>
      </c>
      <c r="D460" s="67">
        <v>3</v>
      </c>
      <c r="E460" s="68"/>
      <c r="F460" s="69">
        <v>40</v>
      </c>
      <c r="G460" s="66"/>
      <c r="H460" s="70"/>
      <c r="I460" s="71"/>
      <c r="J460" s="71"/>
      <c r="K460" s="35" t="s">
        <v>65</v>
      </c>
      <c r="L460" s="79">
        <v>460</v>
      </c>
      <c r="M460" s="79"/>
      <c r="N460" s="73"/>
      <c r="O460" s="81" t="s">
        <v>292</v>
      </c>
      <c r="P460">
        <v>1</v>
      </c>
      <c r="Q460" s="80" t="str">
        <f>REPLACE(INDEX(GroupVertices[Group],MATCH(Edges[[#This Row],[Vertex 1]],GroupVertices[Vertex],0)),1,1,"")</f>
        <v>1</v>
      </c>
      <c r="R460" s="80" t="str">
        <f>REPLACE(INDEX(GroupVertices[Group],MATCH(Edges[[#This Row],[Vertex 2]],GroupVertices[Vertex],0)),1,1,"")</f>
        <v>1</v>
      </c>
      <c r="S460" s="35"/>
      <c r="T460" s="35"/>
      <c r="U460" s="35"/>
      <c r="V460" s="35"/>
      <c r="W460" s="35"/>
      <c r="X460" s="35"/>
      <c r="Y460" s="35"/>
      <c r="Z460" s="35"/>
      <c r="AA460" s="35"/>
    </row>
    <row r="461" spans="1:27" ht="15">
      <c r="A461" s="65" t="s">
        <v>242</v>
      </c>
      <c r="B461" s="65" t="s">
        <v>230</v>
      </c>
      <c r="C461" s="66" t="s">
        <v>2113</v>
      </c>
      <c r="D461" s="67">
        <v>3</v>
      </c>
      <c r="E461" s="68"/>
      <c r="F461" s="69">
        <v>40</v>
      </c>
      <c r="G461" s="66"/>
      <c r="H461" s="70"/>
      <c r="I461" s="71"/>
      <c r="J461" s="71"/>
      <c r="K461" s="35" t="s">
        <v>65</v>
      </c>
      <c r="L461" s="79">
        <v>461</v>
      </c>
      <c r="M461" s="79"/>
      <c r="N461" s="73"/>
      <c r="O461" s="81" t="s">
        <v>292</v>
      </c>
      <c r="P461">
        <v>1</v>
      </c>
      <c r="Q461" s="80" t="str">
        <f>REPLACE(INDEX(GroupVertices[Group],MATCH(Edges[[#This Row],[Vertex 1]],GroupVertices[Vertex],0)),1,1,"")</f>
        <v>1</v>
      </c>
      <c r="R461" s="80" t="str">
        <f>REPLACE(INDEX(GroupVertices[Group],MATCH(Edges[[#This Row],[Vertex 2]],GroupVertices[Vertex],0)),1,1,"")</f>
        <v>1</v>
      </c>
      <c r="S461" s="35"/>
      <c r="T461" s="35"/>
      <c r="U461" s="35"/>
      <c r="V461" s="35"/>
      <c r="W461" s="35"/>
      <c r="X461" s="35"/>
      <c r="Y461" s="35"/>
      <c r="Z461" s="35"/>
      <c r="AA461" s="35"/>
    </row>
    <row r="462" spans="1:27" ht="15">
      <c r="A462" s="65" t="s">
        <v>232</v>
      </c>
      <c r="B462" s="65" t="s">
        <v>230</v>
      </c>
      <c r="C462" s="66" t="s">
        <v>2113</v>
      </c>
      <c r="D462" s="67">
        <v>3</v>
      </c>
      <c r="E462" s="68"/>
      <c r="F462" s="69">
        <v>40</v>
      </c>
      <c r="G462" s="66"/>
      <c r="H462" s="70"/>
      <c r="I462" s="71"/>
      <c r="J462" s="71"/>
      <c r="K462" s="35" t="s">
        <v>65</v>
      </c>
      <c r="L462" s="79">
        <v>462</v>
      </c>
      <c r="M462" s="79"/>
      <c r="N462" s="73"/>
      <c r="O462" s="81" t="s">
        <v>292</v>
      </c>
      <c r="P462">
        <v>1</v>
      </c>
      <c r="Q462" s="80" t="str">
        <f>REPLACE(INDEX(GroupVertices[Group],MATCH(Edges[[#This Row],[Vertex 1]],GroupVertices[Vertex],0)),1,1,"")</f>
        <v>2</v>
      </c>
      <c r="R462" s="80" t="str">
        <f>REPLACE(INDEX(GroupVertices[Group],MATCH(Edges[[#This Row],[Vertex 2]],GroupVertices[Vertex],0)),1,1,"")</f>
        <v>1</v>
      </c>
      <c r="S462" s="35"/>
      <c r="T462" s="35"/>
      <c r="U462" s="35"/>
      <c r="V462" s="35"/>
      <c r="W462" s="35"/>
      <c r="X462" s="35"/>
      <c r="Y462" s="35"/>
      <c r="Z462" s="35"/>
      <c r="AA462" s="35"/>
    </row>
    <row r="463" spans="1:27" ht="15">
      <c r="A463" s="65" t="s">
        <v>233</v>
      </c>
      <c r="B463" s="65" t="s">
        <v>230</v>
      </c>
      <c r="C463" s="66" t="s">
        <v>2113</v>
      </c>
      <c r="D463" s="67">
        <v>3</v>
      </c>
      <c r="E463" s="68"/>
      <c r="F463" s="69">
        <v>40</v>
      </c>
      <c r="G463" s="66"/>
      <c r="H463" s="70"/>
      <c r="I463" s="71"/>
      <c r="J463" s="71"/>
      <c r="K463" s="35" t="s">
        <v>65</v>
      </c>
      <c r="L463" s="79">
        <v>463</v>
      </c>
      <c r="M463" s="79"/>
      <c r="N463" s="73"/>
      <c r="O463" s="81" t="s">
        <v>292</v>
      </c>
      <c r="P463">
        <v>1</v>
      </c>
      <c r="Q463" s="80" t="str">
        <f>REPLACE(INDEX(GroupVertices[Group],MATCH(Edges[[#This Row],[Vertex 1]],GroupVertices[Vertex],0)),1,1,"")</f>
        <v>1</v>
      </c>
      <c r="R463" s="80" t="str">
        <f>REPLACE(INDEX(GroupVertices[Group],MATCH(Edges[[#This Row],[Vertex 2]],GroupVertices[Vertex],0)),1,1,"")</f>
        <v>1</v>
      </c>
      <c r="S463" s="35"/>
      <c r="T463" s="35"/>
      <c r="U463" s="35"/>
      <c r="V463" s="35"/>
      <c r="W463" s="35"/>
      <c r="X463" s="35"/>
      <c r="Y463" s="35"/>
      <c r="Z463" s="35"/>
      <c r="AA463" s="35"/>
    </row>
    <row r="464" spans="1:27" ht="15">
      <c r="A464" s="65" t="s">
        <v>234</v>
      </c>
      <c r="B464" s="65" t="s">
        <v>230</v>
      </c>
      <c r="C464" s="66" t="s">
        <v>2113</v>
      </c>
      <c r="D464" s="67">
        <v>3</v>
      </c>
      <c r="E464" s="68"/>
      <c r="F464" s="69">
        <v>40</v>
      </c>
      <c r="G464" s="66"/>
      <c r="H464" s="70"/>
      <c r="I464" s="71"/>
      <c r="J464" s="71"/>
      <c r="K464" s="35" t="s">
        <v>65</v>
      </c>
      <c r="L464" s="79">
        <v>464</v>
      </c>
      <c r="M464" s="79"/>
      <c r="N464" s="73"/>
      <c r="O464" s="81" t="s">
        <v>292</v>
      </c>
      <c r="P464">
        <v>1</v>
      </c>
      <c r="Q464" s="80" t="str">
        <f>REPLACE(INDEX(GroupVertices[Group],MATCH(Edges[[#This Row],[Vertex 1]],GroupVertices[Vertex],0)),1,1,"")</f>
        <v>1</v>
      </c>
      <c r="R464" s="80" t="str">
        <f>REPLACE(INDEX(GroupVertices[Group],MATCH(Edges[[#This Row],[Vertex 2]],GroupVertices[Vertex],0)),1,1,"")</f>
        <v>1</v>
      </c>
      <c r="S464" s="35"/>
      <c r="T464" s="35"/>
      <c r="U464" s="35"/>
      <c r="V464" s="35"/>
      <c r="W464" s="35"/>
      <c r="X464" s="35"/>
      <c r="Y464" s="35"/>
      <c r="Z464" s="35"/>
      <c r="AA464" s="35"/>
    </row>
    <row r="465" spans="1:27" ht="15">
      <c r="A465" s="65" t="s">
        <v>235</v>
      </c>
      <c r="B465" s="65" t="s">
        <v>230</v>
      </c>
      <c r="C465" s="66" t="s">
        <v>2114</v>
      </c>
      <c r="D465" s="67">
        <v>3</v>
      </c>
      <c r="E465" s="68"/>
      <c r="F465" s="69">
        <v>40</v>
      </c>
      <c r="G465" s="66"/>
      <c r="H465" s="70"/>
      <c r="I465" s="71"/>
      <c r="J465" s="71"/>
      <c r="K465" s="35" t="s">
        <v>65</v>
      </c>
      <c r="L465" s="79">
        <v>465</v>
      </c>
      <c r="M465" s="79"/>
      <c r="N465" s="73"/>
      <c r="O465" s="81" t="s">
        <v>292</v>
      </c>
      <c r="P465">
        <v>2</v>
      </c>
      <c r="Q465" s="80" t="str">
        <f>REPLACE(INDEX(GroupVertices[Group],MATCH(Edges[[#This Row],[Vertex 1]],GroupVertices[Vertex],0)),1,1,"")</f>
        <v>1</v>
      </c>
      <c r="R465" s="80" t="str">
        <f>REPLACE(INDEX(GroupVertices[Group],MATCH(Edges[[#This Row],[Vertex 2]],GroupVertices[Vertex],0)),1,1,"")</f>
        <v>1</v>
      </c>
      <c r="S465" s="35"/>
      <c r="T465" s="35"/>
      <c r="U465" s="35"/>
      <c r="V465" s="35"/>
      <c r="W465" s="35"/>
      <c r="X465" s="35"/>
      <c r="Y465" s="35"/>
      <c r="Z465" s="35"/>
      <c r="AA465" s="35"/>
    </row>
    <row r="466" spans="1:27" ht="15">
      <c r="A466" s="65" t="s">
        <v>250</v>
      </c>
      <c r="B466" s="65" t="s">
        <v>230</v>
      </c>
      <c r="C466" s="66" t="s">
        <v>2113</v>
      </c>
      <c r="D466" s="67">
        <v>3</v>
      </c>
      <c r="E466" s="68"/>
      <c r="F466" s="69">
        <v>40</v>
      </c>
      <c r="G466" s="66"/>
      <c r="H466" s="70"/>
      <c r="I466" s="71"/>
      <c r="J466" s="71"/>
      <c r="K466" s="35" t="s">
        <v>65</v>
      </c>
      <c r="L466" s="79">
        <v>466</v>
      </c>
      <c r="M466" s="79"/>
      <c r="N466" s="73"/>
      <c r="O466" s="81" t="s">
        <v>292</v>
      </c>
      <c r="P466">
        <v>1</v>
      </c>
      <c r="Q466" s="80" t="str">
        <f>REPLACE(INDEX(GroupVertices[Group],MATCH(Edges[[#This Row],[Vertex 1]],GroupVertices[Vertex],0)),1,1,"")</f>
        <v>3</v>
      </c>
      <c r="R466" s="80" t="str">
        <f>REPLACE(INDEX(GroupVertices[Group],MATCH(Edges[[#This Row],[Vertex 2]],GroupVertices[Vertex],0)),1,1,"")</f>
        <v>1</v>
      </c>
      <c r="S466" s="35"/>
      <c r="T466" s="35"/>
      <c r="U466" s="35"/>
      <c r="V466" s="35"/>
      <c r="W466" s="35"/>
      <c r="X466" s="35"/>
      <c r="Y466" s="35"/>
      <c r="Z466" s="35"/>
      <c r="AA466" s="35"/>
    </row>
    <row r="467" spans="1:27" ht="15">
      <c r="A467" s="65" t="s">
        <v>216</v>
      </c>
      <c r="B467" s="65" t="s">
        <v>230</v>
      </c>
      <c r="C467" s="66" t="s">
        <v>2113</v>
      </c>
      <c r="D467" s="67">
        <v>3</v>
      </c>
      <c r="E467" s="68"/>
      <c r="F467" s="69">
        <v>40</v>
      </c>
      <c r="G467" s="66"/>
      <c r="H467" s="70"/>
      <c r="I467" s="71"/>
      <c r="J467" s="71"/>
      <c r="K467" s="35" t="s">
        <v>66</v>
      </c>
      <c r="L467" s="79">
        <v>467</v>
      </c>
      <c r="M467" s="79"/>
      <c r="N467" s="73"/>
      <c r="O467" s="81" t="s">
        <v>293</v>
      </c>
      <c r="P467">
        <v>1</v>
      </c>
      <c r="Q467" s="80" t="str">
        <f>REPLACE(INDEX(GroupVertices[Group],MATCH(Edges[[#This Row],[Vertex 1]],GroupVertices[Vertex],0)),1,1,"")</f>
        <v>1</v>
      </c>
      <c r="R467" s="80" t="str">
        <f>REPLACE(INDEX(GroupVertices[Group],MATCH(Edges[[#This Row],[Vertex 2]],GroupVertices[Vertex],0)),1,1,"")</f>
        <v>1</v>
      </c>
      <c r="S467" s="35"/>
      <c r="T467" s="35"/>
      <c r="U467" s="35"/>
      <c r="V467" s="35"/>
      <c r="W467" s="35"/>
      <c r="X467" s="35"/>
      <c r="Y467" s="35"/>
      <c r="Z467" s="35"/>
      <c r="AA467" s="35"/>
    </row>
    <row r="468" spans="1:27" ht="15">
      <c r="A468" s="65" t="s">
        <v>231</v>
      </c>
      <c r="B468" s="65" t="s">
        <v>216</v>
      </c>
      <c r="C468" s="66" t="s">
        <v>2113</v>
      </c>
      <c r="D468" s="67">
        <v>3</v>
      </c>
      <c r="E468" s="68"/>
      <c r="F468" s="69">
        <v>40</v>
      </c>
      <c r="G468" s="66"/>
      <c r="H468" s="70"/>
      <c r="I468" s="71"/>
      <c r="J468" s="71"/>
      <c r="K468" s="35" t="s">
        <v>66</v>
      </c>
      <c r="L468" s="79">
        <v>468</v>
      </c>
      <c r="M468" s="79"/>
      <c r="N468" s="73"/>
      <c r="O468" s="81" t="s">
        <v>292</v>
      </c>
      <c r="P468">
        <v>1</v>
      </c>
      <c r="Q468" s="80" t="str">
        <f>REPLACE(INDEX(GroupVertices[Group],MATCH(Edges[[#This Row],[Vertex 1]],GroupVertices[Vertex],0)),1,1,"")</f>
        <v>1</v>
      </c>
      <c r="R468" s="80" t="str">
        <f>REPLACE(INDEX(GroupVertices[Group],MATCH(Edges[[#This Row],[Vertex 2]],GroupVertices[Vertex],0)),1,1,"")</f>
        <v>1</v>
      </c>
      <c r="S468" s="35"/>
      <c r="T468" s="35"/>
      <c r="U468" s="35"/>
      <c r="V468" s="35"/>
      <c r="W468" s="35"/>
      <c r="X468" s="35"/>
      <c r="Y468" s="35"/>
      <c r="Z468" s="35"/>
      <c r="AA468" s="35"/>
    </row>
    <row r="469" spans="1:27" ht="15">
      <c r="A469" s="65" t="s">
        <v>242</v>
      </c>
      <c r="B469" s="65" t="s">
        <v>231</v>
      </c>
      <c r="C469" s="66" t="s">
        <v>2113</v>
      </c>
      <c r="D469" s="67">
        <v>3</v>
      </c>
      <c r="E469" s="68"/>
      <c r="F469" s="69">
        <v>40</v>
      </c>
      <c r="G469" s="66"/>
      <c r="H469" s="70"/>
      <c r="I469" s="71"/>
      <c r="J469" s="71"/>
      <c r="K469" s="35" t="s">
        <v>65</v>
      </c>
      <c r="L469" s="79">
        <v>469</v>
      </c>
      <c r="M469" s="79"/>
      <c r="N469" s="73"/>
      <c r="O469" s="81" t="s">
        <v>292</v>
      </c>
      <c r="P469">
        <v>1</v>
      </c>
      <c r="Q469" s="80" t="str">
        <f>REPLACE(INDEX(GroupVertices[Group],MATCH(Edges[[#This Row],[Vertex 1]],GroupVertices[Vertex],0)),1,1,"")</f>
        <v>1</v>
      </c>
      <c r="R469" s="80" t="str">
        <f>REPLACE(INDEX(GroupVertices[Group],MATCH(Edges[[#This Row],[Vertex 2]],GroupVertices[Vertex],0)),1,1,"")</f>
        <v>1</v>
      </c>
      <c r="S469" s="35"/>
      <c r="T469" s="35"/>
      <c r="U469" s="35"/>
      <c r="V469" s="35"/>
      <c r="W469" s="35"/>
      <c r="X469" s="35"/>
      <c r="Y469" s="35"/>
      <c r="Z469" s="35"/>
      <c r="AA469" s="35"/>
    </row>
    <row r="470" spans="1:27" ht="15">
      <c r="A470" s="65" t="s">
        <v>232</v>
      </c>
      <c r="B470" s="65" t="s">
        <v>231</v>
      </c>
      <c r="C470" s="66" t="s">
        <v>2115</v>
      </c>
      <c r="D470" s="67">
        <v>3</v>
      </c>
      <c r="E470" s="68"/>
      <c r="F470" s="69">
        <v>40</v>
      </c>
      <c r="G470" s="66"/>
      <c r="H470" s="70"/>
      <c r="I470" s="71"/>
      <c r="J470" s="71"/>
      <c r="K470" s="35" t="s">
        <v>65</v>
      </c>
      <c r="L470" s="79">
        <v>470</v>
      </c>
      <c r="M470" s="79"/>
      <c r="N470" s="73"/>
      <c r="O470" s="81" t="s">
        <v>292</v>
      </c>
      <c r="P470">
        <v>3</v>
      </c>
      <c r="Q470" s="80" t="str">
        <f>REPLACE(INDEX(GroupVertices[Group],MATCH(Edges[[#This Row],[Vertex 1]],GroupVertices[Vertex],0)),1,1,"")</f>
        <v>2</v>
      </c>
      <c r="R470" s="80" t="str">
        <f>REPLACE(INDEX(GroupVertices[Group],MATCH(Edges[[#This Row],[Vertex 2]],GroupVertices[Vertex],0)),1,1,"")</f>
        <v>1</v>
      </c>
      <c r="S470" s="35"/>
      <c r="T470" s="35"/>
      <c r="U470" s="35"/>
      <c r="V470" s="35"/>
      <c r="W470" s="35"/>
      <c r="X470" s="35"/>
      <c r="Y470" s="35"/>
      <c r="Z470" s="35"/>
      <c r="AA470" s="35"/>
    </row>
    <row r="471" spans="1:27" ht="15">
      <c r="A471" s="65" t="s">
        <v>233</v>
      </c>
      <c r="B471" s="65" t="s">
        <v>231</v>
      </c>
      <c r="C471" s="66" t="s">
        <v>2113</v>
      </c>
      <c r="D471" s="67">
        <v>3</v>
      </c>
      <c r="E471" s="68"/>
      <c r="F471" s="69">
        <v>40</v>
      </c>
      <c r="G471" s="66"/>
      <c r="H471" s="70"/>
      <c r="I471" s="71"/>
      <c r="J471" s="71"/>
      <c r="K471" s="35" t="s">
        <v>66</v>
      </c>
      <c r="L471" s="79">
        <v>471</v>
      </c>
      <c r="M471" s="79"/>
      <c r="N471" s="73"/>
      <c r="O471" s="81" t="s">
        <v>292</v>
      </c>
      <c r="P471">
        <v>1</v>
      </c>
      <c r="Q471" s="80" t="str">
        <f>REPLACE(INDEX(GroupVertices[Group],MATCH(Edges[[#This Row],[Vertex 1]],GroupVertices[Vertex],0)),1,1,"")</f>
        <v>1</v>
      </c>
      <c r="R471" s="80" t="str">
        <f>REPLACE(INDEX(GroupVertices[Group],MATCH(Edges[[#This Row],[Vertex 2]],GroupVertices[Vertex],0)),1,1,"")</f>
        <v>1</v>
      </c>
      <c r="S471" s="35"/>
      <c r="T471" s="35"/>
      <c r="U471" s="35"/>
      <c r="V471" s="35"/>
      <c r="W471" s="35"/>
      <c r="X471" s="35"/>
      <c r="Y471" s="35"/>
      <c r="Z471" s="35"/>
      <c r="AA471" s="35"/>
    </row>
    <row r="472" spans="1:27" ht="15">
      <c r="A472" s="65" t="s">
        <v>234</v>
      </c>
      <c r="B472" s="65" t="s">
        <v>231</v>
      </c>
      <c r="C472" s="66" t="s">
        <v>2114</v>
      </c>
      <c r="D472" s="67">
        <v>3</v>
      </c>
      <c r="E472" s="68"/>
      <c r="F472" s="69">
        <v>40</v>
      </c>
      <c r="G472" s="66"/>
      <c r="H472" s="70"/>
      <c r="I472" s="71"/>
      <c r="J472" s="71"/>
      <c r="K472" s="35" t="s">
        <v>65</v>
      </c>
      <c r="L472" s="79">
        <v>472</v>
      </c>
      <c r="M472" s="79"/>
      <c r="N472" s="73"/>
      <c r="O472" s="81" t="s">
        <v>292</v>
      </c>
      <c r="P472">
        <v>2</v>
      </c>
      <c r="Q472" s="80" t="str">
        <f>REPLACE(INDEX(GroupVertices[Group],MATCH(Edges[[#This Row],[Vertex 1]],GroupVertices[Vertex],0)),1,1,"")</f>
        <v>1</v>
      </c>
      <c r="R472" s="80" t="str">
        <f>REPLACE(INDEX(GroupVertices[Group],MATCH(Edges[[#This Row],[Vertex 2]],GroupVertices[Vertex],0)),1,1,"")</f>
        <v>1</v>
      </c>
      <c r="S472" s="35"/>
      <c r="T472" s="35"/>
      <c r="U472" s="35"/>
      <c r="V472" s="35"/>
      <c r="W472" s="35"/>
      <c r="X472" s="35"/>
      <c r="Y472" s="35"/>
      <c r="Z472" s="35"/>
      <c r="AA472" s="35"/>
    </row>
    <row r="473" spans="1:27" ht="15">
      <c r="A473" s="65" t="s">
        <v>235</v>
      </c>
      <c r="B473" s="65" t="s">
        <v>231</v>
      </c>
      <c r="C473" s="66" t="s">
        <v>2114</v>
      </c>
      <c r="D473" s="67">
        <v>3</v>
      </c>
      <c r="E473" s="68"/>
      <c r="F473" s="69">
        <v>40</v>
      </c>
      <c r="G473" s="66"/>
      <c r="H473" s="70"/>
      <c r="I473" s="71"/>
      <c r="J473" s="71"/>
      <c r="K473" s="35" t="s">
        <v>66</v>
      </c>
      <c r="L473" s="79">
        <v>473</v>
      </c>
      <c r="M473" s="79"/>
      <c r="N473" s="73"/>
      <c r="O473" s="81" t="s">
        <v>292</v>
      </c>
      <c r="P473">
        <v>2</v>
      </c>
      <c r="Q473" s="80" t="str">
        <f>REPLACE(INDEX(GroupVertices[Group],MATCH(Edges[[#This Row],[Vertex 1]],GroupVertices[Vertex],0)),1,1,"")</f>
        <v>1</v>
      </c>
      <c r="R473" s="80" t="str">
        <f>REPLACE(INDEX(GroupVertices[Group],MATCH(Edges[[#This Row],[Vertex 2]],GroupVertices[Vertex],0)),1,1,"")</f>
        <v>1</v>
      </c>
      <c r="S473" s="35"/>
      <c r="T473" s="35"/>
      <c r="U473" s="35"/>
      <c r="V473" s="35"/>
      <c r="W473" s="35"/>
      <c r="X473" s="35"/>
      <c r="Y473" s="35"/>
      <c r="Z473" s="35"/>
      <c r="AA473" s="35"/>
    </row>
    <row r="474" spans="1:27" ht="15">
      <c r="A474" s="65" t="s">
        <v>250</v>
      </c>
      <c r="B474" s="65" t="s">
        <v>231</v>
      </c>
      <c r="C474" s="66" t="s">
        <v>2113</v>
      </c>
      <c r="D474" s="67">
        <v>3</v>
      </c>
      <c r="E474" s="68"/>
      <c r="F474" s="69">
        <v>40</v>
      </c>
      <c r="G474" s="66"/>
      <c r="H474" s="70"/>
      <c r="I474" s="71"/>
      <c r="J474" s="71"/>
      <c r="K474" s="35" t="s">
        <v>65</v>
      </c>
      <c r="L474" s="79">
        <v>474</v>
      </c>
      <c r="M474" s="79"/>
      <c r="N474" s="73"/>
      <c r="O474" s="81" t="s">
        <v>292</v>
      </c>
      <c r="P474">
        <v>1</v>
      </c>
      <c r="Q474" s="80" t="str">
        <f>REPLACE(INDEX(GroupVertices[Group],MATCH(Edges[[#This Row],[Vertex 1]],GroupVertices[Vertex],0)),1,1,"")</f>
        <v>3</v>
      </c>
      <c r="R474" s="80" t="str">
        <f>REPLACE(INDEX(GroupVertices[Group],MATCH(Edges[[#This Row],[Vertex 2]],GroupVertices[Vertex],0)),1,1,"")</f>
        <v>1</v>
      </c>
      <c r="S474" s="35"/>
      <c r="T474" s="35"/>
      <c r="U474" s="35"/>
      <c r="V474" s="35"/>
      <c r="W474" s="35"/>
      <c r="X474" s="35"/>
      <c r="Y474" s="35"/>
      <c r="Z474" s="35"/>
      <c r="AA474" s="35"/>
    </row>
    <row r="475" spans="1:27" ht="15">
      <c r="A475" s="65" t="s">
        <v>216</v>
      </c>
      <c r="B475" s="65" t="s">
        <v>231</v>
      </c>
      <c r="C475" s="66" t="s">
        <v>2114</v>
      </c>
      <c r="D475" s="67">
        <v>3</v>
      </c>
      <c r="E475" s="68"/>
      <c r="F475" s="69">
        <v>40</v>
      </c>
      <c r="G475" s="66"/>
      <c r="H475" s="70"/>
      <c r="I475" s="71"/>
      <c r="J475" s="71"/>
      <c r="K475" s="35" t="s">
        <v>66</v>
      </c>
      <c r="L475" s="79">
        <v>475</v>
      </c>
      <c r="M475" s="79"/>
      <c r="N475" s="73"/>
      <c r="O475" s="81" t="s">
        <v>293</v>
      </c>
      <c r="P475">
        <v>2</v>
      </c>
      <c r="Q475" s="80" t="str">
        <f>REPLACE(INDEX(GroupVertices[Group],MATCH(Edges[[#This Row],[Vertex 1]],GroupVertices[Vertex],0)),1,1,"")</f>
        <v>1</v>
      </c>
      <c r="R475" s="80" t="str">
        <f>REPLACE(INDEX(GroupVertices[Group],MATCH(Edges[[#This Row],[Vertex 2]],GroupVertices[Vertex],0)),1,1,"")</f>
        <v>1</v>
      </c>
      <c r="S475" s="35"/>
      <c r="T475" s="35"/>
      <c r="U475" s="35"/>
      <c r="V475" s="35"/>
      <c r="W475" s="35"/>
      <c r="X475" s="35"/>
      <c r="Y475" s="35"/>
      <c r="Z475" s="35"/>
      <c r="AA475" s="35"/>
    </row>
    <row r="476" spans="1:27" ht="15">
      <c r="A476" s="65" t="s">
        <v>216</v>
      </c>
      <c r="B476" s="65" t="s">
        <v>238</v>
      </c>
      <c r="C476" s="66" t="s">
        <v>2113</v>
      </c>
      <c r="D476" s="67">
        <v>3</v>
      </c>
      <c r="E476" s="68"/>
      <c r="F476" s="69">
        <v>40</v>
      </c>
      <c r="G476" s="66"/>
      <c r="H476" s="70"/>
      <c r="I476" s="71"/>
      <c r="J476" s="71"/>
      <c r="K476" s="35" t="s">
        <v>65</v>
      </c>
      <c r="L476" s="79">
        <v>476</v>
      </c>
      <c r="M476" s="79"/>
      <c r="N476" s="73"/>
      <c r="O476" s="81" t="s">
        <v>293</v>
      </c>
      <c r="P476">
        <v>1</v>
      </c>
      <c r="Q476" s="80" t="str">
        <f>REPLACE(INDEX(GroupVertices[Group],MATCH(Edges[[#This Row],[Vertex 1]],GroupVertices[Vertex],0)),1,1,"")</f>
        <v>1</v>
      </c>
      <c r="R476" s="80" t="str">
        <f>REPLACE(INDEX(GroupVertices[Group],MATCH(Edges[[#This Row],[Vertex 2]],GroupVertices[Vertex],0)),1,1,"")</f>
        <v>4</v>
      </c>
      <c r="S476" s="35"/>
      <c r="T476" s="35"/>
      <c r="U476" s="35"/>
      <c r="V476" s="35"/>
      <c r="W476" s="35"/>
      <c r="X476" s="35"/>
      <c r="Y476" s="35"/>
      <c r="Z476" s="35"/>
      <c r="AA476" s="35"/>
    </row>
    <row r="477" spans="1:27" ht="15">
      <c r="A477" s="65" t="s">
        <v>232</v>
      </c>
      <c r="B477" s="65" t="s">
        <v>242</v>
      </c>
      <c r="C477" s="66" t="s">
        <v>2113</v>
      </c>
      <c r="D477" s="67">
        <v>3</v>
      </c>
      <c r="E477" s="68"/>
      <c r="F477" s="69">
        <v>40</v>
      </c>
      <c r="G477" s="66"/>
      <c r="H477" s="70"/>
      <c r="I477" s="71"/>
      <c r="J477" s="71"/>
      <c r="K477" s="35" t="s">
        <v>65</v>
      </c>
      <c r="L477" s="79">
        <v>477</v>
      </c>
      <c r="M477" s="79"/>
      <c r="N477" s="73"/>
      <c r="O477" s="81" t="s">
        <v>292</v>
      </c>
      <c r="P477">
        <v>1</v>
      </c>
      <c r="Q477" s="80" t="str">
        <f>REPLACE(INDEX(GroupVertices[Group],MATCH(Edges[[#This Row],[Vertex 1]],GroupVertices[Vertex],0)),1,1,"")</f>
        <v>2</v>
      </c>
      <c r="R477" s="80" t="str">
        <f>REPLACE(INDEX(GroupVertices[Group],MATCH(Edges[[#This Row],[Vertex 2]],GroupVertices[Vertex],0)),1,1,"")</f>
        <v>1</v>
      </c>
      <c r="S477" s="35"/>
      <c r="T477" s="35"/>
      <c r="U477" s="35"/>
      <c r="V477" s="35"/>
      <c r="W477" s="35"/>
      <c r="X477" s="35"/>
      <c r="Y477" s="35"/>
      <c r="Z477" s="35"/>
      <c r="AA477" s="35"/>
    </row>
    <row r="478" spans="1:27" ht="15">
      <c r="A478" s="65" t="s">
        <v>233</v>
      </c>
      <c r="B478" s="65" t="s">
        <v>242</v>
      </c>
      <c r="C478" s="66" t="s">
        <v>2113</v>
      </c>
      <c r="D478" s="67">
        <v>3</v>
      </c>
      <c r="E478" s="68"/>
      <c r="F478" s="69">
        <v>40</v>
      </c>
      <c r="G478" s="66"/>
      <c r="H478" s="70"/>
      <c r="I478" s="71"/>
      <c r="J478" s="71"/>
      <c r="K478" s="35" t="s">
        <v>65</v>
      </c>
      <c r="L478" s="79">
        <v>478</v>
      </c>
      <c r="M478" s="79"/>
      <c r="N478" s="73"/>
      <c r="O478" s="81" t="s">
        <v>292</v>
      </c>
      <c r="P478">
        <v>1</v>
      </c>
      <c r="Q478" s="80" t="str">
        <f>REPLACE(INDEX(GroupVertices[Group],MATCH(Edges[[#This Row],[Vertex 1]],GroupVertices[Vertex],0)),1,1,"")</f>
        <v>1</v>
      </c>
      <c r="R478" s="80" t="str">
        <f>REPLACE(INDEX(GroupVertices[Group],MATCH(Edges[[#This Row],[Vertex 2]],GroupVertices[Vertex],0)),1,1,"")</f>
        <v>1</v>
      </c>
      <c r="S478" s="35"/>
      <c r="T478" s="35"/>
      <c r="U478" s="35"/>
      <c r="V478" s="35"/>
      <c r="W478" s="35"/>
      <c r="X478" s="35"/>
      <c r="Y478" s="35"/>
      <c r="Z478" s="35"/>
      <c r="AA478" s="35"/>
    </row>
    <row r="479" spans="1:27" ht="15">
      <c r="A479" s="65" t="s">
        <v>234</v>
      </c>
      <c r="B479" s="65" t="s">
        <v>242</v>
      </c>
      <c r="C479" s="66" t="s">
        <v>2113</v>
      </c>
      <c r="D479" s="67">
        <v>3</v>
      </c>
      <c r="E479" s="68"/>
      <c r="F479" s="69">
        <v>40</v>
      </c>
      <c r="G479" s="66"/>
      <c r="H479" s="70"/>
      <c r="I479" s="71"/>
      <c r="J479" s="71"/>
      <c r="K479" s="35" t="s">
        <v>65</v>
      </c>
      <c r="L479" s="79">
        <v>479</v>
      </c>
      <c r="M479" s="79"/>
      <c r="N479" s="73"/>
      <c r="O479" s="81" t="s">
        <v>292</v>
      </c>
      <c r="P479">
        <v>1</v>
      </c>
      <c r="Q479" s="80" t="str">
        <f>REPLACE(INDEX(GroupVertices[Group],MATCH(Edges[[#This Row],[Vertex 1]],GroupVertices[Vertex],0)),1,1,"")</f>
        <v>1</v>
      </c>
      <c r="R479" s="80" t="str">
        <f>REPLACE(INDEX(GroupVertices[Group],MATCH(Edges[[#This Row],[Vertex 2]],GroupVertices[Vertex],0)),1,1,"")</f>
        <v>1</v>
      </c>
      <c r="S479" s="35"/>
      <c r="T479" s="35"/>
      <c r="U479" s="35"/>
      <c r="V479" s="35"/>
      <c r="W479" s="35"/>
      <c r="X479" s="35"/>
      <c r="Y479" s="35"/>
      <c r="Z479" s="35"/>
      <c r="AA479" s="35"/>
    </row>
    <row r="480" spans="1:27" ht="15">
      <c r="A480" s="65" t="s">
        <v>235</v>
      </c>
      <c r="B480" s="65" t="s">
        <v>242</v>
      </c>
      <c r="C480" s="66" t="s">
        <v>2113</v>
      </c>
      <c r="D480" s="67">
        <v>3</v>
      </c>
      <c r="E480" s="68"/>
      <c r="F480" s="69">
        <v>40</v>
      </c>
      <c r="G480" s="66"/>
      <c r="H480" s="70"/>
      <c r="I480" s="71"/>
      <c r="J480" s="71"/>
      <c r="K480" s="35" t="s">
        <v>65</v>
      </c>
      <c r="L480" s="79">
        <v>480</v>
      </c>
      <c r="M480" s="79"/>
      <c r="N480" s="73"/>
      <c r="O480" s="81" t="s">
        <v>292</v>
      </c>
      <c r="P480">
        <v>1</v>
      </c>
      <c r="Q480" s="80" t="str">
        <f>REPLACE(INDEX(GroupVertices[Group],MATCH(Edges[[#This Row],[Vertex 1]],GroupVertices[Vertex],0)),1,1,"")</f>
        <v>1</v>
      </c>
      <c r="R480" s="80" t="str">
        <f>REPLACE(INDEX(GroupVertices[Group],MATCH(Edges[[#This Row],[Vertex 2]],GroupVertices[Vertex],0)),1,1,"")</f>
        <v>1</v>
      </c>
      <c r="S480" s="35"/>
      <c r="T480" s="35"/>
      <c r="U480" s="35"/>
      <c r="V480" s="35"/>
      <c r="W480" s="35"/>
      <c r="X480" s="35"/>
      <c r="Y480" s="35"/>
      <c r="Z480" s="35"/>
      <c r="AA480" s="35"/>
    </row>
    <row r="481" spans="1:27" ht="15">
      <c r="A481" s="65" t="s">
        <v>216</v>
      </c>
      <c r="B481" s="65" t="s">
        <v>242</v>
      </c>
      <c r="C481" s="66" t="s">
        <v>2113</v>
      </c>
      <c r="D481" s="67">
        <v>3</v>
      </c>
      <c r="E481" s="68"/>
      <c r="F481" s="69">
        <v>40</v>
      </c>
      <c r="G481" s="66"/>
      <c r="H481" s="70"/>
      <c r="I481" s="71"/>
      <c r="J481" s="71"/>
      <c r="K481" s="35" t="s">
        <v>65</v>
      </c>
      <c r="L481" s="79">
        <v>481</v>
      </c>
      <c r="M481" s="79"/>
      <c r="N481" s="73"/>
      <c r="O481" s="81" t="s">
        <v>293</v>
      </c>
      <c r="P481">
        <v>1</v>
      </c>
      <c r="Q481" s="80" t="str">
        <f>REPLACE(INDEX(GroupVertices[Group],MATCH(Edges[[#This Row],[Vertex 1]],GroupVertices[Vertex],0)),1,1,"")</f>
        <v>1</v>
      </c>
      <c r="R481" s="80" t="str">
        <f>REPLACE(INDEX(GroupVertices[Group],MATCH(Edges[[#This Row],[Vertex 2]],GroupVertices[Vertex],0)),1,1,"")</f>
        <v>1</v>
      </c>
      <c r="S481" s="35"/>
      <c r="T481" s="35"/>
      <c r="U481" s="35"/>
      <c r="V481" s="35"/>
      <c r="W481" s="35"/>
      <c r="X481" s="35"/>
      <c r="Y481" s="35"/>
      <c r="Z481" s="35"/>
      <c r="AA481" s="35"/>
    </row>
    <row r="482" spans="1:27" ht="15">
      <c r="A482" s="65" t="s">
        <v>232</v>
      </c>
      <c r="B482" s="65" t="s">
        <v>216</v>
      </c>
      <c r="C482" s="66" t="s">
        <v>2114</v>
      </c>
      <c r="D482" s="67">
        <v>3</v>
      </c>
      <c r="E482" s="68"/>
      <c r="F482" s="69">
        <v>40</v>
      </c>
      <c r="G482" s="66"/>
      <c r="H482" s="70"/>
      <c r="I482" s="71"/>
      <c r="J482" s="71"/>
      <c r="K482" s="35" t="s">
        <v>66</v>
      </c>
      <c r="L482" s="79">
        <v>482</v>
      </c>
      <c r="M482" s="79"/>
      <c r="N482" s="73"/>
      <c r="O482" s="81" t="s">
        <v>292</v>
      </c>
      <c r="P482">
        <v>2</v>
      </c>
      <c r="Q482" s="80" t="str">
        <f>REPLACE(INDEX(GroupVertices[Group],MATCH(Edges[[#This Row],[Vertex 1]],GroupVertices[Vertex],0)),1,1,"")</f>
        <v>2</v>
      </c>
      <c r="R482" s="80" t="str">
        <f>REPLACE(INDEX(GroupVertices[Group],MATCH(Edges[[#This Row],[Vertex 2]],GroupVertices[Vertex],0)),1,1,"")</f>
        <v>1</v>
      </c>
      <c r="S482" s="35"/>
      <c r="T482" s="35"/>
      <c r="U482" s="35"/>
      <c r="V482" s="35"/>
      <c r="W482" s="35"/>
      <c r="X482" s="35"/>
      <c r="Y482" s="35"/>
      <c r="Z482" s="35"/>
      <c r="AA482" s="35"/>
    </row>
    <row r="483" spans="1:27" ht="15">
      <c r="A483" s="65" t="s">
        <v>233</v>
      </c>
      <c r="B483" s="65" t="s">
        <v>232</v>
      </c>
      <c r="C483" s="66" t="s">
        <v>2113</v>
      </c>
      <c r="D483" s="67">
        <v>3</v>
      </c>
      <c r="E483" s="68"/>
      <c r="F483" s="69">
        <v>40</v>
      </c>
      <c r="G483" s="66"/>
      <c r="H483" s="70"/>
      <c r="I483" s="71"/>
      <c r="J483" s="71"/>
      <c r="K483" s="35" t="s">
        <v>66</v>
      </c>
      <c r="L483" s="79">
        <v>483</v>
      </c>
      <c r="M483" s="79"/>
      <c r="N483" s="73"/>
      <c r="O483" s="81" t="s">
        <v>292</v>
      </c>
      <c r="P483">
        <v>1</v>
      </c>
      <c r="Q483" s="80" t="str">
        <f>REPLACE(INDEX(GroupVertices[Group],MATCH(Edges[[#This Row],[Vertex 1]],GroupVertices[Vertex],0)),1,1,"")</f>
        <v>1</v>
      </c>
      <c r="R483" s="80" t="str">
        <f>REPLACE(INDEX(GroupVertices[Group],MATCH(Edges[[#This Row],[Vertex 2]],GroupVertices[Vertex],0)),1,1,"")</f>
        <v>2</v>
      </c>
      <c r="S483" s="35"/>
      <c r="T483" s="35"/>
      <c r="U483" s="35"/>
      <c r="V483" s="35"/>
      <c r="W483" s="35"/>
      <c r="X483" s="35"/>
      <c r="Y483" s="35"/>
      <c r="Z483" s="35"/>
      <c r="AA483" s="35"/>
    </row>
    <row r="484" spans="1:27" ht="15">
      <c r="A484" s="65" t="s">
        <v>234</v>
      </c>
      <c r="B484" s="65" t="s">
        <v>232</v>
      </c>
      <c r="C484" s="66" t="s">
        <v>2113</v>
      </c>
      <c r="D484" s="67">
        <v>3</v>
      </c>
      <c r="E484" s="68"/>
      <c r="F484" s="69">
        <v>40</v>
      </c>
      <c r="G484" s="66"/>
      <c r="H484" s="70"/>
      <c r="I484" s="71"/>
      <c r="J484" s="71"/>
      <c r="K484" s="35" t="s">
        <v>66</v>
      </c>
      <c r="L484" s="79">
        <v>484</v>
      </c>
      <c r="M484" s="79"/>
      <c r="N484" s="73"/>
      <c r="O484" s="81" t="s">
        <v>292</v>
      </c>
      <c r="P484">
        <v>1</v>
      </c>
      <c r="Q484" s="80" t="str">
        <f>REPLACE(INDEX(GroupVertices[Group],MATCH(Edges[[#This Row],[Vertex 1]],GroupVertices[Vertex],0)),1,1,"")</f>
        <v>1</v>
      </c>
      <c r="R484" s="80" t="str">
        <f>REPLACE(INDEX(GroupVertices[Group],MATCH(Edges[[#This Row],[Vertex 2]],GroupVertices[Vertex],0)),1,1,"")</f>
        <v>2</v>
      </c>
      <c r="S484" s="35"/>
      <c r="T484" s="35"/>
      <c r="U484" s="35"/>
      <c r="V484" s="35"/>
      <c r="W484" s="35"/>
      <c r="X484" s="35"/>
      <c r="Y484" s="35"/>
      <c r="Z484" s="35"/>
      <c r="AA484" s="35"/>
    </row>
    <row r="485" spans="1:27" ht="15">
      <c r="A485" s="65" t="s">
        <v>243</v>
      </c>
      <c r="B485" s="65" t="s">
        <v>232</v>
      </c>
      <c r="C485" s="66" t="s">
        <v>2114</v>
      </c>
      <c r="D485" s="67">
        <v>3</v>
      </c>
      <c r="E485" s="68"/>
      <c r="F485" s="69">
        <v>40</v>
      </c>
      <c r="G485" s="66"/>
      <c r="H485" s="70"/>
      <c r="I485" s="71"/>
      <c r="J485" s="71"/>
      <c r="K485" s="35" t="s">
        <v>66</v>
      </c>
      <c r="L485" s="79">
        <v>485</v>
      </c>
      <c r="M485" s="79"/>
      <c r="N485" s="73"/>
      <c r="O485" s="81" t="s">
        <v>292</v>
      </c>
      <c r="P485">
        <v>2</v>
      </c>
      <c r="Q485" s="80" t="str">
        <f>REPLACE(INDEX(GroupVertices[Group],MATCH(Edges[[#This Row],[Vertex 1]],GroupVertices[Vertex],0)),1,1,"")</f>
        <v>1</v>
      </c>
      <c r="R485" s="80" t="str">
        <f>REPLACE(INDEX(GroupVertices[Group],MATCH(Edges[[#This Row],[Vertex 2]],GroupVertices[Vertex],0)),1,1,"")</f>
        <v>2</v>
      </c>
      <c r="S485" s="35"/>
      <c r="T485" s="35"/>
      <c r="U485" s="35"/>
      <c r="V485" s="35"/>
      <c r="W485" s="35"/>
      <c r="X485" s="35"/>
      <c r="Y485" s="35"/>
      <c r="Z485" s="35"/>
      <c r="AA485" s="35"/>
    </row>
    <row r="486" spans="1:27" ht="15">
      <c r="A486" s="65" t="s">
        <v>235</v>
      </c>
      <c r="B486" s="65" t="s">
        <v>232</v>
      </c>
      <c r="C486" s="66" t="s">
        <v>2114</v>
      </c>
      <c r="D486" s="67">
        <v>3</v>
      </c>
      <c r="E486" s="68"/>
      <c r="F486" s="69">
        <v>40</v>
      </c>
      <c r="G486" s="66"/>
      <c r="H486" s="70"/>
      <c r="I486" s="71"/>
      <c r="J486" s="71"/>
      <c r="K486" s="35" t="s">
        <v>66</v>
      </c>
      <c r="L486" s="79">
        <v>486</v>
      </c>
      <c r="M486" s="79"/>
      <c r="N486" s="73"/>
      <c r="O486" s="81" t="s">
        <v>292</v>
      </c>
      <c r="P486">
        <v>2</v>
      </c>
      <c r="Q486" s="80" t="str">
        <f>REPLACE(INDEX(GroupVertices[Group],MATCH(Edges[[#This Row],[Vertex 1]],GroupVertices[Vertex],0)),1,1,"")</f>
        <v>1</v>
      </c>
      <c r="R486" s="80" t="str">
        <f>REPLACE(INDEX(GroupVertices[Group],MATCH(Edges[[#This Row],[Vertex 2]],GroupVertices[Vertex],0)),1,1,"")</f>
        <v>2</v>
      </c>
      <c r="S486" s="35"/>
      <c r="T486" s="35"/>
      <c r="U486" s="35"/>
      <c r="V486" s="35"/>
      <c r="W486" s="35"/>
      <c r="X486" s="35"/>
      <c r="Y486" s="35"/>
      <c r="Z486" s="35"/>
      <c r="AA486" s="35"/>
    </row>
    <row r="487" spans="1:27" ht="15">
      <c r="A487" s="65" t="s">
        <v>216</v>
      </c>
      <c r="B487" s="65" t="s">
        <v>232</v>
      </c>
      <c r="C487" s="66" t="s">
        <v>2114</v>
      </c>
      <c r="D487" s="67">
        <v>3</v>
      </c>
      <c r="E487" s="68"/>
      <c r="F487" s="69">
        <v>40</v>
      </c>
      <c r="G487" s="66"/>
      <c r="H487" s="70"/>
      <c r="I487" s="71"/>
      <c r="J487" s="71"/>
      <c r="K487" s="35" t="s">
        <v>66</v>
      </c>
      <c r="L487" s="79">
        <v>487</v>
      </c>
      <c r="M487" s="79"/>
      <c r="N487" s="73"/>
      <c r="O487" s="81" t="s">
        <v>293</v>
      </c>
      <c r="P487">
        <v>2</v>
      </c>
      <c r="Q487" s="80" t="str">
        <f>REPLACE(INDEX(GroupVertices[Group],MATCH(Edges[[#This Row],[Vertex 1]],GroupVertices[Vertex],0)),1,1,"")</f>
        <v>1</v>
      </c>
      <c r="R487" s="80" t="str">
        <f>REPLACE(INDEX(GroupVertices[Group],MATCH(Edges[[#This Row],[Vertex 2]],GroupVertices[Vertex],0)),1,1,"")</f>
        <v>2</v>
      </c>
      <c r="S487" s="35"/>
      <c r="T487" s="35"/>
      <c r="U487" s="35"/>
      <c r="V487" s="35"/>
      <c r="W487" s="35"/>
      <c r="X487" s="35"/>
      <c r="Y487" s="35"/>
      <c r="Z487" s="35"/>
      <c r="AA487" s="35"/>
    </row>
    <row r="488" spans="1:27" ht="15">
      <c r="A488" s="65" t="s">
        <v>233</v>
      </c>
      <c r="B488" s="65" t="s">
        <v>216</v>
      </c>
      <c r="C488" s="66" t="s">
        <v>2113</v>
      </c>
      <c r="D488" s="67">
        <v>3</v>
      </c>
      <c r="E488" s="68"/>
      <c r="F488" s="69">
        <v>40</v>
      </c>
      <c r="G488" s="66"/>
      <c r="H488" s="70"/>
      <c r="I488" s="71"/>
      <c r="J488" s="71"/>
      <c r="K488" s="35" t="s">
        <v>66</v>
      </c>
      <c r="L488" s="79">
        <v>488</v>
      </c>
      <c r="M488" s="79"/>
      <c r="N488" s="73"/>
      <c r="O488" s="81" t="s">
        <v>292</v>
      </c>
      <c r="P488">
        <v>1</v>
      </c>
      <c r="Q488" s="80" t="str">
        <f>REPLACE(INDEX(GroupVertices[Group],MATCH(Edges[[#This Row],[Vertex 1]],GroupVertices[Vertex],0)),1,1,"")</f>
        <v>1</v>
      </c>
      <c r="R488" s="80" t="str">
        <f>REPLACE(INDEX(GroupVertices[Group],MATCH(Edges[[#This Row],[Vertex 2]],GroupVertices[Vertex],0)),1,1,"")</f>
        <v>1</v>
      </c>
      <c r="S488" s="35"/>
      <c r="T488" s="35"/>
      <c r="U488" s="35"/>
      <c r="V488" s="35"/>
      <c r="W488" s="35"/>
      <c r="X488" s="35"/>
      <c r="Y488" s="35"/>
      <c r="Z488" s="35"/>
      <c r="AA488" s="35"/>
    </row>
    <row r="489" spans="1:27" ht="15">
      <c r="A489" s="65" t="s">
        <v>234</v>
      </c>
      <c r="B489" s="65" t="s">
        <v>233</v>
      </c>
      <c r="C489" s="66" t="s">
        <v>2114</v>
      </c>
      <c r="D489" s="67">
        <v>3</v>
      </c>
      <c r="E489" s="68"/>
      <c r="F489" s="69">
        <v>40</v>
      </c>
      <c r="G489" s="66"/>
      <c r="H489" s="70"/>
      <c r="I489" s="71"/>
      <c r="J489" s="71"/>
      <c r="K489" s="35" t="s">
        <v>65</v>
      </c>
      <c r="L489" s="79">
        <v>489</v>
      </c>
      <c r="M489" s="79"/>
      <c r="N489" s="73"/>
      <c r="O489" s="81" t="s">
        <v>292</v>
      </c>
      <c r="P489">
        <v>2</v>
      </c>
      <c r="Q489" s="80" t="str">
        <f>REPLACE(INDEX(GroupVertices[Group],MATCH(Edges[[#This Row],[Vertex 1]],GroupVertices[Vertex],0)),1,1,"")</f>
        <v>1</v>
      </c>
      <c r="R489" s="80" t="str">
        <f>REPLACE(INDEX(GroupVertices[Group],MATCH(Edges[[#This Row],[Vertex 2]],GroupVertices[Vertex],0)),1,1,"")</f>
        <v>1</v>
      </c>
      <c r="S489" s="35"/>
      <c r="T489" s="35"/>
      <c r="U489" s="35"/>
      <c r="V489" s="35"/>
      <c r="W489" s="35"/>
      <c r="X489" s="35"/>
      <c r="Y489" s="35"/>
      <c r="Z489" s="35"/>
      <c r="AA489" s="35"/>
    </row>
    <row r="490" spans="1:27" ht="15">
      <c r="A490" s="65" t="s">
        <v>243</v>
      </c>
      <c r="B490" s="65" t="s">
        <v>233</v>
      </c>
      <c r="C490" s="66" t="s">
        <v>2114</v>
      </c>
      <c r="D490" s="67">
        <v>3</v>
      </c>
      <c r="E490" s="68"/>
      <c r="F490" s="69">
        <v>40</v>
      </c>
      <c r="G490" s="66"/>
      <c r="H490" s="70"/>
      <c r="I490" s="71"/>
      <c r="J490" s="71"/>
      <c r="K490" s="35" t="s">
        <v>65</v>
      </c>
      <c r="L490" s="79">
        <v>490</v>
      </c>
      <c r="M490" s="79"/>
      <c r="N490" s="73"/>
      <c r="O490" s="81" t="s">
        <v>292</v>
      </c>
      <c r="P490">
        <v>2</v>
      </c>
      <c r="Q490" s="80" t="str">
        <f>REPLACE(INDEX(GroupVertices[Group],MATCH(Edges[[#This Row],[Vertex 1]],GroupVertices[Vertex],0)),1,1,"")</f>
        <v>1</v>
      </c>
      <c r="R490" s="80" t="str">
        <f>REPLACE(INDEX(GroupVertices[Group],MATCH(Edges[[#This Row],[Vertex 2]],GroupVertices[Vertex],0)),1,1,"")</f>
        <v>1</v>
      </c>
      <c r="S490" s="35"/>
      <c r="T490" s="35"/>
      <c r="U490" s="35"/>
      <c r="V490" s="35"/>
      <c r="W490" s="35"/>
      <c r="X490" s="35"/>
      <c r="Y490" s="35"/>
      <c r="Z490" s="35"/>
      <c r="AA490" s="35"/>
    </row>
    <row r="491" spans="1:27" ht="15">
      <c r="A491" s="65" t="s">
        <v>235</v>
      </c>
      <c r="B491" s="65" t="s">
        <v>233</v>
      </c>
      <c r="C491" s="66" t="s">
        <v>2115</v>
      </c>
      <c r="D491" s="67">
        <v>3</v>
      </c>
      <c r="E491" s="68"/>
      <c r="F491" s="69">
        <v>40</v>
      </c>
      <c r="G491" s="66"/>
      <c r="H491" s="70"/>
      <c r="I491" s="71"/>
      <c r="J491" s="71"/>
      <c r="K491" s="35" t="s">
        <v>65</v>
      </c>
      <c r="L491" s="79">
        <v>491</v>
      </c>
      <c r="M491" s="79"/>
      <c r="N491" s="73"/>
      <c r="O491" s="81" t="s">
        <v>292</v>
      </c>
      <c r="P491">
        <v>3</v>
      </c>
      <c r="Q491" s="80" t="str">
        <f>REPLACE(INDEX(GroupVertices[Group],MATCH(Edges[[#This Row],[Vertex 1]],GroupVertices[Vertex],0)),1,1,"")</f>
        <v>1</v>
      </c>
      <c r="R491" s="80" t="str">
        <f>REPLACE(INDEX(GroupVertices[Group],MATCH(Edges[[#This Row],[Vertex 2]],GroupVertices[Vertex],0)),1,1,"")</f>
        <v>1</v>
      </c>
      <c r="S491" s="35"/>
      <c r="T491" s="35"/>
      <c r="U491" s="35"/>
      <c r="V491" s="35"/>
      <c r="W491" s="35"/>
      <c r="X491" s="35"/>
      <c r="Y491" s="35"/>
      <c r="Z491" s="35"/>
      <c r="AA491" s="35"/>
    </row>
    <row r="492" spans="1:27" ht="15">
      <c r="A492" s="65" t="s">
        <v>216</v>
      </c>
      <c r="B492" s="65" t="s">
        <v>233</v>
      </c>
      <c r="C492" s="66" t="s">
        <v>2114</v>
      </c>
      <c r="D492" s="67">
        <v>3</v>
      </c>
      <c r="E492" s="68"/>
      <c r="F492" s="69">
        <v>40</v>
      </c>
      <c r="G492" s="66"/>
      <c r="H492" s="70"/>
      <c r="I492" s="71"/>
      <c r="J492" s="71"/>
      <c r="K492" s="35" t="s">
        <v>66</v>
      </c>
      <c r="L492" s="79">
        <v>492</v>
      </c>
      <c r="M492" s="79"/>
      <c r="N492" s="73"/>
      <c r="O492" s="81" t="s">
        <v>293</v>
      </c>
      <c r="P492">
        <v>2</v>
      </c>
      <c r="Q492" s="80" t="str">
        <f>REPLACE(INDEX(GroupVertices[Group],MATCH(Edges[[#This Row],[Vertex 1]],GroupVertices[Vertex],0)),1,1,"")</f>
        <v>1</v>
      </c>
      <c r="R492" s="80" t="str">
        <f>REPLACE(INDEX(GroupVertices[Group],MATCH(Edges[[#This Row],[Vertex 2]],GroupVertices[Vertex],0)),1,1,"")</f>
        <v>1</v>
      </c>
      <c r="S492" s="35"/>
      <c r="T492" s="35"/>
      <c r="U492" s="35"/>
      <c r="V492" s="35"/>
      <c r="W492" s="35"/>
      <c r="X492" s="35"/>
      <c r="Y492" s="35"/>
      <c r="Z492" s="35"/>
      <c r="AA492" s="35"/>
    </row>
    <row r="493" spans="1:27" ht="15">
      <c r="A493" s="65" t="s">
        <v>234</v>
      </c>
      <c r="B493" s="65" t="s">
        <v>216</v>
      </c>
      <c r="C493" s="66" t="s">
        <v>2113</v>
      </c>
      <c r="D493" s="67">
        <v>3</v>
      </c>
      <c r="E493" s="68"/>
      <c r="F493" s="69">
        <v>40</v>
      </c>
      <c r="G493" s="66"/>
      <c r="H493" s="70"/>
      <c r="I493" s="71"/>
      <c r="J493" s="71"/>
      <c r="K493" s="35" t="s">
        <v>66</v>
      </c>
      <c r="L493" s="79">
        <v>493</v>
      </c>
      <c r="M493" s="79"/>
      <c r="N493" s="73"/>
      <c r="O493" s="81" t="s">
        <v>292</v>
      </c>
      <c r="P493">
        <v>1</v>
      </c>
      <c r="Q493" s="80" t="str">
        <f>REPLACE(INDEX(GroupVertices[Group],MATCH(Edges[[#This Row],[Vertex 1]],GroupVertices[Vertex],0)),1,1,"")</f>
        <v>1</v>
      </c>
      <c r="R493" s="80" t="str">
        <f>REPLACE(INDEX(GroupVertices[Group],MATCH(Edges[[#This Row],[Vertex 2]],GroupVertices[Vertex],0)),1,1,"")</f>
        <v>1</v>
      </c>
      <c r="S493" s="35"/>
      <c r="T493" s="35"/>
      <c r="U493" s="35"/>
      <c r="V493" s="35"/>
      <c r="W493" s="35"/>
      <c r="X493" s="35"/>
      <c r="Y493" s="35"/>
      <c r="Z493" s="35"/>
      <c r="AA493" s="35"/>
    </row>
    <row r="494" spans="1:27" ht="15">
      <c r="A494" s="65" t="s">
        <v>235</v>
      </c>
      <c r="B494" s="65" t="s">
        <v>234</v>
      </c>
      <c r="C494" s="66" t="s">
        <v>2114</v>
      </c>
      <c r="D494" s="67">
        <v>3</v>
      </c>
      <c r="E494" s="68"/>
      <c r="F494" s="69">
        <v>40</v>
      </c>
      <c r="G494" s="66"/>
      <c r="H494" s="70"/>
      <c r="I494" s="71"/>
      <c r="J494" s="71"/>
      <c r="K494" s="35" t="s">
        <v>66</v>
      </c>
      <c r="L494" s="79">
        <v>494</v>
      </c>
      <c r="M494" s="79"/>
      <c r="N494" s="73"/>
      <c r="O494" s="81" t="s">
        <v>292</v>
      </c>
      <c r="P494">
        <v>2</v>
      </c>
      <c r="Q494" s="80" t="str">
        <f>REPLACE(INDEX(GroupVertices[Group],MATCH(Edges[[#This Row],[Vertex 1]],GroupVertices[Vertex],0)),1,1,"")</f>
        <v>1</v>
      </c>
      <c r="R494" s="80" t="str">
        <f>REPLACE(INDEX(GroupVertices[Group],MATCH(Edges[[#This Row],[Vertex 2]],GroupVertices[Vertex],0)),1,1,"")</f>
        <v>1</v>
      </c>
      <c r="S494" s="35"/>
      <c r="T494" s="35"/>
      <c r="U494" s="35"/>
      <c r="V494" s="35"/>
      <c r="W494" s="35"/>
      <c r="X494" s="35"/>
      <c r="Y494" s="35"/>
      <c r="Z494" s="35"/>
      <c r="AA494" s="35"/>
    </row>
    <row r="495" spans="1:27" ht="15">
      <c r="A495" s="65" t="s">
        <v>216</v>
      </c>
      <c r="B495" s="65" t="s">
        <v>234</v>
      </c>
      <c r="C495" s="66" t="s">
        <v>2114</v>
      </c>
      <c r="D495" s="67">
        <v>3</v>
      </c>
      <c r="E495" s="68"/>
      <c r="F495" s="69">
        <v>40</v>
      </c>
      <c r="G495" s="66"/>
      <c r="H495" s="70"/>
      <c r="I495" s="71"/>
      <c r="J495" s="71"/>
      <c r="K495" s="35" t="s">
        <v>66</v>
      </c>
      <c r="L495" s="79">
        <v>495</v>
      </c>
      <c r="M495" s="79"/>
      <c r="N495" s="73"/>
      <c r="O495" s="81" t="s">
        <v>293</v>
      </c>
      <c r="P495">
        <v>2</v>
      </c>
      <c r="Q495" s="80" t="str">
        <f>REPLACE(INDEX(GroupVertices[Group],MATCH(Edges[[#This Row],[Vertex 1]],GroupVertices[Vertex],0)),1,1,"")</f>
        <v>1</v>
      </c>
      <c r="R495" s="80" t="str">
        <f>REPLACE(INDEX(GroupVertices[Group],MATCH(Edges[[#This Row],[Vertex 2]],GroupVertices[Vertex],0)),1,1,"")</f>
        <v>1</v>
      </c>
      <c r="S495" s="35"/>
      <c r="T495" s="35"/>
      <c r="U495" s="35"/>
      <c r="V495" s="35"/>
      <c r="W495" s="35"/>
      <c r="X495" s="35"/>
      <c r="Y495" s="35"/>
      <c r="Z495" s="35"/>
      <c r="AA495" s="35"/>
    </row>
    <row r="496" spans="1:27" ht="15">
      <c r="A496" s="65" t="s">
        <v>260</v>
      </c>
      <c r="B496" s="65" t="s">
        <v>243</v>
      </c>
      <c r="C496" s="66" t="s">
        <v>2113</v>
      </c>
      <c r="D496" s="67">
        <v>3</v>
      </c>
      <c r="E496" s="68"/>
      <c r="F496" s="69">
        <v>40</v>
      </c>
      <c r="G496" s="66"/>
      <c r="H496" s="70"/>
      <c r="I496" s="71"/>
      <c r="J496" s="71"/>
      <c r="K496" s="35" t="s">
        <v>65</v>
      </c>
      <c r="L496" s="79">
        <v>496</v>
      </c>
      <c r="M496" s="79"/>
      <c r="N496" s="73"/>
      <c r="O496" s="81" t="s">
        <v>292</v>
      </c>
      <c r="P496">
        <v>1</v>
      </c>
      <c r="Q496" s="80" t="str">
        <f>REPLACE(INDEX(GroupVertices[Group],MATCH(Edges[[#This Row],[Vertex 1]],GroupVertices[Vertex],0)),1,1,"")</f>
        <v>3</v>
      </c>
      <c r="R496" s="80" t="str">
        <f>REPLACE(INDEX(GroupVertices[Group],MATCH(Edges[[#This Row],[Vertex 2]],GroupVertices[Vertex],0)),1,1,"")</f>
        <v>1</v>
      </c>
      <c r="S496" s="35"/>
      <c r="T496" s="35"/>
      <c r="U496" s="35"/>
      <c r="V496" s="35"/>
      <c r="W496" s="35"/>
      <c r="X496" s="35"/>
      <c r="Y496" s="35"/>
      <c r="Z496" s="35"/>
      <c r="AA496" s="35"/>
    </row>
    <row r="497" spans="1:27" ht="15">
      <c r="A497" s="65" t="s">
        <v>216</v>
      </c>
      <c r="B497" s="65" t="s">
        <v>243</v>
      </c>
      <c r="C497" s="66" t="s">
        <v>2113</v>
      </c>
      <c r="D497" s="67">
        <v>3</v>
      </c>
      <c r="E497" s="68"/>
      <c r="F497" s="69">
        <v>40</v>
      </c>
      <c r="G497" s="66"/>
      <c r="H497" s="70"/>
      <c r="I497" s="71"/>
      <c r="J497" s="71"/>
      <c r="K497" s="35" t="s">
        <v>65</v>
      </c>
      <c r="L497" s="79">
        <v>497</v>
      </c>
      <c r="M497" s="79"/>
      <c r="N497" s="73"/>
      <c r="O497" s="81" t="s">
        <v>293</v>
      </c>
      <c r="P497">
        <v>1</v>
      </c>
      <c r="Q497" s="80" t="str">
        <f>REPLACE(INDEX(GroupVertices[Group],MATCH(Edges[[#This Row],[Vertex 1]],GroupVertices[Vertex],0)),1,1,"")</f>
        <v>1</v>
      </c>
      <c r="R497" s="80" t="str">
        <f>REPLACE(INDEX(GroupVertices[Group],MATCH(Edges[[#This Row],[Vertex 2]],GroupVertices[Vertex],0)),1,1,"")</f>
        <v>1</v>
      </c>
      <c r="S497" s="35"/>
      <c r="T497" s="35"/>
      <c r="U497" s="35"/>
      <c r="V497" s="35"/>
      <c r="W497" s="35"/>
      <c r="X497" s="35"/>
      <c r="Y497" s="35"/>
      <c r="Z497" s="35"/>
      <c r="AA497" s="35"/>
    </row>
    <row r="498" spans="1:27" ht="15">
      <c r="A498" s="65" t="s">
        <v>235</v>
      </c>
      <c r="B498" s="65" t="s">
        <v>216</v>
      </c>
      <c r="C498" s="66" t="s">
        <v>2114</v>
      </c>
      <c r="D498" s="67">
        <v>3</v>
      </c>
      <c r="E498" s="68"/>
      <c r="F498" s="69">
        <v>40</v>
      </c>
      <c r="G498" s="66"/>
      <c r="H498" s="70"/>
      <c r="I498" s="71"/>
      <c r="J498" s="71"/>
      <c r="K498" s="35" t="s">
        <v>66</v>
      </c>
      <c r="L498" s="79">
        <v>498</v>
      </c>
      <c r="M498" s="79"/>
      <c r="N498" s="73"/>
      <c r="O498" s="81" t="s">
        <v>292</v>
      </c>
      <c r="P498">
        <v>2</v>
      </c>
      <c r="Q498" s="80" t="str">
        <f>REPLACE(INDEX(GroupVertices[Group],MATCH(Edges[[#This Row],[Vertex 1]],GroupVertices[Vertex],0)),1,1,"")</f>
        <v>1</v>
      </c>
      <c r="R498" s="80" t="str">
        <f>REPLACE(INDEX(GroupVertices[Group],MATCH(Edges[[#This Row],[Vertex 2]],GroupVertices[Vertex],0)),1,1,"")</f>
        <v>1</v>
      </c>
      <c r="S498" s="35"/>
      <c r="T498" s="35"/>
      <c r="U498" s="35"/>
      <c r="V498" s="35"/>
      <c r="W498" s="35"/>
      <c r="X498" s="35"/>
      <c r="Y498" s="35"/>
      <c r="Z498" s="35"/>
      <c r="AA498" s="35"/>
    </row>
    <row r="499" spans="1:27" ht="15">
      <c r="A499" s="65" t="s">
        <v>216</v>
      </c>
      <c r="B499" s="65" t="s">
        <v>235</v>
      </c>
      <c r="C499" s="66" t="s">
        <v>2114</v>
      </c>
      <c r="D499" s="67">
        <v>3</v>
      </c>
      <c r="E499" s="68"/>
      <c r="F499" s="69">
        <v>40</v>
      </c>
      <c r="G499" s="66"/>
      <c r="H499" s="70"/>
      <c r="I499" s="71"/>
      <c r="J499" s="71"/>
      <c r="K499" s="35" t="s">
        <v>66</v>
      </c>
      <c r="L499" s="79">
        <v>499</v>
      </c>
      <c r="M499" s="79"/>
      <c r="N499" s="73"/>
      <c r="O499" s="81" t="s">
        <v>293</v>
      </c>
      <c r="P499">
        <v>2</v>
      </c>
      <c r="Q499" s="80" t="str">
        <f>REPLACE(INDEX(GroupVertices[Group],MATCH(Edges[[#This Row],[Vertex 1]],GroupVertices[Vertex],0)),1,1,"")</f>
        <v>1</v>
      </c>
      <c r="R499" s="80" t="str">
        <f>REPLACE(INDEX(GroupVertices[Group],MATCH(Edges[[#This Row],[Vertex 2]],GroupVertices[Vertex],0)),1,1,"")</f>
        <v>1</v>
      </c>
      <c r="S499" s="35"/>
      <c r="T499" s="35"/>
      <c r="U499" s="35"/>
      <c r="V499" s="35"/>
      <c r="W499" s="35"/>
      <c r="X499" s="35"/>
      <c r="Y499" s="35"/>
      <c r="Z499" s="35"/>
      <c r="AA499" s="35"/>
    </row>
    <row r="500" spans="1:27" ht="15">
      <c r="A500" s="65" t="s">
        <v>261</v>
      </c>
      <c r="B500" s="65" t="s">
        <v>289</v>
      </c>
      <c r="C500" s="66" t="s">
        <v>2113</v>
      </c>
      <c r="D500" s="67">
        <v>3</v>
      </c>
      <c r="E500" s="68"/>
      <c r="F500" s="69">
        <v>40</v>
      </c>
      <c r="G500" s="66"/>
      <c r="H500" s="70"/>
      <c r="I500" s="71"/>
      <c r="J500" s="71"/>
      <c r="K500" s="35" t="s">
        <v>65</v>
      </c>
      <c r="L500" s="79">
        <v>500</v>
      </c>
      <c r="M500" s="79"/>
      <c r="N500" s="73"/>
      <c r="O500" s="81" t="s">
        <v>292</v>
      </c>
      <c r="P500">
        <v>1</v>
      </c>
      <c r="Q500" s="80" t="str">
        <f>REPLACE(INDEX(GroupVertices[Group],MATCH(Edges[[#This Row],[Vertex 1]],GroupVertices[Vertex],0)),1,1,"")</f>
        <v>3</v>
      </c>
      <c r="R500" s="80" t="str">
        <f>REPLACE(INDEX(GroupVertices[Group],MATCH(Edges[[#This Row],[Vertex 2]],GroupVertices[Vertex],0)),1,1,"")</f>
        <v>3</v>
      </c>
      <c r="S500" s="35"/>
      <c r="T500" s="35"/>
      <c r="U500" s="35"/>
      <c r="V500" s="35"/>
      <c r="W500" s="35"/>
      <c r="X500" s="35"/>
      <c r="Y500" s="35"/>
      <c r="Z500" s="35"/>
      <c r="AA500" s="35"/>
    </row>
    <row r="501" spans="1:27" ht="15">
      <c r="A501" s="65" t="s">
        <v>250</v>
      </c>
      <c r="B501" s="65" t="s">
        <v>289</v>
      </c>
      <c r="C501" s="66" t="s">
        <v>2113</v>
      </c>
      <c r="D501" s="67">
        <v>3</v>
      </c>
      <c r="E501" s="68"/>
      <c r="F501" s="69">
        <v>40</v>
      </c>
      <c r="G501" s="66"/>
      <c r="H501" s="70"/>
      <c r="I501" s="71"/>
      <c r="J501" s="71"/>
      <c r="K501" s="35" t="s">
        <v>65</v>
      </c>
      <c r="L501" s="79">
        <v>501</v>
      </c>
      <c r="M501" s="79"/>
      <c r="N501" s="73"/>
      <c r="O501" s="81" t="s">
        <v>292</v>
      </c>
      <c r="P501">
        <v>1</v>
      </c>
      <c r="Q501" s="80" t="str">
        <f>REPLACE(INDEX(GroupVertices[Group],MATCH(Edges[[#This Row],[Vertex 1]],GroupVertices[Vertex],0)),1,1,"")</f>
        <v>3</v>
      </c>
      <c r="R501" s="80" t="str">
        <f>REPLACE(INDEX(GroupVertices[Group],MATCH(Edges[[#This Row],[Vertex 2]],GroupVertices[Vertex],0)),1,1,"")</f>
        <v>3</v>
      </c>
      <c r="S501" s="35"/>
      <c r="T501" s="35"/>
      <c r="U501" s="35"/>
      <c r="V501" s="35"/>
      <c r="W501" s="35"/>
      <c r="X501" s="35"/>
      <c r="Y501" s="35"/>
      <c r="Z501" s="35"/>
      <c r="AA501" s="35"/>
    </row>
    <row r="502" spans="1:27" ht="15">
      <c r="A502" s="65" t="s">
        <v>256</v>
      </c>
      <c r="B502" s="65" t="s">
        <v>289</v>
      </c>
      <c r="C502" s="66" t="s">
        <v>2113</v>
      </c>
      <c r="D502" s="67">
        <v>3</v>
      </c>
      <c r="E502" s="68"/>
      <c r="F502" s="69">
        <v>40</v>
      </c>
      <c r="G502" s="66"/>
      <c r="H502" s="70"/>
      <c r="I502" s="71"/>
      <c r="J502" s="71"/>
      <c r="K502" s="35" t="s">
        <v>65</v>
      </c>
      <c r="L502" s="79">
        <v>502</v>
      </c>
      <c r="M502" s="79"/>
      <c r="N502" s="73"/>
      <c r="O502" s="81" t="s">
        <v>292</v>
      </c>
      <c r="P502">
        <v>1</v>
      </c>
      <c r="Q502" s="80" t="str">
        <f>REPLACE(INDEX(GroupVertices[Group],MATCH(Edges[[#This Row],[Vertex 1]],GroupVertices[Vertex],0)),1,1,"")</f>
        <v>3</v>
      </c>
      <c r="R502" s="80" t="str">
        <f>REPLACE(INDEX(GroupVertices[Group],MATCH(Edges[[#This Row],[Vertex 2]],GroupVertices[Vertex],0)),1,1,"")</f>
        <v>3</v>
      </c>
      <c r="S502" s="35"/>
      <c r="T502" s="35"/>
      <c r="U502" s="35"/>
      <c r="V502" s="35"/>
      <c r="W502" s="35"/>
      <c r="X502" s="35"/>
      <c r="Y502" s="35"/>
      <c r="Z502" s="35"/>
      <c r="AA502" s="35"/>
    </row>
    <row r="503" spans="1:27" ht="15">
      <c r="A503" s="65" t="s">
        <v>251</v>
      </c>
      <c r="B503" s="65" t="s">
        <v>289</v>
      </c>
      <c r="C503" s="66" t="s">
        <v>2113</v>
      </c>
      <c r="D503" s="67">
        <v>3</v>
      </c>
      <c r="E503" s="68"/>
      <c r="F503" s="69">
        <v>40</v>
      </c>
      <c r="G503" s="66"/>
      <c r="H503" s="70"/>
      <c r="I503" s="71"/>
      <c r="J503" s="71"/>
      <c r="K503" s="35" t="s">
        <v>65</v>
      </c>
      <c r="L503" s="79">
        <v>503</v>
      </c>
      <c r="M503" s="79"/>
      <c r="N503" s="73"/>
      <c r="O503" s="81" t="s">
        <v>292</v>
      </c>
      <c r="P503">
        <v>1</v>
      </c>
      <c r="Q503" s="80" t="str">
        <f>REPLACE(INDEX(GroupVertices[Group],MATCH(Edges[[#This Row],[Vertex 1]],GroupVertices[Vertex],0)),1,1,"")</f>
        <v>3</v>
      </c>
      <c r="R503" s="80" t="str">
        <f>REPLACE(INDEX(GroupVertices[Group],MATCH(Edges[[#This Row],[Vertex 2]],GroupVertices[Vertex],0)),1,1,"")</f>
        <v>3</v>
      </c>
      <c r="S503" s="35"/>
      <c r="T503" s="35"/>
      <c r="U503" s="35"/>
      <c r="V503" s="35"/>
      <c r="W503" s="35"/>
      <c r="X503" s="35"/>
      <c r="Y503" s="35"/>
      <c r="Z503" s="35"/>
      <c r="AA503" s="35"/>
    </row>
    <row r="504" spans="1:27" ht="15">
      <c r="A504" s="65" t="s">
        <v>262</v>
      </c>
      <c r="B504" s="65" t="s">
        <v>289</v>
      </c>
      <c r="C504" s="66" t="s">
        <v>2113</v>
      </c>
      <c r="D504" s="67">
        <v>3</v>
      </c>
      <c r="E504" s="68"/>
      <c r="F504" s="69">
        <v>40</v>
      </c>
      <c r="G504" s="66"/>
      <c r="H504" s="70"/>
      <c r="I504" s="71"/>
      <c r="J504" s="71"/>
      <c r="K504" s="35" t="s">
        <v>65</v>
      </c>
      <c r="L504" s="79">
        <v>504</v>
      </c>
      <c r="M504" s="79"/>
      <c r="N504" s="73"/>
      <c r="O504" s="81" t="s">
        <v>292</v>
      </c>
      <c r="P504">
        <v>1</v>
      </c>
      <c r="Q504" s="80" t="str">
        <f>REPLACE(INDEX(GroupVertices[Group],MATCH(Edges[[#This Row],[Vertex 1]],GroupVertices[Vertex],0)),1,1,"")</f>
        <v>3</v>
      </c>
      <c r="R504" s="80" t="str">
        <f>REPLACE(INDEX(GroupVertices[Group],MATCH(Edges[[#This Row],[Vertex 2]],GroupVertices[Vertex],0)),1,1,"")</f>
        <v>3</v>
      </c>
      <c r="S504" s="35"/>
      <c r="T504" s="35"/>
      <c r="U504" s="35"/>
      <c r="V504" s="35"/>
      <c r="W504" s="35"/>
      <c r="X504" s="35"/>
      <c r="Y504" s="35"/>
      <c r="Z504" s="35"/>
      <c r="AA504" s="35"/>
    </row>
    <row r="505" spans="1:27" ht="15">
      <c r="A505" s="65" t="s">
        <v>263</v>
      </c>
      <c r="B505" s="65" t="s">
        <v>289</v>
      </c>
      <c r="C505" s="66" t="s">
        <v>2113</v>
      </c>
      <c r="D505" s="67">
        <v>3</v>
      </c>
      <c r="E505" s="68"/>
      <c r="F505" s="69">
        <v>40</v>
      </c>
      <c r="G505" s="66"/>
      <c r="H505" s="70"/>
      <c r="I505" s="71"/>
      <c r="J505" s="71"/>
      <c r="K505" s="35" t="s">
        <v>65</v>
      </c>
      <c r="L505" s="79">
        <v>505</v>
      </c>
      <c r="M505" s="79"/>
      <c r="N505" s="73"/>
      <c r="O505" s="81" t="s">
        <v>292</v>
      </c>
      <c r="P505">
        <v>1</v>
      </c>
      <c r="Q505" s="80" t="str">
        <f>REPLACE(INDEX(GroupVertices[Group],MATCH(Edges[[#This Row],[Vertex 1]],GroupVertices[Vertex],0)),1,1,"")</f>
        <v>3</v>
      </c>
      <c r="R505" s="80" t="str">
        <f>REPLACE(INDEX(GroupVertices[Group],MATCH(Edges[[#This Row],[Vertex 2]],GroupVertices[Vertex],0)),1,1,"")</f>
        <v>3</v>
      </c>
      <c r="S505" s="35"/>
      <c r="T505" s="35"/>
      <c r="U505" s="35"/>
      <c r="V505" s="35"/>
      <c r="W505" s="35"/>
      <c r="X505" s="35"/>
      <c r="Y505" s="35"/>
      <c r="Z505" s="35"/>
      <c r="AA505" s="35"/>
    </row>
    <row r="506" spans="1:27" ht="15">
      <c r="A506" s="65" t="s">
        <v>264</v>
      </c>
      <c r="B506" s="65" t="s">
        <v>289</v>
      </c>
      <c r="C506" s="66" t="s">
        <v>2113</v>
      </c>
      <c r="D506" s="67">
        <v>3</v>
      </c>
      <c r="E506" s="68"/>
      <c r="F506" s="69">
        <v>40</v>
      </c>
      <c r="G506" s="66"/>
      <c r="H506" s="70"/>
      <c r="I506" s="71"/>
      <c r="J506" s="71"/>
      <c r="K506" s="35" t="s">
        <v>65</v>
      </c>
      <c r="L506" s="79">
        <v>506</v>
      </c>
      <c r="M506" s="79"/>
      <c r="N506" s="73"/>
      <c r="O506" s="81" t="s">
        <v>292</v>
      </c>
      <c r="P506">
        <v>1</v>
      </c>
      <c r="Q506" s="80" t="str">
        <f>REPLACE(INDEX(GroupVertices[Group],MATCH(Edges[[#This Row],[Vertex 1]],GroupVertices[Vertex],0)),1,1,"")</f>
        <v>3</v>
      </c>
      <c r="R506" s="80" t="str">
        <f>REPLACE(INDEX(GroupVertices[Group],MATCH(Edges[[#This Row],[Vertex 2]],GroupVertices[Vertex],0)),1,1,"")</f>
        <v>3</v>
      </c>
      <c r="S506" s="35"/>
      <c r="T506" s="35"/>
      <c r="U506" s="35"/>
      <c r="V506" s="35"/>
      <c r="W506" s="35"/>
      <c r="X506" s="35"/>
      <c r="Y506" s="35"/>
      <c r="Z506" s="35"/>
      <c r="AA506" s="35"/>
    </row>
    <row r="507" spans="1:27" ht="15">
      <c r="A507" s="65" t="s">
        <v>265</v>
      </c>
      <c r="B507" s="65" t="s">
        <v>289</v>
      </c>
      <c r="C507" s="66" t="s">
        <v>2113</v>
      </c>
      <c r="D507" s="67">
        <v>3</v>
      </c>
      <c r="E507" s="68"/>
      <c r="F507" s="69">
        <v>40</v>
      </c>
      <c r="G507" s="66"/>
      <c r="H507" s="70"/>
      <c r="I507" s="71"/>
      <c r="J507" s="71"/>
      <c r="K507" s="35" t="s">
        <v>65</v>
      </c>
      <c r="L507" s="79">
        <v>507</v>
      </c>
      <c r="M507" s="79"/>
      <c r="N507" s="73"/>
      <c r="O507" s="81" t="s">
        <v>292</v>
      </c>
      <c r="P507">
        <v>1</v>
      </c>
      <c r="Q507" s="80" t="str">
        <f>REPLACE(INDEX(GroupVertices[Group],MATCH(Edges[[#This Row],[Vertex 1]],GroupVertices[Vertex],0)),1,1,"")</f>
        <v>3</v>
      </c>
      <c r="R507" s="80" t="str">
        <f>REPLACE(INDEX(GroupVertices[Group],MATCH(Edges[[#This Row],[Vertex 2]],GroupVertices[Vertex],0)),1,1,"")</f>
        <v>3</v>
      </c>
      <c r="S507" s="35"/>
      <c r="T507" s="35"/>
      <c r="U507" s="35"/>
      <c r="V507" s="35"/>
      <c r="W507" s="35"/>
      <c r="X507" s="35"/>
      <c r="Y507" s="35"/>
      <c r="Z507" s="35"/>
      <c r="AA507" s="35"/>
    </row>
    <row r="508" spans="1:27" ht="15">
      <c r="A508" s="65" t="s">
        <v>266</v>
      </c>
      <c r="B508" s="65" t="s">
        <v>289</v>
      </c>
      <c r="C508" s="66" t="s">
        <v>2113</v>
      </c>
      <c r="D508" s="67">
        <v>3</v>
      </c>
      <c r="E508" s="68"/>
      <c r="F508" s="69">
        <v>40</v>
      </c>
      <c r="G508" s="66"/>
      <c r="H508" s="70"/>
      <c r="I508" s="71"/>
      <c r="J508" s="71"/>
      <c r="K508" s="35" t="s">
        <v>65</v>
      </c>
      <c r="L508" s="79">
        <v>508</v>
      </c>
      <c r="M508" s="79"/>
      <c r="N508" s="73"/>
      <c r="O508" s="81" t="s">
        <v>292</v>
      </c>
      <c r="P508">
        <v>1</v>
      </c>
      <c r="Q508" s="80" t="str">
        <f>REPLACE(INDEX(GroupVertices[Group],MATCH(Edges[[#This Row],[Vertex 1]],GroupVertices[Vertex],0)),1,1,"")</f>
        <v>3</v>
      </c>
      <c r="R508" s="80" t="str">
        <f>REPLACE(INDEX(GroupVertices[Group],MATCH(Edges[[#This Row],[Vertex 2]],GroupVertices[Vertex],0)),1,1,"")</f>
        <v>3</v>
      </c>
      <c r="S508" s="35"/>
      <c r="T508" s="35"/>
      <c r="U508" s="35"/>
      <c r="V508" s="35"/>
      <c r="W508" s="35"/>
      <c r="X508" s="35"/>
      <c r="Y508" s="35"/>
      <c r="Z508" s="35"/>
      <c r="AA508" s="35"/>
    </row>
    <row r="509" spans="1:27" ht="15">
      <c r="A509" s="65" t="s">
        <v>260</v>
      </c>
      <c r="B509" s="65" t="s">
        <v>289</v>
      </c>
      <c r="C509" s="66" t="s">
        <v>2113</v>
      </c>
      <c r="D509" s="67">
        <v>3</v>
      </c>
      <c r="E509" s="68"/>
      <c r="F509" s="69">
        <v>40</v>
      </c>
      <c r="G509" s="66"/>
      <c r="H509" s="70"/>
      <c r="I509" s="71"/>
      <c r="J509" s="71"/>
      <c r="K509" s="35" t="s">
        <v>65</v>
      </c>
      <c r="L509" s="79">
        <v>509</v>
      </c>
      <c r="M509" s="79"/>
      <c r="N509" s="73"/>
      <c r="O509" s="81" t="s">
        <v>292</v>
      </c>
      <c r="P509">
        <v>1</v>
      </c>
      <c r="Q509" s="80" t="str">
        <f>REPLACE(INDEX(GroupVertices[Group],MATCH(Edges[[#This Row],[Vertex 1]],GroupVertices[Vertex],0)),1,1,"")</f>
        <v>3</v>
      </c>
      <c r="R509" s="80" t="str">
        <f>REPLACE(INDEX(GroupVertices[Group],MATCH(Edges[[#This Row],[Vertex 2]],GroupVertices[Vertex],0)),1,1,"")</f>
        <v>3</v>
      </c>
      <c r="S509" s="35"/>
      <c r="T509" s="35"/>
      <c r="U509" s="35"/>
      <c r="V509" s="35"/>
      <c r="W509" s="35"/>
      <c r="X509" s="35"/>
      <c r="Y509" s="35"/>
      <c r="Z509" s="35"/>
      <c r="AA509" s="35"/>
    </row>
    <row r="510" spans="1:27" ht="15">
      <c r="A510" s="65" t="s">
        <v>267</v>
      </c>
      <c r="B510" s="65" t="s">
        <v>289</v>
      </c>
      <c r="C510" s="66" t="s">
        <v>2113</v>
      </c>
      <c r="D510" s="67">
        <v>3</v>
      </c>
      <c r="E510" s="68"/>
      <c r="F510" s="69">
        <v>40</v>
      </c>
      <c r="G510" s="66"/>
      <c r="H510" s="70"/>
      <c r="I510" s="71"/>
      <c r="J510" s="71"/>
      <c r="K510" s="35" t="s">
        <v>65</v>
      </c>
      <c r="L510" s="79">
        <v>510</v>
      </c>
      <c r="M510" s="79"/>
      <c r="N510" s="73"/>
      <c r="O510" s="81" t="s">
        <v>292</v>
      </c>
      <c r="P510">
        <v>1</v>
      </c>
      <c r="Q510" s="80" t="str">
        <f>REPLACE(INDEX(GroupVertices[Group],MATCH(Edges[[#This Row],[Vertex 1]],GroupVertices[Vertex],0)),1,1,"")</f>
        <v>3</v>
      </c>
      <c r="R510" s="80" t="str">
        <f>REPLACE(INDEX(GroupVertices[Group],MATCH(Edges[[#This Row],[Vertex 2]],GroupVertices[Vertex],0)),1,1,"")</f>
        <v>3</v>
      </c>
      <c r="S510" s="35"/>
      <c r="T510" s="35"/>
      <c r="U510" s="35"/>
      <c r="V510" s="35"/>
      <c r="W510" s="35"/>
      <c r="X510" s="35"/>
      <c r="Y510" s="35"/>
      <c r="Z510" s="35"/>
      <c r="AA510" s="35"/>
    </row>
    <row r="511" spans="1:27" ht="15">
      <c r="A511" s="65" t="s">
        <v>268</v>
      </c>
      <c r="B511" s="65" t="s">
        <v>289</v>
      </c>
      <c r="C511" s="66" t="s">
        <v>2113</v>
      </c>
      <c r="D511" s="67">
        <v>3</v>
      </c>
      <c r="E511" s="68"/>
      <c r="F511" s="69">
        <v>40</v>
      </c>
      <c r="G511" s="66"/>
      <c r="H511" s="70"/>
      <c r="I511" s="71"/>
      <c r="J511" s="71"/>
      <c r="K511" s="35" t="s">
        <v>65</v>
      </c>
      <c r="L511" s="79">
        <v>511</v>
      </c>
      <c r="M511" s="79"/>
      <c r="N511" s="73"/>
      <c r="O511" s="81" t="s">
        <v>292</v>
      </c>
      <c r="P511">
        <v>1</v>
      </c>
      <c r="Q511" s="80" t="str">
        <f>REPLACE(INDEX(GroupVertices[Group],MATCH(Edges[[#This Row],[Vertex 1]],GroupVertices[Vertex],0)),1,1,"")</f>
        <v>3</v>
      </c>
      <c r="R511" s="80" t="str">
        <f>REPLACE(INDEX(GroupVertices[Group],MATCH(Edges[[#This Row],[Vertex 2]],GroupVertices[Vertex],0)),1,1,"")</f>
        <v>3</v>
      </c>
      <c r="S511" s="35"/>
      <c r="T511" s="35"/>
      <c r="U511" s="35"/>
      <c r="V511" s="35"/>
      <c r="W511" s="35"/>
      <c r="X511" s="35"/>
      <c r="Y511" s="35"/>
      <c r="Z511" s="35"/>
      <c r="AA511" s="35"/>
    </row>
    <row r="512" spans="1:27" ht="15">
      <c r="A512" s="65" t="s">
        <v>269</v>
      </c>
      <c r="B512" s="65" t="s">
        <v>289</v>
      </c>
      <c r="C512" s="66" t="s">
        <v>2113</v>
      </c>
      <c r="D512" s="67">
        <v>3</v>
      </c>
      <c r="E512" s="68"/>
      <c r="F512" s="69">
        <v>40</v>
      </c>
      <c r="G512" s="66"/>
      <c r="H512" s="70"/>
      <c r="I512" s="71"/>
      <c r="J512" s="71"/>
      <c r="K512" s="35" t="s">
        <v>65</v>
      </c>
      <c r="L512" s="79">
        <v>512</v>
      </c>
      <c r="M512" s="79"/>
      <c r="N512" s="73"/>
      <c r="O512" s="81" t="s">
        <v>292</v>
      </c>
      <c r="P512">
        <v>1</v>
      </c>
      <c r="Q512" s="80" t="str">
        <f>REPLACE(INDEX(GroupVertices[Group],MATCH(Edges[[#This Row],[Vertex 1]],GroupVertices[Vertex],0)),1,1,"")</f>
        <v>3</v>
      </c>
      <c r="R512" s="80" t="str">
        <f>REPLACE(INDEX(GroupVertices[Group],MATCH(Edges[[#This Row],[Vertex 2]],GroupVertices[Vertex],0)),1,1,"")</f>
        <v>3</v>
      </c>
      <c r="S512" s="35"/>
      <c r="T512" s="35"/>
      <c r="U512" s="35"/>
      <c r="V512" s="35"/>
      <c r="W512" s="35"/>
      <c r="X512" s="35"/>
      <c r="Y512" s="35"/>
      <c r="Z512" s="35"/>
      <c r="AA512" s="35"/>
    </row>
    <row r="513" spans="1:27" ht="15">
      <c r="A513" s="65" t="s">
        <v>270</v>
      </c>
      <c r="B513" s="65" t="s">
        <v>289</v>
      </c>
      <c r="C513" s="66" t="s">
        <v>2113</v>
      </c>
      <c r="D513" s="67">
        <v>3</v>
      </c>
      <c r="E513" s="68"/>
      <c r="F513" s="69">
        <v>40</v>
      </c>
      <c r="G513" s="66"/>
      <c r="H513" s="70"/>
      <c r="I513" s="71"/>
      <c r="J513" s="71"/>
      <c r="K513" s="35" t="s">
        <v>65</v>
      </c>
      <c r="L513" s="79">
        <v>513</v>
      </c>
      <c r="M513" s="79"/>
      <c r="N513" s="73"/>
      <c r="O513" s="81" t="s">
        <v>292</v>
      </c>
      <c r="P513">
        <v>1</v>
      </c>
      <c r="Q513" s="80" t="str">
        <f>REPLACE(INDEX(GroupVertices[Group],MATCH(Edges[[#This Row],[Vertex 1]],GroupVertices[Vertex],0)),1,1,"")</f>
        <v>3</v>
      </c>
      <c r="R513" s="80" t="str">
        <f>REPLACE(INDEX(GroupVertices[Group],MATCH(Edges[[#This Row],[Vertex 2]],GroupVertices[Vertex],0)),1,1,"")</f>
        <v>3</v>
      </c>
      <c r="S513" s="35"/>
      <c r="T513" s="35"/>
      <c r="U513" s="35"/>
      <c r="V513" s="35"/>
      <c r="W513" s="35"/>
      <c r="X513" s="35"/>
      <c r="Y513" s="35"/>
      <c r="Z513" s="35"/>
      <c r="AA513" s="35"/>
    </row>
    <row r="514" spans="1:27" ht="15">
      <c r="A514" s="65" t="s">
        <v>271</v>
      </c>
      <c r="B514" s="65" t="s">
        <v>289</v>
      </c>
      <c r="C514" s="66" t="s">
        <v>2113</v>
      </c>
      <c r="D514" s="67">
        <v>3</v>
      </c>
      <c r="E514" s="68"/>
      <c r="F514" s="69">
        <v>40</v>
      </c>
      <c r="G514" s="66"/>
      <c r="H514" s="70"/>
      <c r="I514" s="71"/>
      <c r="J514" s="71"/>
      <c r="K514" s="35" t="s">
        <v>65</v>
      </c>
      <c r="L514" s="79">
        <v>514</v>
      </c>
      <c r="M514" s="79"/>
      <c r="N514" s="73"/>
      <c r="O514" s="81" t="s">
        <v>292</v>
      </c>
      <c r="P514">
        <v>1</v>
      </c>
      <c r="Q514" s="80" t="str">
        <f>REPLACE(INDEX(GroupVertices[Group],MATCH(Edges[[#This Row],[Vertex 1]],GroupVertices[Vertex],0)),1,1,"")</f>
        <v>3</v>
      </c>
      <c r="R514" s="80" t="str">
        <f>REPLACE(INDEX(GroupVertices[Group],MATCH(Edges[[#This Row],[Vertex 2]],GroupVertices[Vertex],0)),1,1,"")</f>
        <v>3</v>
      </c>
      <c r="S514" s="35"/>
      <c r="T514" s="35"/>
      <c r="U514" s="35"/>
      <c r="V514" s="35"/>
      <c r="W514" s="35"/>
      <c r="X514" s="35"/>
      <c r="Y514" s="35"/>
      <c r="Z514" s="35"/>
      <c r="AA514" s="35"/>
    </row>
    <row r="515" spans="1:27" ht="15">
      <c r="A515" s="65" t="s">
        <v>272</v>
      </c>
      <c r="B515" s="65" t="s">
        <v>289</v>
      </c>
      <c r="C515" s="66" t="s">
        <v>2113</v>
      </c>
      <c r="D515" s="67">
        <v>3</v>
      </c>
      <c r="E515" s="68"/>
      <c r="F515" s="69">
        <v>40</v>
      </c>
      <c r="G515" s="66"/>
      <c r="H515" s="70"/>
      <c r="I515" s="71"/>
      <c r="J515" s="71"/>
      <c r="K515" s="35" t="s">
        <v>65</v>
      </c>
      <c r="L515" s="79">
        <v>515</v>
      </c>
      <c r="M515" s="79"/>
      <c r="N515" s="73"/>
      <c r="O515" s="81" t="s">
        <v>292</v>
      </c>
      <c r="P515">
        <v>1</v>
      </c>
      <c r="Q515" s="80" t="str">
        <f>REPLACE(INDEX(GroupVertices[Group],MATCH(Edges[[#This Row],[Vertex 1]],GroupVertices[Vertex],0)),1,1,"")</f>
        <v>3</v>
      </c>
      <c r="R515" s="80" t="str">
        <f>REPLACE(INDEX(GroupVertices[Group],MATCH(Edges[[#This Row],[Vertex 2]],GroupVertices[Vertex],0)),1,1,"")</f>
        <v>3</v>
      </c>
      <c r="S515" s="35"/>
      <c r="T515" s="35"/>
      <c r="U515" s="35"/>
      <c r="V515" s="35"/>
      <c r="W515" s="35"/>
      <c r="X515" s="35"/>
      <c r="Y515" s="35"/>
      <c r="Z515" s="35"/>
      <c r="AA515" s="35"/>
    </row>
    <row r="516" spans="1:27" ht="15">
      <c r="A516" s="65" t="s">
        <v>257</v>
      </c>
      <c r="B516" s="65" t="s">
        <v>289</v>
      </c>
      <c r="C516" s="66" t="s">
        <v>2113</v>
      </c>
      <c r="D516" s="67">
        <v>3</v>
      </c>
      <c r="E516" s="68"/>
      <c r="F516" s="69">
        <v>40</v>
      </c>
      <c r="G516" s="66"/>
      <c r="H516" s="70"/>
      <c r="I516" s="71"/>
      <c r="J516" s="71"/>
      <c r="K516" s="35" t="s">
        <v>65</v>
      </c>
      <c r="L516" s="79">
        <v>516</v>
      </c>
      <c r="M516" s="79"/>
      <c r="N516" s="73"/>
      <c r="O516" s="81" t="s">
        <v>292</v>
      </c>
      <c r="P516">
        <v>1</v>
      </c>
      <c r="Q516" s="80" t="str">
        <f>REPLACE(INDEX(GroupVertices[Group],MATCH(Edges[[#This Row],[Vertex 1]],GroupVertices[Vertex],0)),1,1,"")</f>
        <v>3</v>
      </c>
      <c r="R516" s="80" t="str">
        <f>REPLACE(INDEX(GroupVertices[Group],MATCH(Edges[[#This Row],[Vertex 2]],GroupVertices[Vertex],0)),1,1,"")</f>
        <v>3</v>
      </c>
      <c r="S516" s="35"/>
      <c r="T516" s="35"/>
      <c r="U516" s="35"/>
      <c r="V516" s="35"/>
      <c r="W516" s="35"/>
      <c r="X516" s="35"/>
      <c r="Y516" s="35"/>
      <c r="Z516" s="35"/>
      <c r="AA516" s="35"/>
    </row>
    <row r="517" spans="1:27" ht="15">
      <c r="A517" s="65" t="s">
        <v>273</v>
      </c>
      <c r="B517" s="65" t="s">
        <v>289</v>
      </c>
      <c r="C517" s="66" t="s">
        <v>2113</v>
      </c>
      <c r="D517" s="67">
        <v>3</v>
      </c>
      <c r="E517" s="68"/>
      <c r="F517" s="69">
        <v>40</v>
      </c>
      <c r="G517" s="66"/>
      <c r="H517" s="70"/>
      <c r="I517" s="71"/>
      <c r="J517" s="71"/>
      <c r="K517" s="35" t="s">
        <v>65</v>
      </c>
      <c r="L517" s="79">
        <v>517</v>
      </c>
      <c r="M517" s="79"/>
      <c r="N517" s="73"/>
      <c r="O517" s="81" t="s">
        <v>293</v>
      </c>
      <c r="P517">
        <v>1</v>
      </c>
      <c r="Q517" s="80" t="str">
        <f>REPLACE(INDEX(GroupVertices[Group],MATCH(Edges[[#This Row],[Vertex 1]],GroupVertices[Vertex],0)),1,1,"")</f>
        <v>3</v>
      </c>
      <c r="R517" s="80" t="str">
        <f>REPLACE(INDEX(GroupVertices[Group],MATCH(Edges[[#This Row],[Vertex 2]],GroupVertices[Vertex],0)),1,1,"")</f>
        <v>3</v>
      </c>
      <c r="S517" s="35"/>
      <c r="T517" s="35"/>
      <c r="U517" s="35"/>
      <c r="V517" s="35"/>
      <c r="W517" s="35"/>
      <c r="X517" s="35"/>
      <c r="Y517" s="35"/>
      <c r="Z517" s="35"/>
      <c r="AA517" s="35"/>
    </row>
    <row r="518" spans="1:27" ht="15">
      <c r="A518" s="65" t="s">
        <v>250</v>
      </c>
      <c r="B518" s="65" t="s">
        <v>261</v>
      </c>
      <c r="C518" s="66" t="s">
        <v>2113</v>
      </c>
      <c r="D518" s="67">
        <v>3</v>
      </c>
      <c r="E518" s="68"/>
      <c r="F518" s="69">
        <v>40</v>
      </c>
      <c r="G518" s="66"/>
      <c r="H518" s="70"/>
      <c r="I518" s="71"/>
      <c r="J518" s="71"/>
      <c r="K518" s="35" t="s">
        <v>65</v>
      </c>
      <c r="L518" s="79">
        <v>518</v>
      </c>
      <c r="M518" s="79"/>
      <c r="N518" s="73"/>
      <c r="O518" s="81" t="s">
        <v>292</v>
      </c>
      <c r="P518">
        <v>1</v>
      </c>
      <c r="Q518" s="80" t="str">
        <f>REPLACE(INDEX(GroupVertices[Group],MATCH(Edges[[#This Row],[Vertex 1]],GroupVertices[Vertex],0)),1,1,"")</f>
        <v>3</v>
      </c>
      <c r="R518" s="80" t="str">
        <f>REPLACE(INDEX(GroupVertices[Group],MATCH(Edges[[#This Row],[Vertex 2]],GroupVertices[Vertex],0)),1,1,"")</f>
        <v>3</v>
      </c>
      <c r="S518" s="35"/>
      <c r="T518" s="35"/>
      <c r="U518" s="35"/>
      <c r="V518" s="35"/>
      <c r="W518" s="35"/>
      <c r="X518" s="35"/>
      <c r="Y518" s="35"/>
      <c r="Z518" s="35"/>
      <c r="AA518" s="35"/>
    </row>
    <row r="519" spans="1:27" ht="15">
      <c r="A519" s="65" t="s">
        <v>256</v>
      </c>
      <c r="B519" s="65" t="s">
        <v>261</v>
      </c>
      <c r="C519" s="66" t="s">
        <v>2113</v>
      </c>
      <c r="D519" s="67">
        <v>3</v>
      </c>
      <c r="E519" s="68"/>
      <c r="F519" s="69">
        <v>40</v>
      </c>
      <c r="G519" s="66"/>
      <c r="H519" s="70"/>
      <c r="I519" s="71"/>
      <c r="J519" s="71"/>
      <c r="K519" s="35" t="s">
        <v>65</v>
      </c>
      <c r="L519" s="79">
        <v>519</v>
      </c>
      <c r="M519" s="79"/>
      <c r="N519" s="73"/>
      <c r="O519" s="81" t="s">
        <v>292</v>
      </c>
      <c r="P519">
        <v>1</v>
      </c>
      <c r="Q519" s="80" t="str">
        <f>REPLACE(INDEX(GroupVertices[Group],MATCH(Edges[[#This Row],[Vertex 1]],GroupVertices[Vertex],0)),1,1,"")</f>
        <v>3</v>
      </c>
      <c r="R519" s="80" t="str">
        <f>REPLACE(INDEX(GroupVertices[Group],MATCH(Edges[[#This Row],[Vertex 2]],GroupVertices[Vertex],0)),1,1,"")</f>
        <v>3</v>
      </c>
      <c r="S519" s="35"/>
      <c r="T519" s="35"/>
      <c r="U519" s="35"/>
      <c r="V519" s="35"/>
      <c r="W519" s="35"/>
      <c r="X519" s="35"/>
      <c r="Y519" s="35"/>
      <c r="Z519" s="35"/>
      <c r="AA519" s="35"/>
    </row>
    <row r="520" spans="1:27" ht="15">
      <c r="A520" s="65" t="s">
        <v>251</v>
      </c>
      <c r="B520" s="65" t="s">
        <v>261</v>
      </c>
      <c r="C520" s="66" t="s">
        <v>2113</v>
      </c>
      <c r="D520" s="67">
        <v>3</v>
      </c>
      <c r="E520" s="68"/>
      <c r="F520" s="69">
        <v>40</v>
      </c>
      <c r="G520" s="66"/>
      <c r="H520" s="70"/>
      <c r="I520" s="71"/>
      <c r="J520" s="71"/>
      <c r="K520" s="35" t="s">
        <v>65</v>
      </c>
      <c r="L520" s="79">
        <v>520</v>
      </c>
      <c r="M520" s="79"/>
      <c r="N520" s="73"/>
      <c r="O520" s="81" t="s">
        <v>292</v>
      </c>
      <c r="P520">
        <v>1</v>
      </c>
      <c r="Q520" s="80" t="str">
        <f>REPLACE(INDEX(GroupVertices[Group],MATCH(Edges[[#This Row],[Vertex 1]],GroupVertices[Vertex],0)),1,1,"")</f>
        <v>3</v>
      </c>
      <c r="R520" s="80" t="str">
        <f>REPLACE(INDEX(GroupVertices[Group],MATCH(Edges[[#This Row],[Vertex 2]],GroupVertices[Vertex],0)),1,1,"")</f>
        <v>3</v>
      </c>
      <c r="S520" s="35"/>
      <c r="T520" s="35"/>
      <c r="U520" s="35"/>
      <c r="V520" s="35"/>
      <c r="W520" s="35"/>
      <c r="X520" s="35"/>
      <c r="Y520" s="35"/>
      <c r="Z520" s="35"/>
      <c r="AA520" s="35"/>
    </row>
    <row r="521" spans="1:27" ht="15">
      <c r="A521" s="65" t="s">
        <v>262</v>
      </c>
      <c r="B521" s="65" t="s">
        <v>261</v>
      </c>
      <c r="C521" s="66" t="s">
        <v>2113</v>
      </c>
      <c r="D521" s="67">
        <v>3</v>
      </c>
      <c r="E521" s="68"/>
      <c r="F521" s="69">
        <v>40</v>
      </c>
      <c r="G521" s="66"/>
      <c r="H521" s="70"/>
      <c r="I521" s="71"/>
      <c r="J521" s="71"/>
      <c r="K521" s="35" t="s">
        <v>65</v>
      </c>
      <c r="L521" s="79">
        <v>521</v>
      </c>
      <c r="M521" s="79"/>
      <c r="N521" s="73"/>
      <c r="O521" s="81" t="s">
        <v>292</v>
      </c>
      <c r="P521">
        <v>1</v>
      </c>
      <c r="Q521" s="80" t="str">
        <f>REPLACE(INDEX(GroupVertices[Group],MATCH(Edges[[#This Row],[Vertex 1]],GroupVertices[Vertex],0)),1,1,"")</f>
        <v>3</v>
      </c>
      <c r="R521" s="80" t="str">
        <f>REPLACE(INDEX(GroupVertices[Group],MATCH(Edges[[#This Row],[Vertex 2]],GroupVertices[Vertex],0)),1,1,"")</f>
        <v>3</v>
      </c>
      <c r="S521" s="35"/>
      <c r="T521" s="35"/>
      <c r="U521" s="35"/>
      <c r="V521" s="35"/>
      <c r="W521" s="35"/>
      <c r="X521" s="35"/>
      <c r="Y521" s="35"/>
      <c r="Z521" s="35"/>
      <c r="AA521" s="35"/>
    </row>
    <row r="522" spans="1:27" ht="15">
      <c r="A522" s="65" t="s">
        <v>263</v>
      </c>
      <c r="B522" s="65" t="s">
        <v>261</v>
      </c>
      <c r="C522" s="66" t="s">
        <v>2113</v>
      </c>
      <c r="D522" s="67">
        <v>3</v>
      </c>
      <c r="E522" s="68"/>
      <c r="F522" s="69">
        <v>40</v>
      </c>
      <c r="G522" s="66"/>
      <c r="H522" s="70"/>
      <c r="I522" s="71"/>
      <c r="J522" s="71"/>
      <c r="K522" s="35" t="s">
        <v>65</v>
      </c>
      <c r="L522" s="79">
        <v>522</v>
      </c>
      <c r="M522" s="79"/>
      <c r="N522" s="73"/>
      <c r="O522" s="81" t="s">
        <v>292</v>
      </c>
      <c r="P522">
        <v>1</v>
      </c>
      <c r="Q522" s="80" t="str">
        <f>REPLACE(INDEX(GroupVertices[Group],MATCH(Edges[[#This Row],[Vertex 1]],GroupVertices[Vertex],0)),1,1,"")</f>
        <v>3</v>
      </c>
      <c r="R522" s="80" t="str">
        <f>REPLACE(INDEX(GroupVertices[Group],MATCH(Edges[[#This Row],[Vertex 2]],GroupVertices[Vertex],0)),1,1,"")</f>
        <v>3</v>
      </c>
      <c r="S522" s="35"/>
      <c r="T522" s="35"/>
      <c r="U522" s="35"/>
      <c r="V522" s="35"/>
      <c r="W522" s="35"/>
      <c r="X522" s="35"/>
      <c r="Y522" s="35"/>
      <c r="Z522" s="35"/>
      <c r="AA522" s="35"/>
    </row>
    <row r="523" spans="1:27" ht="15">
      <c r="A523" s="65" t="s">
        <v>264</v>
      </c>
      <c r="B523" s="65" t="s">
        <v>261</v>
      </c>
      <c r="C523" s="66" t="s">
        <v>2113</v>
      </c>
      <c r="D523" s="67">
        <v>3</v>
      </c>
      <c r="E523" s="68"/>
      <c r="F523" s="69">
        <v>40</v>
      </c>
      <c r="G523" s="66"/>
      <c r="H523" s="70"/>
      <c r="I523" s="71"/>
      <c r="J523" s="71"/>
      <c r="K523" s="35" t="s">
        <v>65</v>
      </c>
      <c r="L523" s="79">
        <v>523</v>
      </c>
      <c r="M523" s="79"/>
      <c r="N523" s="73"/>
      <c r="O523" s="81" t="s">
        <v>292</v>
      </c>
      <c r="P523">
        <v>1</v>
      </c>
      <c r="Q523" s="80" t="str">
        <f>REPLACE(INDEX(GroupVertices[Group],MATCH(Edges[[#This Row],[Vertex 1]],GroupVertices[Vertex],0)),1,1,"")</f>
        <v>3</v>
      </c>
      <c r="R523" s="80" t="str">
        <f>REPLACE(INDEX(GroupVertices[Group],MATCH(Edges[[#This Row],[Vertex 2]],GroupVertices[Vertex],0)),1,1,"")</f>
        <v>3</v>
      </c>
      <c r="S523" s="35"/>
      <c r="T523" s="35"/>
      <c r="U523" s="35"/>
      <c r="V523" s="35"/>
      <c r="W523" s="35"/>
      <c r="X523" s="35"/>
      <c r="Y523" s="35"/>
      <c r="Z523" s="35"/>
      <c r="AA523" s="35"/>
    </row>
    <row r="524" spans="1:27" ht="15">
      <c r="A524" s="65" t="s">
        <v>265</v>
      </c>
      <c r="B524" s="65" t="s">
        <v>261</v>
      </c>
      <c r="C524" s="66" t="s">
        <v>2113</v>
      </c>
      <c r="D524" s="67">
        <v>3</v>
      </c>
      <c r="E524" s="68"/>
      <c r="F524" s="69">
        <v>40</v>
      </c>
      <c r="G524" s="66"/>
      <c r="H524" s="70"/>
      <c r="I524" s="71"/>
      <c r="J524" s="71"/>
      <c r="K524" s="35" t="s">
        <v>65</v>
      </c>
      <c r="L524" s="79">
        <v>524</v>
      </c>
      <c r="M524" s="79"/>
      <c r="N524" s="73"/>
      <c r="O524" s="81" t="s">
        <v>292</v>
      </c>
      <c r="P524">
        <v>1</v>
      </c>
      <c r="Q524" s="80" t="str">
        <f>REPLACE(INDEX(GroupVertices[Group],MATCH(Edges[[#This Row],[Vertex 1]],GroupVertices[Vertex],0)),1,1,"")</f>
        <v>3</v>
      </c>
      <c r="R524" s="80" t="str">
        <f>REPLACE(INDEX(GroupVertices[Group],MATCH(Edges[[#This Row],[Vertex 2]],GroupVertices[Vertex],0)),1,1,"")</f>
        <v>3</v>
      </c>
      <c r="S524" s="35"/>
      <c r="T524" s="35"/>
      <c r="U524" s="35"/>
      <c r="V524" s="35"/>
      <c r="W524" s="35"/>
      <c r="X524" s="35"/>
      <c r="Y524" s="35"/>
      <c r="Z524" s="35"/>
      <c r="AA524" s="35"/>
    </row>
    <row r="525" spans="1:27" ht="15">
      <c r="A525" s="65" t="s">
        <v>266</v>
      </c>
      <c r="B525" s="65" t="s">
        <v>261</v>
      </c>
      <c r="C525" s="66" t="s">
        <v>2113</v>
      </c>
      <c r="D525" s="67">
        <v>3</v>
      </c>
      <c r="E525" s="68"/>
      <c r="F525" s="69">
        <v>40</v>
      </c>
      <c r="G525" s="66"/>
      <c r="H525" s="70"/>
      <c r="I525" s="71"/>
      <c r="J525" s="71"/>
      <c r="K525" s="35" t="s">
        <v>65</v>
      </c>
      <c r="L525" s="79">
        <v>525</v>
      </c>
      <c r="M525" s="79"/>
      <c r="N525" s="73"/>
      <c r="O525" s="81" t="s">
        <v>292</v>
      </c>
      <c r="P525">
        <v>1</v>
      </c>
      <c r="Q525" s="80" t="str">
        <f>REPLACE(INDEX(GroupVertices[Group],MATCH(Edges[[#This Row],[Vertex 1]],GroupVertices[Vertex],0)),1,1,"")</f>
        <v>3</v>
      </c>
      <c r="R525" s="80" t="str">
        <f>REPLACE(INDEX(GroupVertices[Group],MATCH(Edges[[#This Row],[Vertex 2]],GroupVertices[Vertex],0)),1,1,"")</f>
        <v>3</v>
      </c>
      <c r="S525" s="35"/>
      <c r="T525" s="35"/>
      <c r="U525" s="35"/>
      <c r="V525" s="35"/>
      <c r="W525" s="35"/>
      <c r="X525" s="35"/>
      <c r="Y525" s="35"/>
      <c r="Z525" s="35"/>
      <c r="AA525" s="35"/>
    </row>
    <row r="526" spans="1:27" ht="15">
      <c r="A526" s="65" t="s">
        <v>260</v>
      </c>
      <c r="B526" s="65" t="s">
        <v>261</v>
      </c>
      <c r="C526" s="66" t="s">
        <v>2113</v>
      </c>
      <c r="D526" s="67">
        <v>3</v>
      </c>
      <c r="E526" s="68"/>
      <c r="F526" s="69">
        <v>40</v>
      </c>
      <c r="G526" s="66"/>
      <c r="H526" s="70"/>
      <c r="I526" s="71"/>
      <c r="J526" s="71"/>
      <c r="K526" s="35" t="s">
        <v>65</v>
      </c>
      <c r="L526" s="79">
        <v>526</v>
      </c>
      <c r="M526" s="79"/>
      <c r="N526" s="73"/>
      <c r="O526" s="81" t="s">
        <v>292</v>
      </c>
      <c r="P526">
        <v>1</v>
      </c>
      <c r="Q526" s="80" t="str">
        <f>REPLACE(INDEX(GroupVertices[Group],MATCH(Edges[[#This Row],[Vertex 1]],GroupVertices[Vertex],0)),1,1,"")</f>
        <v>3</v>
      </c>
      <c r="R526" s="80" t="str">
        <f>REPLACE(INDEX(GroupVertices[Group],MATCH(Edges[[#This Row],[Vertex 2]],GroupVertices[Vertex],0)),1,1,"")</f>
        <v>3</v>
      </c>
      <c r="S526" s="35"/>
      <c r="T526" s="35"/>
      <c r="U526" s="35"/>
      <c r="V526" s="35"/>
      <c r="W526" s="35"/>
      <c r="X526" s="35"/>
      <c r="Y526" s="35"/>
      <c r="Z526" s="35"/>
      <c r="AA526" s="35"/>
    </row>
    <row r="527" spans="1:27" ht="15">
      <c r="A527" s="65" t="s">
        <v>267</v>
      </c>
      <c r="B527" s="65" t="s">
        <v>261</v>
      </c>
      <c r="C527" s="66" t="s">
        <v>2113</v>
      </c>
      <c r="D527" s="67">
        <v>3</v>
      </c>
      <c r="E527" s="68"/>
      <c r="F527" s="69">
        <v>40</v>
      </c>
      <c r="G527" s="66"/>
      <c r="H527" s="70"/>
      <c r="I527" s="71"/>
      <c r="J527" s="71"/>
      <c r="K527" s="35" t="s">
        <v>65</v>
      </c>
      <c r="L527" s="79">
        <v>527</v>
      </c>
      <c r="M527" s="79"/>
      <c r="N527" s="73"/>
      <c r="O527" s="81" t="s">
        <v>292</v>
      </c>
      <c r="P527">
        <v>1</v>
      </c>
      <c r="Q527" s="80" t="str">
        <f>REPLACE(INDEX(GroupVertices[Group],MATCH(Edges[[#This Row],[Vertex 1]],GroupVertices[Vertex],0)),1,1,"")</f>
        <v>3</v>
      </c>
      <c r="R527" s="80" t="str">
        <f>REPLACE(INDEX(GroupVertices[Group],MATCH(Edges[[#This Row],[Vertex 2]],GroupVertices[Vertex],0)),1,1,"")</f>
        <v>3</v>
      </c>
      <c r="S527" s="35"/>
      <c r="T527" s="35"/>
      <c r="U527" s="35"/>
      <c r="V527" s="35"/>
      <c r="W527" s="35"/>
      <c r="X527" s="35"/>
      <c r="Y527" s="35"/>
      <c r="Z527" s="35"/>
      <c r="AA527" s="35"/>
    </row>
    <row r="528" spans="1:27" ht="15">
      <c r="A528" s="65" t="s">
        <v>268</v>
      </c>
      <c r="B528" s="65" t="s">
        <v>261</v>
      </c>
      <c r="C528" s="66" t="s">
        <v>2113</v>
      </c>
      <c r="D528" s="67">
        <v>3</v>
      </c>
      <c r="E528" s="68"/>
      <c r="F528" s="69">
        <v>40</v>
      </c>
      <c r="G528" s="66"/>
      <c r="H528" s="70"/>
      <c r="I528" s="71"/>
      <c r="J528" s="71"/>
      <c r="K528" s="35" t="s">
        <v>65</v>
      </c>
      <c r="L528" s="79">
        <v>528</v>
      </c>
      <c r="M528" s="79"/>
      <c r="N528" s="73"/>
      <c r="O528" s="81" t="s">
        <v>292</v>
      </c>
      <c r="P528">
        <v>1</v>
      </c>
      <c r="Q528" s="80" t="str">
        <f>REPLACE(INDEX(GroupVertices[Group],MATCH(Edges[[#This Row],[Vertex 1]],GroupVertices[Vertex],0)),1,1,"")</f>
        <v>3</v>
      </c>
      <c r="R528" s="80" t="str">
        <f>REPLACE(INDEX(GroupVertices[Group],MATCH(Edges[[#This Row],[Vertex 2]],GroupVertices[Vertex],0)),1,1,"")</f>
        <v>3</v>
      </c>
      <c r="S528" s="35"/>
      <c r="T528" s="35"/>
      <c r="U528" s="35"/>
      <c r="V528" s="35"/>
      <c r="W528" s="35"/>
      <c r="X528" s="35"/>
      <c r="Y528" s="35"/>
      <c r="Z528" s="35"/>
      <c r="AA528" s="35"/>
    </row>
    <row r="529" spans="1:27" ht="15">
      <c r="A529" s="65" t="s">
        <v>269</v>
      </c>
      <c r="B529" s="65" t="s">
        <v>261</v>
      </c>
      <c r="C529" s="66" t="s">
        <v>2113</v>
      </c>
      <c r="D529" s="67">
        <v>3</v>
      </c>
      <c r="E529" s="68"/>
      <c r="F529" s="69">
        <v>40</v>
      </c>
      <c r="G529" s="66"/>
      <c r="H529" s="70"/>
      <c r="I529" s="71"/>
      <c r="J529" s="71"/>
      <c r="K529" s="35" t="s">
        <v>65</v>
      </c>
      <c r="L529" s="79">
        <v>529</v>
      </c>
      <c r="M529" s="79"/>
      <c r="N529" s="73"/>
      <c r="O529" s="81" t="s">
        <v>292</v>
      </c>
      <c r="P529">
        <v>1</v>
      </c>
      <c r="Q529" s="80" t="str">
        <f>REPLACE(INDEX(GroupVertices[Group],MATCH(Edges[[#This Row],[Vertex 1]],GroupVertices[Vertex],0)),1,1,"")</f>
        <v>3</v>
      </c>
      <c r="R529" s="80" t="str">
        <f>REPLACE(INDEX(GroupVertices[Group],MATCH(Edges[[#This Row],[Vertex 2]],GroupVertices[Vertex],0)),1,1,"")</f>
        <v>3</v>
      </c>
      <c r="S529" s="35"/>
      <c r="T529" s="35"/>
      <c r="U529" s="35"/>
      <c r="V529" s="35"/>
      <c r="W529" s="35"/>
      <c r="X529" s="35"/>
      <c r="Y529" s="35"/>
      <c r="Z529" s="35"/>
      <c r="AA529" s="35"/>
    </row>
    <row r="530" spans="1:27" ht="15">
      <c r="A530" s="65" t="s">
        <v>270</v>
      </c>
      <c r="B530" s="65" t="s">
        <v>261</v>
      </c>
      <c r="C530" s="66" t="s">
        <v>2113</v>
      </c>
      <c r="D530" s="67">
        <v>3</v>
      </c>
      <c r="E530" s="68"/>
      <c r="F530" s="69">
        <v>40</v>
      </c>
      <c r="G530" s="66"/>
      <c r="H530" s="70"/>
      <c r="I530" s="71"/>
      <c r="J530" s="71"/>
      <c r="K530" s="35" t="s">
        <v>65</v>
      </c>
      <c r="L530" s="79">
        <v>530</v>
      </c>
      <c r="M530" s="79"/>
      <c r="N530" s="73"/>
      <c r="O530" s="81" t="s">
        <v>292</v>
      </c>
      <c r="P530">
        <v>1</v>
      </c>
      <c r="Q530" s="80" t="str">
        <f>REPLACE(INDEX(GroupVertices[Group],MATCH(Edges[[#This Row],[Vertex 1]],GroupVertices[Vertex],0)),1,1,"")</f>
        <v>3</v>
      </c>
      <c r="R530" s="80" t="str">
        <f>REPLACE(INDEX(GroupVertices[Group],MATCH(Edges[[#This Row],[Vertex 2]],GroupVertices[Vertex],0)),1,1,"")</f>
        <v>3</v>
      </c>
      <c r="S530" s="35"/>
      <c r="T530" s="35"/>
      <c r="U530" s="35"/>
      <c r="V530" s="35"/>
      <c r="W530" s="35"/>
      <c r="X530" s="35"/>
      <c r="Y530" s="35"/>
      <c r="Z530" s="35"/>
      <c r="AA530" s="35"/>
    </row>
    <row r="531" spans="1:27" ht="15">
      <c r="A531" s="65" t="s">
        <v>271</v>
      </c>
      <c r="B531" s="65" t="s">
        <v>261</v>
      </c>
      <c r="C531" s="66" t="s">
        <v>2113</v>
      </c>
      <c r="D531" s="67">
        <v>3</v>
      </c>
      <c r="E531" s="68"/>
      <c r="F531" s="69">
        <v>40</v>
      </c>
      <c r="G531" s="66"/>
      <c r="H531" s="70"/>
      <c r="I531" s="71"/>
      <c r="J531" s="71"/>
      <c r="K531" s="35" t="s">
        <v>65</v>
      </c>
      <c r="L531" s="79">
        <v>531</v>
      </c>
      <c r="M531" s="79"/>
      <c r="N531" s="73"/>
      <c r="O531" s="81" t="s">
        <v>292</v>
      </c>
      <c r="P531">
        <v>1</v>
      </c>
      <c r="Q531" s="80" t="str">
        <f>REPLACE(INDEX(GroupVertices[Group],MATCH(Edges[[#This Row],[Vertex 1]],GroupVertices[Vertex],0)),1,1,"")</f>
        <v>3</v>
      </c>
      <c r="R531" s="80" t="str">
        <f>REPLACE(INDEX(GroupVertices[Group],MATCH(Edges[[#This Row],[Vertex 2]],GroupVertices[Vertex],0)),1,1,"")</f>
        <v>3</v>
      </c>
      <c r="S531" s="35"/>
      <c r="T531" s="35"/>
      <c r="U531" s="35"/>
      <c r="V531" s="35"/>
      <c r="W531" s="35"/>
      <c r="X531" s="35"/>
      <c r="Y531" s="35"/>
      <c r="Z531" s="35"/>
      <c r="AA531" s="35"/>
    </row>
    <row r="532" spans="1:27" ht="15">
      <c r="A532" s="65" t="s">
        <v>272</v>
      </c>
      <c r="B532" s="65" t="s">
        <v>261</v>
      </c>
      <c r="C532" s="66" t="s">
        <v>2113</v>
      </c>
      <c r="D532" s="67">
        <v>3</v>
      </c>
      <c r="E532" s="68"/>
      <c r="F532" s="69">
        <v>40</v>
      </c>
      <c r="G532" s="66"/>
      <c r="H532" s="70"/>
      <c r="I532" s="71"/>
      <c r="J532" s="71"/>
      <c r="K532" s="35" t="s">
        <v>65</v>
      </c>
      <c r="L532" s="79">
        <v>532</v>
      </c>
      <c r="M532" s="79"/>
      <c r="N532" s="73"/>
      <c r="O532" s="81" t="s">
        <v>292</v>
      </c>
      <c r="P532">
        <v>1</v>
      </c>
      <c r="Q532" s="80" t="str">
        <f>REPLACE(INDEX(GroupVertices[Group],MATCH(Edges[[#This Row],[Vertex 1]],GroupVertices[Vertex],0)),1,1,"")</f>
        <v>3</v>
      </c>
      <c r="R532" s="80" t="str">
        <f>REPLACE(INDEX(GroupVertices[Group],MATCH(Edges[[#This Row],[Vertex 2]],GroupVertices[Vertex],0)),1,1,"")</f>
        <v>3</v>
      </c>
      <c r="S532" s="35"/>
      <c r="T532" s="35"/>
      <c r="U532" s="35"/>
      <c r="V532" s="35"/>
      <c r="W532" s="35"/>
      <c r="X532" s="35"/>
      <c r="Y532" s="35"/>
      <c r="Z532" s="35"/>
      <c r="AA532" s="35"/>
    </row>
    <row r="533" spans="1:27" ht="15">
      <c r="A533" s="65" t="s">
        <v>257</v>
      </c>
      <c r="B533" s="65" t="s">
        <v>261</v>
      </c>
      <c r="C533" s="66" t="s">
        <v>2113</v>
      </c>
      <c r="D533" s="67">
        <v>3</v>
      </c>
      <c r="E533" s="68"/>
      <c r="F533" s="69">
        <v>40</v>
      </c>
      <c r="G533" s="66"/>
      <c r="H533" s="70"/>
      <c r="I533" s="71"/>
      <c r="J533" s="71"/>
      <c r="K533" s="35" t="s">
        <v>65</v>
      </c>
      <c r="L533" s="79">
        <v>533</v>
      </c>
      <c r="M533" s="79"/>
      <c r="N533" s="73"/>
      <c r="O533" s="81" t="s">
        <v>292</v>
      </c>
      <c r="P533">
        <v>1</v>
      </c>
      <c r="Q533" s="80" t="str">
        <f>REPLACE(INDEX(GroupVertices[Group],MATCH(Edges[[#This Row],[Vertex 1]],GroupVertices[Vertex],0)),1,1,"")</f>
        <v>3</v>
      </c>
      <c r="R533" s="80" t="str">
        <f>REPLACE(INDEX(GroupVertices[Group],MATCH(Edges[[#This Row],[Vertex 2]],GroupVertices[Vertex],0)),1,1,"")</f>
        <v>3</v>
      </c>
      <c r="S533" s="35"/>
      <c r="T533" s="35"/>
      <c r="U533" s="35"/>
      <c r="V533" s="35"/>
      <c r="W533" s="35"/>
      <c r="X533" s="35"/>
      <c r="Y533" s="35"/>
      <c r="Z533" s="35"/>
      <c r="AA533" s="35"/>
    </row>
    <row r="534" spans="1:27" ht="15">
      <c r="A534" s="65" t="s">
        <v>273</v>
      </c>
      <c r="B534" s="65" t="s">
        <v>261</v>
      </c>
      <c r="C534" s="66" t="s">
        <v>2113</v>
      </c>
      <c r="D534" s="67">
        <v>3</v>
      </c>
      <c r="E534" s="68"/>
      <c r="F534" s="69">
        <v>40</v>
      </c>
      <c r="G534" s="66"/>
      <c r="H534" s="70"/>
      <c r="I534" s="71"/>
      <c r="J534" s="71"/>
      <c r="K534" s="35" t="s">
        <v>65</v>
      </c>
      <c r="L534" s="79">
        <v>534</v>
      </c>
      <c r="M534" s="79"/>
      <c r="N534" s="73"/>
      <c r="O534" s="81" t="s">
        <v>293</v>
      </c>
      <c r="P534">
        <v>1</v>
      </c>
      <c r="Q534" s="80" t="str">
        <f>REPLACE(INDEX(GroupVertices[Group],MATCH(Edges[[#This Row],[Vertex 1]],GroupVertices[Vertex],0)),1,1,"")</f>
        <v>3</v>
      </c>
      <c r="R534" s="80" t="str">
        <f>REPLACE(INDEX(GroupVertices[Group],MATCH(Edges[[#This Row],[Vertex 2]],GroupVertices[Vertex],0)),1,1,"")</f>
        <v>3</v>
      </c>
      <c r="S534" s="35"/>
      <c r="T534" s="35"/>
      <c r="U534" s="35"/>
      <c r="V534" s="35"/>
      <c r="W534" s="35"/>
      <c r="X534" s="35"/>
      <c r="Y534" s="35"/>
      <c r="Z534" s="35"/>
      <c r="AA534" s="35"/>
    </row>
    <row r="535" spans="1:27" ht="15">
      <c r="A535" s="65" t="s">
        <v>256</v>
      </c>
      <c r="B535" s="65" t="s">
        <v>250</v>
      </c>
      <c r="C535" s="66" t="s">
        <v>2113</v>
      </c>
      <c r="D535" s="67">
        <v>3</v>
      </c>
      <c r="E535" s="68"/>
      <c r="F535" s="69">
        <v>40</v>
      </c>
      <c r="G535" s="66"/>
      <c r="H535" s="70"/>
      <c r="I535" s="71"/>
      <c r="J535" s="71"/>
      <c r="K535" s="35" t="s">
        <v>65</v>
      </c>
      <c r="L535" s="79">
        <v>535</v>
      </c>
      <c r="M535" s="79"/>
      <c r="N535" s="73"/>
      <c r="O535" s="81" t="s">
        <v>292</v>
      </c>
      <c r="P535">
        <v>1</v>
      </c>
      <c r="Q535" s="80" t="str">
        <f>REPLACE(INDEX(GroupVertices[Group],MATCH(Edges[[#This Row],[Vertex 1]],GroupVertices[Vertex],0)),1,1,"")</f>
        <v>3</v>
      </c>
      <c r="R535" s="80" t="str">
        <f>REPLACE(INDEX(GroupVertices[Group],MATCH(Edges[[#This Row],[Vertex 2]],GroupVertices[Vertex],0)),1,1,"")</f>
        <v>3</v>
      </c>
      <c r="S535" s="35"/>
      <c r="T535" s="35"/>
      <c r="U535" s="35"/>
      <c r="V535" s="35"/>
      <c r="W535" s="35"/>
      <c r="X535" s="35"/>
      <c r="Y535" s="35"/>
      <c r="Z535" s="35"/>
      <c r="AA535" s="35"/>
    </row>
    <row r="536" spans="1:27" ht="15">
      <c r="A536" s="65" t="s">
        <v>251</v>
      </c>
      <c r="B536" s="65" t="s">
        <v>250</v>
      </c>
      <c r="C536" s="66" t="s">
        <v>2113</v>
      </c>
      <c r="D536" s="67">
        <v>3</v>
      </c>
      <c r="E536" s="68"/>
      <c r="F536" s="69">
        <v>40</v>
      </c>
      <c r="G536" s="66"/>
      <c r="H536" s="70"/>
      <c r="I536" s="71"/>
      <c r="J536" s="71"/>
      <c r="K536" s="35" t="s">
        <v>65</v>
      </c>
      <c r="L536" s="79">
        <v>536</v>
      </c>
      <c r="M536" s="79"/>
      <c r="N536" s="73"/>
      <c r="O536" s="81" t="s">
        <v>292</v>
      </c>
      <c r="P536">
        <v>1</v>
      </c>
      <c r="Q536" s="80" t="str">
        <f>REPLACE(INDEX(GroupVertices[Group],MATCH(Edges[[#This Row],[Vertex 1]],GroupVertices[Vertex],0)),1,1,"")</f>
        <v>3</v>
      </c>
      <c r="R536" s="80" t="str">
        <f>REPLACE(INDEX(GroupVertices[Group],MATCH(Edges[[#This Row],[Vertex 2]],GroupVertices[Vertex],0)),1,1,"")</f>
        <v>3</v>
      </c>
      <c r="S536" s="35"/>
      <c r="T536" s="35"/>
      <c r="U536" s="35"/>
      <c r="V536" s="35"/>
      <c r="W536" s="35"/>
      <c r="X536" s="35"/>
      <c r="Y536" s="35"/>
      <c r="Z536" s="35"/>
      <c r="AA536" s="35"/>
    </row>
    <row r="537" spans="1:27" ht="15">
      <c r="A537" s="65" t="s">
        <v>262</v>
      </c>
      <c r="B537" s="65" t="s">
        <v>250</v>
      </c>
      <c r="C537" s="66" t="s">
        <v>2113</v>
      </c>
      <c r="D537" s="67">
        <v>3</v>
      </c>
      <c r="E537" s="68"/>
      <c r="F537" s="69">
        <v>40</v>
      </c>
      <c r="G537" s="66"/>
      <c r="H537" s="70"/>
      <c r="I537" s="71"/>
      <c r="J537" s="71"/>
      <c r="K537" s="35" t="s">
        <v>65</v>
      </c>
      <c r="L537" s="79">
        <v>537</v>
      </c>
      <c r="M537" s="79"/>
      <c r="N537" s="73"/>
      <c r="O537" s="81" t="s">
        <v>292</v>
      </c>
      <c r="P537">
        <v>1</v>
      </c>
      <c r="Q537" s="80" t="str">
        <f>REPLACE(INDEX(GroupVertices[Group],MATCH(Edges[[#This Row],[Vertex 1]],GroupVertices[Vertex],0)),1,1,"")</f>
        <v>3</v>
      </c>
      <c r="R537" s="80" t="str">
        <f>REPLACE(INDEX(GroupVertices[Group],MATCH(Edges[[#This Row],[Vertex 2]],GroupVertices[Vertex],0)),1,1,"")</f>
        <v>3</v>
      </c>
      <c r="S537" s="35"/>
      <c r="T537" s="35"/>
      <c r="U537" s="35"/>
      <c r="V537" s="35"/>
      <c r="W537" s="35"/>
      <c r="X537" s="35"/>
      <c r="Y537" s="35"/>
      <c r="Z537" s="35"/>
      <c r="AA537" s="35"/>
    </row>
    <row r="538" spans="1:27" ht="15">
      <c r="A538" s="65" t="s">
        <v>263</v>
      </c>
      <c r="B538" s="65" t="s">
        <v>250</v>
      </c>
      <c r="C538" s="66" t="s">
        <v>2113</v>
      </c>
      <c r="D538" s="67">
        <v>3</v>
      </c>
      <c r="E538" s="68"/>
      <c r="F538" s="69">
        <v>40</v>
      </c>
      <c r="G538" s="66"/>
      <c r="H538" s="70"/>
      <c r="I538" s="71"/>
      <c r="J538" s="71"/>
      <c r="K538" s="35" t="s">
        <v>65</v>
      </c>
      <c r="L538" s="79">
        <v>538</v>
      </c>
      <c r="M538" s="79"/>
      <c r="N538" s="73"/>
      <c r="O538" s="81" t="s">
        <v>292</v>
      </c>
      <c r="P538">
        <v>1</v>
      </c>
      <c r="Q538" s="80" t="str">
        <f>REPLACE(INDEX(GroupVertices[Group],MATCH(Edges[[#This Row],[Vertex 1]],GroupVertices[Vertex],0)),1,1,"")</f>
        <v>3</v>
      </c>
      <c r="R538" s="80" t="str">
        <f>REPLACE(INDEX(GroupVertices[Group],MATCH(Edges[[#This Row],[Vertex 2]],GroupVertices[Vertex],0)),1,1,"")</f>
        <v>3</v>
      </c>
      <c r="S538" s="35"/>
      <c r="T538" s="35"/>
      <c r="U538" s="35"/>
      <c r="V538" s="35"/>
      <c r="W538" s="35"/>
      <c r="X538" s="35"/>
      <c r="Y538" s="35"/>
      <c r="Z538" s="35"/>
      <c r="AA538" s="35"/>
    </row>
    <row r="539" spans="1:27" ht="15">
      <c r="A539" s="65" t="s">
        <v>264</v>
      </c>
      <c r="B539" s="65" t="s">
        <v>250</v>
      </c>
      <c r="C539" s="66" t="s">
        <v>2113</v>
      </c>
      <c r="D539" s="67">
        <v>3</v>
      </c>
      <c r="E539" s="68"/>
      <c r="F539" s="69">
        <v>40</v>
      </c>
      <c r="G539" s="66"/>
      <c r="H539" s="70"/>
      <c r="I539" s="71"/>
      <c r="J539" s="71"/>
      <c r="K539" s="35" t="s">
        <v>65</v>
      </c>
      <c r="L539" s="79">
        <v>539</v>
      </c>
      <c r="M539" s="79"/>
      <c r="N539" s="73"/>
      <c r="O539" s="81" t="s">
        <v>292</v>
      </c>
      <c r="P539">
        <v>1</v>
      </c>
      <c r="Q539" s="80" t="str">
        <f>REPLACE(INDEX(GroupVertices[Group],MATCH(Edges[[#This Row],[Vertex 1]],GroupVertices[Vertex],0)),1,1,"")</f>
        <v>3</v>
      </c>
      <c r="R539" s="80" t="str">
        <f>REPLACE(INDEX(GroupVertices[Group],MATCH(Edges[[#This Row],[Vertex 2]],GroupVertices[Vertex],0)),1,1,"")</f>
        <v>3</v>
      </c>
      <c r="S539" s="35"/>
      <c r="T539" s="35"/>
      <c r="U539" s="35"/>
      <c r="V539" s="35"/>
      <c r="W539" s="35"/>
      <c r="X539" s="35"/>
      <c r="Y539" s="35"/>
      <c r="Z539" s="35"/>
      <c r="AA539" s="35"/>
    </row>
    <row r="540" spans="1:27" ht="15">
      <c r="A540" s="65" t="s">
        <v>265</v>
      </c>
      <c r="B540" s="65" t="s">
        <v>250</v>
      </c>
      <c r="C540" s="66" t="s">
        <v>2113</v>
      </c>
      <c r="D540" s="67">
        <v>3</v>
      </c>
      <c r="E540" s="68"/>
      <c r="F540" s="69">
        <v>40</v>
      </c>
      <c r="G540" s="66"/>
      <c r="H540" s="70"/>
      <c r="I540" s="71"/>
      <c r="J540" s="71"/>
      <c r="K540" s="35" t="s">
        <v>65</v>
      </c>
      <c r="L540" s="79">
        <v>540</v>
      </c>
      <c r="M540" s="79"/>
      <c r="N540" s="73"/>
      <c r="O540" s="81" t="s">
        <v>292</v>
      </c>
      <c r="P540">
        <v>1</v>
      </c>
      <c r="Q540" s="80" t="str">
        <f>REPLACE(INDEX(GroupVertices[Group],MATCH(Edges[[#This Row],[Vertex 1]],GroupVertices[Vertex],0)),1,1,"")</f>
        <v>3</v>
      </c>
      <c r="R540" s="80" t="str">
        <f>REPLACE(INDEX(GroupVertices[Group],MATCH(Edges[[#This Row],[Vertex 2]],GroupVertices[Vertex],0)),1,1,"")</f>
        <v>3</v>
      </c>
      <c r="S540" s="35"/>
      <c r="T540" s="35"/>
      <c r="U540" s="35"/>
      <c r="V540" s="35"/>
      <c r="W540" s="35"/>
      <c r="X540" s="35"/>
      <c r="Y540" s="35"/>
      <c r="Z540" s="35"/>
      <c r="AA540" s="35"/>
    </row>
    <row r="541" spans="1:27" ht="15">
      <c r="A541" s="65" t="s">
        <v>266</v>
      </c>
      <c r="B541" s="65" t="s">
        <v>250</v>
      </c>
      <c r="C541" s="66" t="s">
        <v>2113</v>
      </c>
      <c r="D541" s="67">
        <v>3</v>
      </c>
      <c r="E541" s="68"/>
      <c r="F541" s="69">
        <v>40</v>
      </c>
      <c r="G541" s="66"/>
      <c r="H541" s="70"/>
      <c r="I541" s="71"/>
      <c r="J541" s="71"/>
      <c r="K541" s="35" t="s">
        <v>65</v>
      </c>
      <c r="L541" s="79">
        <v>541</v>
      </c>
      <c r="M541" s="79"/>
      <c r="N541" s="73"/>
      <c r="O541" s="81" t="s">
        <v>292</v>
      </c>
      <c r="P541">
        <v>1</v>
      </c>
      <c r="Q541" s="80" t="str">
        <f>REPLACE(INDEX(GroupVertices[Group],MATCH(Edges[[#This Row],[Vertex 1]],GroupVertices[Vertex],0)),1,1,"")</f>
        <v>3</v>
      </c>
      <c r="R541" s="80" t="str">
        <f>REPLACE(INDEX(GroupVertices[Group],MATCH(Edges[[#This Row],[Vertex 2]],GroupVertices[Vertex],0)),1,1,"")</f>
        <v>3</v>
      </c>
      <c r="S541" s="35"/>
      <c r="T541" s="35"/>
      <c r="U541" s="35"/>
      <c r="V541" s="35"/>
      <c r="W541" s="35"/>
      <c r="X541" s="35"/>
      <c r="Y541" s="35"/>
      <c r="Z541" s="35"/>
      <c r="AA541" s="35"/>
    </row>
    <row r="542" spans="1:27" ht="15">
      <c r="A542" s="65" t="s">
        <v>260</v>
      </c>
      <c r="B542" s="65" t="s">
        <v>250</v>
      </c>
      <c r="C542" s="66" t="s">
        <v>2113</v>
      </c>
      <c r="D542" s="67">
        <v>3</v>
      </c>
      <c r="E542" s="68"/>
      <c r="F542" s="69">
        <v>40</v>
      </c>
      <c r="G542" s="66"/>
      <c r="H542" s="70"/>
      <c r="I542" s="71"/>
      <c r="J542" s="71"/>
      <c r="K542" s="35" t="s">
        <v>65</v>
      </c>
      <c r="L542" s="79">
        <v>542</v>
      </c>
      <c r="M542" s="79"/>
      <c r="N542" s="73"/>
      <c r="O542" s="81" t="s">
        <v>292</v>
      </c>
      <c r="P542">
        <v>1</v>
      </c>
      <c r="Q542" s="80" t="str">
        <f>REPLACE(INDEX(GroupVertices[Group],MATCH(Edges[[#This Row],[Vertex 1]],GroupVertices[Vertex],0)),1,1,"")</f>
        <v>3</v>
      </c>
      <c r="R542" s="80" t="str">
        <f>REPLACE(INDEX(GroupVertices[Group],MATCH(Edges[[#This Row],[Vertex 2]],GroupVertices[Vertex],0)),1,1,"")</f>
        <v>3</v>
      </c>
      <c r="S542" s="35"/>
      <c r="T542" s="35"/>
      <c r="U542" s="35"/>
      <c r="V542" s="35"/>
      <c r="W542" s="35"/>
      <c r="X542" s="35"/>
      <c r="Y542" s="35"/>
      <c r="Z542" s="35"/>
      <c r="AA542" s="35"/>
    </row>
    <row r="543" spans="1:27" ht="15">
      <c r="A543" s="65" t="s">
        <v>267</v>
      </c>
      <c r="B543" s="65" t="s">
        <v>250</v>
      </c>
      <c r="C543" s="66" t="s">
        <v>2113</v>
      </c>
      <c r="D543" s="67">
        <v>3</v>
      </c>
      <c r="E543" s="68"/>
      <c r="F543" s="69">
        <v>40</v>
      </c>
      <c r="G543" s="66"/>
      <c r="H543" s="70"/>
      <c r="I543" s="71"/>
      <c r="J543" s="71"/>
      <c r="K543" s="35" t="s">
        <v>65</v>
      </c>
      <c r="L543" s="79">
        <v>543</v>
      </c>
      <c r="M543" s="79"/>
      <c r="N543" s="73"/>
      <c r="O543" s="81" t="s">
        <v>292</v>
      </c>
      <c r="P543">
        <v>1</v>
      </c>
      <c r="Q543" s="80" t="str">
        <f>REPLACE(INDEX(GroupVertices[Group],MATCH(Edges[[#This Row],[Vertex 1]],GroupVertices[Vertex],0)),1,1,"")</f>
        <v>3</v>
      </c>
      <c r="R543" s="80" t="str">
        <f>REPLACE(INDEX(GroupVertices[Group],MATCH(Edges[[#This Row],[Vertex 2]],GroupVertices[Vertex],0)),1,1,"")</f>
        <v>3</v>
      </c>
      <c r="S543" s="35"/>
      <c r="T543" s="35"/>
      <c r="U543" s="35"/>
      <c r="V543" s="35"/>
      <c r="W543" s="35"/>
      <c r="X543" s="35"/>
      <c r="Y543" s="35"/>
      <c r="Z543" s="35"/>
      <c r="AA543" s="35"/>
    </row>
    <row r="544" spans="1:27" ht="15">
      <c r="A544" s="65" t="s">
        <v>268</v>
      </c>
      <c r="B544" s="65" t="s">
        <v>250</v>
      </c>
      <c r="C544" s="66" t="s">
        <v>2113</v>
      </c>
      <c r="D544" s="67">
        <v>3</v>
      </c>
      <c r="E544" s="68"/>
      <c r="F544" s="69">
        <v>40</v>
      </c>
      <c r="G544" s="66"/>
      <c r="H544" s="70"/>
      <c r="I544" s="71"/>
      <c r="J544" s="71"/>
      <c r="K544" s="35" t="s">
        <v>65</v>
      </c>
      <c r="L544" s="79">
        <v>544</v>
      </c>
      <c r="M544" s="79"/>
      <c r="N544" s="73"/>
      <c r="O544" s="81" t="s">
        <v>292</v>
      </c>
      <c r="P544">
        <v>1</v>
      </c>
      <c r="Q544" s="80" t="str">
        <f>REPLACE(INDEX(GroupVertices[Group],MATCH(Edges[[#This Row],[Vertex 1]],GroupVertices[Vertex],0)),1,1,"")</f>
        <v>3</v>
      </c>
      <c r="R544" s="80" t="str">
        <f>REPLACE(INDEX(GroupVertices[Group],MATCH(Edges[[#This Row],[Vertex 2]],GroupVertices[Vertex],0)),1,1,"")</f>
        <v>3</v>
      </c>
      <c r="S544" s="35"/>
      <c r="T544" s="35"/>
      <c r="U544" s="35"/>
      <c r="V544" s="35"/>
      <c r="W544" s="35"/>
      <c r="X544" s="35"/>
      <c r="Y544" s="35"/>
      <c r="Z544" s="35"/>
      <c r="AA544" s="35"/>
    </row>
    <row r="545" spans="1:27" ht="15">
      <c r="A545" s="65" t="s">
        <v>269</v>
      </c>
      <c r="B545" s="65" t="s">
        <v>250</v>
      </c>
      <c r="C545" s="66" t="s">
        <v>2113</v>
      </c>
      <c r="D545" s="67">
        <v>3</v>
      </c>
      <c r="E545" s="68"/>
      <c r="F545" s="69">
        <v>40</v>
      </c>
      <c r="G545" s="66"/>
      <c r="H545" s="70"/>
      <c r="I545" s="71"/>
      <c r="J545" s="71"/>
      <c r="K545" s="35" t="s">
        <v>65</v>
      </c>
      <c r="L545" s="79">
        <v>545</v>
      </c>
      <c r="M545" s="79"/>
      <c r="N545" s="73"/>
      <c r="O545" s="81" t="s">
        <v>292</v>
      </c>
      <c r="P545">
        <v>1</v>
      </c>
      <c r="Q545" s="80" t="str">
        <f>REPLACE(INDEX(GroupVertices[Group],MATCH(Edges[[#This Row],[Vertex 1]],GroupVertices[Vertex],0)),1,1,"")</f>
        <v>3</v>
      </c>
      <c r="R545" s="80" t="str">
        <f>REPLACE(INDEX(GroupVertices[Group],MATCH(Edges[[#This Row],[Vertex 2]],GroupVertices[Vertex],0)),1,1,"")</f>
        <v>3</v>
      </c>
      <c r="S545" s="35"/>
      <c r="T545" s="35"/>
      <c r="U545" s="35"/>
      <c r="V545" s="35"/>
      <c r="W545" s="35"/>
      <c r="X545" s="35"/>
      <c r="Y545" s="35"/>
      <c r="Z545" s="35"/>
      <c r="AA545" s="35"/>
    </row>
    <row r="546" spans="1:27" ht="15">
      <c r="A546" s="65" t="s">
        <v>270</v>
      </c>
      <c r="B546" s="65" t="s">
        <v>250</v>
      </c>
      <c r="C546" s="66" t="s">
        <v>2113</v>
      </c>
      <c r="D546" s="67">
        <v>3</v>
      </c>
      <c r="E546" s="68"/>
      <c r="F546" s="69">
        <v>40</v>
      </c>
      <c r="G546" s="66"/>
      <c r="H546" s="70"/>
      <c r="I546" s="71"/>
      <c r="J546" s="71"/>
      <c r="K546" s="35" t="s">
        <v>65</v>
      </c>
      <c r="L546" s="79">
        <v>546</v>
      </c>
      <c r="M546" s="79"/>
      <c r="N546" s="73"/>
      <c r="O546" s="81" t="s">
        <v>292</v>
      </c>
      <c r="P546">
        <v>1</v>
      </c>
      <c r="Q546" s="80" t="str">
        <f>REPLACE(INDEX(GroupVertices[Group],MATCH(Edges[[#This Row],[Vertex 1]],GroupVertices[Vertex],0)),1,1,"")</f>
        <v>3</v>
      </c>
      <c r="R546" s="80" t="str">
        <f>REPLACE(INDEX(GroupVertices[Group],MATCH(Edges[[#This Row],[Vertex 2]],GroupVertices[Vertex],0)),1,1,"")</f>
        <v>3</v>
      </c>
      <c r="S546" s="35"/>
      <c r="T546" s="35"/>
      <c r="U546" s="35"/>
      <c r="V546" s="35"/>
      <c r="W546" s="35"/>
      <c r="X546" s="35"/>
      <c r="Y546" s="35"/>
      <c r="Z546" s="35"/>
      <c r="AA546" s="35"/>
    </row>
    <row r="547" spans="1:27" ht="15">
      <c r="A547" s="65" t="s">
        <v>271</v>
      </c>
      <c r="B547" s="65" t="s">
        <v>250</v>
      </c>
      <c r="C547" s="66" t="s">
        <v>2113</v>
      </c>
      <c r="D547" s="67">
        <v>3</v>
      </c>
      <c r="E547" s="68"/>
      <c r="F547" s="69">
        <v>40</v>
      </c>
      <c r="G547" s="66"/>
      <c r="H547" s="70"/>
      <c r="I547" s="71"/>
      <c r="J547" s="71"/>
      <c r="K547" s="35" t="s">
        <v>65</v>
      </c>
      <c r="L547" s="79">
        <v>547</v>
      </c>
      <c r="M547" s="79"/>
      <c r="N547" s="73"/>
      <c r="O547" s="81" t="s">
        <v>292</v>
      </c>
      <c r="P547">
        <v>1</v>
      </c>
      <c r="Q547" s="80" t="str">
        <f>REPLACE(INDEX(GroupVertices[Group],MATCH(Edges[[#This Row],[Vertex 1]],GroupVertices[Vertex],0)),1,1,"")</f>
        <v>3</v>
      </c>
      <c r="R547" s="80" t="str">
        <f>REPLACE(INDEX(GroupVertices[Group],MATCH(Edges[[#This Row],[Vertex 2]],GroupVertices[Vertex],0)),1,1,"")</f>
        <v>3</v>
      </c>
      <c r="S547" s="35"/>
      <c r="T547" s="35"/>
      <c r="U547" s="35"/>
      <c r="V547" s="35"/>
      <c r="W547" s="35"/>
      <c r="X547" s="35"/>
      <c r="Y547" s="35"/>
      <c r="Z547" s="35"/>
      <c r="AA547" s="35"/>
    </row>
    <row r="548" spans="1:27" ht="15">
      <c r="A548" s="65" t="s">
        <v>272</v>
      </c>
      <c r="B548" s="65" t="s">
        <v>250</v>
      </c>
      <c r="C548" s="66" t="s">
        <v>2113</v>
      </c>
      <c r="D548" s="67">
        <v>3</v>
      </c>
      <c r="E548" s="68"/>
      <c r="F548" s="69">
        <v>40</v>
      </c>
      <c r="G548" s="66"/>
      <c r="H548" s="70"/>
      <c r="I548" s="71"/>
      <c r="J548" s="71"/>
      <c r="K548" s="35" t="s">
        <v>65</v>
      </c>
      <c r="L548" s="79">
        <v>548</v>
      </c>
      <c r="M548" s="79"/>
      <c r="N548" s="73"/>
      <c r="O548" s="81" t="s">
        <v>292</v>
      </c>
      <c r="P548">
        <v>1</v>
      </c>
      <c r="Q548" s="80" t="str">
        <f>REPLACE(INDEX(GroupVertices[Group],MATCH(Edges[[#This Row],[Vertex 1]],GroupVertices[Vertex],0)),1,1,"")</f>
        <v>3</v>
      </c>
      <c r="R548" s="80" t="str">
        <f>REPLACE(INDEX(GroupVertices[Group],MATCH(Edges[[#This Row],[Vertex 2]],GroupVertices[Vertex],0)),1,1,"")</f>
        <v>3</v>
      </c>
      <c r="S548" s="35"/>
      <c r="T548" s="35"/>
      <c r="U548" s="35"/>
      <c r="V548" s="35"/>
      <c r="W548" s="35"/>
      <c r="X548" s="35"/>
      <c r="Y548" s="35"/>
      <c r="Z548" s="35"/>
      <c r="AA548" s="35"/>
    </row>
    <row r="549" spans="1:27" ht="15">
      <c r="A549" s="65" t="s">
        <v>257</v>
      </c>
      <c r="B549" s="65" t="s">
        <v>250</v>
      </c>
      <c r="C549" s="66" t="s">
        <v>2113</v>
      </c>
      <c r="D549" s="67">
        <v>3</v>
      </c>
      <c r="E549" s="68"/>
      <c r="F549" s="69">
        <v>40</v>
      </c>
      <c r="G549" s="66"/>
      <c r="H549" s="70"/>
      <c r="I549" s="71"/>
      <c r="J549" s="71"/>
      <c r="K549" s="35" t="s">
        <v>65</v>
      </c>
      <c r="L549" s="79">
        <v>549</v>
      </c>
      <c r="M549" s="79"/>
      <c r="N549" s="73"/>
      <c r="O549" s="81" t="s">
        <v>292</v>
      </c>
      <c r="P549">
        <v>1</v>
      </c>
      <c r="Q549" s="80" t="str">
        <f>REPLACE(INDEX(GroupVertices[Group],MATCH(Edges[[#This Row],[Vertex 1]],GroupVertices[Vertex],0)),1,1,"")</f>
        <v>3</v>
      </c>
      <c r="R549" s="80" t="str">
        <f>REPLACE(INDEX(GroupVertices[Group],MATCH(Edges[[#This Row],[Vertex 2]],GroupVertices[Vertex],0)),1,1,"")</f>
        <v>3</v>
      </c>
      <c r="S549" s="35"/>
      <c r="T549" s="35"/>
      <c r="U549" s="35"/>
      <c r="V549" s="35"/>
      <c r="W549" s="35"/>
      <c r="X549" s="35"/>
      <c r="Y549" s="35"/>
      <c r="Z549" s="35"/>
      <c r="AA549" s="35"/>
    </row>
    <row r="550" spans="1:27" ht="15">
      <c r="A550" s="65" t="s">
        <v>273</v>
      </c>
      <c r="B550" s="65" t="s">
        <v>250</v>
      </c>
      <c r="C550" s="66" t="s">
        <v>2113</v>
      </c>
      <c r="D550" s="67">
        <v>3</v>
      </c>
      <c r="E550" s="68"/>
      <c r="F550" s="69">
        <v>40</v>
      </c>
      <c r="G550" s="66"/>
      <c r="H550" s="70"/>
      <c r="I550" s="71"/>
      <c r="J550" s="71"/>
      <c r="K550" s="35" t="s">
        <v>65</v>
      </c>
      <c r="L550" s="79">
        <v>550</v>
      </c>
      <c r="M550" s="79"/>
      <c r="N550" s="73"/>
      <c r="O550" s="81" t="s">
        <v>293</v>
      </c>
      <c r="P550">
        <v>1</v>
      </c>
      <c r="Q550" s="80" t="str">
        <f>REPLACE(INDEX(GroupVertices[Group],MATCH(Edges[[#This Row],[Vertex 1]],GroupVertices[Vertex],0)),1,1,"")</f>
        <v>3</v>
      </c>
      <c r="R550" s="80" t="str">
        <f>REPLACE(INDEX(GroupVertices[Group],MATCH(Edges[[#This Row],[Vertex 2]],GroupVertices[Vertex],0)),1,1,"")</f>
        <v>3</v>
      </c>
      <c r="S550" s="35"/>
      <c r="T550" s="35"/>
      <c r="U550" s="35"/>
      <c r="V550" s="35"/>
      <c r="W550" s="35"/>
      <c r="X550" s="35"/>
      <c r="Y550" s="35"/>
      <c r="Z550" s="35"/>
      <c r="AA550" s="35"/>
    </row>
    <row r="551" spans="1:27" ht="15">
      <c r="A551" s="65" t="s">
        <v>251</v>
      </c>
      <c r="B551" s="65" t="s">
        <v>256</v>
      </c>
      <c r="C551" s="66" t="s">
        <v>2113</v>
      </c>
      <c r="D551" s="67">
        <v>3</v>
      </c>
      <c r="E551" s="68"/>
      <c r="F551" s="69">
        <v>40</v>
      </c>
      <c r="G551" s="66"/>
      <c r="H551" s="70"/>
      <c r="I551" s="71"/>
      <c r="J551" s="71"/>
      <c r="K551" s="35" t="s">
        <v>65</v>
      </c>
      <c r="L551" s="79">
        <v>551</v>
      </c>
      <c r="M551" s="79"/>
      <c r="N551" s="73"/>
      <c r="O551" s="81" t="s">
        <v>292</v>
      </c>
      <c r="P551">
        <v>1</v>
      </c>
      <c r="Q551" s="80" t="str">
        <f>REPLACE(INDEX(GroupVertices[Group],MATCH(Edges[[#This Row],[Vertex 1]],GroupVertices[Vertex],0)),1,1,"")</f>
        <v>3</v>
      </c>
      <c r="R551" s="80" t="str">
        <f>REPLACE(INDEX(GroupVertices[Group],MATCH(Edges[[#This Row],[Vertex 2]],GroupVertices[Vertex],0)),1,1,"")</f>
        <v>3</v>
      </c>
      <c r="S551" s="35"/>
      <c r="T551" s="35"/>
      <c r="U551" s="35"/>
      <c r="V551" s="35"/>
      <c r="W551" s="35"/>
      <c r="X551" s="35"/>
      <c r="Y551" s="35"/>
      <c r="Z551" s="35"/>
      <c r="AA551" s="35"/>
    </row>
    <row r="552" spans="1:27" ht="15">
      <c r="A552" s="65" t="s">
        <v>263</v>
      </c>
      <c r="B552" s="65" t="s">
        <v>256</v>
      </c>
      <c r="C552" s="66" t="s">
        <v>2113</v>
      </c>
      <c r="D552" s="67">
        <v>3</v>
      </c>
      <c r="E552" s="68"/>
      <c r="F552" s="69">
        <v>40</v>
      </c>
      <c r="G552" s="66"/>
      <c r="H552" s="70"/>
      <c r="I552" s="71"/>
      <c r="J552" s="71"/>
      <c r="K552" s="35" t="s">
        <v>65</v>
      </c>
      <c r="L552" s="79">
        <v>552</v>
      </c>
      <c r="M552" s="79"/>
      <c r="N552" s="73"/>
      <c r="O552" s="81" t="s">
        <v>292</v>
      </c>
      <c r="P552">
        <v>1</v>
      </c>
      <c r="Q552" s="80" t="str">
        <f>REPLACE(INDEX(GroupVertices[Group],MATCH(Edges[[#This Row],[Vertex 1]],GroupVertices[Vertex],0)),1,1,"")</f>
        <v>3</v>
      </c>
      <c r="R552" s="80" t="str">
        <f>REPLACE(INDEX(GroupVertices[Group],MATCH(Edges[[#This Row],[Vertex 2]],GroupVertices[Vertex],0)),1,1,"")</f>
        <v>3</v>
      </c>
      <c r="S552" s="35"/>
      <c r="T552" s="35"/>
      <c r="U552" s="35"/>
      <c r="V552" s="35"/>
      <c r="W552" s="35"/>
      <c r="X552" s="35"/>
      <c r="Y552" s="35"/>
      <c r="Z552" s="35"/>
      <c r="AA552" s="35"/>
    </row>
    <row r="553" spans="1:27" ht="15">
      <c r="A553" s="65" t="s">
        <v>264</v>
      </c>
      <c r="B553" s="65" t="s">
        <v>256</v>
      </c>
      <c r="C553" s="66" t="s">
        <v>2113</v>
      </c>
      <c r="D553" s="67">
        <v>3</v>
      </c>
      <c r="E553" s="68"/>
      <c r="F553" s="69">
        <v>40</v>
      </c>
      <c r="G553" s="66"/>
      <c r="H553" s="70"/>
      <c r="I553" s="71"/>
      <c r="J553" s="71"/>
      <c r="K553" s="35" t="s">
        <v>65</v>
      </c>
      <c r="L553" s="79">
        <v>553</v>
      </c>
      <c r="M553" s="79"/>
      <c r="N553" s="73"/>
      <c r="O553" s="81" t="s">
        <v>292</v>
      </c>
      <c r="P553">
        <v>1</v>
      </c>
      <c r="Q553" s="80" t="str">
        <f>REPLACE(INDEX(GroupVertices[Group],MATCH(Edges[[#This Row],[Vertex 1]],GroupVertices[Vertex],0)),1,1,"")</f>
        <v>3</v>
      </c>
      <c r="R553" s="80" t="str">
        <f>REPLACE(INDEX(GroupVertices[Group],MATCH(Edges[[#This Row],[Vertex 2]],GroupVertices[Vertex],0)),1,1,"")</f>
        <v>3</v>
      </c>
      <c r="S553" s="35"/>
      <c r="T553" s="35"/>
      <c r="U553" s="35"/>
      <c r="V553" s="35"/>
      <c r="W553" s="35"/>
      <c r="X553" s="35"/>
      <c r="Y553" s="35"/>
      <c r="Z553" s="35"/>
      <c r="AA553" s="35"/>
    </row>
    <row r="554" spans="1:27" ht="15">
      <c r="A554" s="65" t="s">
        <v>265</v>
      </c>
      <c r="B554" s="65" t="s">
        <v>256</v>
      </c>
      <c r="C554" s="66" t="s">
        <v>2113</v>
      </c>
      <c r="D554" s="67">
        <v>3</v>
      </c>
      <c r="E554" s="68"/>
      <c r="F554" s="69">
        <v>40</v>
      </c>
      <c r="G554" s="66"/>
      <c r="H554" s="70"/>
      <c r="I554" s="71"/>
      <c r="J554" s="71"/>
      <c r="K554" s="35" t="s">
        <v>65</v>
      </c>
      <c r="L554" s="79">
        <v>554</v>
      </c>
      <c r="M554" s="79"/>
      <c r="N554" s="73"/>
      <c r="O554" s="81" t="s">
        <v>292</v>
      </c>
      <c r="P554">
        <v>1</v>
      </c>
      <c r="Q554" s="80" t="str">
        <f>REPLACE(INDEX(GroupVertices[Group],MATCH(Edges[[#This Row],[Vertex 1]],GroupVertices[Vertex],0)),1,1,"")</f>
        <v>3</v>
      </c>
      <c r="R554" s="80" t="str">
        <f>REPLACE(INDEX(GroupVertices[Group],MATCH(Edges[[#This Row],[Vertex 2]],GroupVertices[Vertex],0)),1,1,"")</f>
        <v>3</v>
      </c>
      <c r="S554" s="35"/>
      <c r="T554" s="35"/>
      <c r="U554" s="35"/>
      <c r="V554" s="35"/>
      <c r="W554" s="35"/>
      <c r="X554" s="35"/>
      <c r="Y554" s="35"/>
      <c r="Z554" s="35"/>
      <c r="AA554" s="35"/>
    </row>
    <row r="555" spans="1:27" ht="15">
      <c r="A555" s="65" t="s">
        <v>266</v>
      </c>
      <c r="B555" s="65" t="s">
        <v>256</v>
      </c>
      <c r="C555" s="66" t="s">
        <v>2113</v>
      </c>
      <c r="D555" s="67">
        <v>3</v>
      </c>
      <c r="E555" s="68"/>
      <c r="F555" s="69">
        <v>40</v>
      </c>
      <c r="G555" s="66"/>
      <c r="H555" s="70"/>
      <c r="I555" s="71"/>
      <c r="J555" s="71"/>
      <c r="K555" s="35" t="s">
        <v>65</v>
      </c>
      <c r="L555" s="79">
        <v>555</v>
      </c>
      <c r="M555" s="79"/>
      <c r="N555" s="73"/>
      <c r="O555" s="81" t="s">
        <v>292</v>
      </c>
      <c r="P555">
        <v>1</v>
      </c>
      <c r="Q555" s="80" t="str">
        <f>REPLACE(INDEX(GroupVertices[Group],MATCH(Edges[[#This Row],[Vertex 1]],GroupVertices[Vertex],0)),1,1,"")</f>
        <v>3</v>
      </c>
      <c r="R555" s="80" t="str">
        <f>REPLACE(INDEX(GroupVertices[Group],MATCH(Edges[[#This Row],[Vertex 2]],GroupVertices[Vertex],0)),1,1,"")</f>
        <v>3</v>
      </c>
      <c r="S555" s="35"/>
      <c r="T555" s="35"/>
      <c r="U555" s="35"/>
      <c r="V555" s="35"/>
      <c r="W555" s="35"/>
      <c r="X555" s="35"/>
      <c r="Y555" s="35"/>
      <c r="Z555" s="35"/>
      <c r="AA555" s="35"/>
    </row>
    <row r="556" spans="1:27" ht="15">
      <c r="A556" s="65" t="s">
        <v>260</v>
      </c>
      <c r="B556" s="65" t="s">
        <v>256</v>
      </c>
      <c r="C556" s="66" t="s">
        <v>2113</v>
      </c>
      <c r="D556" s="67">
        <v>3</v>
      </c>
      <c r="E556" s="68"/>
      <c r="F556" s="69">
        <v>40</v>
      </c>
      <c r="G556" s="66"/>
      <c r="H556" s="70"/>
      <c r="I556" s="71"/>
      <c r="J556" s="71"/>
      <c r="K556" s="35" t="s">
        <v>65</v>
      </c>
      <c r="L556" s="79">
        <v>556</v>
      </c>
      <c r="M556" s="79"/>
      <c r="N556" s="73"/>
      <c r="O556" s="81" t="s">
        <v>292</v>
      </c>
      <c r="P556">
        <v>1</v>
      </c>
      <c r="Q556" s="80" t="str">
        <f>REPLACE(INDEX(GroupVertices[Group],MATCH(Edges[[#This Row],[Vertex 1]],GroupVertices[Vertex],0)),1,1,"")</f>
        <v>3</v>
      </c>
      <c r="R556" s="80" t="str">
        <f>REPLACE(INDEX(GroupVertices[Group],MATCH(Edges[[#This Row],[Vertex 2]],GroupVertices[Vertex],0)),1,1,"")</f>
        <v>3</v>
      </c>
      <c r="S556" s="35"/>
      <c r="T556" s="35"/>
      <c r="U556" s="35"/>
      <c r="V556" s="35"/>
      <c r="W556" s="35"/>
      <c r="X556" s="35"/>
      <c r="Y556" s="35"/>
      <c r="Z556" s="35"/>
      <c r="AA556" s="35"/>
    </row>
    <row r="557" spans="1:27" ht="15">
      <c r="A557" s="65" t="s">
        <v>267</v>
      </c>
      <c r="B557" s="65" t="s">
        <v>256</v>
      </c>
      <c r="C557" s="66" t="s">
        <v>2113</v>
      </c>
      <c r="D557" s="67">
        <v>3</v>
      </c>
      <c r="E557" s="68"/>
      <c r="F557" s="69">
        <v>40</v>
      </c>
      <c r="G557" s="66"/>
      <c r="H557" s="70"/>
      <c r="I557" s="71"/>
      <c r="J557" s="71"/>
      <c r="K557" s="35" t="s">
        <v>65</v>
      </c>
      <c r="L557" s="79">
        <v>557</v>
      </c>
      <c r="M557" s="79"/>
      <c r="N557" s="73"/>
      <c r="O557" s="81" t="s">
        <v>292</v>
      </c>
      <c r="P557">
        <v>1</v>
      </c>
      <c r="Q557" s="80" t="str">
        <f>REPLACE(INDEX(GroupVertices[Group],MATCH(Edges[[#This Row],[Vertex 1]],GroupVertices[Vertex],0)),1,1,"")</f>
        <v>3</v>
      </c>
      <c r="R557" s="80" t="str">
        <f>REPLACE(INDEX(GroupVertices[Group],MATCH(Edges[[#This Row],[Vertex 2]],GroupVertices[Vertex],0)),1,1,"")</f>
        <v>3</v>
      </c>
      <c r="S557" s="35"/>
      <c r="T557" s="35"/>
      <c r="U557" s="35"/>
      <c r="V557" s="35"/>
      <c r="W557" s="35"/>
      <c r="X557" s="35"/>
      <c r="Y557" s="35"/>
      <c r="Z557" s="35"/>
      <c r="AA557" s="35"/>
    </row>
    <row r="558" spans="1:27" ht="15">
      <c r="A558" s="65" t="s">
        <v>268</v>
      </c>
      <c r="B558" s="65" t="s">
        <v>256</v>
      </c>
      <c r="C558" s="66" t="s">
        <v>2113</v>
      </c>
      <c r="D558" s="67">
        <v>3</v>
      </c>
      <c r="E558" s="68"/>
      <c r="F558" s="69">
        <v>40</v>
      </c>
      <c r="G558" s="66"/>
      <c r="H558" s="70"/>
      <c r="I558" s="71"/>
      <c r="J558" s="71"/>
      <c r="K558" s="35" t="s">
        <v>65</v>
      </c>
      <c r="L558" s="79">
        <v>558</v>
      </c>
      <c r="M558" s="79"/>
      <c r="N558" s="73"/>
      <c r="O558" s="81" t="s">
        <v>292</v>
      </c>
      <c r="P558">
        <v>1</v>
      </c>
      <c r="Q558" s="80" t="str">
        <f>REPLACE(INDEX(GroupVertices[Group],MATCH(Edges[[#This Row],[Vertex 1]],GroupVertices[Vertex],0)),1,1,"")</f>
        <v>3</v>
      </c>
      <c r="R558" s="80" t="str">
        <f>REPLACE(INDEX(GroupVertices[Group],MATCH(Edges[[#This Row],[Vertex 2]],GroupVertices[Vertex],0)),1,1,"")</f>
        <v>3</v>
      </c>
      <c r="S558" s="35"/>
      <c r="T558" s="35"/>
      <c r="U558" s="35"/>
      <c r="V558" s="35"/>
      <c r="W558" s="35"/>
      <c r="X558" s="35"/>
      <c r="Y558" s="35"/>
      <c r="Z558" s="35"/>
      <c r="AA558" s="35"/>
    </row>
    <row r="559" spans="1:27" ht="15">
      <c r="A559" s="65" t="s">
        <v>269</v>
      </c>
      <c r="B559" s="65" t="s">
        <v>256</v>
      </c>
      <c r="C559" s="66" t="s">
        <v>2113</v>
      </c>
      <c r="D559" s="67">
        <v>3</v>
      </c>
      <c r="E559" s="68"/>
      <c r="F559" s="69">
        <v>40</v>
      </c>
      <c r="G559" s="66"/>
      <c r="H559" s="70"/>
      <c r="I559" s="71"/>
      <c r="J559" s="71"/>
      <c r="K559" s="35" t="s">
        <v>65</v>
      </c>
      <c r="L559" s="79">
        <v>559</v>
      </c>
      <c r="M559" s="79"/>
      <c r="N559" s="73"/>
      <c r="O559" s="81" t="s">
        <v>292</v>
      </c>
      <c r="P559">
        <v>1</v>
      </c>
      <c r="Q559" s="80" t="str">
        <f>REPLACE(INDEX(GroupVertices[Group],MATCH(Edges[[#This Row],[Vertex 1]],GroupVertices[Vertex],0)),1,1,"")</f>
        <v>3</v>
      </c>
      <c r="R559" s="80" t="str">
        <f>REPLACE(INDEX(GroupVertices[Group],MATCH(Edges[[#This Row],[Vertex 2]],GroupVertices[Vertex],0)),1,1,"")</f>
        <v>3</v>
      </c>
      <c r="S559" s="35"/>
      <c r="T559" s="35"/>
      <c r="U559" s="35"/>
      <c r="V559" s="35"/>
      <c r="W559" s="35"/>
      <c r="X559" s="35"/>
      <c r="Y559" s="35"/>
      <c r="Z559" s="35"/>
      <c r="AA559" s="35"/>
    </row>
    <row r="560" spans="1:27" ht="15">
      <c r="A560" s="65" t="s">
        <v>270</v>
      </c>
      <c r="B560" s="65" t="s">
        <v>256</v>
      </c>
      <c r="C560" s="66" t="s">
        <v>2113</v>
      </c>
      <c r="D560" s="67">
        <v>3</v>
      </c>
      <c r="E560" s="68"/>
      <c r="F560" s="69">
        <v>40</v>
      </c>
      <c r="G560" s="66"/>
      <c r="H560" s="70"/>
      <c r="I560" s="71"/>
      <c r="J560" s="71"/>
      <c r="K560" s="35" t="s">
        <v>65</v>
      </c>
      <c r="L560" s="79">
        <v>560</v>
      </c>
      <c r="M560" s="79"/>
      <c r="N560" s="73"/>
      <c r="O560" s="81" t="s">
        <v>292</v>
      </c>
      <c r="P560">
        <v>1</v>
      </c>
      <c r="Q560" s="80" t="str">
        <f>REPLACE(INDEX(GroupVertices[Group],MATCH(Edges[[#This Row],[Vertex 1]],GroupVertices[Vertex],0)),1,1,"")</f>
        <v>3</v>
      </c>
      <c r="R560" s="80" t="str">
        <f>REPLACE(INDEX(GroupVertices[Group],MATCH(Edges[[#This Row],[Vertex 2]],GroupVertices[Vertex],0)),1,1,"")</f>
        <v>3</v>
      </c>
      <c r="S560" s="35"/>
      <c r="T560" s="35"/>
      <c r="U560" s="35"/>
      <c r="V560" s="35"/>
      <c r="W560" s="35"/>
      <c r="X560" s="35"/>
      <c r="Y560" s="35"/>
      <c r="Z560" s="35"/>
      <c r="AA560" s="35"/>
    </row>
    <row r="561" spans="1:27" ht="15">
      <c r="A561" s="65" t="s">
        <v>271</v>
      </c>
      <c r="B561" s="65" t="s">
        <v>256</v>
      </c>
      <c r="C561" s="66" t="s">
        <v>2113</v>
      </c>
      <c r="D561" s="67">
        <v>3</v>
      </c>
      <c r="E561" s="68"/>
      <c r="F561" s="69">
        <v>40</v>
      </c>
      <c r="G561" s="66"/>
      <c r="H561" s="70"/>
      <c r="I561" s="71"/>
      <c r="J561" s="71"/>
      <c r="K561" s="35" t="s">
        <v>65</v>
      </c>
      <c r="L561" s="79">
        <v>561</v>
      </c>
      <c r="M561" s="79"/>
      <c r="N561" s="73"/>
      <c r="O561" s="81" t="s">
        <v>292</v>
      </c>
      <c r="P561">
        <v>1</v>
      </c>
      <c r="Q561" s="80" t="str">
        <f>REPLACE(INDEX(GroupVertices[Group],MATCH(Edges[[#This Row],[Vertex 1]],GroupVertices[Vertex],0)),1,1,"")</f>
        <v>3</v>
      </c>
      <c r="R561" s="80" t="str">
        <f>REPLACE(INDEX(GroupVertices[Group],MATCH(Edges[[#This Row],[Vertex 2]],GroupVertices[Vertex],0)),1,1,"")</f>
        <v>3</v>
      </c>
      <c r="S561" s="35"/>
      <c r="T561" s="35"/>
      <c r="U561" s="35"/>
      <c r="V561" s="35"/>
      <c r="W561" s="35"/>
      <c r="X561" s="35"/>
      <c r="Y561" s="35"/>
      <c r="Z561" s="35"/>
      <c r="AA561" s="35"/>
    </row>
    <row r="562" spans="1:27" ht="15">
      <c r="A562" s="65" t="s">
        <v>272</v>
      </c>
      <c r="B562" s="65" t="s">
        <v>256</v>
      </c>
      <c r="C562" s="66" t="s">
        <v>2113</v>
      </c>
      <c r="D562" s="67">
        <v>3</v>
      </c>
      <c r="E562" s="68"/>
      <c r="F562" s="69">
        <v>40</v>
      </c>
      <c r="G562" s="66"/>
      <c r="H562" s="70"/>
      <c r="I562" s="71"/>
      <c r="J562" s="71"/>
      <c r="K562" s="35" t="s">
        <v>65</v>
      </c>
      <c r="L562" s="79">
        <v>562</v>
      </c>
      <c r="M562" s="79"/>
      <c r="N562" s="73"/>
      <c r="O562" s="81" t="s">
        <v>292</v>
      </c>
      <c r="P562">
        <v>1</v>
      </c>
      <c r="Q562" s="80" t="str">
        <f>REPLACE(INDEX(GroupVertices[Group],MATCH(Edges[[#This Row],[Vertex 1]],GroupVertices[Vertex],0)),1,1,"")</f>
        <v>3</v>
      </c>
      <c r="R562" s="80" t="str">
        <f>REPLACE(INDEX(GroupVertices[Group],MATCH(Edges[[#This Row],[Vertex 2]],GroupVertices[Vertex],0)),1,1,"")</f>
        <v>3</v>
      </c>
      <c r="S562" s="35"/>
      <c r="T562" s="35"/>
      <c r="U562" s="35"/>
      <c r="V562" s="35"/>
      <c r="W562" s="35"/>
      <c r="X562" s="35"/>
      <c r="Y562" s="35"/>
      <c r="Z562" s="35"/>
      <c r="AA562" s="35"/>
    </row>
    <row r="563" spans="1:27" ht="15">
      <c r="A563" s="65" t="s">
        <v>257</v>
      </c>
      <c r="B563" s="65" t="s">
        <v>256</v>
      </c>
      <c r="C563" s="66" t="s">
        <v>2113</v>
      </c>
      <c r="D563" s="67">
        <v>3</v>
      </c>
      <c r="E563" s="68"/>
      <c r="F563" s="69">
        <v>40</v>
      </c>
      <c r="G563" s="66"/>
      <c r="H563" s="70"/>
      <c r="I563" s="71"/>
      <c r="J563" s="71"/>
      <c r="K563" s="35" t="s">
        <v>65</v>
      </c>
      <c r="L563" s="79">
        <v>563</v>
      </c>
      <c r="M563" s="79"/>
      <c r="N563" s="73"/>
      <c r="O563" s="81" t="s">
        <v>292</v>
      </c>
      <c r="P563">
        <v>1</v>
      </c>
      <c r="Q563" s="80" t="str">
        <f>REPLACE(INDEX(GroupVertices[Group],MATCH(Edges[[#This Row],[Vertex 1]],GroupVertices[Vertex],0)),1,1,"")</f>
        <v>3</v>
      </c>
      <c r="R563" s="80" t="str">
        <f>REPLACE(INDEX(GroupVertices[Group],MATCH(Edges[[#This Row],[Vertex 2]],GroupVertices[Vertex],0)),1,1,"")</f>
        <v>3</v>
      </c>
      <c r="S563" s="35"/>
      <c r="T563" s="35"/>
      <c r="U563" s="35"/>
      <c r="V563" s="35"/>
      <c r="W563" s="35"/>
      <c r="X563" s="35"/>
      <c r="Y563" s="35"/>
      <c r="Z563" s="35"/>
      <c r="AA563" s="35"/>
    </row>
    <row r="564" spans="1:27" ht="15">
      <c r="A564" s="65" t="s">
        <v>273</v>
      </c>
      <c r="B564" s="65" t="s">
        <v>256</v>
      </c>
      <c r="C564" s="66" t="s">
        <v>2113</v>
      </c>
      <c r="D564" s="67">
        <v>3</v>
      </c>
      <c r="E564" s="68"/>
      <c r="F564" s="69">
        <v>40</v>
      </c>
      <c r="G564" s="66"/>
      <c r="H564" s="70"/>
      <c r="I564" s="71"/>
      <c r="J564" s="71"/>
      <c r="K564" s="35" t="s">
        <v>65</v>
      </c>
      <c r="L564" s="79">
        <v>564</v>
      </c>
      <c r="M564" s="79"/>
      <c r="N564" s="73"/>
      <c r="O564" s="81" t="s">
        <v>293</v>
      </c>
      <c r="P564">
        <v>1</v>
      </c>
      <c r="Q564" s="80" t="str">
        <f>REPLACE(INDEX(GroupVertices[Group],MATCH(Edges[[#This Row],[Vertex 1]],GroupVertices[Vertex],0)),1,1,"")</f>
        <v>3</v>
      </c>
      <c r="R564" s="80" t="str">
        <f>REPLACE(INDEX(GroupVertices[Group],MATCH(Edges[[#This Row],[Vertex 2]],GroupVertices[Vertex],0)),1,1,"")</f>
        <v>3</v>
      </c>
      <c r="S564" s="35"/>
      <c r="T564" s="35"/>
      <c r="U564" s="35"/>
      <c r="V564" s="35"/>
      <c r="W564" s="35"/>
      <c r="X564" s="35"/>
      <c r="Y564" s="35"/>
      <c r="Z564" s="35"/>
      <c r="AA564" s="35"/>
    </row>
    <row r="565" spans="1:27" ht="15">
      <c r="A565" s="65" t="s">
        <v>262</v>
      </c>
      <c r="B565" s="65" t="s">
        <v>251</v>
      </c>
      <c r="C565" s="66" t="s">
        <v>2113</v>
      </c>
      <c r="D565" s="67">
        <v>3</v>
      </c>
      <c r="E565" s="68"/>
      <c r="F565" s="69">
        <v>40</v>
      </c>
      <c r="G565" s="66"/>
      <c r="H565" s="70"/>
      <c r="I565" s="71"/>
      <c r="J565" s="71"/>
      <c r="K565" s="35" t="s">
        <v>65</v>
      </c>
      <c r="L565" s="79">
        <v>565</v>
      </c>
      <c r="M565" s="79"/>
      <c r="N565" s="73"/>
      <c r="O565" s="81" t="s">
        <v>292</v>
      </c>
      <c r="P565">
        <v>1</v>
      </c>
      <c r="Q565" s="80" t="str">
        <f>REPLACE(INDEX(GroupVertices[Group],MATCH(Edges[[#This Row],[Vertex 1]],GroupVertices[Vertex],0)),1,1,"")</f>
        <v>3</v>
      </c>
      <c r="R565" s="80" t="str">
        <f>REPLACE(INDEX(GroupVertices[Group],MATCH(Edges[[#This Row],[Vertex 2]],GroupVertices[Vertex],0)),1,1,"")</f>
        <v>3</v>
      </c>
      <c r="S565" s="35"/>
      <c r="T565" s="35"/>
      <c r="U565" s="35"/>
      <c r="V565" s="35"/>
      <c r="W565" s="35"/>
      <c r="X565" s="35"/>
      <c r="Y565" s="35"/>
      <c r="Z565" s="35"/>
      <c r="AA565" s="35"/>
    </row>
    <row r="566" spans="1:27" ht="15">
      <c r="A566" s="65" t="s">
        <v>263</v>
      </c>
      <c r="B566" s="65" t="s">
        <v>251</v>
      </c>
      <c r="C566" s="66" t="s">
        <v>2113</v>
      </c>
      <c r="D566" s="67">
        <v>3</v>
      </c>
      <c r="E566" s="68"/>
      <c r="F566" s="69">
        <v>40</v>
      </c>
      <c r="G566" s="66"/>
      <c r="H566" s="70"/>
      <c r="I566" s="71"/>
      <c r="J566" s="71"/>
      <c r="K566" s="35" t="s">
        <v>65</v>
      </c>
      <c r="L566" s="79">
        <v>566</v>
      </c>
      <c r="M566" s="79"/>
      <c r="N566" s="73"/>
      <c r="O566" s="81" t="s">
        <v>292</v>
      </c>
      <c r="P566">
        <v>1</v>
      </c>
      <c r="Q566" s="80" t="str">
        <f>REPLACE(INDEX(GroupVertices[Group],MATCH(Edges[[#This Row],[Vertex 1]],GroupVertices[Vertex],0)),1,1,"")</f>
        <v>3</v>
      </c>
      <c r="R566" s="80" t="str">
        <f>REPLACE(INDEX(GroupVertices[Group],MATCH(Edges[[#This Row],[Vertex 2]],GroupVertices[Vertex],0)),1,1,"")</f>
        <v>3</v>
      </c>
      <c r="S566" s="35"/>
      <c r="T566" s="35"/>
      <c r="U566" s="35"/>
      <c r="V566" s="35"/>
      <c r="W566" s="35"/>
      <c r="X566" s="35"/>
      <c r="Y566" s="35"/>
      <c r="Z566" s="35"/>
      <c r="AA566" s="35"/>
    </row>
    <row r="567" spans="1:27" ht="15">
      <c r="A567" s="65" t="s">
        <v>264</v>
      </c>
      <c r="B567" s="65" t="s">
        <v>251</v>
      </c>
      <c r="C567" s="66" t="s">
        <v>2113</v>
      </c>
      <c r="D567" s="67">
        <v>3</v>
      </c>
      <c r="E567" s="68"/>
      <c r="F567" s="69">
        <v>40</v>
      </c>
      <c r="G567" s="66"/>
      <c r="H567" s="70"/>
      <c r="I567" s="71"/>
      <c r="J567" s="71"/>
      <c r="K567" s="35" t="s">
        <v>65</v>
      </c>
      <c r="L567" s="79">
        <v>567</v>
      </c>
      <c r="M567" s="79"/>
      <c r="N567" s="73"/>
      <c r="O567" s="81" t="s">
        <v>292</v>
      </c>
      <c r="P567">
        <v>1</v>
      </c>
      <c r="Q567" s="80" t="str">
        <f>REPLACE(INDEX(GroupVertices[Group],MATCH(Edges[[#This Row],[Vertex 1]],GroupVertices[Vertex],0)),1,1,"")</f>
        <v>3</v>
      </c>
      <c r="R567" s="80" t="str">
        <f>REPLACE(INDEX(GroupVertices[Group],MATCH(Edges[[#This Row],[Vertex 2]],GroupVertices[Vertex],0)),1,1,"")</f>
        <v>3</v>
      </c>
      <c r="S567" s="35"/>
      <c r="T567" s="35"/>
      <c r="U567" s="35"/>
      <c r="V567" s="35"/>
      <c r="W567" s="35"/>
      <c r="X567" s="35"/>
      <c r="Y567" s="35"/>
      <c r="Z567" s="35"/>
      <c r="AA567" s="35"/>
    </row>
    <row r="568" spans="1:27" ht="15">
      <c r="A568" s="65" t="s">
        <v>265</v>
      </c>
      <c r="B568" s="65" t="s">
        <v>251</v>
      </c>
      <c r="C568" s="66" t="s">
        <v>2113</v>
      </c>
      <c r="D568" s="67">
        <v>3</v>
      </c>
      <c r="E568" s="68"/>
      <c r="F568" s="69">
        <v>40</v>
      </c>
      <c r="G568" s="66"/>
      <c r="H568" s="70"/>
      <c r="I568" s="71"/>
      <c r="J568" s="71"/>
      <c r="K568" s="35" t="s">
        <v>65</v>
      </c>
      <c r="L568" s="79">
        <v>568</v>
      </c>
      <c r="M568" s="79"/>
      <c r="N568" s="73"/>
      <c r="O568" s="81" t="s">
        <v>292</v>
      </c>
      <c r="P568">
        <v>1</v>
      </c>
      <c r="Q568" s="80" t="str">
        <f>REPLACE(INDEX(GroupVertices[Group],MATCH(Edges[[#This Row],[Vertex 1]],GroupVertices[Vertex],0)),1,1,"")</f>
        <v>3</v>
      </c>
      <c r="R568" s="80" t="str">
        <f>REPLACE(INDEX(GroupVertices[Group],MATCH(Edges[[#This Row],[Vertex 2]],GroupVertices[Vertex],0)),1,1,"")</f>
        <v>3</v>
      </c>
      <c r="S568" s="35"/>
      <c r="T568" s="35"/>
      <c r="U568" s="35"/>
      <c r="V568" s="35"/>
      <c r="W568" s="35"/>
      <c r="X568" s="35"/>
      <c r="Y568" s="35"/>
      <c r="Z568" s="35"/>
      <c r="AA568" s="35"/>
    </row>
    <row r="569" spans="1:27" ht="15">
      <c r="A569" s="65" t="s">
        <v>266</v>
      </c>
      <c r="B569" s="65" t="s">
        <v>251</v>
      </c>
      <c r="C569" s="66" t="s">
        <v>2113</v>
      </c>
      <c r="D569" s="67">
        <v>3</v>
      </c>
      <c r="E569" s="68"/>
      <c r="F569" s="69">
        <v>40</v>
      </c>
      <c r="G569" s="66"/>
      <c r="H569" s="70"/>
      <c r="I569" s="71"/>
      <c r="J569" s="71"/>
      <c r="K569" s="35" t="s">
        <v>65</v>
      </c>
      <c r="L569" s="79">
        <v>569</v>
      </c>
      <c r="M569" s="79"/>
      <c r="N569" s="73"/>
      <c r="O569" s="81" t="s">
        <v>292</v>
      </c>
      <c r="P569">
        <v>1</v>
      </c>
      <c r="Q569" s="80" t="str">
        <f>REPLACE(INDEX(GroupVertices[Group],MATCH(Edges[[#This Row],[Vertex 1]],GroupVertices[Vertex],0)),1,1,"")</f>
        <v>3</v>
      </c>
      <c r="R569" s="80" t="str">
        <f>REPLACE(INDEX(GroupVertices[Group],MATCH(Edges[[#This Row],[Vertex 2]],GroupVertices[Vertex],0)),1,1,"")</f>
        <v>3</v>
      </c>
      <c r="S569" s="35"/>
      <c r="T569" s="35"/>
      <c r="U569" s="35"/>
      <c r="V569" s="35"/>
      <c r="W569" s="35"/>
      <c r="X569" s="35"/>
      <c r="Y569" s="35"/>
      <c r="Z569" s="35"/>
      <c r="AA569" s="35"/>
    </row>
    <row r="570" spans="1:27" ht="15">
      <c r="A570" s="65" t="s">
        <v>260</v>
      </c>
      <c r="B570" s="65" t="s">
        <v>251</v>
      </c>
      <c r="C570" s="66" t="s">
        <v>2113</v>
      </c>
      <c r="D570" s="67">
        <v>3</v>
      </c>
      <c r="E570" s="68"/>
      <c r="F570" s="69">
        <v>40</v>
      </c>
      <c r="G570" s="66"/>
      <c r="H570" s="70"/>
      <c r="I570" s="71"/>
      <c r="J570" s="71"/>
      <c r="K570" s="35" t="s">
        <v>65</v>
      </c>
      <c r="L570" s="79">
        <v>570</v>
      </c>
      <c r="M570" s="79"/>
      <c r="N570" s="73"/>
      <c r="O570" s="81" t="s">
        <v>292</v>
      </c>
      <c r="P570">
        <v>1</v>
      </c>
      <c r="Q570" s="80" t="str">
        <f>REPLACE(INDEX(GroupVertices[Group],MATCH(Edges[[#This Row],[Vertex 1]],GroupVertices[Vertex],0)),1,1,"")</f>
        <v>3</v>
      </c>
      <c r="R570" s="80" t="str">
        <f>REPLACE(INDEX(GroupVertices[Group],MATCH(Edges[[#This Row],[Vertex 2]],GroupVertices[Vertex],0)),1,1,"")</f>
        <v>3</v>
      </c>
      <c r="S570" s="35"/>
      <c r="T570" s="35"/>
      <c r="U570" s="35"/>
      <c r="V570" s="35"/>
      <c r="W570" s="35"/>
      <c r="X570" s="35"/>
      <c r="Y570" s="35"/>
      <c r="Z570" s="35"/>
      <c r="AA570" s="35"/>
    </row>
    <row r="571" spans="1:27" ht="15">
      <c r="A571" s="65" t="s">
        <v>267</v>
      </c>
      <c r="B571" s="65" t="s">
        <v>251</v>
      </c>
      <c r="C571" s="66" t="s">
        <v>2113</v>
      </c>
      <c r="D571" s="67">
        <v>3</v>
      </c>
      <c r="E571" s="68"/>
      <c r="F571" s="69">
        <v>40</v>
      </c>
      <c r="G571" s="66"/>
      <c r="H571" s="70"/>
      <c r="I571" s="71"/>
      <c r="J571" s="71"/>
      <c r="K571" s="35" t="s">
        <v>65</v>
      </c>
      <c r="L571" s="79">
        <v>571</v>
      </c>
      <c r="M571" s="79"/>
      <c r="N571" s="73"/>
      <c r="O571" s="81" t="s">
        <v>292</v>
      </c>
      <c r="P571">
        <v>1</v>
      </c>
      <c r="Q571" s="80" t="str">
        <f>REPLACE(INDEX(GroupVertices[Group],MATCH(Edges[[#This Row],[Vertex 1]],GroupVertices[Vertex],0)),1,1,"")</f>
        <v>3</v>
      </c>
      <c r="R571" s="80" t="str">
        <f>REPLACE(INDEX(GroupVertices[Group],MATCH(Edges[[#This Row],[Vertex 2]],GroupVertices[Vertex],0)),1,1,"")</f>
        <v>3</v>
      </c>
      <c r="S571" s="35"/>
      <c r="T571" s="35"/>
      <c r="U571" s="35"/>
      <c r="V571" s="35"/>
      <c r="W571" s="35"/>
      <c r="X571" s="35"/>
      <c r="Y571" s="35"/>
      <c r="Z571" s="35"/>
      <c r="AA571" s="35"/>
    </row>
    <row r="572" spans="1:27" ht="15">
      <c r="A572" s="65" t="s">
        <v>268</v>
      </c>
      <c r="B572" s="65" t="s">
        <v>251</v>
      </c>
      <c r="C572" s="66" t="s">
        <v>2113</v>
      </c>
      <c r="D572" s="67">
        <v>3</v>
      </c>
      <c r="E572" s="68"/>
      <c r="F572" s="69">
        <v>40</v>
      </c>
      <c r="G572" s="66"/>
      <c r="H572" s="70"/>
      <c r="I572" s="71"/>
      <c r="J572" s="71"/>
      <c r="K572" s="35" t="s">
        <v>65</v>
      </c>
      <c r="L572" s="79">
        <v>572</v>
      </c>
      <c r="M572" s="79"/>
      <c r="N572" s="73"/>
      <c r="O572" s="81" t="s">
        <v>292</v>
      </c>
      <c r="P572">
        <v>1</v>
      </c>
      <c r="Q572" s="80" t="str">
        <f>REPLACE(INDEX(GroupVertices[Group],MATCH(Edges[[#This Row],[Vertex 1]],GroupVertices[Vertex],0)),1,1,"")</f>
        <v>3</v>
      </c>
      <c r="R572" s="80" t="str">
        <f>REPLACE(INDEX(GroupVertices[Group],MATCH(Edges[[#This Row],[Vertex 2]],GroupVertices[Vertex],0)),1,1,"")</f>
        <v>3</v>
      </c>
      <c r="S572" s="35"/>
      <c r="T572" s="35"/>
      <c r="U572" s="35"/>
      <c r="V572" s="35"/>
      <c r="W572" s="35"/>
      <c r="X572" s="35"/>
      <c r="Y572" s="35"/>
      <c r="Z572" s="35"/>
      <c r="AA572" s="35"/>
    </row>
    <row r="573" spans="1:27" ht="15">
      <c r="A573" s="65" t="s">
        <v>269</v>
      </c>
      <c r="B573" s="65" t="s">
        <v>251</v>
      </c>
      <c r="C573" s="66" t="s">
        <v>2113</v>
      </c>
      <c r="D573" s="67">
        <v>3</v>
      </c>
      <c r="E573" s="68"/>
      <c r="F573" s="69">
        <v>40</v>
      </c>
      <c r="G573" s="66"/>
      <c r="H573" s="70"/>
      <c r="I573" s="71"/>
      <c r="J573" s="71"/>
      <c r="K573" s="35" t="s">
        <v>65</v>
      </c>
      <c r="L573" s="79">
        <v>573</v>
      </c>
      <c r="M573" s="79"/>
      <c r="N573" s="73"/>
      <c r="O573" s="81" t="s">
        <v>292</v>
      </c>
      <c r="P573">
        <v>1</v>
      </c>
      <c r="Q573" s="80" t="str">
        <f>REPLACE(INDEX(GroupVertices[Group],MATCH(Edges[[#This Row],[Vertex 1]],GroupVertices[Vertex],0)),1,1,"")</f>
        <v>3</v>
      </c>
      <c r="R573" s="80" t="str">
        <f>REPLACE(INDEX(GroupVertices[Group],MATCH(Edges[[#This Row],[Vertex 2]],GroupVertices[Vertex],0)),1,1,"")</f>
        <v>3</v>
      </c>
      <c r="S573" s="35"/>
      <c r="T573" s="35"/>
      <c r="U573" s="35"/>
      <c r="V573" s="35"/>
      <c r="W573" s="35"/>
      <c r="X573" s="35"/>
      <c r="Y573" s="35"/>
      <c r="Z573" s="35"/>
      <c r="AA573" s="35"/>
    </row>
    <row r="574" spans="1:27" ht="15">
      <c r="A574" s="65" t="s">
        <v>270</v>
      </c>
      <c r="B574" s="65" t="s">
        <v>251</v>
      </c>
      <c r="C574" s="66" t="s">
        <v>2113</v>
      </c>
      <c r="D574" s="67">
        <v>3</v>
      </c>
      <c r="E574" s="68"/>
      <c r="F574" s="69">
        <v>40</v>
      </c>
      <c r="G574" s="66"/>
      <c r="H574" s="70"/>
      <c r="I574" s="71"/>
      <c r="J574" s="71"/>
      <c r="K574" s="35" t="s">
        <v>65</v>
      </c>
      <c r="L574" s="79">
        <v>574</v>
      </c>
      <c r="M574" s="79"/>
      <c r="N574" s="73"/>
      <c r="O574" s="81" t="s">
        <v>292</v>
      </c>
      <c r="P574">
        <v>1</v>
      </c>
      <c r="Q574" s="80" t="str">
        <f>REPLACE(INDEX(GroupVertices[Group],MATCH(Edges[[#This Row],[Vertex 1]],GroupVertices[Vertex],0)),1,1,"")</f>
        <v>3</v>
      </c>
      <c r="R574" s="80" t="str">
        <f>REPLACE(INDEX(GroupVertices[Group],MATCH(Edges[[#This Row],[Vertex 2]],GroupVertices[Vertex],0)),1,1,"")</f>
        <v>3</v>
      </c>
      <c r="S574" s="35"/>
      <c r="T574" s="35"/>
      <c r="U574" s="35"/>
      <c r="V574" s="35"/>
      <c r="W574" s="35"/>
      <c r="X574" s="35"/>
      <c r="Y574" s="35"/>
      <c r="Z574" s="35"/>
      <c r="AA574" s="35"/>
    </row>
    <row r="575" spans="1:27" ht="15">
      <c r="A575" s="65" t="s">
        <v>271</v>
      </c>
      <c r="B575" s="65" t="s">
        <v>251</v>
      </c>
      <c r="C575" s="66" t="s">
        <v>2113</v>
      </c>
      <c r="D575" s="67">
        <v>3</v>
      </c>
      <c r="E575" s="68"/>
      <c r="F575" s="69">
        <v>40</v>
      </c>
      <c r="G575" s="66"/>
      <c r="H575" s="70"/>
      <c r="I575" s="71"/>
      <c r="J575" s="71"/>
      <c r="K575" s="35" t="s">
        <v>65</v>
      </c>
      <c r="L575" s="79">
        <v>575</v>
      </c>
      <c r="M575" s="79"/>
      <c r="N575" s="73"/>
      <c r="O575" s="81" t="s">
        <v>292</v>
      </c>
      <c r="P575">
        <v>1</v>
      </c>
      <c r="Q575" s="80" t="str">
        <f>REPLACE(INDEX(GroupVertices[Group],MATCH(Edges[[#This Row],[Vertex 1]],GroupVertices[Vertex],0)),1,1,"")</f>
        <v>3</v>
      </c>
      <c r="R575" s="80" t="str">
        <f>REPLACE(INDEX(GroupVertices[Group],MATCH(Edges[[#This Row],[Vertex 2]],GroupVertices[Vertex],0)),1,1,"")</f>
        <v>3</v>
      </c>
      <c r="S575" s="35"/>
      <c r="T575" s="35"/>
      <c r="U575" s="35"/>
      <c r="V575" s="35"/>
      <c r="W575" s="35"/>
      <c r="X575" s="35"/>
      <c r="Y575" s="35"/>
      <c r="Z575" s="35"/>
      <c r="AA575" s="35"/>
    </row>
    <row r="576" spans="1:27" ht="15">
      <c r="A576" s="65" t="s">
        <v>272</v>
      </c>
      <c r="B576" s="65" t="s">
        <v>251</v>
      </c>
      <c r="C576" s="66" t="s">
        <v>2113</v>
      </c>
      <c r="D576" s="67">
        <v>3</v>
      </c>
      <c r="E576" s="68"/>
      <c r="F576" s="69">
        <v>40</v>
      </c>
      <c r="G576" s="66"/>
      <c r="H576" s="70"/>
      <c r="I576" s="71"/>
      <c r="J576" s="71"/>
      <c r="K576" s="35" t="s">
        <v>65</v>
      </c>
      <c r="L576" s="79">
        <v>576</v>
      </c>
      <c r="M576" s="79"/>
      <c r="N576" s="73"/>
      <c r="O576" s="81" t="s">
        <v>292</v>
      </c>
      <c r="P576">
        <v>1</v>
      </c>
      <c r="Q576" s="80" t="str">
        <f>REPLACE(INDEX(GroupVertices[Group],MATCH(Edges[[#This Row],[Vertex 1]],GroupVertices[Vertex],0)),1,1,"")</f>
        <v>3</v>
      </c>
      <c r="R576" s="80" t="str">
        <f>REPLACE(INDEX(GroupVertices[Group],MATCH(Edges[[#This Row],[Vertex 2]],GroupVertices[Vertex],0)),1,1,"")</f>
        <v>3</v>
      </c>
      <c r="S576" s="35"/>
      <c r="T576" s="35"/>
      <c r="U576" s="35"/>
      <c r="V576" s="35"/>
      <c r="W576" s="35"/>
      <c r="X576" s="35"/>
      <c r="Y576" s="35"/>
      <c r="Z576" s="35"/>
      <c r="AA576" s="35"/>
    </row>
    <row r="577" spans="1:27" ht="15">
      <c r="A577" s="65" t="s">
        <v>257</v>
      </c>
      <c r="B577" s="65" t="s">
        <v>251</v>
      </c>
      <c r="C577" s="66" t="s">
        <v>2113</v>
      </c>
      <c r="D577" s="67">
        <v>3</v>
      </c>
      <c r="E577" s="68"/>
      <c r="F577" s="69">
        <v>40</v>
      </c>
      <c r="G577" s="66"/>
      <c r="H577" s="70"/>
      <c r="I577" s="71"/>
      <c r="J577" s="71"/>
      <c r="K577" s="35" t="s">
        <v>65</v>
      </c>
      <c r="L577" s="79">
        <v>577</v>
      </c>
      <c r="M577" s="79"/>
      <c r="N577" s="73"/>
      <c r="O577" s="81" t="s">
        <v>292</v>
      </c>
      <c r="P577">
        <v>1</v>
      </c>
      <c r="Q577" s="80" t="str">
        <f>REPLACE(INDEX(GroupVertices[Group],MATCH(Edges[[#This Row],[Vertex 1]],GroupVertices[Vertex],0)),1,1,"")</f>
        <v>3</v>
      </c>
      <c r="R577" s="80" t="str">
        <f>REPLACE(INDEX(GroupVertices[Group],MATCH(Edges[[#This Row],[Vertex 2]],GroupVertices[Vertex],0)),1,1,"")</f>
        <v>3</v>
      </c>
      <c r="S577" s="35"/>
      <c r="T577" s="35"/>
      <c r="U577" s="35"/>
      <c r="V577" s="35"/>
      <c r="W577" s="35"/>
      <c r="X577" s="35"/>
      <c r="Y577" s="35"/>
      <c r="Z577" s="35"/>
      <c r="AA577" s="35"/>
    </row>
    <row r="578" spans="1:27" ht="15">
      <c r="A578" s="65" t="s">
        <v>273</v>
      </c>
      <c r="B578" s="65" t="s">
        <v>251</v>
      </c>
      <c r="C578" s="66" t="s">
        <v>2113</v>
      </c>
      <c r="D578" s="67">
        <v>3</v>
      </c>
      <c r="E578" s="68"/>
      <c r="F578" s="69">
        <v>40</v>
      </c>
      <c r="G578" s="66"/>
      <c r="H578" s="70"/>
      <c r="I578" s="71"/>
      <c r="J578" s="71"/>
      <c r="K578" s="35" t="s">
        <v>65</v>
      </c>
      <c r="L578" s="79">
        <v>578</v>
      </c>
      <c r="M578" s="79"/>
      <c r="N578" s="73"/>
      <c r="O578" s="81" t="s">
        <v>293</v>
      </c>
      <c r="P578">
        <v>1</v>
      </c>
      <c r="Q578" s="80" t="str">
        <f>REPLACE(INDEX(GroupVertices[Group],MATCH(Edges[[#This Row],[Vertex 1]],GroupVertices[Vertex],0)),1,1,"")</f>
        <v>3</v>
      </c>
      <c r="R578" s="80" t="str">
        <f>REPLACE(INDEX(GroupVertices[Group],MATCH(Edges[[#This Row],[Vertex 2]],GroupVertices[Vertex],0)),1,1,"")</f>
        <v>3</v>
      </c>
      <c r="S578" s="35"/>
      <c r="T578" s="35"/>
      <c r="U578" s="35"/>
      <c r="V578" s="35"/>
      <c r="W578" s="35"/>
      <c r="X578" s="35"/>
      <c r="Y578" s="35"/>
      <c r="Z578" s="35"/>
      <c r="AA578" s="35"/>
    </row>
    <row r="579" spans="1:27" ht="15">
      <c r="A579" s="65" t="s">
        <v>263</v>
      </c>
      <c r="B579" s="65" t="s">
        <v>262</v>
      </c>
      <c r="C579" s="66" t="s">
        <v>2113</v>
      </c>
      <c r="D579" s="67">
        <v>3</v>
      </c>
      <c r="E579" s="68"/>
      <c r="F579" s="69">
        <v>40</v>
      </c>
      <c r="G579" s="66"/>
      <c r="H579" s="70"/>
      <c r="I579" s="71"/>
      <c r="J579" s="71"/>
      <c r="K579" s="35" t="s">
        <v>65</v>
      </c>
      <c r="L579" s="79">
        <v>579</v>
      </c>
      <c r="M579" s="79"/>
      <c r="N579" s="73"/>
      <c r="O579" s="81" t="s">
        <v>292</v>
      </c>
      <c r="P579">
        <v>1</v>
      </c>
      <c r="Q579" s="80" t="str">
        <f>REPLACE(INDEX(GroupVertices[Group],MATCH(Edges[[#This Row],[Vertex 1]],GroupVertices[Vertex],0)),1,1,"")</f>
        <v>3</v>
      </c>
      <c r="R579" s="80" t="str">
        <f>REPLACE(INDEX(GroupVertices[Group],MATCH(Edges[[#This Row],[Vertex 2]],GroupVertices[Vertex],0)),1,1,"")</f>
        <v>3</v>
      </c>
      <c r="S579" s="35"/>
      <c r="T579" s="35"/>
      <c r="U579" s="35"/>
      <c r="V579" s="35"/>
      <c r="W579" s="35"/>
      <c r="X579" s="35"/>
      <c r="Y579" s="35"/>
      <c r="Z579" s="35"/>
      <c r="AA579" s="35"/>
    </row>
    <row r="580" spans="1:27" ht="15">
      <c r="A580" s="65" t="s">
        <v>264</v>
      </c>
      <c r="B580" s="65" t="s">
        <v>262</v>
      </c>
      <c r="C580" s="66" t="s">
        <v>2113</v>
      </c>
      <c r="D580" s="67">
        <v>3</v>
      </c>
      <c r="E580" s="68"/>
      <c r="F580" s="69">
        <v>40</v>
      </c>
      <c r="G580" s="66"/>
      <c r="H580" s="70"/>
      <c r="I580" s="71"/>
      <c r="J580" s="71"/>
      <c r="K580" s="35" t="s">
        <v>65</v>
      </c>
      <c r="L580" s="79">
        <v>580</v>
      </c>
      <c r="M580" s="79"/>
      <c r="N580" s="73"/>
      <c r="O580" s="81" t="s">
        <v>292</v>
      </c>
      <c r="P580">
        <v>1</v>
      </c>
      <c r="Q580" s="80" t="str">
        <f>REPLACE(INDEX(GroupVertices[Group],MATCH(Edges[[#This Row],[Vertex 1]],GroupVertices[Vertex],0)),1,1,"")</f>
        <v>3</v>
      </c>
      <c r="R580" s="80" t="str">
        <f>REPLACE(INDEX(GroupVertices[Group],MATCH(Edges[[#This Row],[Vertex 2]],GroupVertices[Vertex],0)),1,1,"")</f>
        <v>3</v>
      </c>
      <c r="S580" s="35"/>
      <c r="T580" s="35"/>
      <c r="U580" s="35"/>
      <c r="V580" s="35"/>
      <c r="W580" s="35"/>
      <c r="X580" s="35"/>
      <c r="Y580" s="35"/>
      <c r="Z580" s="35"/>
      <c r="AA580" s="35"/>
    </row>
    <row r="581" spans="1:27" ht="15">
      <c r="A581" s="65" t="s">
        <v>265</v>
      </c>
      <c r="B581" s="65" t="s">
        <v>262</v>
      </c>
      <c r="C581" s="66" t="s">
        <v>2113</v>
      </c>
      <c r="D581" s="67">
        <v>3</v>
      </c>
      <c r="E581" s="68"/>
      <c r="F581" s="69">
        <v>40</v>
      </c>
      <c r="G581" s="66"/>
      <c r="H581" s="70"/>
      <c r="I581" s="71"/>
      <c r="J581" s="71"/>
      <c r="K581" s="35" t="s">
        <v>65</v>
      </c>
      <c r="L581" s="79">
        <v>581</v>
      </c>
      <c r="M581" s="79"/>
      <c r="N581" s="73"/>
      <c r="O581" s="81" t="s">
        <v>292</v>
      </c>
      <c r="P581">
        <v>1</v>
      </c>
      <c r="Q581" s="80" t="str">
        <f>REPLACE(INDEX(GroupVertices[Group],MATCH(Edges[[#This Row],[Vertex 1]],GroupVertices[Vertex],0)),1,1,"")</f>
        <v>3</v>
      </c>
      <c r="R581" s="80" t="str">
        <f>REPLACE(INDEX(GroupVertices[Group],MATCH(Edges[[#This Row],[Vertex 2]],GroupVertices[Vertex],0)),1,1,"")</f>
        <v>3</v>
      </c>
      <c r="S581" s="35"/>
      <c r="T581" s="35"/>
      <c r="U581" s="35"/>
      <c r="V581" s="35"/>
      <c r="W581" s="35"/>
      <c r="X581" s="35"/>
      <c r="Y581" s="35"/>
      <c r="Z581" s="35"/>
      <c r="AA581" s="35"/>
    </row>
    <row r="582" spans="1:27" ht="15">
      <c r="A582" s="65" t="s">
        <v>266</v>
      </c>
      <c r="B582" s="65" t="s">
        <v>262</v>
      </c>
      <c r="C582" s="66" t="s">
        <v>2113</v>
      </c>
      <c r="D582" s="67">
        <v>3</v>
      </c>
      <c r="E582" s="68"/>
      <c r="F582" s="69">
        <v>40</v>
      </c>
      <c r="G582" s="66"/>
      <c r="H582" s="70"/>
      <c r="I582" s="71"/>
      <c r="J582" s="71"/>
      <c r="K582" s="35" t="s">
        <v>65</v>
      </c>
      <c r="L582" s="79">
        <v>582</v>
      </c>
      <c r="M582" s="79"/>
      <c r="N582" s="73"/>
      <c r="O582" s="81" t="s">
        <v>292</v>
      </c>
      <c r="P582">
        <v>1</v>
      </c>
      <c r="Q582" s="80" t="str">
        <f>REPLACE(INDEX(GroupVertices[Group],MATCH(Edges[[#This Row],[Vertex 1]],GroupVertices[Vertex],0)),1,1,"")</f>
        <v>3</v>
      </c>
      <c r="R582" s="80" t="str">
        <f>REPLACE(INDEX(GroupVertices[Group],MATCH(Edges[[#This Row],[Vertex 2]],GroupVertices[Vertex],0)),1,1,"")</f>
        <v>3</v>
      </c>
      <c r="S582" s="35"/>
      <c r="T582" s="35"/>
      <c r="U582" s="35"/>
      <c r="V582" s="35"/>
      <c r="W582" s="35"/>
      <c r="X582" s="35"/>
      <c r="Y582" s="35"/>
      <c r="Z582" s="35"/>
      <c r="AA582" s="35"/>
    </row>
    <row r="583" spans="1:27" ht="15">
      <c r="A583" s="65" t="s">
        <v>260</v>
      </c>
      <c r="B583" s="65" t="s">
        <v>262</v>
      </c>
      <c r="C583" s="66" t="s">
        <v>2113</v>
      </c>
      <c r="D583" s="67">
        <v>3</v>
      </c>
      <c r="E583" s="68"/>
      <c r="F583" s="69">
        <v>40</v>
      </c>
      <c r="G583" s="66"/>
      <c r="H583" s="70"/>
      <c r="I583" s="71"/>
      <c r="J583" s="71"/>
      <c r="K583" s="35" t="s">
        <v>65</v>
      </c>
      <c r="L583" s="79">
        <v>583</v>
      </c>
      <c r="M583" s="79"/>
      <c r="N583" s="73"/>
      <c r="O583" s="81" t="s">
        <v>292</v>
      </c>
      <c r="P583">
        <v>1</v>
      </c>
      <c r="Q583" s="80" t="str">
        <f>REPLACE(INDEX(GroupVertices[Group],MATCH(Edges[[#This Row],[Vertex 1]],GroupVertices[Vertex],0)),1,1,"")</f>
        <v>3</v>
      </c>
      <c r="R583" s="80" t="str">
        <f>REPLACE(INDEX(GroupVertices[Group],MATCH(Edges[[#This Row],[Vertex 2]],GroupVertices[Vertex],0)),1,1,"")</f>
        <v>3</v>
      </c>
      <c r="S583" s="35"/>
      <c r="T583" s="35"/>
      <c r="U583" s="35"/>
      <c r="V583" s="35"/>
      <c r="W583" s="35"/>
      <c r="X583" s="35"/>
      <c r="Y583" s="35"/>
      <c r="Z583" s="35"/>
      <c r="AA583" s="35"/>
    </row>
    <row r="584" spans="1:27" ht="15">
      <c r="A584" s="65" t="s">
        <v>267</v>
      </c>
      <c r="B584" s="65" t="s">
        <v>262</v>
      </c>
      <c r="C584" s="66" t="s">
        <v>2113</v>
      </c>
      <c r="D584" s="67">
        <v>3</v>
      </c>
      <c r="E584" s="68"/>
      <c r="F584" s="69">
        <v>40</v>
      </c>
      <c r="G584" s="66"/>
      <c r="H584" s="70"/>
      <c r="I584" s="71"/>
      <c r="J584" s="71"/>
      <c r="K584" s="35" t="s">
        <v>65</v>
      </c>
      <c r="L584" s="79">
        <v>584</v>
      </c>
      <c r="M584" s="79"/>
      <c r="N584" s="73"/>
      <c r="O584" s="81" t="s">
        <v>292</v>
      </c>
      <c r="P584">
        <v>1</v>
      </c>
      <c r="Q584" s="80" t="str">
        <f>REPLACE(INDEX(GroupVertices[Group],MATCH(Edges[[#This Row],[Vertex 1]],GroupVertices[Vertex],0)),1,1,"")</f>
        <v>3</v>
      </c>
      <c r="R584" s="80" t="str">
        <f>REPLACE(INDEX(GroupVertices[Group],MATCH(Edges[[#This Row],[Vertex 2]],GroupVertices[Vertex],0)),1,1,"")</f>
        <v>3</v>
      </c>
      <c r="S584" s="35"/>
      <c r="T584" s="35"/>
      <c r="U584" s="35"/>
      <c r="V584" s="35"/>
      <c r="W584" s="35"/>
      <c r="X584" s="35"/>
      <c r="Y584" s="35"/>
      <c r="Z584" s="35"/>
      <c r="AA584" s="35"/>
    </row>
    <row r="585" spans="1:27" ht="15">
      <c r="A585" s="65" t="s">
        <v>268</v>
      </c>
      <c r="B585" s="65" t="s">
        <v>262</v>
      </c>
      <c r="C585" s="66" t="s">
        <v>2113</v>
      </c>
      <c r="D585" s="67">
        <v>3</v>
      </c>
      <c r="E585" s="68"/>
      <c r="F585" s="69">
        <v>40</v>
      </c>
      <c r="G585" s="66"/>
      <c r="H585" s="70"/>
      <c r="I585" s="71"/>
      <c r="J585" s="71"/>
      <c r="K585" s="35" t="s">
        <v>65</v>
      </c>
      <c r="L585" s="79">
        <v>585</v>
      </c>
      <c r="M585" s="79"/>
      <c r="N585" s="73"/>
      <c r="O585" s="81" t="s">
        <v>292</v>
      </c>
      <c r="P585">
        <v>1</v>
      </c>
      <c r="Q585" s="80" t="str">
        <f>REPLACE(INDEX(GroupVertices[Group],MATCH(Edges[[#This Row],[Vertex 1]],GroupVertices[Vertex],0)),1,1,"")</f>
        <v>3</v>
      </c>
      <c r="R585" s="80" t="str">
        <f>REPLACE(INDEX(GroupVertices[Group],MATCH(Edges[[#This Row],[Vertex 2]],GroupVertices[Vertex],0)),1,1,"")</f>
        <v>3</v>
      </c>
      <c r="S585" s="35"/>
      <c r="T585" s="35"/>
      <c r="U585" s="35"/>
      <c r="V585" s="35"/>
      <c r="W585" s="35"/>
      <c r="X585" s="35"/>
      <c r="Y585" s="35"/>
      <c r="Z585" s="35"/>
      <c r="AA585" s="35"/>
    </row>
    <row r="586" spans="1:27" ht="15">
      <c r="A586" s="65" t="s">
        <v>269</v>
      </c>
      <c r="B586" s="65" t="s">
        <v>262</v>
      </c>
      <c r="C586" s="66" t="s">
        <v>2113</v>
      </c>
      <c r="D586" s="67">
        <v>3</v>
      </c>
      <c r="E586" s="68"/>
      <c r="F586" s="69">
        <v>40</v>
      </c>
      <c r="G586" s="66"/>
      <c r="H586" s="70"/>
      <c r="I586" s="71"/>
      <c r="J586" s="71"/>
      <c r="K586" s="35" t="s">
        <v>65</v>
      </c>
      <c r="L586" s="79">
        <v>586</v>
      </c>
      <c r="M586" s="79"/>
      <c r="N586" s="73"/>
      <c r="O586" s="81" t="s">
        <v>292</v>
      </c>
      <c r="P586">
        <v>1</v>
      </c>
      <c r="Q586" s="80" t="str">
        <f>REPLACE(INDEX(GroupVertices[Group],MATCH(Edges[[#This Row],[Vertex 1]],GroupVertices[Vertex],0)),1,1,"")</f>
        <v>3</v>
      </c>
      <c r="R586" s="80" t="str">
        <f>REPLACE(INDEX(GroupVertices[Group],MATCH(Edges[[#This Row],[Vertex 2]],GroupVertices[Vertex],0)),1,1,"")</f>
        <v>3</v>
      </c>
      <c r="S586" s="35"/>
      <c r="T586" s="35"/>
      <c r="U586" s="35"/>
      <c r="V586" s="35"/>
      <c r="W586" s="35"/>
      <c r="X586" s="35"/>
      <c r="Y586" s="35"/>
      <c r="Z586" s="35"/>
      <c r="AA586" s="35"/>
    </row>
    <row r="587" spans="1:27" ht="15">
      <c r="A587" s="65" t="s">
        <v>270</v>
      </c>
      <c r="B587" s="65" t="s">
        <v>262</v>
      </c>
      <c r="C587" s="66" t="s">
        <v>2113</v>
      </c>
      <c r="D587" s="67">
        <v>3</v>
      </c>
      <c r="E587" s="68"/>
      <c r="F587" s="69">
        <v>40</v>
      </c>
      <c r="G587" s="66"/>
      <c r="H587" s="70"/>
      <c r="I587" s="71"/>
      <c r="J587" s="71"/>
      <c r="K587" s="35" t="s">
        <v>65</v>
      </c>
      <c r="L587" s="79">
        <v>587</v>
      </c>
      <c r="M587" s="79"/>
      <c r="N587" s="73"/>
      <c r="O587" s="81" t="s">
        <v>292</v>
      </c>
      <c r="P587">
        <v>1</v>
      </c>
      <c r="Q587" s="80" t="str">
        <f>REPLACE(INDEX(GroupVertices[Group],MATCH(Edges[[#This Row],[Vertex 1]],GroupVertices[Vertex],0)),1,1,"")</f>
        <v>3</v>
      </c>
      <c r="R587" s="80" t="str">
        <f>REPLACE(INDEX(GroupVertices[Group],MATCH(Edges[[#This Row],[Vertex 2]],GroupVertices[Vertex],0)),1,1,"")</f>
        <v>3</v>
      </c>
      <c r="S587" s="35"/>
      <c r="T587" s="35"/>
      <c r="U587" s="35"/>
      <c r="V587" s="35"/>
      <c r="W587" s="35"/>
      <c r="X587" s="35"/>
      <c r="Y587" s="35"/>
      <c r="Z587" s="35"/>
      <c r="AA587" s="35"/>
    </row>
    <row r="588" spans="1:27" ht="15">
      <c r="A588" s="65" t="s">
        <v>271</v>
      </c>
      <c r="B588" s="65" t="s">
        <v>262</v>
      </c>
      <c r="C588" s="66" t="s">
        <v>2113</v>
      </c>
      <c r="D588" s="67">
        <v>3</v>
      </c>
      <c r="E588" s="68"/>
      <c r="F588" s="69">
        <v>40</v>
      </c>
      <c r="G588" s="66"/>
      <c r="H588" s="70"/>
      <c r="I588" s="71"/>
      <c r="J588" s="71"/>
      <c r="K588" s="35" t="s">
        <v>65</v>
      </c>
      <c r="L588" s="79">
        <v>588</v>
      </c>
      <c r="M588" s="79"/>
      <c r="N588" s="73"/>
      <c r="O588" s="81" t="s">
        <v>292</v>
      </c>
      <c r="P588">
        <v>1</v>
      </c>
      <c r="Q588" s="80" t="str">
        <f>REPLACE(INDEX(GroupVertices[Group],MATCH(Edges[[#This Row],[Vertex 1]],GroupVertices[Vertex],0)),1,1,"")</f>
        <v>3</v>
      </c>
      <c r="R588" s="80" t="str">
        <f>REPLACE(INDEX(GroupVertices[Group],MATCH(Edges[[#This Row],[Vertex 2]],GroupVertices[Vertex],0)),1,1,"")</f>
        <v>3</v>
      </c>
      <c r="S588" s="35"/>
      <c r="T588" s="35"/>
      <c r="U588" s="35"/>
      <c r="V588" s="35"/>
      <c r="W588" s="35"/>
      <c r="X588" s="35"/>
      <c r="Y588" s="35"/>
      <c r="Z588" s="35"/>
      <c r="AA588" s="35"/>
    </row>
    <row r="589" spans="1:27" ht="15">
      <c r="A589" s="65" t="s">
        <v>272</v>
      </c>
      <c r="B589" s="65" t="s">
        <v>262</v>
      </c>
      <c r="C589" s="66" t="s">
        <v>2113</v>
      </c>
      <c r="D589" s="67">
        <v>3</v>
      </c>
      <c r="E589" s="68"/>
      <c r="F589" s="69">
        <v>40</v>
      </c>
      <c r="G589" s="66"/>
      <c r="H589" s="70"/>
      <c r="I589" s="71"/>
      <c r="J589" s="71"/>
      <c r="K589" s="35" t="s">
        <v>65</v>
      </c>
      <c r="L589" s="79">
        <v>589</v>
      </c>
      <c r="M589" s="79"/>
      <c r="N589" s="73"/>
      <c r="O589" s="81" t="s">
        <v>292</v>
      </c>
      <c r="P589">
        <v>1</v>
      </c>
      <c r="Q589" s="80" t="str">
        <f>REPLACE(INDEX(GroupVertices[Group],MATCH(Edges[[#This Row],[Vertex 1]],GroupVertices[Vertex],0)),1,1,"")</f>
        <v>3</v>
      </c>
      <c r="R589" s="80" t="str">
        <f>REPLACE(INDEX(GroupVertices[Group],MATCH(Edges[[#This Row],[Vertex 2]],GroupVertices[Vertex],0)),1,1,"")</f>
        <v>3</v>
      </c>
      <c r="S589" s="35"/>
      <c r="T589" s="35"/>
      <c r="U589" s="35"/>
      <c r="V589" s="35"/>
      <c r="W589" s="35"/>
      <c r="X589" s="35"/>
      <c r="Y589" s="35"/>
      <c r="Z589" s="35"/>
      <c r="AA589" s="35"/>
    </row>
    <row r="590" spans="1:27" ht="15">
      <c r="A590" s="65" t="s">
        <v>273</v>
      </c>
      <c r="B590" s="65" t="s">
        <v>262</v>
      </c>
      <c r="C590" s="66" t="s">
        <v>2113</v>
      </c>
      <c r="D590" s="67">
        <v>3</v>
      </c>
      <c r="E590" s="68"/>
      <c r="F590" s="69">
        <v>40</v>
      </c>
      <c r="G590" s="66"/>
      <c r="H590" s="70"/>
      <c r="I590" s="71"/>
      <c r="J590" s="71"/>
      <c r="K590" s="35" t="s">
        <v>65</v>
      </c>
      <c r="L590" s="79">
        <v>590</v>
      </c>
      <c r="M590" s="79"/>
      <c r="N590" s="73"/>
      <c r="O590" s="81" t="s">
        <v>293</v>
      </c>
      <c r="P590">
        <v>1</v>
      </c>
      <c r="Q590" s="80" t="str">
        <f>REPLACE(INDEX(GroupVertices[Group],MATCH(Edges[[#This Row],[Vertex 1]],GroupVertices[Vertex],0)),1,1,"")</f>
        <v>3</v>
      </c>
      <c r="R590" s="80" t="str">
        <f>REPLACE(INDEX(GroupVertices[Group],MATCH(Edges[[#This Row],[Vertex 2]],GroupVertices[Vertex],0)),1,1,"")</f>
        <v>3</v>
      </c>
      <c r="S590" s="35"/>
      <c r="T590" s="35"/>
      <c r="U590" s="35"/>
      <c r="V590" s="35"/>
      <c r="W590" s="35"/>
      <c r="X590" s="35"/>
      <c r="Y590" s="35"/>
      <c r="Z590" s="35"/>
      <c r="AA590" s="35"/>
    </row>
    <row r="591" spans="1:27" ht="15">
      <c r="A591" s="65" t="s">
        <v>264</v>
      </c>
      <c r="B591" s="65" t="s">
        <v>263</v>
      </c>
      <c r="C591" s="66" t="s">
        <v>2113</v>
      </c>
      <c r="D591" s="67">
        <v>3</v>
      </c>
      <c r="E591" s="68"/>
      <c r="F591" s="69">
        <v>40</v>
      </c>
      <c r="G591" s="66"/>
      <c r="H591" s="70"/>
      <c r="I591" s="71"/>
      <c r="J591" s="71"/>
      <c r="K591" s="35" t="s">
        <v>65</v>
      </c>
      <c r="L591" s="79">
        <v>591</v>
      </c>
      <c r="M591" s="79"/>
      <c r="N591" s="73"/>
      <c r="O591" s="81" t="s">
        <v>292</v>
      </c>
      <c r="P591">
        <v>1</v>
      </c>
      <c r="Q591" s="80" t="str">
        <f>REPLACE(INDEX(GroupVertices[Group],MATCH(Edges[[#This Row],[Vertex 1]],GroupVertices[Vertex],0)),1,1,"")</f>
        <v>3</v>
      </c>
      <c r="R591" s="80" t="str">
        <f>REPLACE(INDEX(GroupVertices[Group],MATCH(Edges[[#This Row],[Vertex 2]],GroupVertices[Vertex],0)),1,1,"")</f>
        <v>3</v>
      </c>
      <c r="S591" s="35"/>
      <c r="T591" s="35"/>
      <c r="U591" s="35"/>
      <c r="V591" s="35"/>
      <c r="W591" s="35"/>
      <c r="X591" s="35"/>
      <c r="Y591" s="35"/>
      <c r="Z591" s="35"/>
      <c r="AA591" s="35"/>
    </row>
    <row r="592" spans="1:27" ht="15">
      <c r="A592" s="65" t="s">
        <v>265</v>
      </c>
      <c r="B592" s="65" t="s">
        <v>263</v>
      </c>
      <c r="C592" s="66" t="s">
        <v>2113</v>
      </c>
      <c r="D592" s="67">
        <v>3</v>
      </c>
      <c r="E592" s="68"/>
      <c r="F592" s="69">
        <v>40</v>
      </c>
      <c r="G592" s="66"/>
      <c r="H592" s="70"/>
      <c r="I592" s="71"/>
      <c r="J592" s="71"/>
      <c r="K592" s="35" t="s">
        <v>65</v>
      </c>
      <c r="L592" s="79">
        <v>592</v>
      </c>
      <c r="M592" s="79"/>
      <c r="N592" s="73"/>
      <c r="O592" s="81" t="s">
        <v>292</v>
      </c>
      <c r="P592">
        <v>1</v>
      </c>
      <c r="Q592" s="80" t="str">
        <f>REPLACE(INDEX(GroupVertices[Group],MATCH(Edges[[#This Row],[Vertex 1]],GroupVertices[Vertex],0)),1,1,"")</f>
        <v>3</v>
      </c>
      <c r="R592" s="80" t="str">
        <f>REPLACE(INDEX(GroupVertices[Group],MATCH(Edges[[#This Row],[Vertex 2]],GroupVertices[Vertex],0)),1,1,"")</f>
        <v>3</v>
      </c>
      <c r="S592" s="35"/>
      <c r="T592" s="35"/>
      <c r="U592" s="35"/>
      <c r="V592" s="35"/>
      <c r="W592" s="35"/>
      <c r="X592" s="35"/>
      <c r="Y592" s="35"/>
      <c r="Z592" s="35"/>
      <c r="AA592" s="35"/>
    </row>
    <row r="593" spans="1:27" ht="15">
      <c r="A593" s="65" t="s">
        <v>266</v>
      </c>
      <c r="B593" s="65" t="s">
        <v>263</v>
      </c>
      <c r="C593" s="66" t="s">
        <v>2113</v>
      </c>
      <c r="D593" s="67">
        <v>3</v>
      </c>
      <c r="E593" s="68"/>
      <c r="F593" s="69">
        <v>40</v>
      </c>
      <c r="G593" s="66"/>
      <c r="H593" s="70"/>
      <c r="I593" s="71"/>
      <c r="J593" s="71"/>
      <c r="K593" s="35" t="s">
        <v>65</v>
      </c>
      <c r="L593" s="79">
        <v>593</v>
      </c>
      <c r="M593" s="79"/>
      <c r="N593" s="73"/>
      <c r="O593" s="81" t="s">
        <v>292</v>
      </c>
      <c r="P593">
        <v>1</v>
      </c>
      <c r="Q593" s="80" t="str">
        <f>REPLACE(INDEX(GroupVertices[Group],MATCH(Edges[[#This Row],[Vertex 1]],GroupVertices[Vertex],0)),1,1,"")</f>
        <v>3</v>
      </c>
      <c r="R593" s="80" t="str">
        <f>REPLACE(INDEX(GroupVertices[Group],MATCH(Edges[[#This Row],[Vertex 2]],GroupVertices[Vertex],0)),1,1,"")</f>
        <v>3</v>
      </c>
      <c r="S593" s="35"/>
      <c r="T593" s="35"/>
      <c r="U593" s="35"/>
      <c r="V593" s="35"/>
      <c r="W593" s="35"/>
      <c r="X593" s="35"/>
      <c r="Y593" s="35"/>
      <c r="Z593" s="35"/>
      <c r="AA593" s="35"/>
    </row>
    <row r="594" spans="1:27" ht="15">
      <c r="A594" s="65" t="s">
        <v>260</v>
      </c>
      <c r="B594" s="65" t="s">
        <v>263</v>
      </c>
      <c r="C594" s="66" t="s">
        <v>2113</v>
      </c>
      <c r="D594" s="67">
        <v>3</v>
      </c>
      <c r="E594" s="68"/>
      <c r="F594" s="69">
        <v>40</v>
      </c>
      <c r="G594" s="66"/>
      <c r="H594" s="70"/>
      <c r="I594" s="71"/>
      <c r="J594" s="71"/>
      <c r="K594" s="35" t="s">
        <v>65</v>
      </c>
      <c r="L594" s="79">
        <v>594</v>
      </c>
      <c r="M594" s="79"/>
      <c r="N594" s="73"/>
      <c r="O594" s="81" t="s">
        <v>292</v>
      </c>
      <c r="P594">
        <v>1</v>
      </c>
      <c r="Q594" s="80" t="str">
        <f>REPLACE(INDEX(GroupVertices[Group],MATCH(Edges[[#This Row],[Vertex 1]],GroupVertices[Vertex],0)),1,1,"")</f>
        <v>3</v>
      </c>
      <c r="R594" s="80" t="str">
        <f>REPLACE(INDEX(GroupVertices[Group],MATCH(Edges[[#This Row],[Vertex 2]],GroupVertices[Vertex],0)),1,1,"")</f>
        <v>3</v>
      </c>
      <c r="S594" s="35"/>
      <c r="T594" s="35"/>
      <c r="U594" s="35"/>
      <c r="V594" s="35"/>
      <c r="W594" s="35"/>
      <c r="X594" s="35"/>
      <c r="Y594" s="35"/>
      <c r="Z594" s="35"/>
      <c r="AA594" s="35"/>
    </row>
    <row r="595" spans="1:27" ht="15">
      <c r="A595" s="65" t="s">
        <v>267</v>
      </c>
      <c r="B595" s="65" t="s">
        <v>263</v>
      </c>
      <c r="C595" s="66" t="s">
        <v>2113</v>
      </c>
      <c r="D595" s="67">
        <v>3</v>
      </c>
      <c r="E595" s="68"/>
      <c r="F595" s="69">
        <v>40</v>
      </c>
      <c r="G595" s="66"/>
      <c r="H595" s="70"/>
      <c r="I595" s="71"/>
      <c r="J595" s="71"/>
      <c r="K595" s="35" t="s">
        <v>65</v>
      </c>
      <c r="L595" s="79">
        <v>595</v>
      </c>
      <c r="M595" s="79"/>
      <c r="N595" s="73"/>
      <c r="O595" s="81" t="s">
        <v>292</v>
      </c>
      <c r="P595">
        <v>1</v>
      </c>
      <c r="Q595" s="80" t="str">
        <f>REPLACE(INDEX(GroupVertices[Group],MATCH(Edges[[#This Row],[Vertex 1]],GroupVertices[Vertex],0)),1,1,"")</f>
        <v>3</v>
      </c>
      <c r="R595" s="80" t="str">
        <f>REPLACE(INDEX(GroupVertices[Group],MATCH(Edges[[#This Row],[Vertex 2]],GroupVertices[Vertex],0)),1,1,"")</f>
        <v>3</v>
      </c>
      <c r="S595" s="35"/>
      <c r="T595" s="35"/>
      <c r="U595" s="35"/>
      <c r="V595" s="35"/>
      <c r="W595" s="35"/>
      <c r="X595" s="35"/>
      <c r="Y595" s="35"/>
      <c r="Z595" s="35"/>
      <c r="AA595" s="35"/>
    </row>
    <row r="596" spans="1:27" ht="15">
      <c r="A596" s="65" t="s">
        <v>268</v>
      </c>
      <c r="B596" s="65" t="s">
        <v>263</v>
      </c>
      <c r="C596" s="66" t="s">
        <v>2113</v>
      </c>
      <c r="D596" s="67">
        <v>3</v>
      </c>
      <c r="E596" s="68"/>
      <c r="F596" s="69">
        <v>40</v>
      </c>
      <c r="G596" s="66"/>
      <c r="H596" s="70"/>
      <c r="I596" s="71"/>
      <c r="J596" s="71"/>
      <c r="K596" s="35" t="s">
        <v>65</v>
      </c>
      <c r="L596" s="79">
        <v>596</v>
      </c>
      <c r="M596" s="79"/>
      <c r="N596" s="73"/>
      <c r="O596" s="81" t="s">
        <v>292</v>
      </c>
      <c r="P596">
        <v>1</v>
      </c>
      <c r="Q596" s="80" t="str">
        <f>REPLACE(INDEX(GroupVertices[Group],MATCH(Edges[[#This Row],[Vertex 1]],GroupVertices[Vertex],0)),1,1,"")</f>
        <v>3</v>
      </c>
      <c r="R596" s="80" t="str">
        <f>REPLACE(INDEX(GroupVertices[Group],MATCH(Edges[[#This Row],[Vertex 2]],GroupVertices[Vertex],0)),1,1,"")</f>
        <v>3</v>
      </c>
      <c r="S596" s="35"/>
      <c r="T596" s="35"/>
      <c r="U596" s="35"/>
      <c r="V596" s="35"/>
      <c r="W596" s="35"/>
      <c r="X596" s="35"/>
      <c r="Y596" s="35"/>
      <c r="Z596" s="35"/>
      <c r="AA596" s="35"/>
    </row>
    <row r="597" spans="1:27" ht="15">
      <c r="A597" s="65" t="s">
        <v>269</v>
      </c>
      <c r="B597" s="65" t="s">
        <v>263</v>
      </c>
      <c r="C597" s="66" t="s">
        <v>2113</v>
      </c>
      <c r="D597" s="67">
        <v>3</v>
      </c>
      <c r="E597" s="68"/>
      <c r="F597" s="69">
        <v>40</v>
      </c>
      <c r="G597" s="66"/>
      <c r="H597" s="70"/>
      <c r="I597" s="71"/>
      <c r="J597" s="71"/>
      <c r="K597" s="35" t="s">
        <v>65</v>
      </c>
      <c r="L597" s="79">
        <v>597</v>
      </c>
      <c r="M597" s="79"/>
      <c r="N597" s="73"/>
      <c r="O597" s="81" t="s">
        <v>292</v>
      </c>
      <c r="P597">
        <v>1</v>
      </c>
      <c r="Q597" s="80" t="str">
        <f>REPLACE(INDEX(GroupVertices[Group],MATCH(Edges[[#This Row],[Vertex 1]],GroupVertices[Vertex],0)),1,1,"")</f>
        <v>3</v>
      </c>
      <c r="R597" s="80" t="str">
        <f>REPLACE(INDEX(GroupVertices[Group],MATCH(Edges[[#This Row],[Vertex 2]],GroupVertices[Vertex],0)),1,1,"")</f>
        <v>3</v>
      </c>
      <c r="S597" s="35"/>
      <c r="T597" s="35"/>
      <c r="U597" s="35"/>
      <c r="V597" s="35"/>
      <c r="W597" s="35"/>
      <c r="X597" s="35"/>
      <c r="Y597" s="35"/>
      <c r="Z597" s="35"/>
      <c r="AA597" s="35"/>
    </row>
    <row r="598" spans="1:27" ht="15">
      <c r="A598" s="65" t="s">
        <v>270</v>
      </c>
      <c r="B598" s="65" t="s">
        <v>263</v>
      </c>
      <c r="C598" s="66" t="s">
        <v>2113</v>
      </c>
      <c r="D598" s="67">
        <v>3</v>
      </c>
      <c r="E598" s="68"/>
      <c r="F598" s="69">
        <v>40</v>
      </c>
      <c r="G598" s="66"/>
      <c r="H598" s="70"/>
      <c r="I598" s="71"/>
      <c r="J598" s="71"/>
      <c r="K598" s="35" t="s">
        <v>65</v>
      </c>
      <c r="L598" s="79">
        <v>598</v>
      </c>
      <c r="M598" s="79"/>
      <c r="N598" s="73"/>
      <c r="O598" s="81" t="s">
        <v>292</v>
      </c>
      <c r="P598">
        <v>1</v>
      </c>
      <c r="Q598" s="80" t="str">
        <f>REPLACE(INDEX(GroupVertices[Group],MATCH(Edges[[#This Row],[Vertex 1]],GroupVertices[Vertex],0)),1,1,"")</f>
        <v>3</v>
      </c>
      <c r="R598" s="80" t="str">
        <f>REPLACE(INDEX(GroupVertices[Group],MATCH(Edges[[#This Row],[Vertex 2]],GroupVertices[Vertex],0)),1,1,"")</f>
        <v>3</v>
      </c>
      <c r="S598" s="35"/>
      <c r="T598" s="35"/>
      <c r="U598" s="35"/>
      <c r="V598" s="35"/>
      <c r="W598" s="35"/>
      <c r="X598" s="35"/>
      <c r="Y598" s="35"/>
      <c r="Z598" s="35"/>
      <c r="AA598" s="35"/>
    </row>
    <row r="599" spans="1:27" ht="15">
      <c r="A599" s="65" t="s">
        <v>271</v>
      </c>
      <c r="B599" s="65" t="s">
        <v>263</v>
      </c>
      <c r="C599" s="66" t="s">
        <v>2113</v>
      </c>
      <c r="D599" s="67">
        <v>3</v>
      </c>
      <c r="E599" s="68"/>
      <c r="F599" s="69">
        <v>40</v>
      </c>
      <c r="G599" s="66"/>
      <c r="H599" s="70"/>
      <c r="I599" s="71"/>
      <c r="J599" s="71"/>
      <c r="K599" s="35" t="s">
        <v>65</v>
      </c>
      <c r="L599" s="79">
        <v>599</v>
      </c>
      <c r="M599" s="79"/>
      <c r="N599" s="73"/>
      <c r="O599" s="81" t="s">
        <v>292</v>
      </c>
      <c r="P599">
        <v>1</v>
      </c>
      <c r="Q599" s="80" t="str">
        <f>REPLACE(INDEX(GroupVertices[Group],MATCH(Edges[[#This Row],[Vertex 1]],GroupVertices[Vertex],0)),1,1,"")</f>
        <v>3</v>
      </c>
      <c r="R599" s="80" t="str">
        <f>REPLACE(INDEX(GroupVertices[Group],MATCH(Edges[[#This Row],[Vertex 2]],GroupVertices[Vertex],0)),1,1,"")</f>
        <v>3</v>
      </c>
      <c r="S599" s="35"/>
      <c r="T599" s="35"/>
      <c r="U599" s="35"/>
      <c r="V599" s="35"/>
      <c r="W599" s="35"/>
      <c r="X599" s="35"/>
      <c r="Y599" s="35"/>
      <c r="Z599" s="35"/>
      <c r="AA599" s="35"/>
    </row>
    <row r="600" spans="1:27" ht="15">
      <c r="A600" s="65" t="s">
        <v>272</v>
      </c>
      <c r="B600" s="65" t="s">
        <v>263</v>
      </c>
      <c r="C600" s="66" t="s">
        <v>2113</v>
      </c>
      <c r="D600" s="67">
        <v>3</v>
      </c>
      <c r="E600" s="68"/>
      <c r="F600" s="69">
        <v>40</v>
      </c>
      <c r="G600" s="66"/>
      <c r="H600" s="70"/>
      <c r="I600" s="71"/>
      <c r="J600" s="71"/>
      <c r="K600" s="35" t="s">
        <v>65</v>
      </c>
      <c r="L600" s="79">
        <v>600</v>
      </c>
      <c r="M600" s="79"/>
      <c r="N600" s="73"/>
      <c r="O600" s="81" t="s">
        <v>292</v>
      </c>
      <c r="P600">
        <v>1</v>
      </c>
      <c r="Q600" s="80" t="str">
        <f>REPLACE(INDEX(GroupVertices[Group],MATCH(Edges[[#This Row],[Vertex 1]],GroupVertices[Vertex],0)),1,1,"")</f>
        <v>3</v>
      </c>
      <c r="R600" s="80" t="str">
        <f>REPLACE(INDEX(GroupVertices[Group],MATCH(Edges[[#This Row],[Vertex 2]],GroupVertices[Vertex],0)),1,1,"")</f>
        <v>3</v>
      </c>
      <c r="S600" s="35"/>
      <c r="T600" s="35"/>
      <c r="U600" s="35"/>
      <c r="V600" s="35"/>
      <c r="W600" s="35"/>
      <c r="X600" s="35"/>
      <c r="Y600" s="35"/>
      <c r="Z600" s="35"/>
      <c r="AA600" s="35"/>
    </row>
    <row r="601" spans="1:27" ht="15">
      <c r="A601" s="65" t="s">
        <v>257</v>
      </c>
      <c r="B601" s="65" t="s">
        <v>263</v>
      </c>
      <c r="C601" s="66" t="s">
        <v>2113</v>
      </c>
      <c r="D601" s="67">
        <v>3</v>
      </c>
      <c r="E601" s="68"/>
      <c r="F601" s="69">
        <v>40</v>
      </c>
      <c r="G601" s="66"/>
      <c r="H601" s="70"/>
      <c r="I601" s="71"/>
      <c r="J601" s="71"/>
      <c r="K601" s="35" t="s">
        <v>65</v>
      </c>
      <c r="L601" s="79">
        <v>601</v>
      </c>
      <c r="M601" s="79"/>
      <c r="N601" s="73"/>
      <c r="O601" s="81" t="s">
        <v>292</v>
      </c>
      <c r="P601">
        <v>1</v>
      </c>
      <c r="Q601" s="80" t="str">
        <f>REPLACE(INDEX(GroupVertices[Group],MATCH(Edges[[#This Row],[Vertex 1]],GroupVertices[Vertex],0)),1,1,"")</f>
        <v>3</v>
      </c>
      <c r="R601" s="80" t="str">
        <f>REPLACE(INDEX(GroupVertices[Group],MATCH(Edges[[#This Row],[Vertex 2]],GroupVertices[Vertex],0)),1,1,"")</f>
        <v>3</v>
      </c>
      <c r="S601" s="35"/>
      <c r="T601" s="35"/>
      <c r="U601" s="35"/>
      <c r="V601" s="35"/>
      <c r="W601" s="35"/>
      <c r="X601" s="35"/>
      <c r="Y601" s="35"/>
      <c r="Z601" s="35"/>
      <c r="AA601" s="35"/>
    </row>
    <row r="602" spans="1:27" ht="15">
      <c r="A602" s="65" t="s">
        <v>273</v>
      </c>
      <c r="B602" s="65" t="s">
        <v>263</v>
      </c>
      <c r="C602" s="66" t="s">
        <v>2113</v>
      </c>
      <c r="D602" s="67">
        <v>3</v>
      </c>
      <c r="E602" s="68"/>
      <c r="F602" s="69">
        <v>40</v>
      </c>
      <c r="G602" s="66"/>
      <c r="H602" s="70"/>
      <c r="I602" s="71"/>
      <c r="J602" s="71"/>
      <c r="K602" s="35" t="s">
        <v>65</v>
      </c>
      <c r="L602" s="79">
        <v>602</v>
      </c>
      <c r="M602" s="79"/>
      <c r="N602" s="73"/>
      <c r="O602" s="81" t="s">
        <v>293</v>
      </c>
      <c r="P602">
        <v>1</v>
      </c>
      <c r="Q602" s="80" t="str">
        <f>REPLACE(INDEX(GroupVertices[Group],MATCH(Edges[[#This Row],[Vertex 1]],GroupVertices[Vertex],0)),1,1,"")</f>
        <v>3</v>
      </c>
      <c r="R602" s="80" t="str">
        <f>REPLACE(INDEX(GroupVertices[Group],MATCH(Edges[[#This Row],[Vertex 2]],GroupVertices[Vertex],0)),1,1,"")</f>
        <v>3</v>
      </c>
      <c r="S602" s="35"/>
      <c r="T602" s="35"/>
      <c r="U602" s="35"/>
      <c r="V602" s="35"/>
      <c r="W602" s="35"/>
      <c r="X602" s="35"/>
      <c r="Y602" s="35"/>
      <c r="Z602" s="35"/>
      <c r="AA602" s="35"/>
    </row>
    <row r="603" spans="1:27" ht="15">
      <c r="A603" s="65" t="s">
        <v>265</v>
      </c>
      <c r="B603" s="65" t="s">
        <v>264</v>
      </c>
      <c r="C603" s="66" t="s">
        <v>2113</v>
      </c>
      <c r="D603" s="67">
        <v>3</v>
      </c>
      <c r="E603" s="68"/>
      <c r="F603" s="69">
        <v>40</v>
      </c>
      <c r="G603" s="66"/>
      <c r="H603" s="70"/>
      <c r="I603" s="71"/>
      <c r="J603" s="71"/>
      <c r="K603" s="35" t="s">
        <v>65</v>
      </c>
      <c r="L603" s="79">
        <v>603</v>
      </c>
      <c r="M603" s="79"/>
      <c r="N603" s="73"/>
      <c r="O603" s="81" t="s">
        <v>292</v>
      </c>
      <c r="P603">
        <v>1</v>
      </c>
      <c r="Q603" s="80" t="str">
        <f>REPLACE(INDEX(GroupVertices[Group],MATCH(Edges[[#This Row],[Vertex 1]],GroupVertices[Vertex],0)),1,1,"")</f>
        <v>3</v>
      </c>
      <c r="R603" s="80" t="str">
        <f>REPLACE(INDEX(GroupVertices[Group],MATCH(Edges[[#This Row],[Vertex 2]],GroupVertices[Vertex],0)),1,1,"")</f>
        <v>3</v>
      </c>
      <c r="S603" s="35"/>
      <c r="T603" s="35"/>
      <c r="U603" s="35"/>
      <c r="V603" s="35"/>
      <c r="W603" s="35"/>
      <c r="X603" s="35"/>
      <c r="Y603" s="35"/>
      <c r="Z603" s="35"/>
      <c r="AA603" s="35"/>
    </row>
    <row r="604" spans="1:27" ht="15">
      <c r="A604" s="65" t="s">
        <v>266</v>
      </c>
      <c r="B604" s="65" t="s">
        <v>264</v>
      </c>
      <c r="C604" s="66" t="s">
        <v>2113</v>
      </c>
      <c r="D604" s="67">
        <v>3</v>
      </c>
      <c r="E604" s="68"/>
      <c r="F604" s="69">
        <v>40</v>
      </c>
      <c r="G604" s="66"/>
      <c r="H604" s="70"/>
      <c r="I604" s="71"/>
      <c r="J604" s="71"/>
      <c r="K604" s="35" t="s">
        <v>65</v>
      </c>
      <c r="L604" s="79">
        <v>604</v>
      </c>
      <c r="M604" s="79"/>
      <c r="N604" s="73"/>
      <c r="O604" s="81" t="s">
        <v>292</v>
      </c>
      <c r="P604">
        <v>1</v>
      </c>
      <c r="Q604" s="80" t="str">
        <f>REPLACE(INDEX(GroupVertices[Group],MATCH(Edges[[#This Row],[Vertex 1]],GroupVertices[Vertex],0)),1,1,"")</f>
        <v>3</v>
      </c>
      <c r="R604" s="80" t="str">
        <f>REPLACE(INDEX(GroupVertices[Group],MATCH(Edges[[#This Row],[Vertex 2]],GroupVertices[Vertex],0)),1,1,"")</f>
        <v>3</v>
      </c>
      <c r="S604" s="35"/>
      <c r="T604" s="35"/>
      <c r="U604" s="35"/>
      <c r="V604" s="35"/>
      <c r="W604" s="35"/>
      <c r="X604" s="35"/>
      <c r="Y604" s="35"/>
      <c r="Z604" s="35"/>
      <c r="AA604" s="35"/>
    </row>
    <row r="605" spans="1:27" ht="15">
      <c r="A605" s="65" t="s">
        <v>260</v>
      </c>
      <c r="B605" s="65" t="s">
        <v>264</v>
      </c>
      <c r="C605" s="66" t="s">
        <v>2113</v>
      </c>
      <c r="D605" s="67">
        <v>3</v>
      </c>
      <c r="E605" s="68"/>
      <c r="F605" s="69">
        <v>40</v>
      </c>
      <c r="G605" s="66"/>
      <c r="H605" s="70"/>
      <c r="I605" s="71"/>
      <c r="J605" s="71"/>
      <c r="K605" s="35" t="s">
        <v>65</v>
      </c>
      <c r="L605" s="79">
        <v>605</v>
      </c>
      <c r="M605" s="79"/>
      <c r="N605" s="73"/>
      <c r="O605" s="81" t="s">
        <v>292</v>
      </c>
      <c r="P605">
        <v>1</v>
      </c>
      <c r="Q605" s="80" t="str">
        <f>REPLACE(INDEX(GroupVertices[Group],MATCH(Edges[[#This Row],[Vertex 1]],GroupVertices[Vertex],0)),1,1,"")</f>
        <v>3</v>
      </c>
      <c r="R605" s="80" t="str">
        <f>REPLACE(INDEX(GroupVertices[Group],MATCH(Edges[[#This Row],[Vertex 2]],GroupVertices[Vertex],0)),1,1,"")</f>
        <v>3</v>
      </c>
      <c r="S605" s="35"/>
      <c r="T605" s="35"/>
      <c r="U605" s="35"/>
      <c r="V605" s="35"/>
      <c r="W605" s="35"/>
      <c r="X605" s="35"/>
      <c r="Y605" s="35"/>
      <c r="Z605" s="35"/>
      <c r="AA605" s="35"/>
    </row>
    <row r="606" spans="1:27" ht="15">
      <c r="A606" s="65" t="s">
        <v>267</v>
      </c>
      <c r="B606" s="65" t="s">
        <v>264</v>
      </c>
      <c r="C606" s="66" t="s">
        <v>2113</v>
      </c>
      <c r="D606" s="67">
        <v>3</v>
      </c>
      <c r="E606" s="68"/>
      <c r="F606" s="69">
        <v>40</v>
      </c>
      <c r="G606" s="66"/>
      <c r="H606" s="70"/>
      <c r="I606" s="71"/>
      <c r="J606" s="71"/>
      <c r="K606" s="35" t="s">
        <v>65</v>
      </c>
      <c r="L606" s="79">
        <v>606</v>
      </c>
      <c r="M606" s="79"/>
      <c r="N606" s="73"/>
      <c r="O606" s="81" t="s">
        <v>292</v>
      </c>
      <c r="P606">
        <v>1</v>
      </c>
      <c r="Q606" s="80" t="str">
        <f>REPLACE(INDEX(GroupVertices[Group],MATCH(Edges[[#This Row],[Vertex 1]],GroupVertices[Vertex],0)),1,1,"")</f>
        <v>3</v>
      </c>
      <c r="R606" s="80" t="str">
        <f>REPLACE(INDEX(GroupVertices[Group],MATCH(Edges[[#This Row],[Vertex 2]],GroupVertices[Vertex],0)),1,1,"")</f>
        <v>3</v>
      </c>
      <c r="S606" s="35"/>
      <c r="T606" s="35"/>
      <c r="U606" s="35"/>
      <c r="V606" s="35"/>
      <c r="W606" s="35"/>
      <c r="X606" s="35"/>
      <c r="Y606" s="35"/>
      <c r="Z606" s="35"/>
      <c r="AA606" s="35"/>
    </row>
    <row r="607" spans="1:27" ht="15">
      <c r="A607" s="65" t="s">
        <v>268</v>
      </c>
      <c r="B607" s="65" t="s">
        <v>264</v>
      </c>
      <c r="C607" s="66" t="s">
        <v>2113</v>
      </c>
      <c r="D607" s="67">
        <v>3</v>
      </c>
      <c r="E607" s="68"/>
      <c r="F607" s="69">
        <v>40</v>
      </c>
      <c r="G607" s="66"/>
      <c r="H607" s="70"/>
      <c r="I607" s="71"/>
      <c r="J607" s="71"/>
      <c r="K607" s="35" t="s">
        <v>65</v>
      </c>
      <c r="L607" s="79">
        <v>607</v>
      </c>
      <c r="M607" s="79"/>
      <c r="N607" s="73"/>
      <c r="O607" s="81" t="s">
        <v>292</v>
      </c>
      <c r="P607">
        <v>1</v>
      </c>
      <c r="Q607" s="80" t="str">
        <f>REPLACE(INDEX(GroupVertices[Group],MATCH(Edges[[#This Row],[Vertex 1]],GroupVertices[Vertex],0)),1,1,"")</f>
        <v>3</v>
      </c>
      <c r="R607" s="80" t="str">
        <f>REPLACE(INDEX(GroupVertices[Group],MATCH(Edges[[#This Row],[Vertex 2]],GroupVertices[Vertex],0)),1,1,"")</f>
        <v>3</v>
      </c>
      <c r="S607" s="35"/>
      <c r="T607" s="35"/>
      <c r="U607" s="35"/>
      <c r="V607" s="35"/>
      <c r="W607" s="35"/>
      <c r="X607" s="35"/>
      <c r="Y607" s="35"/>
      <c r="Z607" s="35"/>
      <c r="AA607" s="35"/>
    </row>
    <row r="608" spans="1:27" ht="15">
      <c r="A608" s="65" t="s">
        <v>269</v>
      </c>
      <c r="B608" s="65" t="s">
        <v>264</v>
      </c>
      <c r="C608" s="66" t="s">
        <v>2113</v>
      </c>
      <c r="D608" s="67">
        <v>3</v>
      </c>
      <c r="E608" s="68"/>
      <c r="F608" s="69">
        <v>40</v>
      </c>
      <c r="G608" s="66"/>
      <c r="H608" s="70"/>
      <c r="I608" s="71"/>
      <c r="J608" s="71"/>
      <c r="K608" s="35" t="s">
        <v>65</v>
      </c>
      <c r="L608" s="79">
        <v>608</v>
      </c>
      <c r="M608" s="79"/>
      <c r="N608" s="73"/>
      <c r="O608" s="81" t="s">
        <v>292</v>
      </c>
      <c r="P608">
        <v>1</v>
      </c>
      <c r="Q608" s="80" t="str">
        <f>REPLACE(INDEX(GroupVertices[Group],MATCH(Edges[[#This Row],[Vertex 1]],GroupVertices[Vertex],0)),1,1,"")</f>
        <v>3</v>
      </c>
      <c r="R608" s="80" t="str">
        <f>REPLACE(INDEX(GroupVertices[Group],MATCH(Edges[[#This Row],[Vertex 2]],GroupVertices[Vertex],0)),1,1,"")</f>
        <v>3</v>
      </c>
      <c r="S608" s="35"/>
      <c r="T608" s="35"/>
      <c r="U608" s="35"/>
      <c r="V608" s="35"/>
      <c r="W608" s="35"/>
      <c r="X608" s="35"/>
      <c r="Y608" s="35"/>
      <c r="Z608" s="35"/>
      <c r="AA608" s="35"/>
    </row>
    <row r="609" spans="1:27" ht="15">
      <c r="A609" s="65" t="s">
        <v>274</v>
      </c>
      <c r="B609" s="65" t="s">
        <v>264</v>
      </c>
      <c r="C609" s="66" t="s">
        <v>2113</v>
      </c>
      <c r="D609" s="67">
        <v>3</v>
      </c>
      <c r="E609" s="68"/>
      <c r="F609" s="69">
        <v>40</v>
      </c>
      <c r="G609" s="66"/>
      <c r="H609" s="70"/>
      <c r="I609" s="71"/>
      <c r="J609" s="71"/>
      <c r="K609" s="35" t="s">
        <v>65</v>
      </c>
      <c r="L609" s="79">
        <v>609</v>
      </c>
      <c r="M609" s="79"/>
      <c r="N609" s="73"/>
      <c r="O609" s="81" t="s">
        <v>292</v>
      </c>
      <c r="P609">
        <v>1</v>
      </c>
      <c r="Q609" s="80" t="str">
        <f>REPLACE(INDEX(GroupVertices[Group],MATCH(Edges[[#This Row],[Vertex 1]],GroupVertices[Vertex],0)),1,1,"")</f>
        <v>3</v>
      </c>
      <c r="R609" s="80" t="str">
        <f>REPLACE(INDEX(GroupVertices[Group],MATCH(Edges[[#This Row],[Vertex 2]],GroupVertices[Vertex],0)),1,1,"")</f>
        <v>3</v>
      </c>
      <c r="S609" s="35"/>
      <c r="T609" s="35"/>
      <c r="U609" s="35"/>
      <c r="V609" s="35"/>
      <c r="W609" s="35"/>
      <c r="X609" s="35"/>
      <c r="Y609" s="35"/>
      <c r="Z609" s="35"/>
      <c r="AA609" s="35"/>
    </row>
    <row r="610" spans="1:27" ht="15">
      <c r="A610" s="65" t="s">
        <v>270</v>
      </c>
      <c r="B610" s="65" t="s">
        <v>264</v>
      </c>
      <c r="C610" s="66" t="s">
        <v>2113</v>
      </c>
      <c r="D610" s="67">
        <v>3</v>
      </c>
      <c r="E610" s="68"/>
      <c r="F610" s="69">
        <v>40</v>
      </c>
      <c r="G610" s="66"/>
      <c r="H610" s="70"/>
      <c r="I610" s="71"/>
      <c r="J610" s="71"/>
      <c r="K610" s="35" t="s">
        <v>65</v>
      </c>
      <c r="L610" s="79">
        <v>610</v>
      </c>
      <c r="M610" s="79"/>
      <c r="N610" s="73"/>
      <c r="O610" s="81" t="s">
        <v>292</v>
      </c>
      <c r="P610">
        <v>1</v>
      </c>
      <c r="Q610" s="80" t="str">
        <f>REPLACE(INDEX(GroupVertices[Group],MATCH(Edges[[#This Row],[Vertex 1]],GroupVertices[Vertex],0)),1,1,"")</f>
        <v>3</v>
      </c>
      <c r="R610" s="80" t="str">
        <f>REPLACE(INDEX(GroupVertices[Group],MATCH(Edges[[#This Row],[Vertex 2]],GroupVertices[Vertex],0)),1,1,"")</f>
        <v>3</v>
      </c>
      <c r="S610" s="35"/>
      <c r="T610" s="35"/>
      <c r="U610" s="35"/>
      <c r="V610" s="35"/>
      <c r="W610" s="35"/>
      <c r="X610" s="35"/>
      <c r="Y610" s="35"/>
      <c r="Z610" s="35"/>
      <c r="AA610" s="35"/>
    </row>
    <row r="611" spans="1:27" ht="15">
      <c r="A611" s="65" t="s">
        <v>271</v>
      </c>
      <c r="B611" s="65" t="s">
        <v>264</v>
      </c>
      <c r="C611" s="66" t="s">
        <v>2113</v>
      </c>
      <c r="D611" s="67">
        <v>3</v>
      </c>
      <c r="E611" s="68"/>
      <c r="F611" s="69">
        <v>40</v>
      </c>
      <c r="G611" s="66"/>
      <c r="H611" s="70"/>
      <c r="I611" s="71"/>
      <c r="J611" s="71"/>
      <c r="K611" s="35" t="s">
        <v>65</v>
      </c>
      <c r="L611" s="79">
        <v>611</v>
      </c>
      <c r="M611" s="79"/>
      <c r="N611" s="73"/>
      <c r="O611" s="81" t="s">
        <v>292</v>
      </c>
      <c r="P611">
        <v>1</v>
      </c>
      <c r="Q611" s="80" t="str">
        <f>REPLACE(INDEX(GroupVertices[Group],MATCH(Edges[[#This Row],[Vertex 1]],GroupVertices[Vertex],0)),1,1,"")</f>
        <v>3</v>
      </c>
      <c r="R611" s="80" t="str">
        <f>REPLACE(INDEX(GroupVertices[Group],MATCH(Edges[[#This Row],[Vertex 2]],GroupVertices[Vertex],0)),1,1,"")</f>
        <v>3</v>
      </c>
      <c r="S611" s="35"/>
      <c r="T611" s="35"/>
      <c r="U611" s="35"/>
      <c r="V611" s="35"/>
      <c r="W611" s="35"/>
      <c r="X611" s="35"/>
      <c r="Y611" s="35"/>
      <c r="Z611" s="35"/>
      <c r="AA611" s="35"/>
    </row>
    <row r="612" spans="1:27" ht="15">
      <c r="A612" s="65" t="s">
        <v>272</v>
      </c>
      <c r="B612" s="65" t="s">
        <v>264</v>
      </c>
      <c r="C612" s="66" t="s">
        <v>2113</v>
      </c>
      <c r="D612" s="67">
        <v>3</v>
      </c>
      <c r="E612" s="68"/>
      <c r="F612" s="69">
        <v>40</v>
      </c>
      <c r="G612" s="66"/>
      <c r="H612" s="70"/>
      <c r="I612" s="71"/>
      <c r="J612" s="71"/>
      <c r="K612" s="35" t="s">
        <v>65</v>
      </c>
      <c r="L612" s="79">
        <v>612</v>
      </c>
      <c r="M612" s="79"/>
      <c r="N612" s="73"/>
      <c r="O612" s="81" t="s">
        <v>292</v>
      </c>
      <c r="P612">
        <v>1</v>
      </c>
      <c r="Q612" s="80" t="str">
        <f>REPLACE(INDEX(GroupVertices[Group],MATCH(Edges[[#This Row],[Vertex 1]],GroupVertices[Vertex],0)),1,1,"")</f>
        <v>3</v>
      </c>
      <c r="R612" s="80" t="str">
        <f>REPLACE(INDEX(GroupVertices[Group],MATCH(Edges[[#This Row],[Vertex 2]],GroupVertices[Vertex],0)),1,1,"")</f>
        <v>3</v>
      </c>
      <c r="S612" s="35"/>
      <c r="T612" s="35"/>
      <c r="U612" s="35"/>
      <c r="V612" s="35"/>
      <c r="W612" s="35"/>
      <c r="X612" s="35"/>
      <c r="Y612" s="35"/>
      <c r="Z612" s="35"/>
      <c r="AA612" s="35"/>
    </row>
    <row r="613" spans="1:27" ht="15">
      <c r="A613" s="65" t="s">
        <v>257</v>
      </c>
      <c r="B613" s="65" t="s">
        <v>264</v>
      </c>
      <c r="C613" s="66" t="s">
        <v>2113</v>
      </c>
      <c r="D613" s="67">
        <v>3</v>
      </c>
      <c r="E613" s="68"/>
      <c r="F613" s="69">
        <v>40</v>
      </c>
      <c r="G613" s="66"/>
      <c r="H613" s="70"/>
      <c r="I613" s="71"/>
      <c r="J613" s="71"/>
      <c r="K613" s="35" t="s">
        <v>65</v>
      </c>
      <c r="L613" s="79">
        <v>613</v>
      </c>
      <c r="M613" s="79"/>
      <c r="N613" s="73"/>
      <c r="O613" s="81" t="s">
        <v>292</v>
      </c>
      <c r="P613">
        <v>1</v>
      </c>
      <c r="Q613" s="80" t="str">
        <f>REPLACE(INDEX(GroupVertices[Group],MATCH(Edges[[#This Row],[Vertex 1]],GroupVertices[Vertex],0)),1,1,"")</f>
        <v>3</v>
      </c>
      <c r="R613" s="80" t="str">
        <f>REPLACE(INDEX(GroupVertices[Group],MATCH(Edges[[#This Row],[Vertex 2]],GroupVertices[Vertex],0)),1,1,"")</f>
        <v>3</v>
      </c>
      <c r="S613" s="35"/>
      <c r="T613" s="35"/>
      <c r="U613" s="35"/>
      <c r="V613" s="35"/>
      <c r="W613" s="35"/>
      <c r="X613" s="35"/>
      <c r="Y613" s="35"/>
      <c r="Z613" s="35"/>
      <c r="AA613" s="35"/>
    </row>
    <row r="614" spans="1:27" ht="15">
      <c r="A614" s="65" t="s">
        <v>273</v>
      </c>
      <c r="B614" s="65" t="s">
        <v>264</v>
      </c>
      <c r="C614" s="66" t="s">
        <v>2113</v>
      </c>
      <c r="D614" s="67">
        <v>3</v>
      </c>
      <c r="E614" s="68"/>
      <c r="F614" s="69">
        <v>40</v>
      </c>
      <c r="G614" s="66"/>
      <c r="H614" s="70"/>
      <c r="I614" s="71"/>
      <c r="J614" s="71"/>
      <c r="K614" s="35" t="s">
        <v>65</v>
      </c>
      <c r="L614" s="79">
        <v>614</v>
      </c>
      <c r="M614" s="79"/>
      <c r="N614" s="73"/>
      <c r="O614" s="81" t="s">
        <v>293</v>
      </c>
      <c r="P614">
        <v>1</v>
      </c>
      <c r="Q614" s="80" t="str">
        <f>REPLACE(INDEX(GroupVertices[Group],MATCH(Edges[[#This Row],[Vertex 1]],GroupVertices[Vertex],0)),1,1,"")</f>
        <v>3</v>
      </c>
      <c r="R614" s="80" t="str">
        <f>REPLACE(INDEX(GroupVertices[Group],MATCH(Edges[[#This Row],[Vertex 2]],GroupVertices[Vertex],0)),1,1,"")</f>
        <v>3</v>
      </c>
      <c r="S614" s="35"/>
      <c r="T614" s="35"/>
      <c r="U614" s="35"/>
      <c r="V614" s="35"/>
      <c r="W614" s="35"/>
      <c r="X614" s="35"/>
      <c r="Y614" s="35"/>
      <c r="Z614" s="35"/>
      <c r="AA614" s="35"/>
    </row>
    <row r="615" spans="1:27" ht="15">
      <c r="A615" s="65" t="s">
        <v>266</v>
      </c>
      <c r="B615" s="65" t="s">
        <v>265</v>
      </c>
      <c r="C615" s="66" t="s">
        <v>2113</v>
      </c>
      <c r="D615" s="67">
        <v>3</v>
      </c>
      <c r="E615" s="68"/>
      <c r="F615" s="69">
        <v>40</v>
      </c>
      <c r="G615" s="66"/>
      <c r="H615" s="70"/>
      <c r="I615" s="71"/>
      <c r="J615" s="71"/>
      <c r="K615" s="35" t="s">
        <v>65</v>
      </c>
      <c r="L615" s="79">
        <v>615</v>
      </c>
      <c r="M615" s="79"/>
      <c r="N615" s="73"/>
      <c r="O615" s="81" t="s">
        <v>292</v>
      </c>
      <c r="P615">
        <v>1</v>
      </c>
      <c r="Q615" s="80" t="str">
        <f>REPLACE(INDEX(GroupVertices[Group],MATCH(Edges[[#This Row],[Vertex 1]],GroupVertices[Vertex],0)),1,1,"")</f>
        <v>3</v>
      </c>
      <c r="R615" s="80" t="str">
        <f>REPLACE(INDEX(GroupVertices[Group],MATCH(Edges[[#This Row],[Vertex 2]],GroupVertices[Vertex],0)),1,1,"")</f>
        <v>3</v>
      </c>
      <c r="S615" s="35"/>
      <c r="T615" s="35"/>
      <c r="U615" s="35"/>
      <c r="V615" s="35"/>
      <c r="W615" s="35"/>
      <c r="X615" s="35"/>
      <c r="Y615" s="35"/>
      <c r="Z615" s="35"/>
      <c r="AA615" s="35"/>
    </row>
    <row r="616" spans="1:27" ht="15">
      <c r="A616" s="65" t="s">
        <v>260</v>
      </c>
      <c r="B616" s="65" t="s">
        <v>265</v>
      </c>
      <c r="C616" s="66" t="s">
        <v>2113</v>
      </c>
      <c r="D616" s="67">
        <v>3</v>
      </c>
      <c r="E616" s="68"/>
      <c r="F616" s="69">
        <v>40</v>
      </c>
      <c r="G616" s="66"/>
      <c r="H616" s="70"/>
      <c r="I616" s="71"/>
      <c r="J616" s="71"/>
      <c r="K616" s="35" t="s">
        <v>65</v>
      </c>
      <c r="L616" s="79">
        <v>616</v>
      </c>
      <c r="M616" s="79"/>
      <c r="N616" s="73"/>
      <c r="O616" s="81" t="s">
        <v>292</v>
      </c>
      <c r="P616">
        <v>1</v>
      </c>
      <c r="Q616" s="80" t="str">
        <f>REPLACE(INDEX(GroupVertices[Group],MATCH(Edges[[#This Row],[Vertex 1]],GroupVertices[Vertex],0)),1,1,"")</f>
        <v>3</v>
      </c>
      <c r="R616" s="80" t="str">
        <f>REPLACE(INDEX(GroupVertices[Group],MATCH(Edges[[#This Row],[Vertex 2]],GroupVertices[Vertex],0)),1,1,"")</f>
        <v>3</v>
      </c>
      <c r="S616" s="35"/>
      <c r="T616" s="35"/>
      <c r="U616" s="35"/>
      <c r="V616" s="35"/>
      <c r="W616" s="35"/>
      <c r="X616" s="35"/>
      <c r="Y616" s="35"/>
      <c r="Z616" s="35"/>
      <c r="AA616" s="35"/>
    </row>
    <row r="617" spans="1:27" ht="15">
      <c r="A617" s="65" t="s">
        <v>267</v>
      </c>
      <c r="B617" s="65" t="s">
        <v>265</v>
      </c>
      <c r="C617" s="66" t="s">
        <v>2113</v>
      </c>
      <c r="D617" s="67">
        <v>3</v>
      </c>
      <c r="E617" s="68"/>
      <c r="F617" s="69">
        <v>40</v>
      </c>
      <c r="G617" s="66"/>
      <c r="H617" s="70"/>
      <c r="I617" s="71"/>
      <c r="J617" s="71"/>
      <c r="K617" s="35" t="s">
        <v>65</v>
      </c>
      <c r="L617" s="79">
        <v>617</v>
      </c>
      <c r="M617" s="79"/>
      <c r="N617" s="73"/>
      <c r="O617" s="81" t="s">
        <v>292</v>
      </c>
      <c r="P617">
        <v>1</v>
      </c>
      <c r="Q617" s="80" t="str">
        <f>REPLACE(INDEX(GroupVertices[Group],MATCH(Edges[[#This Row],[Vertex 1]],GroupVertices[Vertex],0)),1,1,"")</f>
        <v>3</v>
      </c>
      <c r="R617" s="80" t="str">
        <f>REPLACE(INDEX(GroupVertices[Group],MATCH(Edges[[#This Row],[Vertex 2]],GroupVertices[Vertex],0)),1,1,"")</f>
        <v>3</v>
      </c>
      <c r="S617" s="35"/>
      <c r="T617" s="35"/>
      <c r="U617" s="35"/>
      <c r="V617" s="35"/>
      <c r="W617" s="35"/>
      <c r="X617" s="35"/>
      <c r="Y617" s="35"/>
      <c r="Z617" s="35"/>
      <c r="AA617" s="35"/>
    </row>
    <row r="618" spans="1:27" ht="15">
      <c r="A618" s="65" t="s">
        <v>268</v>
      </c>
      <c r="B618" s="65" t="s">
        <v>265</v>
      </c>
      <c r="C618" s="66" t="s">
        <v>2113</v>
      </c>
      <c r="D618" s="67">
        <v>3</v>
      </c>
      <c r="E618" s="68"/>
      <c r="F618" s="69">
        <v>40</v>
      </c>
      <c r="G618" s="66"/>
      <c r="H618" s="70"/>
      <c r="I618" s="71"/>
      <c r="J618" s="71"/>
      <c r="K618" s="35" t="s">
        <v>65</v>
      </c>
      <c r="L618" s="79">
        <v>618</v>
      </c>
      <c r="M618" s="79"/>
      <c r="N618" s="73"/>
      <c r="O618" s="81" t="s">
        <v>292</v>
      </c>
      <c r="P618">
        <v>1</v>
      </c>
      <c r="Q618" s="80" t="str">
        <f>REPLACE(INDEX(GroupVertices[Group],MATCH(Edges[[#This Row],[Vertex 1]],GroupVertices[Vertex],0)),1,1,"")</f>
        <v>3</v>
      </c>
      <c r="R618" s="80" t="str">
        <f>REPLACE(INDEX(GroupVertices[Group],MATCH(Edges[[#This Row],[Vertex 2]],GroupVertices[Vertex],0)),1,1,"")</f>
        <v>3</v>
      </c>
      <c r="S618" s="35"/>
      <c r="T618" s="35"/>
      <c r="U618" s="35"/>
      <c r="V618" s="35"/>
      <c r="W618" s="35"/>
      <c r="X618" s="35"/>
      <c r="Y618" s="35"/>
      <c r="Z618" s="35"/>
      <c r="AA618" s="35"/>
    </row>
    <row r="619" spans="1:27" ht="15">
      <c r="A619" s="65" t="s">
        <v>269</v>
      </c>
      <c r="B619" s="65" t="s">
        <v>265</v>
      </c>
      <c r="C619" s="66" t="s">
        <v>2113</v>
      </c>
      <c r="D619" s="67">
        <v>3</v>
      </c>
      <c r="E619" s="68"/>
      <c r="F619" s="69">
        <v>40</v>
      </c>
      <c r="G619" s="66"/>
      <c r="H619" s="70"/>
      <c r="I619" s="71"/>
      <c r="J619" s="71"/>
      <c r="K619" s="35" t="s">
        <v>65</v>
      </c>
      <c r="L619" s="79">
        <v>619</v>
      </c>
      <c r="M619" s="79"/>
      <c r="N619" s="73"/>
      <c r="O619" s="81" t="s">
        <v>292</v>
      </c>
      <c r="P619">
        <v>1</v>
      </c>
      <c r="Q619" s="80" t="str">
        <f>REPLACE(INDEX(GroupVertices[Group],MATCH(Edges[[#This Row],[Vertex 1]],GroupVertices[Vertex],0)),1,1,"")</f>
        <v>3</v>
      </c>
      <c r="R619" s="80" t="str">
        <f>REPLACE(INDEX(GroupVertices[Group],MATCH(Edges[[#This Row],[Vertex 2]],GroupVertices[Vertex],0)),1,1,"")</f>
        <v>3</v>
      </c>
      <c r="S619" s="35"/>
      <c r="T619" s="35"/>
      <c r="U619" s="35"/>
      <c r="V619" s="35"/>
      <c r="W619" s="35"/>
      <c r="X619" s="35"/>
      <c r="Y619" s="35"/>
      <c r="Z619" s="35"/>
      <c r="AA619" s="35"/>
    </row>
    <row r="620" spans="1:27" ht="15">
      <c r="A620" s="65" t="s">
        <v>274</v>
      </c>
      <c r="B620" s="65" t="s">
        <v>265</v>
      </c>
      <c r="C620" s="66" t="s">
        <v>2113</v>
      </c>
      <c r="D620" s="67">
        <v>3</v>
      </c>
      <c r="E620" s="68"/>
      <c r="F620" s="69">
        <v>40</v>
      </c>
      <c r="G620" s="66"/>
      <c r="H620" s="70"/>
      <c r="I620" s="71"/>
      <c r="J620" s="71"/>
      <c r="K620" s="35" t="s">
        <v>65</v>
      </c>
      <c r="L620" s="79">
        <v>620</v>
      </c>
      <c r="M620" s="79"/>
      <c r="N620" s="73"/>
      <c r="O620" s="81" t="s">
        <v>292</v>
      </c>
      <c r="P620">
        <v>1</v>
      </c>
      <c r="Q620" s="80" t="str">
        <f>REPLACE(INDEX(GroupVertices[Group],MATCH(Edges[[#This Row],[Vertex 1]],GroupVertices[Vertex],0)),1,1,"")</f>
        <v>3</v>
      </c>
      <c r="R620" s="80" t="str">
        <f>REPLACE(INDEX(GroupVertices[Group],MATCH(Edges[[#This Row],[Vertex 2]],GroupVertices[Vertex],0)),1,1,"")</f>
        <v>3</v>
      </c>
      <c r="S620" s="35"/>
      <c r="T620" s="35"/>
      <c r="U620" s="35"/>
      <c r="V620" s="35"/>
      <c r="W620" s="35"/>
      <c r="X620" s="35"/>
      <c r="Y620" s="35"/>
      <c r="Z620" s="35"/>
      <c r="AA620" s="35"/>
    </row>
    <row r="621" spans="1:27" ht="15">
      <c r="A621" s="65" t="s">
        <v>270</v>
      </c>
      <c r="B621" s="65" t="s">
        <v>265</v>
      </c>
      <c r="C621" s="66" t="s">
        <v>2113</v>
      </c>
      <c r="D621" s="67">
        <v>3</v>
      </c>
      <c r="E621" s="68"/>
      <c r="F621" s="69">
        <v>40</v>
      </c>
      <c r="G621" s="66"/>
      <c r="H621" s="70"/>
      <c r="I621" s="71"/>
      <c r="J621" s="71"/>
      <c r="K621" s="35" t="s">
        <v>65</v>
      </c>
      <c r="L621" s="79">
        <v>621</v>
      </c>
      <c r="M621" s="79"/>
      <c r="N621" s="73"/>
      <c r="O621" s="81" t="s">
        <v>292</v>
      </c>
      <c r="P621">
        <v>1</v>
      </c>
      <c r="Q621" s="80" t="str">
        <f>REPLACE(INDEX(GroupVertices[Group],MATCH(Edges[[#This Row],[Vertex 1]],GroupVertices[Vertex],0)),1,1,"")</f>
        <v>3</v>
      </c>
      <c r="R621" s="80" t="str">
        <f>REPLACE(INDEX(GroupVertices[Group],MATCH(Edges[[#This Row],[Vertex 2]],GroupVertices[Vertex],0)),1,1,"")</f>
        <v>3</v>
      </c>
      <c r="S621" s="35"/>
      <c r="T621" s="35"/>
      <c r="U621" s="35"/>
      <c r="V621" s="35"/>
      <c r="W621" s="35"/>
      <c r="X621" s="35"/>
      <c r="Y621" s="35"/>
      <c r="Z621" s="35"/>
      <c r="AA621" s="35"/>
    </row>
    <row r="622" spans="1:27" ht="15">
      <c r="A622" s="65" t="s">
        <v>271</v>
      </c>
      <c r="B622" s="65" t="s">
        <v>265</v>
      </c>
      <c r="C622" s="66" t="s">
        <v>2113</v>
      </c>
      <c r="D622" s="67">
        <v>3</v>
      </c>
      <c r="E622" s="68"/>
      <c r="F622" s="69">
        <v>40</v>
      </c>
      <c r="G622" s="66"/>
      <c r="H622" s="70"/>
      <c r="I622" s="71"/>
      <c r="J622" s="71"/>
      <c r="K622" s="35" t="s">
        <v>65</v>
      </c>
      <c r="L622" s="79">
        <v>622</v>
      </c>
      <c r="M622" s="79"/>
      <c r="N622" s="73"/>
      <c r="O622" s="81" t="s">
        <v>292</v>
      </c>
      <c r="P622">
        <v>1</v>
      </c>
      <c r="Q622" s="80" t="str">
        <f>REPLACE(INDEX(GroupVertices[Group],MATCH(Edges[[#This Row],[Vertex 1]],GroupVertices[Vertex],0)),1,1,"")</f>
        <v>3</v>
      </c>
      <c r="R622" s="80" t="str">
        <f>REPLACE(INDEX(GroupVertices[Group],MATCH(Edges[[#This Row],[Vertex 2]],GroupVertices[Vertex],0)),1,1,"")</f>
        <v>3</v>
      </c>
      <c r="S622" s="35"/>
      <c r="T622" s="35"/>
      <c r="U622" s="35"/>
      <c r="V622" s="35"/>
      <c r="W622" s="35"/>
      <c r="X622" s="35"/>
      <c r="Y622" s="35"/>
      <c r="Z622" s="35"/>
      <c r="AA622" s="35"/>
    </row>
    <row r="623" spans="1:27" ht="15">
      <c r="A623" s="65" t="s">
        <v>272</v>
      </c>
      <c r="B623" s="65" t="s">
        <v>265</v>
      </c>
      <c r="C623" s="66" t="s">
        <v>2113</v>
      </c>
      <c r="D623" s="67">
        <v>3</v>
      </c>
      <c r="E623" s="68"/>
      <c r="F623" s="69">
        <v>40</v>
      </c>
      <c r="G623" s="66"/>
      <c r="H623" s="70"/>
      <c r="I623" s="71"/>
      <c r="J623" s="71"/>
      <c r="K623" s="35" t="s">
        <v>65</v>
      </c>
      <c r="L623" s="79">
        <v>623</v>
      </c>
      <c r="M623" s="79"/>
      <c r="N623" s="73"/>
      <c r="O623" s="81" t="s">
        <v>292</v>
      </c>
      <c r="P623">
        <v>1</v>
      </c>
      <c r="Q623" s="80" t="str">
        <f>REPLACE(INDEX(GroupVertices[Group],MATCH(Edges[[#This Row],[Vertex 1]],GroupVertices[Vertex],0)),1,1,"")</f>
        <v>3</v>
      </c>
      <c r="R623" s="80" t="str">
        <f>REPLACE(INDEX(GroupVertices[Group],MATCH(Edges[[#This Row],[Vertex 2]],GroupVertices[Vertex],0)),1,1,"")</f>
        <v>3</v>
      </c>
      <c r="S623" s="35"/>
      <c r="T623" s="35"/>
      <c r="U623" s="35"/>
      <c r="V623" s="35"/>
      <c r="W623" s="35"/>
      <c r="X623" s="35"/>
      <c r="Y623" s="35"/>
      <c r="Z623" s="35"/>
      <c r="AA623" s="35"/>
    </row>
    <row r="624" spans="1:27" ht="15">
      <c r="A624" s="65" t="s">
        <v>257</v>
      </c>
      <c r="B624" s="65" t="s">
        <v>265</v>
      </c>
      <c r="C624" s="66" t="s">
        <v>2113</v>
      </c>
      <c r="D624" s="67">
        <v>3</v>
      </c>
      <c r="E624" s="68"/>
      <c r="F624" s="69">
        <v>40</v>
      </c>
      <c r="G624" s="66"/>
      <c r="H624" s="70"/>
      <c r="I624" s="71"/>
      <c r="J624" s="71"/>
      <c r="K624" s="35" t="s">
        <v>65</v>
      </c>
      <c r="L624" s="79">
        <v>624</v>
      </c>
      <c r="M624" s="79"/>
      <c r="N624" s="73"/>
      <c r="O624" s="81" t="s">
        <v>292</v>
      </c>
      <c r="P624">
        <v>1</v>
      </c>
      <c r="Q624" s="80" t="str">
        <f>REPLACE(INDEX(GroupVertices[Group],MATCH(Edges[[#This Row],[Vertex 1]],GroupVertices[Vertex],0)),1,1,"")</f>
        <v>3</v>
      </c>
      <c r="R624" s="80" t="str">
        <f>REPLACE(INDEX(GroupVertices[Group],MATCH(Edges[[#This Row],[Vertex 2]],GroupVertices[Vertex],0)),1,1,"")</f>
        <v>3</v>
      </c>
      <c r="S624" s="35"/>
      <c r="T624" s="35"/>
      <c r="U624" s="35"/>
      <c r="V624" s="35"/>
      <c r="W624" s="35"/>
      <c r="X624" s="35"/>
      <c r="Y624" s="35"/>
      <c r="Z624" s="35"/>
      <c r="AA624" s="35"/>
    </row>
    <row r="625" spans="1:27" ht="15">
      <c r="A625" s="65" t="s">
        <v>273</v>
      </c>
      <c r="B625" s="65" t="s">
        <v>265</v>
      </c>
      <c r="C625" s="66" t="s">
        <v>2113</v>
      </c>
      <c r="D625" s="67">
        <v>3</v>
      </c>
      <c r="E625" s="68"/>
      <c r="F625" s="69">
        <v>40</v>
      </c>
      <c r="G625" s="66"/>
      <c r="H625" s="70"/>
      <c r="I625" s="71"/>
      <c r="J625" s="71"/>
      <c r="K625" s="35" t="s">
        <v>65</v>
      </c>
      <c r="L625" s="79">
        <v>625</v>
      </c>
      <c r="M625" s="79"/>
      <c r="N625" s="73"/>
      <c r="O625" s="81" t="s">
        <v>293</v>
      </c>
      <c r="P625">
        <v>1</v>
      </c>
      <c r="Q625" s="80" t="str">
        <f>REPLACE(INDEX(GroupVertices[Group],MATCH(Edges[[#This Row],[Vertex 1]],GroupVertices[Vertex],0)),1,1,"")</f>
        <v>3</v>
      </c>
      <c r="R625" s="80" t="str">
        <f>REPLACE(INDEX(GroupVertices[Group],MATCH(Edges[[#This Row],[Vertex 2]],GroupVertices[Vertex],0)),1,1,"")</f>
        <v>3</v>
      </c>
      <c r="S625" s="35"/>
      <c r="T625" s="35"/>
      <c r="U625" s="35"/>
      <c r="V625" s="35"/>
      <c r="W625" s="35"/>
      <c r="X625" s="35"/>
      <c r="Y625" s="35"/>
      <c r="Z625" s="35"/>
      <c r="AA625" s="35"/>
    </row>
    <row r="626" spans="1:27" ht="15">
      <c r="A626" s="65" t="s">
        <v>260</v>
      </c>
      <c r="B626" s="65" t="s">
        <v>266</v>
      </c>
      <c r="C626" s="66" t="s">
        <v>2113</v>
      </c>
      <c r="D626" s="67">
        <v>3</v>
      </c>
      <c r="E626" s="68"/>
      <c r="F626" s="69">
        <v>40</v>
      </c>
      <c r="G626" s="66"/>
      <c r="H626" s="70"/>
      <c r="I626" s="71"/>
      <c r="J626" s="71"/>
      <c r="K626" s="35" t="s">
        <v>65</v>
      </c>
      <c r="L626" s="79">
        <v>626</v>
      </c>
      <c r="M626" s="79"/>
      <c r="N626" s="73"/>
      <c r="O626" s="81" t="s">
        <v>292</v>
      </c>
      <c r="P626">
        <v>1</v>
      </c>
      <c r="Q626" s="80" t="str">
        <f>REPLACE(INDEX(GroupVertices[Group],MATCH(Edges[[#This Row],[Vertex 1]],GroupVertices[Vertex],0)),1,1,"")</f>
        <v>3</v>
      </c>
      <c r="R626" s="80" t="str">
        <f>REPLACE(INDEX(GroupVertices[Group],MATCH(Edges[[#This Row],[Vertex 2]],GroupVertices[Vertex],0)),1,1,"")</f>
        <v>3</v>
      </c>
      <c r="S626" s="35"/>
      <c r="T626" s="35"/>
      <c r="U626" s="35"/>
      <c r="V626" s="35"/>
      <c r="W626" s="35"/>
      <c r="X626" s="35"/>
      <c r="Y626" s="35"/>
      <c r="Z626" s="35"/>
      <c r="AA626" s="35"/>
    </row>
    <row r="627" spans="1:27" ht="15">
      <c r="A627" s="65" t="s">
        <v>267</v>
      </c>
      <c r="B627" s="65" t="s">
        <v>266</v>
      </c>
      <c r="C627" s="66" t="s">
        <v>2113</v>
      </c>
      <c r="D627" s="67">
        <v>3</v>
      </c>
      <c r="E627" s="68"/>
      <c r="F627" s="69">
        <v>40</v>
      </c>
      <c r="G627" s="66"/>
      <c r="H627" s="70"/>
      <c r="I627" s="71"/>
      <c r="J627" s="71"/>
      <c r="K627" s="35" t="s">
        <v>65</v>
      </c>
      <c r="L627" s="79">
        <v>627</v>
      </c>
      <c r="M627" s="79"/>
      <c r="N627" s="73"/>
      <c r="O627" s="81" t="s">
        <v>292</v>
      </c>
      <c r="P627">
        <v>1</v>
      </c>
      <c r="Q627" s="80" t="str">
        <f>REPLACE(INDEX(GroupVertices[Group],MATCH(Edges[[#This Row],[Vertex 1]],GroupVertices[Vertex],0)),1,1,"")</f>
        <v>3</v>
      </c>
      <c r="R627" s="80" t="str">
        <f>REPLACE(INDEX(GroupVertices[Group],MATCH(Edges[[#This Row],[Vertex 2]],GroupVertices[Vertex],0)),1,1,"")</f>
        <v>3</v>
      </c>
      <c r="S627" s="35"/>
      <c r="T627" s="35"/>
      <c r="U627" s="35"/>
      <c r="V627" s="35"/>
      <c r="W627" s="35"/>
      <c r="X627" s="35"/>
      <c r="Y627" s="35"/>
      <c r="Z627" s="35"/>
      <c r="AA627" s="35"/>
    </row>
    <row r="628" spans="1:27" ht="15">
      <c r="A628" s="65" t="s">
        <v>268</v>
      </c>
      <c r="B628" s="65" t="s">
        <v>266</v>
      </c>
      <c r="C628" s="66" t="s">
        <v>2113</v>
      </c>
      <c r="D628" s="67">
        <v>3</v>
      </c>
      <c r="E628" s="68"/>
      <c r="F628" s="69">
        <v>40</v>
      </c>
      <c r="G628" s="66"/>
      <c r="H628" s="70"/>
      <c r="I628" s="71"/>
      <c r="J628" s="71"/>
      <c r="K628" s="35" t="s">
        <v>65</v>
      </c>
      <c r="L628" s="79">
        <v>628</v>
      </c>
      <c r="M628" s="79"/>
      <c r="N628" s="73"/>
      <c r="O628" s="81" t="s">
        <v>292</v>
      </c>
      <c r="P628">
        <v>1</v>
      </c>
      <c r="Q628" s="80" t="str">
        <f>REPLACE(INDEX(GroupVertices[Group],MATCH(Edges[[#This Row],[Vertex 1]],GroupVertices[Vertex],0)),1,1,"")</f>
        <v>3</v>
      </c>
      <c r="R628" s="80" t="str">
        <f>REPLACE(INDEX(GroupVertices[Group],MATCH(Edges[[#This Row],[Vertex 2]],GroupVertices[Vertex],0)),1,1,"")</f>
        <v>3</v>
      </c>
      <c r="S628" s="35"/>
      <c r="T628" s="35"/>
      <c r="U628" s="35"/>
      <c r="V628" s="35"/>
      <c r="W628" s="35"/>
      <c r="X628" s="35"/>
      <c r="Y628" s="35"/>
      <c r="Z628" s="35"/>
      <c r="AA628" s="35"/>
    </row>
    <row r="629" spans="1:27" ht="15">
      <c r="A629" s="65" t="s">
        <v>269</v>
      </c>
      <c r="B629" s="65" t="s">
        <v>266</v>
      </c>
      <c r="C629" s="66" t="s">
        <v>2113</v>
      </c>
      <c r="D629" s="67">
        <v>3</v>
      </c>
      <c r="E629" s="68"/>
      <c r="F629" s="69">
        <v>40</v>
      </c>
      <c r="G629" s="66"/>
      <c r="H629" s="70"/>
      <c r="I629" s="71"/>
      <c r="J629" s="71"/>
      <c r="K629" s="35" t="s">
        <v>65</v>
      </c>
      <c r="L629" s="79">
        <v>629</v>
      </c>
      <c r="M629" s="79"/>
      <c r="N629" s="73"/>
      <c r="O629" s="81" t="s">
        <v>292</v>
      </c>
      <c r="P629">
        <v>1</v>
      </c>
      <c r="Q629" s="80" t="str">
        <f>REPLACE(INDEX(GroupVertices[Group],MATCH(Edges[[#This Row],[Vertex 1]],GroupVertices[Vertex],0)),1,1,"")</f>
        <v>3</v>
      </c>
      <c r="R629" s="80" t="str">
        <f>REPLACE(INDEX(GroupVertices[Group],MATCH(Edges[[#This Row],[Vertex 2]],GroupVertices[Vertex],0)),1,1,"")</f>
        <v>3</v>
      </c>
      <c r="S629" s="35"/>
      <c r="T629" s="35"/>
      <c r="U629" s="35"/>
      <c r="V629" s="35"/>
      <c r="W629" s="35"/>
      <c r="X629" s="35"/>
      <c r="Y629" s="35"/>
      <c r="Z629" s="35"/>
      <c r="AA629" s="35"/>
    </row>
    <row r="630" spans="1:27" ht="15">
      <c r="A630" s="65" t="s">
        <v>274</v>
      </c>
      <c r="B630" s="65" t="s">
        <v>266</v>
      </c>
      <c r="C630" s="66" t="s">
        <v>2113</v>
      </c>
      <c r="D630" s="67">
        <v>3</v>
      </c>
      <c r="E630" s="68"/>
      <c r="F630" s="69">
        <v>40</v>
      </c>
      <c r="G630" s="66"/>
      <c r="H630" s="70"/>
      <c r="I630" s="71"/>
      <c r="J630" s="71"/>
      <c r="K630" s="35" t="s">
        <v>65</v>
      </c>
      <c r="L630" s="79">
        <v>630</v>
      </c>
      <c r="M630" s="79"/>
      <c r="N630" s="73"/>
      <c r="O630" s="81" t="s">
        <v>292</v>
      </c>
      <c r="P630">
        <v>1</v>
      </c>
      <c r="Q630" s="80" t="str">
        <f>REPLACE(INDEX(GroupVertices[Group],MATCH(Edges[[#This Row],[Vertex 1]],GroupVertices[Vertex],0)),1,1,"")</f>
        <v>3</v>
      </c>
      <c r="R630" s="80" t="str">
        <f>REPLACE(INDEX(GroupVertices[Group],MATCH(Edges[[#This Row],[Vertex 2]],GroupVertices[Vertex],0)),1,1,"")</f>
        <v>3</v>
      </c>
      <c r="S630" s="35"/>
      <c r="T630" s="35"/>
      <c r="U630" s="35"/>
      <c r="V630" s="35"/>
      <c r="W630" s="35"/>
      <c r="X630" s="35"/>
      <c r="Y630" s="35"/>
      <c r="Z630" s="35"/>
      <c r="AA630" s="35"/>
    </row>
    <row r="631" spans="1:27" ht="15">
      <c r="A631" s="65" t="s">
        <v>270</v>
      </c>
      <c r="B631" s="65" t="s">
        <v>266</v>
      </c>
      <c r="C631" s="66" t="s">
        <v>2113</v>
      </c>
      <c r="D631" s="67">
        <v>3</v>
      </c>
      <c r="E631" s="68"/>
      <c r="F631" s="69">
        <v>40</v>
      </c>
      <c r="G631" s="66"/>
      <c r="H631" s="70"/>
      <c r="I631" s="71"/>
      <c r="J631" s="71"/>
      <c r="K631" s="35" t="s">
        <v>65</v>
      </c>
      <c r="L631" s="79">
        <v>631</v>
      </c>
      <c r="M631" s="79"/>
      <c r="N631" s="73"/>
      <c r="O631" s="81" t="s">
        <v>292</v>
      </c>
      <c r="P631">
        <v>1</v>
      </c>
      <c r="Q631" s="80" t="str">
        <f>REPLACE(INDEX(GroupVertices[Group],MATCH(Edges[[#This Row],[Vertex 1]],GroupVertices[Vertex],0)),1,1,"")</f>
        <v>3</v>
      </c>
      <c r="R631" s="80" t="str">
        <f>REPLACE(INDEX(GroupVertices[Group],MATCH(Edges[[#This Row],[Vertex 2]],GroupVertices[Vertex],0)),1,1,"")</f>
        <v>3</v>
      </c>
      <c r="S631" s="35"/>
      <c r="T631" s="35"/>
      <c r="U631" s="35"/>
      <c r="V631" s="35"/>
      <c r="W631" s="35"/>
      <c r="X631" s="35"/>
      <c r="Y631" s="35"/>
      <c r="Z631" s="35"/>
      <c r="AA631" s="35"/>
    </row>
    <row r="632" spans="1:27" ht="15">
      <c r="A632" s="65" t="s">
        <v>271</v>
      </c>
      <c r="B632" s="65" t="s">
        <v>266</v>
      </c>
      <c r="C632" s="66" t="s">
        <v>2113</v>
      </c>
      <c r="D632" s="67">
        <v>3</v>
      </c>
      <c r="E632" s="68"/>
      <c r="F632" s="69">
        <v>40</v>
      </c>
      <c r="G632" s="66"/>
      <c r="H632" s="70"/>
      <c r="I632" s="71"/>
      <c r="J632" s="71"/>
      <c r="K632" s="35" t="s">
        <v>65</v>
      </c>
      <c r="L632" s="79">
        <v>632</v>
      </c>
      <c r="M632" s="79"/>
      <c r="N632" s="73"/>
      <c r="O632" s="81" t="s">
        <v>292</v>
      </c>
      <c r="P632">
        <v>1</v>
      </c>
      <c r="Q632" s="80" t="str">
        <f>REPLACE(INDEX(GroupVertices[Group],MATCH(Edges[[#This Row],[Vertex 1]],GroupVertices[Vertex],0)),1,1,"")</f>
        <v>3</v>
      </c>
      <c r="R632" s="80" t="str">
        <f>REPLACE(INDEX(GroupVertices[Group],MATCH(Edges[[#This Row],[Vertex 2]],GroupVertices[Vertex],0)),1,1,"")</f>
        <v>3</v>
      </c>
      <c r="S632" s="35"/>
      <c r="T632" s="35"/>
      <c r="U632" s="35"/>
      <c r="V632" s="35"/>
      <c r="W632" s="35"/>
      <c r="X632" s="35"/>
      <c r="Y632" s="35"/>
      <c r="Z632" s="35"/>
      <c r="AA632" s="35"/>
    </row>
    <row r="633" spans="1:27" ht="15">
      <c r="A633" s="65" t="s">
        <v>272</v>
      </c>
      <c r="B633" s="65" t="s">
        <v>266</v>
      </c>
      <c r="C633" s="66" t="s">
        <v>2113</v>
      </c>
      <c r="D633" s="67">
        <v>3</v>
      </c>
      <c r="E633" s="68"/>
      <c r="F633" s="69">
        <v>40</v>
      </c>
      <c r="G633" s="66"/>
      <c r="H633" s="70"/>
      <c r="I633" s="71"/>
      <c r="J633" s="71"/>
      <c r="K633" s="35" t="s">
        <v>65</v>
      </c>
      <c r="L633" s="79">
        <v>633</v>
      </c>
      <c r="M633" s="79"/>
      <c r="N633" s="73"/>
      <c r="O633" s="81" t="s">
        <v>292</v>
      </c>
      <c r="P633">
        <v>1</v>
      </c>
      <c r="Q633" s="80" t="str">
        <f>REPLACE(INDEX(GroupVertices[Group],MATCH(Edges[[#This Row],[Vertex 1]],GroupVertices[Vertex],0)),1,1,"")</f>
        <v>3</v>
      </c>
      <c r="R633" s="80" t="str">
        <f>REPLACE(INDEX(GroupVertices[Group],MATCH(Edges[[#This Row],[Vertex 2]],GroupVertices[Vertex],0)),1,1,"")</f>
        <v>3</v>
      </c>
      <c r="S633" s="35"/>
      <c r="T633" s="35"/>
      <c r="U633" s="35"/>
      <c r="V633" s="35"/>
      <c r="W633" s="35"/>
      <c r="X633" s="35"/>
      <c r="Y633" s="35"/>
      <c r="Z633" s="35"/>
      <c r="AA633" s="35"/>
    </row>
    <row r="634" spans="1:27" ht="15">
      <c r="A634" s="65" t="s">
        <v>257</v>
      </c>
      <c r="B634" s="65" t="s">
        <v>266</v>
      </c>
      <c r="C634" s="66" t="s">
        <v>2113</v>
      </c>
      <c r="D634" s="67">
        <v>3</v>
      </c>
      <c r="E634" s="68"/>
      <c r="F634" s="69">
        <v>40</v>
      </c>
      <c r="G634" s="66"/>
      <c r="H634" s="70"/>
      <c r="I634" s="71"/>
      <c r="J634" s="71"/>
      <c r="K634" s="35" t="s">
        <v>65</v>
      </c>
      <c r="L634" s="79">
        <v>634</v>
      </c>
      <c r="M634" s="79"/>
      <c r="N634" s="73"/>
      <c r="O634" s="81" t="s">
        <v>292</v>
      </c>
      <c r="P634">
        <v>1</v>
      </c>
      <c r="Q634" s="80" t="str">
        <f>REPLACE(INDEX(GroupVertices[Group],MATCH(Edges[[#This Row],[Vertex 1]],GroupVertices[Vertex],0)),1,1,"")</f>
        <v>3</v>
      </c>
      <c r="R634" s="80" t="str">
        <f>REPLACE(INDEX(GroupVertices[Group],MATCH(Edges[[#This Row],[Vertex 2]],GroupVertices[Vertex],0)),1,1,"")</f>
        <v>3</v>
      </c>
      <c r="S634" s="35"/>
      <c r="T634" s="35"/>
      <c r="U634" s="35"/>
      <c r="V634" s="35"/>
      <c r="W634" s="35"/>
      <c r="X634" s="35"/>
      <c r="Y634" s="35"/>
      <c r="Z634" s="35"/>
      <c r="AA634" s="35"/>
    </row>
    <row r="635" spans="1:27" ht="15">
      <c r="A635" s="65" t="s">
        <v>273</v>
      </c>
      <c r="B635" s="65" t="s">
        <v>266</v>
      </c>
      <c r="C635" s="66" t="s">
        <v>2113</v>
      </c>
      <c r="D635" s="67">
        <v>3</v>
      </c>
      <c r="E635" s="68"/>
      <c r="F635" s="69">
        <v>40</v>
      </c>
      <c r="G635" s="66"/>
      <c r="H635" s="70"/>
      <c r="I635" s="71"/>
      <c r="J635" s="71"/>
      <c r="K635" s="35" t="s">
        <v>65</v>
      </c>
      <c r="L635" s="79">
        <v>635</v>
      </c>
      <c r="M635" s="79"/>
      <c r="N635" s="73"/>
      <c r="O635" s="81" t="s">
        <v>293</v>
      </c>
      <c r="P635">
        <v>1</v>
      </c>
      <c r="Q635" s="80" t="str">
        <f>REPLACE(INDEX(GroupVertices[Group],MATCH(Edges[[#This Row],[Vertex 1]],GroupVertices[Vertex],0)),1,1,"")</f>
        <v>3</v>
      </c>
      <c r="R635" s="80" t="str">
        <f>REPLACE(INDEX(GroupVertices[Group],MATCH(Edges[[#This Row],[Vertex 2]],GroupVertices[Vertex],0)),1,1,"")</f>
        <v>3</v>
      </c>
      <c r="S635" s="35"/>
      <c r="T635" s="35"/>
      <c r="U635" s="35"/>
      <c r="V635" s="35"/>
      <c r="W635" s="35"/>
      <c r="X635" s="35"/>
      <c r="Y635" s="35"/>
      <c r="Z635" s="35"/>
      <c r="AA635" s="35"/>
    </row>
    <row r="636" spans="1:27" ht="15">
      <c r="A636" s="65" t="s">
        <v>267</v>
      </c>
      <c r="B636" s="65" t="s">
        <v>260</v>
      </c>
      <c r="C636" s="66" t="s">
        <v>2113</v>
      </c>
      <c r="D636" s="67">
        <v>3</v>
      </c>
      <c r="E636" s="68"/>
      <c r="F636" s="69">
        <v>40</v>
      </c>
      <c r="G636" s="66"/>
      <c r="H636" s="70"/>
      <c r="I636" s="71"/>
      <c r="J636" s="71"/>
      <c r="K636" s="35" t="s">
        <v>65</v>
      </c>
      <c r="L636" s="79">
        <v>636</v>
      </c>
      <c r="M636" s="79"/>
      <c r="N636" s="73"/>
      <c r="O636" s="81" t="s">
        <v>292</v>
      </c>
      <c r="P636">
        <v>1</v>
      </c>
      <c r="Q636" s="80" t="str">
        <f>REPLACE(INDEX(GroupVertices[Group],MATCH(Edges[[#This Row],[Vertex 1]],GroupVertices[Vertex],0)),1,1,"")</f>
        <v>3</v>
      </c>
      <c r="R636" s="80" t="str">
        <f>REPLACE(INDEX(GroupVertices[Group],MATCH(Edges[[#This Row],[Vertex 2]],GroupVertices[Vertex],0)),1,1,"")</f>
        <v>3</v>
      </c>
      <c r="S636" s="35"/>
      <c r="T636" s="35"/>
      <c r="U636" s="35"/>
      <c r="V636" s="35"/>
      <c r="W636" s="35"/>
      <c r="X636" s="35"/>
      <c r="Y636" s="35"/>
      <c r="Z636" s="35"/>
      <c r="AA636" s="35"/>
    </row>
    <row r="637" spans="1:27" ht="15">
      <c r="A637" s="65" t="s">
        <v>268</v>
      </c>
      <c r="B637" s="65" t="s">
        <v>260</v>
      </c>
      <c r="C637" s="66" t="s">
        <v>2113</v>
      </c>
      <c r="D637" s="67">
        <v>3</v>
      </c>
      <c r="E637" s="68"/>
      <c r="F637" s="69">
        <v>40</v>
      </c>
      <c r="G637" s="66"/>
      <c r="H637" s="70"/>
      <c r="I637" s="71"/>
      <c r="J637" s="71"/>
      <c r="K637" s="35" t="s">
        <v>65</v>
      </c>
      <c r="L637" s="79">
        <v>637</v>
      </c>
      <c r="M637" s="79"/>
      <c r="N637" s="73"/>
      <c r="O637" s="81" t="s">
        <v>292</v>
      </c>
      <c r="P637">
        <v>1</v>
      </c>
      <c r="Q637" s="80" t="str">
        <f>REPLACE(INDEX(GroupVertices[Group],MATCH(Edges[[#This Row],[Vertex 1]],GroupVertices[Vertex],0)),1,1,"")</f>
        <v>3</v>
      </c>
      <c r="R637" s="80" t="str">
        <f>REPLACE(INDEX(GroupVertices[Group],MATCH(Edges[[#This Row],[Vertex 2]],GroupVertices[Vertex],0)),1,1,"")</f>
        <v>3</v>
      </c>
      <c r="S637" s="35"/>
      <c r="T637" s="35"/>
      <c r="U637" s="35"/>
      <c r="V637" s="35"/>
      <c r="W637" s="35"/>
      <c r="X637" s="35"/>
      <c r="Y637" s="35"/>
      <c r="Z637" s="35"/>
      <c r="AA637" s="35"/>
    </row>
    <row r="638" spans="1:27" ht="15">
      <c r="A638" s="65" t="s">
        <v>269</v>
      </c>
      <c r="B638" s="65" t="s">
        <v>260</v>
      </c>
      <c r="C638" s="66" t="s">
        <v>2113</v>
      </c>
      <c r="D638" s="67">
        <v>3</v>
      </c>
      <c r="E638" s="68"/>
      <c r="F638" s="69">
        <v>40</v>
      </c>
      <c r="G638" s="66"/>
      <c r="H638" s="70"/>
      <c r="I638" s="71"/>
      <c r="J638" s="71"/>
      <c r="K638" s="35" t="s">
        <v>65</v>
      </c>
      <c r="L638" s="79">
        <v>638</v>
      </c>
      <c r="M638" s="79"/>
      <c r="N638" s="73"/>
      <c r="O638" s="81" t="s">
        <v>292</v>
      </c>
      <c r="P638">
        <v>1</v>
      </c>
      <c r="Q638" s="80" t="str">
        <f>REPLACE(INDEX(GroupVertices[Group],MATCH(Edges[[#This Row],[Vertex 1]],GroupVertices[Vertex],0)),1,1,"")</f>
        <v>3</v>
      </c>
      <c r="R638" s="80" t="str">
        <f>REPLACE(INDEX(GroupVertices[Group],MATCH(Edges[[#This Row],[Vertex 2]],GroupVertices[Vertex],0)),1,1,"")</f>
        <v>3</v>
      </c>
      <c r="S638" s="35"/>
      <c r="T638" s="35"/>
      <c r="U638" s="35"/>
      <c r="V638" s="35"/>
      <c r="W638" s="35"/>
      <c r="X638" s="35"/>
      <c r="Y638" s="35"/>
      <c r="Z638" s="35"/>
      <c r="AA638" s="35"/>
    </row>
    <row r="639" spans="1:27" ht="15">
      <c r="A639" s="65" t="s">
        <v>274</v>
      </c>
      <c r="B639" s="65" t="s">
        <v>260</v>
      </c>
      <c r="C639" s="66" t="s">
        <v>2113</v>
      </c>
      <c r="D639" s="67">
        <v>3</v>
      </c>
      <c r="E639" s="68"/>
      <c r="F639" s="69">
        <v>40</v>
      </c>
      <c r="G639" s="66"/>
      <c r="H639" s="70"/>
      <c r="I639" s="71"/>
      <c r="J639" s="71"/>
      <c r="K639" s="35" t="s">
        <v>65</v>
      </c>
      <c r="L639" s="79">
        <v>639</v>
      </c>
      <c r="M639" s="79"/>
      <c r="N639" s="73"/>
      <c r="O639" s="81" t="s">
        <v>292</v>
      </c>
      <c r="P639">
        <v>1</v>
      </c>
      <c r="Q639" s="80" t="str">
        <f>REPLACE(INDEX(GroupVertices[Group],MATCH(Edges[[#This Row],[Vertex 1]],GroupVertices[Vertex],0)),1,1,"")</f>
        <v>3</v>
      </c>
      <c r="R639" s="80" t="str">
        <f>REPLACE(INDEX(GroupVertices[Group],MATCH(Edges[[#This Row],[Vertex 2]],GroupVertices[Vertex],0)),1,1,"")</f>
        <v>3</v>
      </c>
      <c r="S639" s="35"/>
      <c r="T639" s="35"/>
      <c r="U639" s="35"/>
      <c r="V639" s="35"/>
      <c r="W639" s="35"/>
      <c r="X639" s="35"/>
      <c r="Y639" s="35"/>
      <c r="Z639" s="35"/>
      <c r="AA639" s="35"/>
    </row>
    <row r="640" spans="1:27" ht="15">
      <c r="A640" s="65" t="s">
        <v>270</v>
      </c>
      <c r="B640" s="65" t="s">
        <v>260</v>
      </c>
      <c r="C640" s="66" t="s">
        <v>2113</v>
      </c>
      <c r="D640" s="67">
        <v>3</v>
      </c>
      <c r="E640" s="68"/>
      <c r="F640" s="69">
        <v>40</v>
      </c>
      <c r="G640" s="66"/>
      <c r="H640" s="70"/>
      <c r="I640" s="71"/>
      <c r="J640" s="71"/>
      <c r="K640" s="35" t="s">
        <v>65</v>
      </c>
      <c r="L640" s="79">
        <v>640</v>
      </c>
      <c r="M640" s="79"/>
      <c r="N640" s="73"/>
      <c r="O640" s="81" t="s">
        <v>292</v>
      </c>
      <c r="P640">
        <v>1</v>
      </c>
      <c r="Q640" s="80" t="str">
        <f>REPLACE(INDEX(GroupVertices[Group],MATCH(Edges[[#This Row],[Vertex 1]],GroupVertices[Vertex],0)),1,1,"")</f>
        <v>3</v>
      </c>
      <c r="R640" s="80" t="str">
        <f>REPLACE(INDEX(GroupVertices[Group],MATCH(Edges[[#This Row],[Vertex 2]],GroupVertices[Vertex],0)),1,1,"")</f>
        <v>3</v>
      </c>
      <c r="S640" s="35"/>
      <c r="T640" s="35"/>
      <c r="U640" s="35"/>
      <c r="V640" s="35"/>
      <c r="W640" s="35"/>
      <c r="X640" s="35"/>
      <c r="Y640" s="35"/>
      <c r="Z640" s="35"/>
      <c r="AA640" s="35"/>
    </row>
    <row r="641" spans="1:27" ht="15">
      <c r="A641" s="65" t="s">
        <v>271</v>
      </c>
      <c r="B641" s="65" t="s">
        <v>260</v>
      </c>
      <c r="C641" s="66" t="s">
        <v>2113</v>
      </c>
      <c r="D641" s="67">
        <v>3</v>
      </c>
      <c r="E641" s="68"/>
      <c r="F641" s="69">
        <v>40</v>
      </c>
      <c r="G641" s="66"/>
      <c r="H641" s="70"/>
      <c r="I641" s="71"/>
      <c r="J641" s="71"/>
      <c r="K641" s="35" t="s">
        <v>65</v>
      </c>
      <c r="L641" s="79">
        <v>641</v>
      </c>
      <c r="M641" s="79"/>
      <c r="N641" s="73"/>
      <c r="O641" s="81" t="s">
        <v>292</v>
      </c>
      <c r="P641">
        <v>1</v>
      </c>
      <c r="Q641" s="80" t="str">
        <f>REPLACE(INDEX(GroupVertices[Group],MATCH(Edges[[#This Row],[Vertex 1]],GroupVertices[Vertex],0)),1,1,"")</f>
        <v>3</v>
      </c>
      <c r="R641" s="80" t="str">
        <f>REPLACE(INDEX(GroupVertices[Group],MATCH(Edges[[#This Row],[Vertex 2]],GroupVertices[Vertex],0)),1,1,"")</f>
        <v>3</v>
      </c>
      <c r="S641" s="35"/>
      <c r="T641" s="35"/>
      <c r="U641" s="35"/>
      <c r="V641" s="35"/>
      <c r="W641" s="35"/>
      <c r="X641" s="35"/>
      <c r="Y641" s="35"/>
      <c r="Z641" s="35"/>
      <c r="AA641" s="35"/>
    </row>
    <row r="642" spans="1:27" ht="15">
      <c r="A642" s="65" t="s">
        <v>272</v>
      </c>
      <c r="B642" s="65" t="s">
        <v>260</v>
      </c>
      <c r="C642" s="66" t="s">
        <v>2113</v>
      </c>
      <c r="D642" s="67">
        <v>3</v>
      </c>
      <c r="E642" s="68"/>
      <c r="F642" s="69">
        <v>40</v>
      </c>
      <c r="G642" s="66"/>
      <c r="H642" s="70"/>
      <c r="I642" s="71"/>
      <c r="J642" s="71"/>
      <c r="K642" s="35" t="s">
        <v>65</v>
      </c>
      <c r="L642" s="79">
        <v>642</v>
      </c>
      <c r="M642" s="79"/>
      <c r="N642" s="73"/>
      <c r="O642" s="81" t="s">
        <v>292</v>
      </c>
      <c r="P642">
        <v>1</v>
      </c>
      <c r="Q642" s="80" t="str">
        <f>REPLACE(INDEX(GroupVertices[Group],MATCH(Edges[[#This Row],[Vertex 1]],GroupVertices[Vertex],0)),1,1,"")</f>
        <v>3</v>
      </c>
      <c r="R642" s="80" t="str">
        <f>REPLACE(INDEX(GroupVertices[Group],MATCH(Edges[[#This Row],[Vertex 2]],GroupVertices[Vertex],0)),1,1,"")</f>
        <v>3</v>
      </c>
      <c r="S642" s="35"/>
      <c r="T642" s="35"/>
      <c r="U642" s="35"/>
      <c r="V642" s="35"/>
      <c r="W642" s="35"/>
      <c r="X642" s="35"/>
      <c r="Y642" s="35"/>
      <c r="Z642" s="35"/>
      <c r="AA642" s="35"/>
    </row>
    <row r="643" spans="1:27" ht="15">
      <c r="A643" s="65" t="s">
        <v>257</v>
      </c>
      <c r="B643" s="65" t="s">
        <v>260</v>
      </c>
      <c r="C643" s="66" t="s">
        <v>2113</v>
      </c>
      <c r="D643" s="67">
        <v>3</v>
      </c>
      <c r="E643" s="68"/>
      <c r="F643" s="69">
        <v>40</v>
      </c>
      <c r="G643" s="66"/>
      <c r="H643" s="70"/>
      <c r="I643" s="71"/>
      <c r="J643" s="71"/>
      <c r="K643" s="35" t="s">
        <v>65</v>
      </c>
      <c r="L643" s="79">
        <v>643</v>
      </c>
      <c r="M643" s="79"/>
      <c r="N643" s="73"/>
      <c r="O643" s="81" t="s">
        <v>292</v>
      </c>
      <c r="P643">
        <v>1</v>
      </c>
      <c r="Q643" s="80" t="str">
        <f>REPLACE(INDEX(GroupVertices[Group],MATCH(Edges[[#This Row],[Vertex 1]],GroupVertices[Vertex],0)),1,1,"")</f>
        <v>3</v>
      </c>
      <c r="R643" s="80" t="str">
        <f>REPLACE(INDEX(GroupVertices[Group],MATCH(Edges[[#This Row],[Vertex 2]],GroupVertices[Vertex],0)),1,1,"")</f>
        <v>3</v>
      </c>
      <c r="S643" s="35"/>
      <c r="T643" s="35"/>
      <c r="U643" s="35"/>
      <c r="V643" s="35"/>
      <c r="W643" s="35"/>
      <c r="X643" s="35"/>
      <c r="Y643" s="35"/>
      <c r="Z643" s="35"/>
      <c r="AA643" s="35"/>
    </row>
    <row r="644" spans="1:27" ht="15">
      <c r="A644" s="65" t="s">
        <v>273</v>
      </c>
      <c r="B644" s="65" t="s">
        <v>260</v>
      </c>
      <c r="C644" s="66" t="s">
        <v>2113</v>
      </c>
      <c r="D644" s="67">
        <v>3</v>
      </c>
      <c r="E644" s="68"/>
      <c r="F644" s="69">
        <v>40</v>
      </c>
      <c r="G644" s="66"/>
      <c r="H644" s="70"/>
      <c r="I644" s="71"/>
      <c r="J644" s="71"/>
      <c r="K644" s="35" t="s">
        <v>65</v>
      </c>
      <c r="L644" s="79">
        <v>644</v>
      </c>
      <c r="M644" s="79"/>
      <c r="N644" s="73"/>
      <c r="O644" s="81" t="s">
        <v>293</v>
      </c>
      <c r="P644">
        <v>1</v>
      </c>
      <c r="Q644" s="80" t="str">
        <f>REPLACE(INDEX(GroupVertices[Group],MATCH(Edges[[#This Row],[Vertex 1]],GroupVertices[Vertex],0)),1,1,"")</f>
        <v>3</v>
      </c>
      <c r="R644" s="80" t="str">
        <f>REPLACE(INDEX(GroupVertices[Group],MATCH(Edges[[#This Row],[Vertex 2]],GroupVertices[Vertex],0)),1,1,"")</f>
        <v>3</v>
      </c>
      <c r="S644" s="35"/>
      <c r="T644" s="35"/>
      <c r="U644" s="35"/>
      <c r="V644" s="35"/>
      <c r="W644" s="35"/>
      <c r="X644" s="35"/>
      <c r="Y644" s="35"/>
      <c r="Z644" s="35"/>
      <c r="AA644" s="35"/>
    </row>
    <row r="645" spans="1:27" ht="15">
      <c r="A645" s="65" t="s">
        <v>268</v>
      </c>
      <c r="B645" s="65" t="s">
        <v>267</v>
      </c>
      <c r="C645" s="66" t="s">
        <v>2113</v>
      </c>
      <c r="D645" s="67">
        <v>3</v>
      </c>
      <c r="E645" s="68"/>
      <c r="F645" s="69">
        <v>40</v>
      </c>
      <c r="G645" s="66"/>
      <c r="H645" s="70"/>
      <c r="I645" s="71"/>
      <c r="J645" s="71"/>
      <c r="K645" s="35" t="s">
        <v>65</v>
      </c>
      <c r="L645" s="79">
        <v>645</v>
      </c>
      <c r="M645" s="79"/>
      <c r="N645" s="73"/>
      <c r="O645" s="81" t="s">
        <v>292</v>
      </c>
      <c r="P645">
        <v>1</v>
      </c>
      <c r="Q645" s="80" t="str">
        <f>REPLACE(INDEX(GroupVertices[Group],MATCH(Edges[[#This Row],[Vertex 1]],GroupVertices[Vertex],0)),1,1,"")</f>
        <v>3</v>
      </c>
      <c r="R645" s="80" t="str">
        <f>REPLACE(INDEX(GroupVertices[Group],MATCH(Edges[[#This Row],[Vertex 2]],GroupVertices[Vertex],0)),1,1,"")</f>
        <v>3</v>
      </c>
      <c r="S645" s="35"/>
      <c r="T645" s="35"/>
      <c r="U645" s="35"/>
      <c r="V645" s="35"/>
      <c r="W645" s="35"/>
      <c r="X645" s="35"/>
      <c r="Y645" s="35"/>
      <c r="Z645" s="35"/>
      <c r="AA645" s="35"/>
    </row>
    <row r="646" spans="1:27" ht="15">
      <c r="A646" s="65" t="s">
        <v>269</v>
      </c>
      <c r="B646" s="65" t="s">
        <v>267</v>
      </c>
      <c r="C646" s="66" t="s">
        <v>2113</v>
      </c>
      <c r="D646" s="67">
        <v>3</v>
      </c>
      <c r="E646" s="68"/>
      <c r="F646" s="69">
        <v>40</v>
      </c>
      <c r="G646" s="66"/>
      <c r="H646" s="70"/>
      <c r="I646" s="71"/>
      <c r="J646" s="71"/>
      <c r="K646" s="35" t="s">
        <v>65</v>
      </c>
      <c r="L646" s="79">
        <v>646</v>
      </c>
      <c r="M646" s="79"/>
      <c r="N646" s="73"/>
      <c r="O646" s="81" t="s">
        <v>292</v>
      </c>
      <c r="P646">
        <v>1</v>
      </c>
      <c r="Q646" s="80" t="str">
        <f>REPLACE(INDEX(GroupVertices[Group],MATCH(Edges[[#This Row],[Vertex 1]],GroupVertices[Vertex],0)),1,1,"")</f>
        <v>3</v>
      </c>
      <c r="R646" s="80" t="str">
        <f>REPLACE(INDEX(GroupVertices[Group],MATCH(Edges[[#This Row],[Vertex 2]],GroupVertices[Vertex],0)),1,1,"")</f>
        <v>3</v>
      </c>
      <c r="S646" s="35"/>
      <c r="T646" s="35"/>
      <c r="U646" s="35"/>
      <c r="V646" s="35"/>
      <c r="W646" s="35"/>
      <c r="X646" s="35"/>
      <c r="Y646" s="35"/>
      <c r="Z646" s="35"/>
      <c r="AA646" s="35"/>
    </row>
    <row r="647" spans="1:27" ht="15">
      <c r="A647" s="65" t="s">
        <v>274</v>
      </c>
      <c r="B647" s="65" t="s">
        <v>267</v>
      </c>
      <c r="C647" s="66" t="s">
        <v>2113</v>
      </c>
      <c r="D647" s="67">
        <v>3</v>
      </c>
      <c r="E647" s="68"/>
      <c r="F647" s="69">
        <v>40</v>
      </c>
      <c r="G647" s="66"/>
      <c r="H647" s="70"/>
      <c r="I647" s="71"/>
      <c r="J647" s="71"/>
      <c r="K647" s="35" t="s">
        <v>65</v>
      </c>
      <c r="L647" s="79">
        <v>647</v>
      </c>
      <c r="M647" s="79"/>
      <c r="N647" s="73"/>
      <c r="O647" s="81" t="s">
        <v>292</v>
      </c>
      <c r="P647">
        <v>1</v>
      </c>
      <c r="Q647" s="80" t="str">
        <f>REPLACE(INDEX(GroupVertices[Group],MATCH(Edges[[#This Row],[Vertex 1]],GroupVertices[Vertex],0)),1,1,"")</f>
        <v>3</v>
      </c>
      <c r="R647" s="80" t="str">
        <f>REPLACE(INDEX(GroupVertices[Group],MATCH(Edges[[#This Row],[Vertex 2]],GroupVertices[Vertex],0)),1,1,"")</f>
        <v>3</v>
      </c>
      <c r="S647" s="35"/>
      <c r="T647" s="35"/>
      <c r="U647" s="35"/>
      <c r="V647" s="35"/>
      <c r="W647" s="35"/>
      <c r="X647" s="35"/>
      <c r="Y647" s="35"/>
      <c r="Z647" s="35"/>
      <c r="AA647" s="35"/>
    </row>
    <row r="648" spans="1:27" ht="15">
      <c r="A648" s="65" t="s">
        <v>270</v>
      </c>
      <c r="B648" s="65" t="s">
        <v>267</v>
      </c>
      <c r="C648" s="66" t="s">
        <v>2113</v>
      </c>
      <c r="D648" s="67">
        <v>3</v>
      </c>
      <c r="E648" s="68"/>
      <c r="F648" s="69">
        <v>40</v>
      </c>
      <c r="G648" s="66"/>
      <c r="H648" s="70"/>
      <c r="I648" s="71"/>
      <c r="J648" s="71"/>
      <c r="K648" s="35" t="s">
        <v>65</v>
      </c>
      <c r="L648" s="79">
        <v>648</v>
      </c>
      <c r="M648" s="79"/>
      <c r="N648" s="73"/>
      <c r="O648" s="81" t="s">
        <v>292</v>
      </c>
      <c r="P648">
        <v>1</v>
      </c>
      <c r="Q648" s="80" t="str">
        <f>REPLACE(INDEX(GroupVertices[Group],MATCH(Edges[[#This Row],[Vertex 1]],GroupVertices[Vertex],0)),1,1,"")</f>
        <v>3</v>
      </c>
      <c r="R648" s="80" t="str">
        <f>REPLACE(INDEX(GroupVertices[Group],MATCH(Edges[[#This Row],[Vertex 2]],GroupVertices[Vertex],0)),1,1,"")</f>
        <v>3</v>
      </c>
      <c r="S648" s="35"/>
      <c r="T648" s="35"/>
      <c r="U648" s="35"/>
      <c r="V648" s="35"/>
      <c r="W648" s="35"/>
      <c r="X648" s="35"/>
      <c r="Y648" s="35"/>
      <c r="Z648" s="35"/>
      <c r="AA648" s="35"/>
    </row>
    <row r="649" spans="1:27" ht="15">
      <c r="A649" s="65" t="s">
        <v>271</v>
      </c>
      <c r="B649" s="65" t="s">
        <v>267</v>
      </c>
      <c r="C649" s="66" t="s">
        <v>2113</v>
      </c>
      <c r="D649" s="67">
        <v>3</v>
      </c>
      <c r="E649" s="68"/>
      <c r="F649" s="69">
        <v>40</v>
      </c>
      <c r="G649" s="66"/>
      <c r="H649" s="70"/>
      <c r="I649" s="71"/>
      <c r="J649" s="71"/>
      <c r="K649" s="35" t="s">
        <v>65</v>
      </c>
      <c r="L649" s="79">
        <v>649</v>
      </c>
      <c r="M649" s="79"/>
      <c r="N649" s="73"/>
      <c r="O649" s="81" t="s">
        <v>292</v>
      </c>
      <c r="P649">
        <v>1</v>
      </c>
      <c r="Q649" s="80" t="str">
        <f>REPLACE(INDEX(GroupVertices[Group],MATCH(Edges[[#This Row],[Vertex 1]],GroupVertices[Vertex],0)),1,1,"")</f>
        <v>3</v>
      </c>
      <c r="R649" s="80" t="str">
        <f>REPLACE(INDEX(GroupVertices[Group],MATCH(Edges[[#This Row],[Vertex 2]],GroupVertices[Vertex],0)),1,1,"")</f>
        <v>3</v>
      </c>
      <c r="S649" s="35"/>
      <c r="T649" s="35"/>
      <c r="U649" s="35"/>
      <c r="V649" s="35"/>
      <c r="W649" s="35"/>
      <c r="X649" s="35"/>
      <c r="Y649" s="35"/>
      <c r="Z649" s="35"/>
      <c r="AA649" s="35"/>
    </row>
    <row r="650" spans="1:27" ht="15">
      <c r="A650" s="65" t="s">
        <v>272</v>
      </c>
      <c r="B650" s="65" t="s">
        <v>267</v>
      </c>
      <c r="C650" s="66" t="s">
        <v>2113</v>
      </c>
      <c r="D650" s="67">
        <v>3</v>
      </c>
      <c r="E650" s="68"/>
      <c r="F650" s="69">
        <v>40</v>
      </c>
      <c r="G650" s="66"/>
      <c r="H650" s="70"/>
      <c r="I650" s="71"/>
      <c r="J650" s="71"/>
      <c r="K650" s="35" t="s">
        <v>65</v>
      </c>
      <c r="L650" s="79">
        <v>650</v>
      </c>
      <c r="M650" s="79"/>
      <c r="N650" s="73"/>
      <c r="O650" s="81" t="s">
        <v>292</v>
      </c>
      <c r="P650">
        <v>1</v>
      </c>
      <c r="Q650" s="80" t="str">
        <f>REPLACE(INDEX(GroupVertices[Group],MATCH(Edges[[#This Row],[Vertex 1]],GroupVertices[Vertex],0)),1,1,"")</f>
        <v>3</v>
      </c>
      <c r="R650" s="80" t="str">
        <f>REPLACE(INDEX(GroupVertices[Group],MATCH(Edges[[#This Row],[Vertex 2]],GroupVertices[Vertex],0)),1,1,"")</f>
        <v>3</v>
      </c>
      <c r="S650" s="35"/>
      <c r="T650" s="35"/>
      <c r="U650" s="35"/>
      <c r="V650" s="35"/>
      <c r="W650" s="35"/>
      <c r="X650" s="35"/>
      <c r="Y650" s="35"/>
      <c r="Z650" s="35"/>
      <c r="AA650" s="35"/>
    </row>
    <row r="651" spans="1:27" ht="15">
      <c r="A651" s="65" t="s">
        <v>257</v>
      </c>
      <c r="B651" s="65" t="s">
        <v>267</v>
      </c>
      <c r="C651" s="66" t="s">
        <v>2113</v>
      </c>
      <c r="D651" s="67">
        <v>3</v>
      </c>
      <c r="E651" s="68"/>
      <c r="F651" s="69">
        <v>40</v>
      </c>
      <c r="G651" s="66"/>
      <c r="H651" s="70"/>
      <c r="I651" s="71"/>
      <c r="J651" s="71"/>
      <c r="K651" s="35" t="s">
        <v>65</v>
      </c>
      <c r="L651" s="79">
        <v>651</v>
      </c>
      <c r="M651" s="79"/>
      <c r="N651" s="73"/>
      <c r="O651" s="81" t="s">
        <v>292</v>
      </c>
      <c r="P651">
        <v>1</v>
      </c>
      <c r="Q651" s="80" t="str">
        <f>REPLACE(INDEX(GroupVertices[Group],MATCH(Edges[[#This Row],[Vertex 1]],GroupVertices[Vertex],0)),1,1,"")</f>
        <v>3</v>
      </c>
      <c r="R651" s="80" t="str">
        <f>REPLACE(INDEX(GroupVertices[Group],MATCH(Edges[[#This Row],[Vertex 2]],GroupVertices[Vertex],0)),1,1,"")</f>
        <v>3</v>
      </c>
      <c r="S651" s="35"/>
      <c r="T651" s="35"/>
      <c r="U651" s="35"/>
      <c r="V651" s="35"/>
      <c r="W651" s="35"/>
      <c r="X651" s="35"/>
      <c r="Y651" s="35"/>
      <c r="Z651" s="35"/>
      <c r="AA651" s="35"/>
    </row>
    <row r="652" spans="1:27" ht="15">
      <c r="A652" s="65" t="s">
        <v>273</v>
      </c>
      <c r="B652" s="65" t="s">
        <v>267</v>
      </c>
      <c r="C652" s="66" t="s">
        <v>2113</v>
      </c>
      <c r="D652" s="67">
        <v>3</v>
      </c>
      <c r="E652" s="68"/>
      <c r="F652" s="69">
        <v>40</v>
      </c>
      <c r="G652" s="66"/>
      <c r="H652" s="70"/>
      <c r="I652" s="71"/>
      <c r="J652" s="71"/>
      <c r="K652" s="35" t="s">
        <v>65</v>
      </c>
      <c r="L652" s="79">
        <v>652</v>
      </c>
      <c r="M652" s="79"/>
      <c r="N652" s="73"/>
      <c r="O652" s="81" t="s">
        <v>293</v>
      </c>
      <c r="P652">
        <v>1</v>
      </c>
      <c r="Q652" s="80" t="str">
        <f>REPLACE(INDEX(GroupVertices[Group],MATCH(Edges[[#This Row],[Vertex 1]],GroupVertices[Vertex],0)),1,1,"")</f>
        <v>3</v>
      </c>
      <c r="R652" s="80" t="str">
        <f>REPLACE(INDEX(GroupVertices[Group],MATCH(Edges[[#This Row],[Vertex 2]],GroupVertices[Vertex],0)),1,1,"")</f>
        <v>3</v>
      </c>
      <c r="S652" s="35"/>
      <c r="T652" s="35"/>
      <c r="U652" s="35"/>
      <c r="V652" s="35"/>
      <c r="W652" s="35"/>
      <c r="X652" s="35"/>
      <c r="Y652" s="35"/>
      <c r="Z652" s="35"/>
      <c r="AA652" s="35"/>
    </row>
    <row r="653" spans="1:27" ht="15">
      <c r="A653" s="65" t="s">
        <v>269</v>
      </c>
      <c r="B653" s="65" t="s">
        <v>268</v>
      </c>
      <c r="C653" s="66" t="s">
        <v>2113</v>
      </c>
      <c r="D653" s="67">
        <v>3</v>
      </c>
      <c r="E653" s="68"/>
      <c r="F653" s="69">
        <v>40</v>
      </c>
      <c r="G653" s="66"/>
      <c r="H653" s="70"/>
      <c r="I653" s="71"/>
      <c r="J653" s="71"/>
      <c r="K653" s="35" t="s">
        <v>65</v>
      </c>
      <c r="L653" s="79">
        <v>653</v>
      </c>
      <c r="M653" s="79"/>
      <c r="N653" s="73"/>
      <c r="O653" s="81" t="s">
        <v>292</v>
      </c>
      <c r="P653">
        <v>1</v>
      </c>
      <c r="Q653" s="80" t="str">
        <f>REPLACE(INDEX(GroupVertices[Group],MATCH(Edges[[#This Row],[Vertex 1]],GroupVertices[Vertex],0)),1,1,"")</f>
        <v>3</v>
      </c>
      <c r="R653" s="80" t="str">
        <f>REPLACE(INDEX(GroupVertices[Group],MATCH(Edges[[#This Row],[Vertex 2]],GroupVertices[Vertex],0)),1,1,"")</f>
        <v>3</v>
      </c>
      <c r="S653" s="35"/>
      <c r="T653" s="35"/>
      <c r="U653" s="35"/>
      <c r="V653" s="35"/>
      <c r="W653" s="35"/>
      <c r="X653" s="35"/>
      <c r="Y653" s="35"/>
      <c r="Z653" s="35"/>
      <c r="AA653" s="35"/>
    </row>
    <row r="654" spans="1:27" ht="15">
      <c r="A654" s="65" t="s">
        <v>274</v>
      </c>
      <c r="B654" s="65" t="s">
        <v>268</v>
      </c>
      <c r="C654" s="66" t="s">
        <v>2113</v>
      </c>
      <c r="D654" s="67">
        <v>3</v>
      </c>
      <c r="E654" s="68"/>
      <c r="F654" s="69">
        <v>40</v>
      </c>
      <c r="G654" s="66"/>
      <c r="H654" s="70"/>
      <c r="I654" s="71"/>
      <c r="J654" s="71"/>
      <c r="K654" s="35" t="s">
        <v>65</v>
      </c>
      <c r="L654" s="79">
        <v>654</v>
      </c>
      <c r="M654" s="79"/>
      <c r="N654" s="73"/>
      <c r="O654" s="81" t="s">
        <v>292</v>
      </c>
      <c r="P654">
        <v>1</v>
      </c>
      <c r="Q654" s="80" t="str">
        <f>REPLACE(INDEX(GroupVertices[Group],MATCH(Edges[[#This Row],[Vertex 1]],GroupVertices[Vertex],0)),1,1,"")</f>
        <v>3</v>
      </c>
      <c r="R654" s="80" t="str">
        <f>REPLACE(INDEX(GroupVertices[Group],MATCH(Edges[[#This Row],[Vertex 2]],GroupVertices[Vertex],0)),1,1,"")</f>
        <v>3</v>
      </c>
      <c r="S654" s="35"/>
      <c r="T654" s="35"/>
      <c r="U654" s="35"/>
      <c r="V654" s="35"/>
      <c r="W654" s="35"/>
      <c r="X654" s="35"/>
      <c r="Y654" s="35"/>
      <c r="Z654" s="35"/>
      <c r="AA654" s="35"/>
    </row>
    <row r="655" spans="1:27" ht="15">
      <c r="A655" s="65" t="s">
        <v>270</v>
      </c>
      <c r="B655" s="65" t="s">
        <v>268</v>
      </c>
      <c r="C655" s="66" t="s">
        <v>2113</v>
      </c>
      <c r="D655" s="67">
        <v>3</v>
      </c>
      <c r="E655" s="68"/>
      <c r="F655" s="69">
        <v>40</v>
      </c>
      <c r="G655" s="66"/>
      <c r="H655" s="70"/>
      <c r="I655" s="71"/>
      <c r="J655" s="71"/>
      <c r="K655" s="35" t="s">
        <v>65</v>
      </c>
      <c r="L655" s="79">
        <v>655</v>
      </c>
      <c r="M655" s="79"/>
      <c r="N655" s="73"/>
      <c r="O655" s="81" t="s">
        <v>292</v>
      </c>
      <c r="P655">
        <v>1</v>
      </c>
      <c r="Q655" s="80" t="str">
        <f>REPLACE(INDEX(GroupVertices[Group],MATCH(Edges[[#This Row],[Vertex 1]],GroupVertices[Vertex],0)),1,1,"")</f>
        <v>3</v>
      </c>
      <c r="R655" s="80" t="str">
        <f>REPLACE(INDEX(GroupVertices[Group],MATCH(Edges[[#This Row],[Vertex 2]],GroupVertices[Vertex],0)),1,1,"")</f>
        <v>3</v>
      </c>
      <c r="S655" s="35"/>
      <c r="T655" s="35"/>
      <c r="U655" s="35"/>
      <c r="V655" s="35"/>
      <c r="W655" s="35"/>
      <c r="X655" s="35"/>
      <c r="Y655" s="35"/>
      <c r="Z655" s="35"/>
      <c r="AA655" s="35"/>
    </row>
    <row r="656" spans="1:27" ht="15">
      <c r="A656" s="65" t="s">
        <v>271</v>
      </c>
      <c r="B656" s="65" t="s">
        <v>268</v>
      </c>
      <c r="C656" s="66" t="s">
        <v>2113</v>
      </c>
      <c r="D656" s="67">
        <v>3</v>
      </c>
      <c r="E656" s="68"/>
      <c r="F656" s="69">
        <v>40</v>
      </c>
      <c r="G656" s="66"/>
      <c r="H656" s="70"/>
      <c r="I656" s="71"/>
      <c r="J656" s="71"/>
      <c r="K656" s="35" t="s">
        <v>65</v>
      </c>
      <c r="L656" s="79">
        <v>656</v>
      </c>
      <c r="M656" s="79"/>
      <c r="N656" s="73"/>
      <c r="O656" s="81" t="s">
        <v>292</v>
      </c>
      <c r="P656">
        <v>1</v>
      </c>
      <c r="Q656" s="80" t="str">
        <f>REPLACE(INDEX(GroupVertices[Group],MATCH(Edges[[#This Row],[Vertex 1]],GroupVertices[Vertex],0)),1,1,"")</f>
        <v>3</v>
      </c>
      <c r="R656" s="80" t="str">
        <f>REPLACE(INDEX(GroupVertices[Group],MATCH(Edges[[#This Row],[Vertex 2]],GroupVertices[Vertex],0)),1,1,"")</f>
        <v>3</v>
      </c>
      <c r="S656" s="35"/>
      <c r="T656" s="35"/>
      <c r="U656" s="35"/>
      <c r="V656" s="35"/>
      <c r="W656" s="35"/>
      <c r="X656" s="35"/>
      <c r="Y656" s="35"/>
      <c r="Z656" s="35"/>
      <c r="AA656" s="35"/>
    </row>
    <row r="657" spans="1:27" ht="15">
      <c r="A657" s="65" t="s">
        <v>272</v>
      </c>
      <c r="B657" s="65" t="s">
        <v>268</v>
      </c>
      <c r="C657" s="66" t="s">
        <v>2113</v>
      </c>
      <c r="D657" s="67">
        <v>3</v>
      </c>
      <c r="E657" s="68"/>
      <c r="F657" s="69">
        <v>40</v>
      </c>
      <c r="G657" s="66"/>
      <c r="H657" s="70"/>
      <c r="I657" s="71"/>
      <c r="J657" s="71"/>
      <c r="K657" s="35" t="s">
        <v>65</v>
      </c>
      <c r="L657" s="79">
        <v>657</v>
      </c>
      <c r="M657" s="79"/>
      <c r="N657" s="73"/>
      <c r="O657" s="81" t="s">
        <v>292</v>
      </c>
      <c r="P657">
        <v>1</v>
      </c>
      <c r="Q657" s="80" t="str">
        <f>REPLACE(INDEX(GroupVertices[Group],MATCH(Edges[[#This Row],[Vertex 1]],GroupVertices[Vertex],0)),1,1,"")</f>
        <v>3</v>
      </c>
      <c r="R657" s="80" t="str">
        <f>REPLACE(INDEX(GroupVertices[Group],MATCH(Edges[[#This Row],[Vertex 2]],GroupVertices[Vertex],0)),1,1,"")</f>
        <v>3</v>
      </c>
      <c r="S657" s="35"/>
      <c r="T657" s="35"/>
      <c r="U657" s="35"/>
      <c r="V657" s="35"/>
      <c r="W657" s="35"/>
      <c r="X657" s="35"/>
      <c r="Y657" s="35"/>
      <c r="Z657" s="35"/>
      <c r="AA657" s="35"/>
    </row>
    <row r="658" spans="1:27" ht="15">
      <c r="A658" s="65" t="s">
        <v>257</v>
      </c>
      <c r="B658" s="65" t="s">
        <v>268</v>
      </c>
      <c r="C658" s="66" t="s">
        <v>2113</v>
      </c>
      <c r="D658" s="67">
        <v>3</v>
      </c>
      <c r="E658" s="68"/>
      <c r="F658" s="69">
        <v>40</v>
      </c>
      <c r="G658" s="66"/>
      <c r="H658" s="70"/>
      <c r="I658" s="71"/>
      <c r="J658" s="71"/>
      <c r="K658" s="35" t="s">
        <v>65</v>
      </c>
      <c r="L658" s="79">
        <v>658</v>
      </c>
      <c r="M658" s="79"/>
      <c r="N658" s="73"/>
      <c r="O658" s="81" t="s">
        <v>292</v>
      </c>
      <c r="P658">
        <v>1</v>
      </c>
      <c r="Q658" s="80" t="str">
        <f>REPLACE(INDEX(GroupVertices[Group],MATCH(Edges[[#This Row],[Vertex 1]],GroupVertices[Vertex],0)),1,1,"")</f>
        <v>3</v>
      </c>
      <c r="R658" s="80" t="str">
        <f>REPLACE(INDEX(GroupVertices[Group],MATCH(Edges[[#This Row],[Vertex 2]],GroupVertices[Vertex],0)),1,1,"")</f>
        <v>3</v>
      </c>
      <c r="S658" s="35"/>
      <c r="T658" s="35"/>
      <c r="U658" s="35"/>
      <c r="V658" s="35"/>
      <c r="W658" s="35"/>
      <c r="X658" s="35"/>
      <c r="Y658" s="35"/>
      <c r="Z658" s="35"/>
      <c r="AA658" s="35"/>
    </row>
    <row r="659" spans="1:27" ht="15">
      <c r="A659" s="65" t="s">
        <v>273</v>
      </c>
      <c r="B659" s="65" t="s">
        <v>268</v>
      </c>
      <c r="C659" s="66" t="s">
        <v>2113</v>
      </c>
      <c r="D659" s="67">
        <v>3</v>
      </c>
      <c r="E659" s="68"/>
      <c r="F659" s="69">
        <v>40</v>
      </c>
      <c r="G659" s="66"/>
      <c r="H659" s="70"/>
      <c r="I659" s="71"/>
      <c r="J659" s="71"/>
      <c r="K659" s="35" t="s">
        <v>65</v>
      </c>
      <c r="L659" s="79">
        <v>659</v>
      </c>
      <c r="M659" s="79"/>
      <c r="N659" s="73"/>
      <c r="O659" s="81" t="s">
        <v>293</v>
      </c>
      <c r="P659">
        <v>1</v>
      </c>
      <c r="Q659" s="80" t="str">
        <f>REPLACE(INDEX(GroupVertices[Group],MATCH(Edges[[#This Row],[Vertex 1]],GroupVertices[Vertex],0)),1,1,"")</f>
        <v>3</v>
      </c>
      <c r="R659" s="80" t="str">
        <f>REPLACE(INDEX(GroupVertices[Group],MATCH(Edges[[#This Row],[Vertex 2]],GroupVertices[Vertex],0)),1,1,"")</f>
        <v>3</v>
      </c>
      <c r="S659" s="35"/>
      <c r="T659" s="35"/>
      <c r="U659" s="35"/>
      <c r="V659" s="35"/>
      <c r="W659" s="35"/>
      <c r="X659" s="35"/>
      <c r="Y659" s="35"/>
      <c r="Z659" s="35"/>
      <c r="AA659" s="35"/>
    </row>
    <row r="660" spans="1:27" ht="15">
      <c r="A660" s="65" t="s">
        <v>274</v>
      </c>
      <c r="B660" s="65" t="s">
        <v>269</v>
      </c>
      <c r="C660" s="66" t="s">
        <v>2113</v>
      </c>
      <c r="D660" s="67">
        <v>3</v>
      </c>
      <c r="E660" s="68"/>
      <c r="F660" s="69">
        <v>40</v>
      </c>
      <c r="G660" s="66"/>
      <c r="H660" s="70"/>
      <c r="I660" s="71"/>
      <c r="J660" s="71"/>
      <c r="K660" s="35" t="s">
        <v>65</v>
      </c>
      <c r="L660" s="79">
        <v>660</v>
      </c>
      <c r="M660" s="79"/>
      <c r="N660" s="73"/>
      <c r="O660" s="81" t="s">
        <v>292</v>
      </c>
      <c r="P660">
        <v>1</v>
      </c>
      <c r="Q660" s="80" t="str">
        <f>REPLACE(INDEX(GroupVertices[Group],MATCH(Edges[[#This Row],[Vertex 1]],GroupVertices[Vertex],0)),1,1,"")</f>
        <v>3</v>
      </c>
      <c r="R660" s="80" t="str">
        <f>REPLACE(INDEX(GroupVertices[Group],MATCH(Edges[[#This Row],[Vertex 2]],GroupVertices[Vertex],0)),1,1,"")</f>
        <v>3</v>
      </c>
      <c r="S660" s="35"/>
      <c r="T660" s="35"/>
      <c r="U660" s="35"/>
      <c r="V660" s="35"/>
      <c r="W660" s="35"/>
      <c r="X660" s="35"/>
      <c r="Y660" s="35"/>
      <c r="Z660" s="35"/>
      <c r="AA660" s="35"/>
    </row>
    <row r="661" spans="1:27" ht="15">
      <c r="A661" s="65" t="s">
        <v>270</v>
      </c>
      <c r="B661" s="65" t="s">
        <v>269</v>
      </c>
      <c r="C661" s="66" t="s">
        <v>2113</v>
      </c>
      <c r="D661" s="67">
        <v>3</v>
      </c>
      <c r="E661" s="68"/>
      <c r="F661" s="69">
        <v>40</v>
      </c>
      <c r="G661" s="66"/>
      <c r="H661" s="70"/>
      <c r="I661" s="71"/>
      <c r="J661" s="71"/>
      <c r="K661" s="35" t="s">
        <v>65</v>
      </c>
      <c r="L661" s="79">
        <v>661</v>
      </c>
      <c r="M661" s="79"/>
      <c r="N661" s="73"/>
      <c r="O661" s="81" t="s">
        <v>292</v>
      </c>
      <c r="P661">
        <v>1</v>
      </c>
      <c r="Q661" s="80" t="str">
        <f>REPLACE(INDEX(GroupVertices[Group],MATCH(Edges[[#This Row],[Vertex 1]],GroupVertices[Vertex],0)),1,1,"")</f>
        <v>3</v>
      </c>
      <c r="R661" s="80" t="str">
        <f>REPLACE(INDEX(GroupVertices[Group],MATCH(Edges[[#This Row],[Vertex 2]],GroupVertices[Vertex],0)),1,1,"")</f>
        <v>3</v>
      </c>
      <c r="S661" s="35"/>
      <c r="T661" s="35"/>
      <c r="U661" s="35"/>
      <c r="V661" s="35"/>
      <c r="W661" s="35"/>
      <c r="X661" s="35"/>
      <c r="Y661" s="35"/>
      <c r="Z661" s="35"/>
      <c r="AA661" s="35"/>
    </row>
    <row r="662" spans="1:27" ht="15">
      <c r="A662" s="65" t="s">
        <v>271</v>
      </c>
      <c r="B662" s="65" t="s">
        <v>269</v>
      </c>
      <c r="C662" s="66" t="s">
        <v>2113</v>
      </c>
      <c r="D662" s="67">
        <v>3</v>
      </c>
      <c r="E662" s="68"/>
      <c r="F662" s="69">
        <v>40</v>
      </c>
      <c r="G662" s="66"/>
      <c r="H662" s="70"/>
      <c r="I662" s="71"/>
      <c r="J662" s="71"/>
      <c r="K662" s="35" t="s">
        <v>65</v>
      </c>
      <c r="L662" s="79">
        <v>662</v>
      </c>
      <c r="M662" s="79"/>
      <c r="N662" s="73"/>
      <c r="O662" s="81" t="s">
        <v>292</v>
      </c>
      <c r="P662">
        <v>1</v>
      </c>
      <c r="Q662" s="80" t="str">
        <f>REPLACE(INDEX(GroupVertices[Group],MATCH(Edges[[#This Row],[Vertex 1]],GroupVertices[Vertex],0)),1,1,"")</f>
        <v>3</v>
      </c>
      <c r="R662" s="80" t="str">
        <f>REPLACE(INDEX(GroupVertices[Group],MATCH(Edges[[#This Row],[Vertex 2]],GroupVertices[Vertex],0)),1,1,"")</f>
        <v>3</v>
      </c>
      <c r="S662" s="35"/>
      <c r="T662" s="35"/>
      <c r="U662" s="35"/>
      <c r="V662" s="35"/>
      <c r="W662" s="35"/>
      <c r="X662" s="35"/>
      <c r="Y662" s="35"/>
      <c r="Z662" s="35"/>
      <c r="AA662" s="35"/>
    </row>
    <row r="663" spans="1:27" ht="15">
      <c r="A663" s="65" t="s">
        <v>272</v>
      </c>
      <c r="B663" s="65" t="s">
        <v>269</v>
      </c>
      <c r="C663" s="66" t="s">
        <v>2113</v>
      </c>
      <c r="D663" s="67">
        <v>3</v>
      </c>
      <c r="E663" s="68"/>
      <c r="F663" s="69">
        <v>40</v>
      </c>
      <c r="G663" s="66"/>
      <c r="H663" s="70"/>
      <c r="I663" s="71"/>
      <c r="J663" s="71"/>
      <c r="K663" s="35" t="s">
        <v>65</v>
      </c>
      <c r="L663" s="79">
        <v>663</v>
      </c>
      <c r="M663" s="79"/>
      <c r="N663" s="73"/>
      <c r="O663" s="81" t="s">
        <v>292</v>
      </c>
      <c r="P663">
        <v>1</v>
      </c>
      <c r="Q663" s="80" t="str">
        <f>REPLACE(INDEX(GroupVertices[Group],MATCH(Edges[[#This Row],[Vertex 1]],GroupVertices[Vertex],0)),1,1,"")</f>
        <v>3</v>
      </c>
      <c r="R663" s="80" t="str">
        <f>REPLACE(INDEX(GroupVertices[Group],MATCH(Edges[[#This Row],[Vertex 2]],GroupVertices[Vertex],0)),1,1,"")</f>
        <v>3</v>
      </c>
      <c r="S663" s="35"/>
      <c r="T663" s="35"/>
      <c r="U663" s="35"/>
      <c r="V663" s="35"/>
      <c r="W663" s="35"/>
      <c r="X663" s="35"/>
      <c r="Y663" s="35"/>
      <c r="Z663" s="35"/>
      <c r="AA663" s="35"/>
    </row>
    <row r="664" spans="1:27" ht="15">
      <c r="A664" s="65" t="s">
        <v>257</v>
      </c>
      <c r="B664" s="65" t="s">
        <v>269</v>
      </c>
      <c r="C664" s="66" t="s">
        <v>2113</v>
      </c>
      <c r="D664" s="67">
        <v>3</v>
      </c>
      <c r="E664" s="68"/>
      <c r="F664" s="69">
        <v>40</v>
      </c>
      <c r="G664" s="66"/>
      <c r="H664" s="70"/>
      <c r="I664" s="71"/>
      <c r="J664" s="71"/>
      <c r="K664" s="35" t="s">
        <v>65</v>
      </c>
      <c r="L664" s="79">
        <v>664</v>
      </c>
      <c r="M664" s="79"/>
      <c r="N664" s="73"/>
      <c r="O664" s="81" t="s">
        <v>292</v>
      </c>
      <c r="P664">
        <v>1</v>
      </c>
      <c r="Q664" s="80" t="str">
        <f>REPLACE(INDEX(GroupVertices[Group],MATCH(Edges[[#This Row],[Vertex 1]],GroupVertices[Vertex],0)),1,1,"")</f>
        <v>3</v>
      </c>
      <c r="R664" s="80" t="str">
        <f>REPLACE(INDEX(GroupVertices[Group],MATCH(Edges[[#This Row],[Vertex 2]],GroupVertices[Vertex],0)),1,1,"")</f>
        <v>3</v>
      </c>
      <c r="S664" s="35"/>
      <c r="T664" s="35"/>
      <c r="U664" s="35"/>
      <c r="V664" s="35"/>
      <c r="W664" s="35"/>
      <c r="X664" s="35"/>
      <c r="Y664" s="35"/>
      <c r="Z664" s="35"/>
      <c r="AA664" s="35"/>
    </row>
    <row r="665" spans="1:27" ht="15">
      <c r="A665" s="65" t="s">
        <v>273</v>
      </c>
      <c r="B665" s="65" t="s">
        <v>269</v>
      </c>
      <c r="C665" s="66" t="s">
        <v>2113</v>
      </c>
      <c r="D665" s="67">
        <v>3</v>
      </c>
      <c r="E665" s="68"/>
      <c r="F665" s="69">
        <v>40</v>
      </c>
      <c r="G665" s="66"/>
      <c r="H665" s="70"/>
      <c r="I665" s="71"/>
      <c r="J665" s="71"/>
      <c r="K665" s="35" t="s">
        <v>65</v>
      </c>
      <c r="L665" s="79">
        <v>665</v>
      </c>
      <c r="M665" s="79"/>
      <c r="N665" s="73"/>
      <c r="O665" s="81" t="s">
        <v>293</v>
      </c>
      <c r="P665">
        <v>1</v>
      </c>
      <c r="Q665" s="80" t="str">
        <f>REPLACE(INDEX(GroupVertices[Group],MATCH(Edges[[#This Row],[Vertex 1]],GroupVertices[Vertex],0)),1,1,"")</f>
        <v>3</v>
      </c>
      <c r="R665" s="80" t="str">
        <f>REPLACE(INDEX(GroupVertices[Group],MATCH(Edges[[#This Row],[Vertex 2]],GroupVertices[Vertex],0)),1,1,"")</f>
        <v>3</v>
      </c>
      <c r="S665" s="35"/>
      <c r="T665" s="35"/>
      <c r="U665" s="35"/>
      <c r="V665" s="35"/>
      <c r="W665" s="35"/>
      <c r="X665" s="35"/>
      <c r="Y665" s="35"/>
      <c r="Z665" s="35"/>
      <c r="AA665" s="35"/>
    </row>
    <row r="666" spans="1:27" ht="15">
      <c r="A666" s="65" t="s">
        <v>270</v>
      </c>
      <c r="B666" s="65" t="s">
        <v>274</v>
      </c>
      <c r="C666" s="66" t="s">
        <v>2113</v>
      </c>
      <c r="D666" s="67">
        <v>3</v>
      </c>
      <c r="E666" s="68"/>
      <c r="F666" s="69">
        <v>40</v>
      </c>
      <c r="G666" s="66"/>
      <c r="H666" s="70"/>
      <c r="I666" s="71"/>
      <c r="J666" s="71"/>
      <c r="K666" s="35" t="s">
        <v>65</v>
      </c>
      <c r="L666" s="79">
        <v>666</v>
      </c>
      <c r="M666" s="79"/>
      <c r="N666" s="73"/>
      <c r="O666" s="81" t="s">
        <v>292</v>
      </c>
      <c r="P666">
        <v>1</v>
      </c>
      <c r="Q666" s="80" t="str">
        <f>REPLACE(INDEX(GroupVertices[Group],MATCH(Edges[[#This Row],[Vertex 1]],GroupVertices[Vertex],0)),1,1,"")</f>
        <v>3</v>
      </c>
      <c r="R666" s="80" t="str">
        <f>REPLACE(INDEX(GroupVertices[Group],MATCH(Edges[[#This Row],[Vertex 2]],GroupVertices[Vertex],0)),1,1,"")</f>
        <v>3</v>
      </c>
      <c r="S666" s="35"/>
      <c r="T666" s="35"/>
      <c r="U666" s="35"/>
      <c r="V666" s="35"/>
      <c r="W666" s="35"/>
      <c r="X666" s="35"/>
      <c r="Y666" s="35"/>
      <c r="Z666" s="35"/>
      <c r="AA666" s="35"/>
    </row>
    <row r="667" spans="1:27" ht="15">
      <c r="A667" s="65" t="s">
        <v>272</v>
      </c>
      <c r="B667" s="65" t="s">
        <v>274</v>
      </c>
      <c r="C667" s="66" t="s">
        <v>2113</v>
      </c>
      <c r="D667" s="67">
        <v>3</v>
      </c>
      <c r="E667" s="68"/>
      <c r="F667" s="69">
        <v>40</v>
      </c>
      <c r="G667" s="66"/>
      <c r="H667" s="70"/>
      <c r="I667" s="71"/>
      <c r="J667" s="71"/>
      <c r="K667" s="35" t="s">
        <v>65</v>
      </c>
      <c r="L667" s="79">
        <v>667</v>
      </c>
      <c r="M667" s="79"/>
      <c r="N667" s="73"/>
      <c r="O667" s="81" t="s">
        <v>292</v>
      </c>
      <c r="P667">
        <v>1</v>
      </c>
      <c r="Q667" s="80" t="str">
        <f>REPLACE(INDEX(GroupVertices[Group],MATCH(Edges[[#This Row],[Vertex 1]],GroupVertices[Vertex],0)),1,1,"")</f>
        <v>3</v>
      </c>
      <c r="R667" s="80" t="str">
        <f>REPLACE(INDEX(GroupVertices[Group],MATCH(Edges[[#This Row],[Vertex 2]],GroupVertices[Vertex],0)),1,1,"")</f>
        <v>3</v>
      </c>
      <c r="S667" s="35"/>
      <c r="T667" s="35"/>
      <c r="U667" s="35"/>
      <c r="V667" s="35"/>
      <c r="W667" s="35"/>
      <c r="X667" s="35"/>
      <c r="Y667" s="35"/>
      <c r="Z667" s="35"/>
      <c r="AA667" s="35"/>
    </row>
    <row r="668" spans="1:27" ht="15">
      <c r="A668" s="65" t="s">
        <v>257</v>
      </c>
      <c r="B668" s="65" t="s">
        <v>274</v>
      </c>
      <c r="C668" s="66" t="s">
        <v>2113</v>
      </c>
      <c r="D668" s="67">
        <v>3</v>
      </c>
      <c r="E668" s="68"/>
      <c r="F668" s="69">
        <v>40</v>
      </c>
      <c r="G668" s="66"/>
      <c r="H668" s="70"/>
      <c r="I668" s="71"/>
      <c r="J668" s="71"/>
      <c r="K668" s="35" t="s">
        <v>65</v>
      </c>
      <c r="L668" s="79">
        <v>668</v>
      </c>
      <c r="M668" s="79"/>
      <c r="N668" s="73"/>
      <c r="O668" s="81" t="s">
        <v>292</v>
      </c>
      <c r="P668">
        <v>1</v>
      </c>
      <c r="Q668" s="80" t="str">
        <f>REPLACE(INDEX(GroupVertices[Group],MATCH(Edges[[#This Row],[Vertex 1]],GroupVertices[Vertex],0)),1,1,"")</f>
        <v>3</v>
      </c>
      <c r="R668" s="80" t="str">
        <f>REPLACE(INDEX(GroupVertices[Group],MATCH(Edges[[#This Row],[Vertex 2]],GroupVertices[Vertex],0)),1,1,"")</f>
        <v>3</v>
      </c>
      <c r="S668" s="35"/>
      <c r="T668" s="35"/>
      <c r="U668" s="35"/>
      <c r="V668" s="35"/>
      <c r="W668" s="35"/>
      <c r="X668" s="35"/>
      <c r="Y668" s="35"/>
      <c r="Z668" s="35"/>
      <c r="AA668" s="35"/>
    </row>
    <row r="669" spans="1:27" ht="15">
      <c r="A669" s="65" t="s">
        <v>273</v>
      </c>
      <c r="B669" s="65" t="s">
        <v>274</v>
      </c>
      <c r="C669" s="66" t="s">
        <v>2113</v>
      </c>
      <c r="D669" s="67">
        <v>3</v>
      </c>
      <c r="E669" s="68"/>
      <c r="F669" s="69">
        <v>40</v>
      </c>
      <c r="G669" s="66"/>
      <c r="H669" s="70"/>
      <c r="I669" s="71"/>
      <c r="J669" s="71"/>
      <c r="K669" s="35" t="s">
        <v>65</v>
      </c>
      <c r="L669" s="79">
        <v>669</v>
      </c>
      <c r="M669" s="79"/>
      <c r="N669" s="73"/>
      <c r="O669" s="81" t="s">
        <v>293</v>
      </c>
      <c r="P669">
        <v>1</v>
      </c>
      <c r="Q669" s="80" t="str">
        <f>REPLACE(INDEX(GroupVertices[Group],MATCH(Edges[[#This Row],[Vertex 1]],GroupVertices[Vertex],0)),1,1,"")</f>
        <v>3</v>
      </c>
      <c r="R669" s="80" t="str">
        <f>REPLACE(INDEX(GroupVertices[Group],MATCH(Edges[[#This Row],[Vertex 2]],GroupVertices[Vertex],0)),1,1,"")</f>
        <v>3</v>
      </c>
      <c r="S669" s="35"/>
      <c r="T669" s="35"/>
      <c r="U669" s="35"/>
      <c r="V669" s="35"/>
      <c r="W669" s="35"/>
      <c r="X669" s="35"/>
      <c r="Y669" s="35"/>
      <c r="Z669" s="35"/>
      <c r="AA669" s="35"/>
    </row>
    <row r="670" spans="1:27" ht="15">
      <c r="A670" s="65" t="s">
        <v>271</v>
      </c>
      <c r="B670" s="65" t="s">
        <v>270</v>
      </c>
      <c r="C670" s="66" t="s">
        <v>2113</v>
      </c>
      <c r="D670" s="67">
        <v>3</v>
      </c>
      <c r="E670" s="68"/>
      <c r="F670" s="69">
        <v>40</v>
      </c>
      <c r="G670" s="66"/>
      <c r="H670" s="70"/>
      <c r="I670" s="71"/>
      <c r="J670" s="71"/>
      <c r="K670" s="35" t="s">
        <v>65</v>
      </c>
      <c r="L670" s="79">
        <v>670</v>
      </c>
      <c r="M670" s="79"/>
      <c r="N670" s="73"/>
      <c r="O670" s="81" t="s">
        <v>292</v>
      </c>
      <c r="P670">
        <v>1</v>
      </c>
      <c r="Q670" s="80" t="str">
        <f>REPLACE(INDEX(GroupVertices[Group],MATCH(Edges[[#This Row],[Vertex 1]],GroupVertices[Vertex],0)),1,1,"")</f>
        <v>3</v>
      </c>
      <c r="R670" s="80" t="str">
        <f>REPLACE(INDEX(GroupVertices[Group],MATCH(Edges[[#This Row],[Vertex 2]],GroupVertices[Vertex],0)),1,1,"")</f>
        <v>3</v>
      </c>
      <c r="S670" s="35"/>
      <c r="T670" s="35"/>
      <c r="U670" s="35"/>
      <c r="V670" s="35"/>
      <c r="W670" s="35"/>
      <c r="X670" s="35"/>
      <c r="Y670" s="35"/>
      <c r="Z670" s="35"/>
      <c r="AA670" s="35"/>
    </row>
    <row r="671" spans="1:27" ht="15">
      <c r="A671" s="65" t="s">
        <v>272</v>
      </c>
      <c r="B671" s="65" t="s">
        <v>270</v>
      </c>
      <c r="C671" s="66" t="s">
        <v>2113</v>
      </c>
      <c r="D671" s="67">
        <v>3</v>
      </c>
      <c r="E671" s="68"/>
      <c r="F671" s="69">
        <v>40</v>
      </c>
      <c r="G671" s="66"/>
      <c r="H671" s="70"/>
      <c r="I671" s="71"/>
      <c r="J671" s="71"/>
      <c r="K671" s="35" t="s">
        <v>65</v>
      </c>
      <c r="L671" s="79">
        <v>671</v>
      </c>
      <c r="M671" s="79"/>
      <c r="N671" s="73"/>
      <c r="O671" s="81" t="s">
        <v>292</v>
      </c>
      <c r="P671">
        <v>1</v>
      </c>
      <c r="Q671" s="80" t="str">
        <f>REPLACE(INDEX(GroupVertices[Group],MATCH(Edges[[#This Row],[Vertex 1]],GroupVertices[Vertex],0)),1,1,"")</f>
        <v>3</v>
      </c>
      <c r="R671" s="80" t="str">
        <f>REPLACE(INDEX(GroupVertices[Group],MATCH(Edges[[#This Row],[Vertex 2]],GroupVertices[Vertex],0)),1,1,"")</f>
        <v>3</v>
      </c>
      <c r="S671" s="35"/>
      <c r="T671" s="35"/>
      <c r="U671" s="35"/>
      <c r="V671" s="35"/>
      <c r="W671" s="35"/>
      <c r="X671" s="35"/>
      <c r="Y671" s="35"/>
      <c r="Z671" s="35"/>
      <c r="AA671" s="35"/>
    </row>
    <row r="672" spans="1:27" ht="15">
      <c r="A672" s="65" t="s">
        <v>257</v>
      </c>
      <c r="B672" s="65" t="s">
        <v>270</v>
      </c>
      <c r="C672" s="66" t="s">
        <v>2113</v>
      </c>
      <c r="D672" s="67">
        <v>3</v>
      </c>
      <c r="E672" s="68"/>
      <c r="F672" s="69">
        <v>40</v>
      </c>
      <c r="G672" s="66"/>
      <c r="H672" s="70"/>
      <c r="I672" s="71"/>
      <c r="J672" s="71"/>
      <c r="K672" s="35" t="s">
        <v>65</v>
      </c>
      <c r="L672" s="79">
        <v>672</v>
      </c>
      <c r="M672" s="79"/>
      <c r="N672" s="73"/>
      <c r="O672" s="81" t="s">
        <v>292</v>
      </c>
      <c r="P672">
        <v>1</v>
      </c>
      <c r="Q672" s="80" t="str">
        <f>REPLACE(INDEX(GroupVertices[Group],MATCH(Edges[[#This Row],[Vertex 1]],GroupVertices[Vertex],0)),1,1,"")</f>
        <v>3</v>
      </c>
      <c r="R672" s="80" t="str">
        <f>REPLACE(INDEX(GroupVertices[Group],MATCH(Edges[[#This Row],[Vertex 2]],GroupVertices[Vertex],0)),1,1,"")</f>
        <v>3</v>
      </c>
      <c r="S672" s="35"/>
      <c r="T672" s="35"/>
      <c r="U672" s="35"/>
      <c r="V672" s="35"/>
      <c r="W672" s="35"/>
      <c r="X672" s="35"/>
      <c r="Y672" s="35"/>
      <c r="Z672" s="35"/>
      <c r="AA672" s="35"/>
    </row>
    <row r="673" spans="1:27" ht="15">
      <c r="A673" s="65" t="s">
        <v>273</v>
      </c>
      <c r="B673" s="65" t="s">
        <v>270</v>
      </c>
      <c r="C673" s="66" t="s">
        <v>2113</v>
      </c>
      <c r="D673" s="67">
        <v>3</v>
      </c>
      <c r="E673" s="68"/>
      <c r="F673" s="69">
        <v>40</v>
      </c>
      <c r="G673" s="66"/>
      <c r="H673" s="70"/>
      <c r="I673" s="71"/>
      <c r="J673" s="71"/>
      <c r="K673" s="35" t="s">
        <v>65</v>
      </c>
      <c r="L673" s="79">
        <v>673</v>
      </c>
      <c r="M673" s="79"/>
      <c r="N673" s="73"/>
      <c r="O673" s="81" t="s">
        <v>293</v>
      </c>
      <c r="P673">
        <v>1</v>
      </c>
      <c r="Q673" s="80" t="str">
        <f>REPLACE(INDEX(GroupVertices[Group],MATCH(Edges[[#This Row],[Vertex 1]],GroupVertices[Vertex],0)),1,1,"")</f>
        <v>3</v>
      </c>
      <c r="R673" s="80" t="str">
        <f>REPLACE(INDEX(GroupVertices[Group],MATCH(Edges[[#This Row],[Vertex 2]],GroupVertices[Vertex],0)),1,1,"")</f>
        <v>3</v>
      </c>
      <c r="S673" s="35"/>
      <c r="T673" s="35"/>
      <c r="U673" s="35"/>
      <c r="V673" s="35"/>
      <c r="W673" s="35"/>
      <c r="X673" s="35"/>
      <c r="Y673" s="35"/>
      <c r="Z673" s="35"/>
      <c r="AA673" s="35"/>
    </row>
    <row r="674" spans="1:27" ht="15">
      <c r="A674" s="65" t="s">
        <v>272</v>
      </c>
      <c r="B674" s="65" t="s">
        <v>271</v>
      </c>
      <c r="C674" s="66" t="s">
        <v>2113</v>
      </c>
      <c r="D674" s="67">
        <v>3</v>
      </c>
      <c r="E674" s="68"/>
      <c r="F674" s="69">
        <v>40</v>
      </c>
      <c r="G674" s="66"/>
      <c r="H674" s="70"/>
      <c r="I674" s="71"/>
      <c r="J674" s="71"/>
      <c r="K674" s="35" t="s">
        <v>65</v>
      </c>
      <c r="L674" s="79">
        <v>674</v>
      </c>
      <c r="M674" s="79"/>
      <c r="N674" s="73"/>
      <c r="O674" s="81" t="s">
        <v>292</v>
      </c>
      <c r="P674">
        <v>1</v>
      </c>
      <c r="Q674" s="80" t="str">
        <f>REPLACE(INDEX(GroupVertices[Group],MATCH(Edges[[#This Row],[Vertex 1]],GroupVertices[Vertex],0)),1,1,"")</f>
        <v>3</v>
      </c>
      <c r="R674" s="80" t="str">
        <f>REPLACE(INDEX(GroupVertices[Group],MATCH(Edges[[#This Row],[Vertex 2]],GroupVertices[Vertex],0)),1,1,"")</f>
        <v>3</v>
      </c>
      <c r="S674" s="35"/>
      <c r="T674" s="35"/>
      <c r="U674" s="35"/>
      <c r="V674" s="35"/>
      <c r="W674" s="35"/>
      <c r="X674" s="35"/>
      <c r="Y674" s="35"/>
      <c r="Z674" s="35"/>
      <c r="AA674" s="35"/>
    </row>
    <row r="675" spans="1:27" ht="15">
      <c r="A675" s="65" t="s">
        <v>257</v>
      </c>
      <c r="B675" s="65" t="s">
        <v>271</v>
      </c>
      <c r="C675" s="66" t="s">
        <v>2113</v>
      </c>
      <c r="D675" s="67">
        <v>3</v>
      </c>
      <c r="E675" s="68"/>
      <c r="F675" s="69">
        <v>40</v>
      </c>
      <c r="G675" s="66"/>
      <c r="H675" s="70"/>
      <c r="I675" s="71"/>
      <c r="J675" s="71"/>
      <c r="K675" s="35" t="s">
        <v>65</v>
      </c>
      <c r="L675" s="79">
        <v>675</v>
      </c>
      <c r="M675" s="79"/>
      <c r="N675" s="73"/>
      <c r="O675" s="81" t="s">
        <v>292</v>
      </c>
      <c r="P675">
        <v>1</v>
      </c>
      <c r="Q675" s="80" t="str">
        <f>REPLACE(INDEX(GroupVertices[Group],MATCH(Edges[[#This Row],[Vertex 1]],GroupVertices[Vertex],0)),1,1,"")</f>
        <v>3</v>
      </c>
      <c r="R675" s="80" t="str">
        <f>REPLACE(INDEX(GroupVertices[Group],MATCH(Edges[[#This Row],[Vertex 2]],GroupVertices[Vertex],0)),1,1,"")</f>
        <v>3</v>
      </c>
      <c r="S675" s="35"/>
      <c r="T675" s="35"/>
      <c r="U675" s="35"/>
      <c r="V675" s="35"/>
      <c r="W675" s="35"/>
      <c r="X675" s="35"/>
      <c r="Y675" s="35"/>
      <c r="Z675" s="35"/>
      <c r="AA675" s="35"/>
    </row>
    <row r="676" spans="1:27" ht="15">
      <c r="A676" s="65" t="s">
        <v>273</v>
      </c>
      <c r="B676" s="65" t="s">
        <v>271</v>
      </c>
      <c r="C676" s="66" t="s">
        <v>2113</v>
      </c>
      <c r="D676" s="67">
        <v>3</v>
      </c>
      <c r="E676" s="68"/>
      <c r="F676" s="69">
        <v>40</v>
      </c>
      <c r="G676" s="66"/>
      <c r="H676" s="70"/>
      <c r="I676" s="71"/>
      <c r="J676" s="71"/>
      <c r="K676" s="35" t="s">
        <v>65</v>
      </c>
      <c r="L676" s="79">
        <v>676</v>
      </c>
      <c r="M676" s="79"/>
      <c r="N676" s="73"/>
      <c r="O676" s="81" t="s">
        <v>293</v>
      </c>
      <c r="P676">
        <v>1</v>
      </c>
      <c r="Q676" s="80" t="str">
        <f>REPLACE(INDEX(GroupVertices[Group],MATCH(Edges[[#This Row],[Vertex 1]],GroupVertices[Vertex],0)),1,1,"")</f>
        <v>3</v>
      </c>
      <c r="R676" s="80" t="str">
        <f>REPLACE(INDEX(GroupVertices[Group],MATCH(Edges[[#This Row],[Vertex 2]],GroupVertices[Vertex],0)),1,1,"")</f>
        <v>3</v>
      </c>
      <c r="S676" s="35"/>
      <c r="T676" s="35"/>
      <c r="U676" s="35"/>
      <c r="V676" s="35"/>
      <c r="W676" s="35"/>
      <c r="X676" s="35"/>
      <c r="Y676" s="35"/>
      <c r="Z676" s="35"/>
      <c r="AA676" s="35"/>
    </row>
    <row r="677" spans="1:27" ht="15">
      <c r="A677" s="65" t="s">
        <v>273</v>
      </c>
      <c r="B677" s="65" t="s">
        <v>290</v>
      </c>
      <c r="C677" s="66" t="s">
        <v>2113</v>
      </c>
      <c r="D677" s="67">
        <v>3</v>
      </c>
      <c r="E677" s="68"/>
      <c r="F677" s="69">
        <v>40</v>
      </c>
      <c r="G677" s="66"/>
      <c r="H677" s="70"/>
      <c r="I677" s="71"/>
      <c r="J677" s="71"/>
      <c r="K677" s="35" t="s">
        <v>65</v>
      </c>
      <c r="L677" s="79">
        <v>677</v>
      </c>
      <c r="M677" s="79"/>
      <c r="N677" s="73"/>
      <c r="O677" s="81" t="s">
        <v>293</v>
      </c>
      <c r="P677">
        <v>1</v>
      </c>
      <c r="Q677" s="80" t="str">
        <f>REPLACE(INDEX(GroupVertices[Group],MATCH(Edges[[#This Row],[Vertex 1]],GroupVertices[Vertex],0)),1,1,"")</f>
        <v>3</v>
      </c>
      <c r="R677" s="80" t="str">
        <f>REPLACE(INDEX(GroupVertices[Group],MATCH(Edges[[#This Row],[Vertex 2]],GroupVertices[Vertex],0)),1,1,"")</f>
        <v>3</v>
      </c>
      <c r="S677" s="35"/>
      <c r="T677" s="35"/>
      <c r="U677" s="35"/>
      <c r="V677" s="35"/>
      <c r="W677" s="35"/>
      <c r="X677" s="35"/>
      <c r="Y677" s="35"/>
      <c r="Z677" s="35"/>
      <c r="AA677" s="35"/>
    </row>
    <row r="678" spans="1:27" ht="15">
      <c r="A678" s="65" t="s">
        <v>257</v>
      </c>
      <c r="B678" s="65" t="s">
        <v>272</v>
      </c>
      <c r="C678" s="66" t="s">
        <v>2113</v>
      </c>
      <c r="D678" s="67">
        <v>3</v>
      </c>
      <c r="E678" s="68"/>
      <c r="F678" s="69">
        <v>40</v>
      </c>
      <c r="G678" s="66"/>
      <c r="H678" s="70"/>
      <c r="I678" s="71"/>
      <c r="J678" s="71"/>
      <c r="K678" s="35" t="s">
        <v>65</v>
      </c>
      <c r="L678" s="79">
        <v>678</v>
      </c>
      <c r="M678" s="79"/>
      <c r="N678" s="73"/>
      <c r="O678" s="81" t="s">
        <v>292</v>
      </c>
      <c r="P678">
        <v>1</v>
      </c>
      <c r="Q678" s="80" t="str">
        <f>REPLACE(INDEX(GroupVertices[Group],MATCH(Edges[[#This Row],[Vertex 1]],GroupVertices[Vertex],0)),1,1,"")</f>
        <v>3</v>
      </c>
      <c r="R678" s="80" t="str">
        <f>REPLACE(INDEX(GroupVertices[Group],MATCH(Edges[[#This Row],[Vertex 2]],GroupVertices[Vertex],0)),1,1,"")</f>
        <v>3</v>
      </c>
      <c r="S678" s="35"/>
      <c r="T678" s="35"/>
      <c r="U678" s="35"/>
      <c r="V678" s="35"/>
      <c r="W678" s="35"/>
      <c r="X678" s="35"/>
      <c r="Y678" s="35"/>
      <c r="Z678" s="35"/>
      <c r="AA678" s="35"/>
    </row>
    <row r="679" spans="1:27" ht="15">
      <c r="A679" s="65" t="s">
        <v>273</v>
      </c>
      <c r="B679" s="65" t="s">
        <v>272</v>
      </c>
      <c r="C679" s="66" t="s">
        <v>2113</v>
      </c>
      <c r="D679" s="67">
        <v>3</v>
      </c>
      <c r="E679" s="68"/>
      <c r="F679" s="69">
        <v>40</v>
      </c>
      <c r="G679" s="66"/>
      <c r="H679" s="70"/>
      <c r="I679" s="71"/>
      <c r="J679" s="71"/>
      <c r="K679" s="35" t="s">
        <v>65</v>
      </c>
      <c r="L679" s="79">
        <v>679</v>
      </c>
      <c r="M679" s="79"/>
      <c r="N679" s="73"/>
      <c r="O679" s="81" t="s">
        <v>293</v>
      </c>
      <c r="P679">
        <v>1</v>
      </c>
      <c r="Q679" s="80" t="str">
        <f>REPLACE(INDEX(GroupVertices[Group],MATCH(Edges[[#This Row],[Vertex 1]],GroupVertices[Vertex],0)),1,1,"")</f>
        <v>3</v>
      </c>
      <c r="R679" s="80" t="str">
        <f>REPLACE(INDEX(GroupVertices[Group],MATCH(Edges[[#This Row],[Vertex 2]],GroupVertices[Vertex],0)),1,1,"")</f>
        <v>3</v>
      </c>
      <c r="S679" s="35"/>
      <c r="T679" s="35"/>
      <c r="U679" s="35"/>
      <c r="V679" s="35"/>
      <c r="W679" s="35"/>
      <c r="X679" s="35"/>
      <c r="Y679" s="35"/>
      <c r="Z679" s="35"/>
      <c r="AA679" s="35"/>
    </row>
    <row r="680" spans="1:27" ht="15">
      <c r="A680" s="65" t="s">
        <v>273</v>
      </c>
      <c r="B680" s="65" t="s">
        <v>257</v>
      </c>
      <c r="C680" s="66" t="s">
        <v>2113</v>
      </c>
      <c r="D680" s="67">
        <v>3</v>
      </c>
      <c r="E680" s="68"/>
      <c r="F680" s="69">
        <v>40</v>
      </c>
      <c r="G680" s="66"/>
      <c r="H680" s="70"/>
      <c r="I680" s="71"/>
      <c r="J680" s="71"/>
      <c r="K680" s="35" t="s">
        <v>65</v>
      </c>
      <c r="L680" s="79">
        <v>680</v>
      </c>
      <c r="M680" s="79"/>
      <c r="N680" s="73"/>
      <c r="O680" s="81" t="s">
        <v>293</v>
      </c>
      <c r="P680">
        <v>1</v>
      </c>
      <c r="Q680" s="80" t="str">
        <f>REPLACE(INDEX(GroupVertices[Group],MATCH(Edges[[#This Row],[Vertex 1]],GroupVertices[Vertex],0)),1,1,"")</f>
        <v>3</v>
      </c>
      <c r="R680" s="80" t="str">
        <f>REPLACE(INDEX(GroupVertices[Group],MATCH(Edges[[#This Row],[Vertex 2]],GroupVertices[Vertex],0)),1,1,"")</f>
        <v>3</v>
      </c>
      <c r="S680" s="35"/>
      <c r="T680" s="35"/>
      <c r="U680" s="35"/>
      <c r="V680" s="35"/>
      <c r="W680" s="35"/>
      <c r="X680" s="35"/>
      <c r="Y680" s="35"/>
      <c r="Z680" s="35"/>
      <c r="AA680" s="35"/>
    </row>
    <row r="681" spans="1:27" ht="15">
      <c r="A681" s="65" t="s">
        <v>232</v>
      </c>
      <c r="B681" s="65" t="s">
        <v>669</v>
      </c>
      <c r="C681" s="66" t="s">
        <v>2113</v>
      </c>
      <c r="D681" s="67">
        <v>3</v>
      </c>
      <c r="E681" s="68"/>
      <c r="F681" s="69">
        <v>40</v>
      </c>
      <c r="G681" s="66"/>
      <c r="H681" s="70"/>
      <c r="I681" s="71"/>
      <c r="J681" s="71"/>
      <c r="K681" s="35" t="s">
        <v>65</v>
      </c>
      <c r="L681" s="79">
        <v>681</v>
      </c>
      <c r="M681" s="79"/>
      <c r="N681" s="73"/>
      <c r="O681" s="81" t="s">
        <v>293</v>
      </c>
      <c r="P681">
        <v>1</v>
      </c>
      <c r="Q681" s="80" t="str">
        <f>REPLACE(INDEX(GroupVertices[Group],MATCH(Edges[[#This Row],[Vertex 1]],GroupVertices[Vertex],0)),1,1,"")</f>
        <v>2</v>
      </c>
      <c r="R681" s="80" t="str">
        <f>REPLACE(INDEX(GroupVertices[Group],MATCH(Edges[[#This Row],[Vertex 2]],GroupVertices[Vertex],0)),1,1,"")</f>
        <v>2</v>
      </c>
      <c r="S681" s="35"/>
      <c r="T681" s="35"/>
      <c r="U681" s="35"/>
      <c r="V681" s="35"/>
      <c r="W681" s="35"/>
      <c r="X681" s="35"/>
      <c r="Y681" s="35"/>
      <c r="Z681" s="35"/>
      <c r="AA681" s="35"/>
    </row>
    <row r="682" spans="1:27" ht="15">
      <c r="A682" s="65" t="s">
        <v>232</v>
      </c>
      <c r="B682" s="65" t="s">
        <v>650</v>
      </c>
      <c r="C682" s="66" t="s">
        <v>2113</v>
      </c>
      <c r="D682" s="67">
        <v>3</v>
      </c>
      <c r="E682" s="68"/>
      <c r="F682" s="69">
        <v>40</v>
      </c>
      <c r="G682" s="66"/>
      <c r="H682" s="70"/>
      <c r="I682" s="71"/>
      <c r="J682" s="71"/>
      <c r="K682" s="35" t="s">
        <v>65</v>
      </c>
      <c r="L682" s="79">
        <v>682</v>
      </c>
      <c r="M682" s="79"/>
      <c r="N682" s="73"/>
      <c r="O682" s="81" t="s">
        <v>293</v>
      </c>
      <c r="P682">
        <v>1</v>
      </c>
      <c r="Q682" s="80" t="str">
        <f>REPLACE(INDEX(GroupVertices[Group],MATCH(Edges[[#This Row],[Vertex 1]],GroupVertices[Vertex],0)),1,1,"")</f>
        <v>2</v>
      </c>
      <c r="R682" s="80" t="str">
        <f>REPLACE(INDEX(GroupVertices[Group],MATCH(Edges[[#This Row],[Vertex 2]],GroupVertices[Vertex],0)),1,1,"")</f>
        <v>2</v>
      </c>
      <c r="S682" s="35"/>
      <c r="T682" s="35"/>
      <c r="U682" s="35"/>
      <c r="V682" s="35"/>
      <c r="W682" s="35"/>
      <c r="X682" s="35"/>
      <c r="Y682" s="35"/>
      <c r="Z682" s="35"/>
      <c r="AA682" s="35"/>
    </row>
    <row r="683" spans="1:27" ht="15">
      <c r="A683" s="65" t="s">
        <v>232</v>
      </c>
      <c r="B683" s="65" t="s">
        <v>651</v>
      </c>
      <c r="C683" s="66" t="s">
        <v>2113</v>
      </c>
      <c r="D683" s="67">
        <v>3</v>
      </c>
      <c r="E683" s="68"/>
      <c r="F683" s="69">
        <v>40</v>
      </c>
      <c r="G683" s="66"/>
      <c r="H683" s="70"/>
      <c r="I683" s="71"/>
      <c r="J683" s="71"/>
      <c r="K683" s="35" t="s">
        <v>65</v>
      </c>
      <c r="L683" s="79">
        <v>683</v>
      </c>
      <c r="M683" s="79"/>
      <c r="N683" s="73"/>
      <c r="O683" s="81" t="s">
        <v>293</v>
      </c>
      <c r="P683">
        <v>1</v>
      </c>
      <c r="Q683" s="80" t="str">
        <f>REPLACE(INDEX(GroupVertices[Group],MATCH(Edges[[#This Row],[Vertex 1]],GroupVertices[Vertex],0)),1,1,"")</f>
        <v>2</v>
      </c>
      <c r="R683" s="80" t="str">
        <f>REPLACE(INDEX(GroupVertices[Group],MATCH(Edges[[#This Row],[Vertex 2]],GroupVertices[Vertex],0)),1,1,"")</f>
        <v>2</v>
      </c>
      <c r="S683" s="35"/>
      <c r="T683" s="35"/>
      <c r="U683" s="35"/>
      <c r="V683" s="35"/>
      <c r="W683" s="35"/>
      <c r="X683" s="35"/>
      <c r="Y683" s="35"/>
      <c r="Z683" s="35"/>
      <c r="AA683" s="35"/>
    </row>
    <row r="684" spans="1:27" ht="15">
      <c r="A684" s="65" t="s">
        <v>232</v>
      </c>
      <c r="B684" s="65" t="s">
        <v>652</v>
      </c>
      <c r="C684" s="66" t="s">
        <v>2113</v>
      </c>
      <c r="D684" s="67">
        <v>3</v>
      </c>
      <c r="E684" s="68"/>
      <c r="F684" s="69">
        <v>40</v>
      </c>
      <c r="G684" s="66"/>
      <c r="H684" s="70"/>
      <c r="I684" s="71"/>
      <c r="J684" s="71"/>
      <c r="K684" s="35" t="s">
        <v>65</v>
      </c>
      <c r="L684" s="79">
        <v>684</v>
      </c>
      <c r="M684" s="79"/>
      <c r="N684" s="73"/>
      <c r="O684" s="81" t="s">
        <v>293</v>
      </c>
      <c r="P684">
        <v>1</v>
      </c>
      <c r="Q684" s="80" t="str">
        <f>REPLACE(INDEX(GroupVertices[Group],MATCH(Edges[[#This Row],[Vertex 1]],GroupVertices[Vertex],0)),1,1,"")</f>
        <v>2</v>
      </c>
      <c r="R684" s="80" t="str">
        <f>REPLACE(INDEX(GroupVertices[Group],MATCH(Edges[[#This Row],[Vertex 2]],GroupVertices[Vertex],0)),1,1,"")</f>
        <v>2</v>
      </c>
      <c r="S684" s="35"/>
      <c r="T684" s="35"/>
      <c r="U684" s="35"/>
      <c r="V684" s="35"/>
      <c r="W684" s="35"/>
      <c r="X684" s="35"/>
      <c r="Y684" s="35"/>
      <c r="Z684" s="35"/>
      <c r="AA684" s="35"/>
    </row>
    <row r="685" spans="1:27" ht="15">
      <c r="A685" s="65" t="s">
        <v>232</v>
      </c>
      <c r="B685" s="65" t="s">
        <v>653</v>
      </c>
      <c r="C685" s="66" t="s">
        <v>2113</v>
      </c>
      <c r="D685" s="67">
        <v>3</v>
      </c>
      <c r="E685" s="68"/>
      <c r="F685" s="69">
        <v>40</v>
      </c>
      <c r="G685" s="66"/>
      <c r="H685" s="70"/>
      <c r="I685" s="71"/>
      <c r="J685" s="71"/>
      <c r="K685" s="35" t="s">
        <v>65</v>
      </c>
      <c r="L685" s="79">
        <v>685</v>
      </c>
      <c r="M685" s="79"/>
      <c r="N685" s="73"/>
      <c r="O685" s="81" t="s">
        <v>293</v>
      </c>
      <c r="P685">
        <v>1</v>
      </c>
      <c r="Q685" s="80" t="str">
        <f>REPLACE(INDEX(GroupVertices[Group],MATCH(Edges[[#This Row],[Vertex 1]],GroupVertices[Vertex],0)),1,1,"")</f>
        <v>2</v>
      </c>
      <c r="R685" s="80" t="str">
        <f>REPLACE(INDEX(GroupVertices[Group],MATCH(Edges[[#This Row],[Vertex 2]],GroupVertices[Vertex],0)),1,1,"")</f>
        <v>2</v>
      </c>
      <c r="S685" s="35"/>
      <c r="T685" s="35"/>
      <c r="U685" s="35"/>
      <c r="V685" s="35"/>
      <c r="W685" s="35"/>
      <c r="X685" s="35"/>
      <c r="Y685" s="35"/>
      <c r="Z685" s="35"/>
      <c r="AA685" s="35"/>
    </row>
    <row r="686" spans="1:27" ht="15">
      <c r="A686" s="65" t="s">
        <v>232</v>
      </c>
      <c r="B686" s="65" t="s">
        <v>654</v>
      </c>
      <c r="C686" s="66" t="s">
        <v>2113</v>
      </c>
      <c r="D686" s="67">
        <v>3</v>
      </c>
      <c r="E686" s="68"/>
      <c r="F686" s="69">
        <v>40</v>
      </c>
      <c r="G686" s="66"/>
      <c r="H686" s="70"/>
      <c r="I686" s="71"/>
      <c r="J686" s="71"/>
      <c r="K686" s="35" t="s">
        <v>65</v>
      </c>
      <c r="L686" s="79">
        <v>686</v>
      </c>
      <c r="M686" s="79"/>
      <c r="N686" s="73"/>
      <c r="O686" s="81" t="s">
        <v>293</v>
      </c>
      <c r="P686">
        <v>1</v>
      </c>
      <c r="Q686" s="80" t="str">
        <f>REPLACE(INDEX(GroupVertices[Group],MATCH(Edges[[#This Row],[Vertex 1]],GroupVertices[Vertex],0)),1,1,"")</f>
        <v>2</v>
      </c>
      <c r="R686" s="80" t="str">
        <f>REPLACE(INDEX(GroupVertices[Group],MATCH(Edges[[#This Row],[Vertex 2]],GroupVertices[Vertex],0)),1,1,"")</f>
        <v>2</v>
      </c>
      <c r="S686" s="35"/>
      <c r="T686" s="35"/>
      <c r="U686" s="35"/>
      <c r="V686" s="35"/>
      <c r="W686" s="35"/>
      <c r="X686" s="35"/>
      <c r="Y686" s="35"/>
      <c r="Z686" s="35"/>
      <c r="AA686" s="35"/>
    </row>
    <row r="687" spans="1:27" ht="15">
      <c r="A687" s="65" t="s">
        <v>232</v>
      </c>
      <c r="B687" s="65" t="s">
        <v>655</v>
      </c>
      <c r="C687" s="66" t="s">
        <v>2113</v>
      </c>
      <c r="D687" s="67">
        <v>3</v>
      </c>
      <c r="E687" s="68"/>
      <c r="F687" s="69">
        <v>40</v>
      </c>
      <c r="G687" s="66"/>
      <c r="H687" s="70"/>
      <c r="I687" s="71"/>
      <c r="J687" s="71"/>
      <c r="K687" s="35" t="s">
        <v>65</v>
      </c>
      <c r="L687" s="79">
        <v>687</v>
      </c>
      <c r="M687" s="79"/>
      <c r="N687" s="73"/>
      <c r="O687" s="81" t="s">
        <v>293</v>
      </c>
      <c r="P687">
        <v>1</v>
      </c>
      <c r="Q687" s="80" t="str">
        <f>REPLACE(INDEX(GroupVertices[Group],MATCH(Edges[[#This Row],[Vertex 1]],GroupVertices[Vertex],0)),1,1,"")</f>
        <v>2</v>
      </c>
      <c r="R687" s="80" t="str">
        <f>REPLACE(INDEX(GroupVertices[Group],MATCH(Edges[[#This Row],[Vertex 2]],GroupVertices[Vertex],0)),1,1,"")</f>
        <v>2</v>
      </c>
      <c r="S687" s="35"/>
      <c r="T687" s="35"/>
      <c r="U687" s="35"/>
      <c r="V687" s="35"/>
      <c r="W687" s="35"/>
      <c r="X687" s="35"/>
      <c r="Y687" s="35"/>
      <c r="Z687" s="35"/>
      <c r="AA687" s="35"/>
    </row>
    <row r="688" spans="1:27" ht="15">
      <c r="A688" s="65" t="s">
        <v>232</v>
      </c>
      <c r="B688" s="65" t="s">
        <v>228</v>
      </c>
      <c r="C688" s="66" t="s">
        <v>2114</v>
      </c>
      <c r="D688" s="67">
        <v>3</v>
      </c>
      <c r="E688" s="68"/>
      <c r="F688" s="69">
        <v>40</v>
      </c>
      <c r="G688" s="66"/>
      <c r="H688" s="70"/>
      <c r="I688" s="71"/>
      <c r="J688" s="71"/>
      <c r="K688" s="35" t="s">
        <v>65</v>
      </c>
      <c r="L688" s="79">
        <v>688</v>
      </c>
      <c r="M688" s="79"/>
      <c r="N688" s="73"/>
      <c r="O688" s="81" t="s">
        <v>293</v>
      </c>
      <c r="P688">
        <v>2</v>
      </c>
      <c r="Q688" s="80" t="str">
        <f>REPLACE(INDEX(GroupVertices[Group],MATCH(Edges[[#This Row],[Vertex 1]],GroupVertices[Vertex],0)),1,1,"")</f>
        <v>2</v>
      </c>
      <c r="R688" s="80" t="str">
        <f>REPLACE(INDEX(GroupVertices[Group],MATCH(Edges[[#This Row],[Vertex 2]],GroupVertices[Vertex],0)),1,1,"")</f>
        <v>1</v>
      </c>
      <c r="S688" s="35"/>
      <c r="T688" s="35"/>
      <c r="U688" s="35"/>
      <c r="V688" s="35"/>
      <c r="W688" s="35"/>
      <c r="X688" s="35"/>
      <c r="Y688" s="35"/>
      <c r="Z688" s="35"/>
      <c r="AA688" s="35"/>
    </row>
    <row r="689" spans="1:27" ht="15">
      <c r="A689" s="65" t="s">
        <v>232</v>
      </c>
      <c r="B689" s="65" t="s">
        <v>656</v>
      </c>
      <c r="C689" s="66" t="s">
        <v>2113</v>
      </c>
      <c r="D689" s="67">
        <v>3</v>
      </c>
      <c r="E689" s="68"/>
      <c r="F689" s="69">
        <v>40</v>
      </c>
      <c r="G689" s="66"/>
      <c r="H689" s="70"/>
      <c r="I689" s="71"/>
      <c r="J689" s="71"/>
      <c r="K689" s="35" t="s">
        <v>65</v>
      </c>
      <c r="L689" s="79">
        <v>689</v>
      </c>
      <c r="M689" s="79"/>
      <c r="N689" s="73"/>
      <c r="O689" s="81" t="s">
        <v>293</v>
      </c>
      <c r="P689">
        <v>1</v>
      </c>
      <c r="Q689" s="80" t="str">
        <f>REPLACE(INDEX(GroupVertices[Group],MATCH(Edges[[#This Row],[Vertex 1]],GroupVertices[Vertex],0)),1,1,"")</f>
        <v>2</v>
      </c>
      <c r="R689" s="80" t="str">
        <f>REPLACE(INDEX(GroupVertices[Group],MATCH(Edges[[#This Row],[Vertex 2]],GroupVertices[Vertex],0)),1,1,"")</f>
        <v>2</v>
      </c>
      <c r="S689" s="35"/>
      <c r="T689" s="35"/>
      <c r="U689" s="35"/>
      <c r="V689" s="35"/>
      <c r="W689" s="35"/>
      <c r="X689" s="35"/>
      <c r="Y689" s="35"/>
      <c r="Z689" s="35"/>
      <c r="AA689" s="35"/>
    </row>
    <row r="690" spans="1:27" ht="15">
      <c r="A690" s="65" t="s">
        <v>232</v>
      </c>
      <c r="B690" s="65" t="s">
        <v>657</v>
      </c>
      <c r="C690" s="66" t="s">
        <v>2113</v>
      </c>
      <c r="D690" s="67">
        <v>3</v>
      </c>
      <c r="E690" s="68"/>
      <c r="F690" s="69">
        <v>40</v>
      </c>
      <c r="G690" s="66"/>
      <c r="H690" s="70"/>
      <c r="I690" s="71"/>
      <c r="J690" s="71"/>
      <c r="K690" s="35" t="s">
        <v>65</v>
      </c>
      <c r="L690" s="79">
        <v>690</v>
      </c>
      <c r="M690" s="79"/>
      <c r="N690" s="73"/>
      <c r="O690" s="81" t="s">
        <v>293</v>
      </c>
      <c r="P690">
        <v>1</v>
      </c>
      <c r="Q690" s="80" t="str">
        <f>REPLACE(INDEX(GroupVertices[Group],MATCH(Edges[[#This Row],[Vertex 1]],GroupVertices[Vertex],0)),1,1,"")</f>
        <v>2</v>
      </c>
      <c r="R690" s="80" t="str">
        <f>REPLACE(INDEX(GroupVertices[Group],MATCH(Edges[[#This Row],[Vertex 2]],GroupVertices[Vertex],0)),1,1,"")</f>
        <v>2</v>
      </c>
      <c r="S690" s="35"/>
      <c r="T690" s="35"/>
      <c r="U690" s="35"/>
      <c r="V690" s="35"/>
      <c r="W690" s="35"/>
      <c r="X690" s="35"/>
      <c r="Y690" s="35"/>
      <c r="Z690" s="35"/>
      <c r="AA690" s="35"/>
    </row>
    <row r="691" spans="1:27" ht="15">
      <c r="A691" s="65" t="s">
        <v>235</v>
      </c>
      <c r="B691" s="65" t="s">
        <v>225</v>
      </c>
      <c r="C691" s="66" t="s">
        <v>2114</v>
      </c>
      <c r="D691" s="67">
        <v>3</v>
      </c>
      <c r="E691" s="68"/>
      <c r="F691" s="69">
        <v>40</v>
      </c>
      <c r="G691" s="66"/>
      <c r="H691" s="70"/>
      <c r="I691" s="71"/>
      <c r="J691" s="71"/>
      <c r="K691" s="35" t="s">
        <v>65</v>
      </c>
      <c r="L691" s="79">
        <v>691</v>
      </c>
      <c r="M691" s="79"/>
      <c r="N691" s="73"/>
      <c r="O691" s="81" t="s">
        <v>293</v>
      </c>
      <c r="P691">
        <v>2</v>
      </c>
      <c r="Q691" s="80" t="str">
        <f>REPLACE(INDEX(GroupVertices[Group],MATCH(Edges[[#This Row],[Vertex 1]],GroupVertices[Vertex],0)),1,1,"")</f>
        <v>1</v>
      </c>
      <c r="R691" s="80" t="str">
        <f>REPLACE(INDEX(GroupVertices[Group],MATCH(Edges[[#This Row],[Vertex 2]],GroupVertices[Vertex],0)),1,1,"")</f>
        <v>1</v>
      </c>
      <c r="S691" s="35"/>
      <c r="T691" s="35"/>
      <c r="U691" s="35"/>
      <c r="V691" s="35"/>
      <c r="W691" s="35"/>
      <c r="X691" s="35"/>
      <c r="Y691" s="35"/>
      <c r="Z691" s="35"/>
      <c r="AA691" s="35"/>
    </row>
    <row r="692" spans="1:27" ht="15">
      <c r="A692" s="65" t="s">
        <v>235</v>
      </c>
      <c r="B692" s="65" t="s">
        <v>223</v>
      </c>
      <c r="C692" s="66" t="s">
        <v>2114</v>
      </c>
      <c r="D692" s="67">
        <v>3</v>
      </c>
      <c r="E692" s="68"/>
      <c r="F692" s="69">
        <v>40</v>
      </c>
      <c r="G692" s="66"/>
      <c r="H692" s="70"/>
      <c r="I692" s="71"/>
      <c r="J692" s="71"/>
      <c r="K692" s="35" t="s">
        <v>65</v>
      </c>
      <c r="L692" s="79">
        <v>692</v>
      </c>
      <c r="M692" s="79"/>
      <c r="N692" s="73"/>
      <c r="O692" s="81" t="s">
        <v>293</v>
      </c>
      <c r="P692">
        <v>2</v>
      </c>
      <c r="Q692" s="80" t="str">
        <f>REPLACE(INDEX(GroupVertices[Group],MATCH(Edges[[#This Row],[Vertex 1]],GroupVertices[Vertex],0)),1,1,"")</f>
        <v>1</v>
      </c>
      <c r="R692" s="80" t="str">
        <f>REPLACE(INDEX(GroupVertices[Group],MATCH(Edges[[#This Row],[Vertex 2]],GroupVertices[Vertex],0)),1,1,"")</f>
        <v>1</v>
      </c>
      <c r="S692" s="35"/>
      <c r="T692" s="35"/>
      <c r="U692" s="35"/>
      <c r="V692" s="35"/>
      <c r="W692" s="35"/>
      <c r="X692" s="35"/>
      <c r="Y692" s="35"/>
      <c r="Z692" s="35"/>
      <c r="AA692" s="35"/>
    </row>
    <row r="693" spans="1:27" ht="15">
      <c r="A693" s="65" t="s">
        <v>235</v>
      </c>
      <c r="B693" s="65" t="s">
        <v>222</v>
      </c>
      <c r="C693" s="66" t="s">
        <v>2114</v>
      </c>
      <c r="D693" s="67">
        <v>3</v>
      </c>
      <c r="E693" s="68"/>
      <c r="F693" s="69">
        <v>40</v>
      </c>
      <c r="G693" s="66"/>
      <c r="H693" s="70"/>
      <c r="I693" s="71"/>
      <c r="J693" s="71"/>
      <c r="K693" s="35" t="s">
        <v>65</v>
      </c>
      <c r="L693" s="79">
        <v>693</v>
      </c>
      <c r="M693" s="79"/>
      <c r="N693" s="73"/>
      <c r="O693" s="81" t="s">
        <v>293</v>
      </c>
      <c r="P693">
        <v>2</v>
      </c>
      <c r="Q693" s="80" t="str">
        <f>REPLACE(INDEX(GroupVertices[Group],MATCH(Edges[[#This Row],[Vertex 1]],GroupVertices[Vertex],0)),1,1,"")</f>
        <v>1</v>
      </c>
      <c r="R693" s="80" t="str">
        <f>REPLACE(INDEX(GroupVertices[Group],MATCH(Edges[[#This Row],[Vertex 2]],GroupVertices[Vertex],0)),1,1,"")</f>
        <v>1</v>
      </c>
      <c r="S693" s="35"/>
      <c r="T693" s="35"/>
      <c r="U693" s="35"/>
      <c r="V693" s="35"/>
      <c r="W693" s="35"/>
      <c r="X693" s="35"/>
      <c r="Y693" s="35"/>
      <c r="Z693" s="35"/>
      <c r="AA693" s="35"/>
    </row>
    <row r="694" spans="1:27" ht="15">
      <c r="A694" s="65" t="s">
        <v>235</v>
      </c>
      <c r="B694" s="65" t="s">
        <v>658</v>
      </c>
      <c r="C694" s="66" t="s">
        <v>2113</v>
      </c>
      <c r="D694" s="67">
        <v>3</v>
      </c>
      <c r="E694" s="68"/>
      <c r="F694" s="69">
        <v>40</v>
      </c>
      <c r="G694" s="66"/>
      <c r="H694" s="70"/>
      <c r="I694" s="71"/>
      <c r="J694" s="71"/>
      <c r="K694" s="35" t="s">
        <v>65</v>
      </c>
      <c r="L694" s="79">
        <v>694</v>
      </c>
      <c r="M694" s="79"/>
      <c r="N694" s="73"/>
      <c r="O694" s="81" t="s">
        <v>293</v>
      </c>
      <c r="P694">
        <v>1</v>
      </c>
      <c r="Q694" s="80" t="str">
        <f>REPLACE(INDEX(GroupVertices[Group],MATCH(Edges[[#This Row],[Vertex 1]],GroupVertices[Vertex],0)),1,1,"")</f>
        <v>1</v>
      </c>
      <c r="R694" s="80" t="str">
        <f>REPLACE(INDEX(GroupVertices[Group],MATCH(Edges[[#This Row],[Vertex 2]],GroupVertices[Vertex],0)),1,1,"")</f>
        <v>1</v>
      </c>
      <c r="S694" s="35"/>
      <c r="T694" s="35"/>
      <c r="U694" s="35"/>
      <c r="V694" s="35"/>
      <c r="W694" s="35"/>
      <c r="X694" s="35"/>
      <c r="Y694" s="35"/>
      <c r="Z694" s="35"/>
      <c r="AA694" s="35"/>
    </row>
    <row r="695" spans="1:27" ht="15">
      <c r="A695" s="65" t="s">
        <v>235</v>
      </c>
      <c r="B695" s="65" t="s">
        <v>659</v>
      </c>
      <c r="C695" s="66" t="s">
        <v>2113</v>
      </c>
      <c r="D695" s="67">
        <v>3</v>
      </c>
      <c r="E695" s="68"/>
      <c r="F695" s="69">
        <v>40</v>
      </c>
      <c r="G695" s="66"/>
      <c r="H695" s="70"/>
      <c r="I695" s="71"/>
      <c r="J695" s="71"/>
      <c r="K695" s="35" t="s">
        <v>65</v>
      </c>
      <c r="L695" s="79">
        <v>695</v>
      </c>
      <c r="M695" s="79"/>
      <c r="N695" s="73"/>
      <c r="O695" s="81" t="s">
        <v>293</v>
      </c>
      <c r="P695">
        <v>1</v>
      </c>
      <c r="Q695" s="80" t="str">
        <f>REPLACE(INDEX(GroupVertices[Group],MATCH(Edges[[#This Row],[Vertex 1]],GroupVertices[Vertex],0)),1,1,"")</f>
        <v>1</v>
      </c>
      <c r="R695" s="80" t="str">
        <f>REPLACE(INDEX(GroupVertices[Group],MATCH(Edges[[#This Row],[Vertex 2]],GroupVertices[Vertex],0)),1,1,"")</f>
        <v>1</v>
      </c>
      <c r="S695" s="35"/>
      <c r="T695" s="35"/>
      <c r="U695" s="35"/>
      <c r="V695" s="35"/>
      <c r="W695" s="35"/>
      <c r="X695" s="35"/>
      <c r="Y695" s="35"/>
      <c r="Z695" s="35"/>
      <c r="AA695" s="35"/>
    </row>
    <row r="696" spans="1:27" ht="15">
      <c r="A696" s="65" t="s">
        <v>235</v>
      </c>
      <c r="B696" s="65" t="s">
        <v>660</v>
      </c>
      <c r="C696" s="66" t="s">
        <v>2113</v>
      </c>
      <c r="D696" s="67">
        <v>3</v>
      </c>
      <c r="E696" s="68"/>
      <c r="F696" s="69">
        <v>40</v>
      </c>
      <c r="G696" s="66"/>
      <c r="H696" s="70"/>
      <c r="I696" s="71"/>
      <c r="J696" s="71"/>
      <c r="K696" s="35" t="s">
        <v>65</v>
      </c>
      <c r="L696" s="79">
        <v>696</v>
      </c>
      <c r="M696" s="79"/>
      <c r="N696" s="73"/>
      <c r="O696" s="81" t="s">
        <v>293</v>
      </c>
      <c r="P696">
        <v>1</v>
      </c>
      <c r="Q696" s="80" t="str">
        <f>REPLACE(INDEX(GroupVertices[Group],MATCH(Edges[[#This Row],[Vertex 1]],GroupVertices[Vertex],0)),1,1,"")</f>
        <v>1</v>
      </c>
      <c r="R696" s="80" t="str">
        <f>REPLACE(INDEX(GroupVertices[Group],MATCH(Edges[[#This Row],[Vertex 2]],GroupVertices[Vertex],0)),1,1,"")</f>
        <v>1</v>
      </c>
      <c r="S696" s="35"/>
      <c r="T696" s="35"/>
      <c r="U696" s="35"/>
      <c r="V696" s="35"/>
      <c r="W696" s="35"/>
      <c r="X696" s="35"/>
      <c r="Y696" s="35"/>
      <c r="Z696" s="35"/>
      <c r="AA696" s="35"/>
    </row>
    <row r="697" spans="1:27" ht="15">
      <c r="A697" s="65" t="s">
        <v>235</v>
      </c>
      <c r="B697" s="65" t="s">
        <v>230</v>
      </c>
      <c r="C697" s="66" t="s">
        <v>2114</v>
      </c>
      <c r="D697" s="67">
        <v>3</v>
      </c>
      <c r="E697" s="68"/>
      <c r="F697" s="69">
        <v>40</v>
      </c>
      <c r="G697" s="66"/>
      <c r="H697" s="70"/>
      <c r="I697" s="71"/>
      <c r="J697" s="71"/>
      <c r="K697" s="35" t="s">
        <v>65</v>
      </c>
      <c r="L697" s="79">
        <v>697</v>
      </c>
      <c r="M697" s="79"/>
      <c r="N697" s="73"/>
      <c r="O697" s="81" t="s">
        <v>293</v>
      </c>
      <c r="P697">
        <v>2</v>
      </c>
      <c r="Q697" s="80" t="str">
        <f>REPLACE(INDEX(GroupVertices[Group],MATCH(Edges[[#This Row],[Vertex 1]],GroupVertices[Vertex],0)),1,1,"")</f>
        <v>1</v>
      </c>
      <c r="R697" s="80" t="str">
        <f>REPLACE(INDEX(GroupVertices[Group],MATCH(Edges[[#This Row],[Vertex 2]],GroupVertices[Vertex],0)),1,1,"")</f>
        <v>1</v>
      </c>
      <c r="S697" s="35"/>
      <c r="T697" s="35"/>
      <c r="U697" s="35"/>
      <c r="V697" s="35"/>
      <c r="W697" s="35"/>
      <c r="X697" s="35"/>
      <c r="Y697" s="35"/>
      <c r="Z697" s="35"/>
      <c r="AA697" s="35"/>
    </row>
    <row r="698" spans="1:27" ht="15">
      <c r="A698" s="65" t="s">
        <v>232</v>
      </c>
      <c r="B698" s="65" t="s">
        <v>275</v>
      </c>
      <c r="C698" s="66" t="s">
        <v>2114</v>
      </c>
      <c r="D698" s="67">
        <v>3</v>
      </c>
      <c r="E698" s="68"/>
      <c r="F698" s="69">
        <v>40</v>
      </c>
      <c r="G698" s="66"/>
      <c r="H698" s="70"/>
      <c r="I698" s="71"/>
      <c r="J698" s="71"/>
      <c r="K698" s="35" t="s">
        <v>65</v>
      </c>
      <c r="L698" s="79">
        <v>698</v>
      </c>
      <c r="M698" s="79"/>
      <c r="N698" s="73"/>
      <c r="O698" s="81" t="s">
        <v>293</v>
      </c>
      <c r="P698">
        <v>2</v>
      </c>
      <c r="Q698" s="80" t="str">
        <f>REPLACE(INDEX(GroupVertices[Group],MATCH(Edges[[#This Row],[Vertex 1]],GroupVertices[Vertex],0)),1,1,"")</f>
        <v>2</v>
      </c>
      <c r="R698" s="80" t="str">
        <f>REPLACE(INDEX(GroupVertices[Group],MATCH(Edges[[#This Row],[Vertex 2]],GroupVertices[Vertex],0)),1,1,"")</f>
        <v>1</v>
      </c>
      <c r="S698" s="35"/>
      <c r="T698" s="35"/>
      <c r="U698" s="35"/>
      <c r="V698" s="35"/>
      <c r="W698" s="35"/>
      <c r="X698" s="35"/>
      <c r="Y698" s="35"/>
      <c r="Z698" s="35"/>
      <c r="AA698" s="35"/>
    </row>
    <row r="699" spans="1:27" ht="15">
      <c r="A699" s="65" t="s">
        <v>235</v>
      </c>
      <c r="B699" s="65" t="s">
        <v>275</v>
      </c>
      <c r="C699" s="66" t="s">
        <v>2114</v>
      </c>
      <c r="D699" s="67">
        <v>3</v>
      </c>
      <c r="E699" s="68"/>
      <c r="F699" s="69">
        <v>40</v>
      </c>
      <c r="G699" s="66"/>
      <c r="H699" s="70"/>
      <c r="I699" s="71"/>
      <c r="J699" s="71"/>
      <c r="K699" s="35" t="s">
        <v>65</v>
      </c>
      <c r="L699" s="79">
        <v>699</v>
      </c>
      <c r="M699" s="79"/>
      <c r="N699" s="73"/>
      <c r="O699" s="81" t="s">
        <v>293</v>
      </c>
      <c r="P699">
        <v>2</v>
      </c>
      <c r="Q699" s="80" t="str">
        <f>REPLACE(INDEX(GroupVertices[Group],MATCH(Edges[[#This Row],[Vertex 1]],GroupVertices[Vertex],0)),1,1,"")</f>
        <v>1</v>
      </c>
      <c r="R699" s="80" t="str">
        <f>REPLACE(INDEX(GroupVertices[Group],MATCH(Edges[[#This Row],[Vertex 2]],GroupVertices[Vertex],0)),1,1,"")</f>
        <v>1</v>
      </c>
      <c r="S699" s="35"/>
      <c r="T699" s="35"/>
      <c r="U699" s="35"/>
      <c r="V699" s="35"/>
      <c r="W699" s="35"/>
      <c r="X699" s="35"/>
      <c r="Y699" s="35"/>
      <c r="Z699" s="35"/>
      <c r="AA699" s="35"/>
    </row>
    <row r="700" spans="1:27" ht="15">
      <c r="A700" s="65" t="s">
        <v>235</v>
      </c>
      <c r="B700" s="65" t="s">
        <v>661</v>
      </c>
      <c r="C700" s="66" t="s">
        <v>2113</v>
      </c>
      <c r="D700" s="67">
        <v>3</v>
      </c>
      <c r="E700" s="68"/>
      <c r="F700" s="69">
        <v>40</v>
      </c>
      <c r="G700" s="66"/>
      <c r="H700" s="70"/>
      <c r="I700" s="71"/>
      <c r="J700" s="71"/>
      <c r="K700" s="35" t="s">
        <v>65</v>
      </c>
      <c r="L700" s="79">
        <v>700</v>
      </c>
      <c r="M700" s="79"/>
      <c r="N700" s="73"/>
      <c r="O700" s="81" t="s">
        <v>293</v>
      </c>
      <c r="P700">
        <v>1</v>
      </c>
      <c r="Q700" s="80" t="str">
        <f>REPLACE(INDEX(GroupVertices[Group],MATCH(Edges[[#This Row],[Vertex 1]],GroupVertices[Vertex],0)),1,1,"")</f>
        <v>1</v>
      </c>
      <c r="R700" s="80" t="str">
        <f>REPLACE(INDEX(GroupVertices[Group],MATCH(Edges[[#This Row],[Vertex 2]],GroupVertices[Vertex],0)),1,1,"")</f>
        <v>1</v>
      </c>
      <c r="S700" s="35"/>
      <c r="T700" s="35"/>
      <c r="U700" s="35"/>
      <c r="V700" s="35"/>
      <c r="W700" s="35"/>
      <c r="X700" s="35"/>
      <c r="Y700" s="35"/>
      <c r="Z700" s="35"/>
      <c r="AA700" s="35"/>
    </row>
    <row r="701" spans="1:27" ht="15">
      <c r="A701" s="65" t="s">
        <v>235</v>
      </c>
      <c r="B701" s="65" t="s">
        <v>662</v>
      </c>
      <c r="C701" s="66" t="s">
        <v>2113</v>
      </c>
      <c r="D701" s="67">
        <v>3</v>
      </c>
      <c r="E701" s="68"/>
      <c r="F701" s="69">
        <v>40</v>
      </c>
      <c r="G701" s="66"/>
      <c r="H701" s="70"/>
      <c r="I701" s="71"/>
      <c r="J701" s="71"/>
      <c r="K701" s="35" t="s">
        <v>65</v>
      </c>
      <c r="L701" s="79">
        <v>701</v>
      </c>
      <c r="M701" s="79"/>
      <c r="N701" s="73"/>
      <c r="O701" s="81" t="s">
        <v>293</v>
      </c>
      <c r="P701">
        <v>1</v>
      </c>
      <c r="Q701" s="80" t="str">
        <f>REPLACE(INDEX(GroupVertices[Group],MATCH(Edges[[#This Row],[Vertex 1]],GroupVertices[Vertex],0)),1,1,"")</f>
        <v>1</v>
      </c>
      <c r="R701" s="80" t="str">
        <f>REPLACE(INDEX(GroupVertices[Group],MATCH(Edges[[#This Row],[Vertex 2]],GroupVertices[Vertex],0)),1,1,"")</f>
        <v>1</v>
      </c>
      <c r="S701" s="35"/>
      <c r="T701" s="35"/>
      <c r="U701" s="35"/>
      <c r="V701" s="35"/>
      <c r="W701" s="35"/>
      <c r="X701" s="35"/>
      <c r="Y701" s="35"/>
      <c r="Z701" s="35"/>
      <c r="AA701" s="35"/>
    </row>
    <row r="702" spans="1:27" ht="15">
      <c r="A702" s="65" t="s">
        <v>224</v>
      </c>
      <c r="B702" s="65" t="s">
        <v>663</v>
      </c>
      <c r="C702" s="66" t="s">
        <v>2113</v>
      </c>
      <c r="D702" s="67">
        <v>3</v>
      </c>
      <c r="E702" s="68"/>
      <c r="F702" s="69">
        <v>40</v>
      </c>
      <c r="G702" s="66"/>
      <c r="H702" s="70"/>
      <c r="I702" s="71"/>
      <c r="J702" s="71"/>
      <c r="K702" s="35" t="s">
        <v>65</v>
      </c>
      <c r="L702" s="79">
        <v>702</v>
      </c>
      <c r="M702" s="79"/>
      <c r="N702" s="73"/>
      <c r="O702" s="81" t="s">
        <v>293</v>
      </c>
      <c r="P702">
        <v>1</v>
      </c>
      <c r="Q702" s="80" t="str">
        <f>REPLACE(INDEX(GroupVertices[Group],MATCH(Edges[[#This Row],[Vertex 1]],GroupVertices[Vertex],0)),1,1,"")</f>
        <v>1</v>
      </c>
      <c r="R702" s="80" t="str">
        <f>REPLACE(INDEX(GroupVertices[Group],MATCH(Edges[[#This Row],[Vertex 2]],GroupVertices[Vertex],0)),1,1,"")</f>
        <v>1</v>
      </c>
      <c r="S702" s="35"/>
      <c r="T702" s="35"/>
      <c r="U702" s="35"/>
      <c r="V702" s="35"/>
      <c r="W702" s="35"/>
      <c r="X702" s="35"/>
      <c r="Y702" s="35"/>
      <c r="Z702" s="35"/>
      <c r="AA702" s="35"/>
    </row>
    <row r="703" spans="1:27" ht="15">
      <c r="A703" s="65" t="s">
        <v>636</v>
      </c>
      <c r="B703" s="65" t="s">
        <v>224</v>
      </c>
      <c r="C703" s="66" t="s">
        <v>2113</v>
      </c>
      <c r="D703" s="67">
        <v>3</v>
      </c>
      <c r="E703" s="68"/>
      <c r="F703" s="69">
        <v>40</v>
      </c>
      <c r="G703" s="66"/>
      <c r="H703" s="70"/>
      <c r="I703" s="71"/>
      <c r="J703" s="71"/>
      <c r="K703" s="35" t="s">
        <v>66</v>
      </c>
      <c r="L703" s="79">
        <v>703</v>
      </c>
      <c r="M703" s="79"/>
      <c r="N703" s="73"/>
      <c r="O703" s="81" t="s">
        <v>292</v>
      </c>
      <c r="P703">
        <v>1</v>
      </c>
      <c r="Q703" s="80" t="str">
        <f>REPLACE(INDEX(GroupVertices[Group],MATCH(Edges[[#This Row],[Vertex 1]],GroupVertices[Vertex],0)),1,1,"")</f>
        <v>2</v>
      </c>
      <c r="R703" s="80" t="str">
        <f>REPLACE(INDEX(GroupVertices[Group],MATCH(Edges[[#This Row],[Vertex 2]],GroupVertices[Vertex],0)),1,1,"")</f>
        <v>1</v>
      </c>
      <c r="S703" s="35"/>
      <c r="T703" s="35"/>
      <c r="U703" s="35"/>
      <c r="V703" s="35"/>
      <c r="W703" s="35"/>
      <c r="X703" s="35"/>
      <c r="Y703" s="35"/>
      <c r="Z703" s="35"/>
      <c r="AA703" s="35"/>
    </row>
    <row r="704" spans="1:27" ht="15">
      <c r="A704" s="65" t="s">
        <v>637</v>
      </c>
      <c r="B704" s="65" t="s">
        <v>636</v>
      </c>
      <c r="C704" s="66" t="s">
        <v>2113</v>
      </c>
      <c r="D704" s="67">
        <v>3</v>
      </c>
      <c r="E704" s="68"/>
      <c r="F704" s="69">
        <v>40</v>
      </c>
      <c r="G704" s="66"/>
      <c r="H704" s="70"/>
      <c r="I704" s="71"/>
      <c r="J704" s="71"/>
      <c r="K704" s="35" t="s">
        <v>65</v>
      </c>
      <c r="L704" s="79">
        <v>704</v>
      </c>
      <c r="M704" s="79"/>
      <c r="N704" s="73"/>
      <c r="O704" s="81" t="s">
        <v>292</v>
      </c>
      <c r="P704">
        <v>1</v>
      </c>
      <c r="Q704" s="80" t="str">
        <f>REPLACE(INDEX(GroupVertices[Group],MATCH(Edges[[#This Row],[Vertex 1]],GroupVertices[Vertex],0)),1,1,"")</f>
        <v>2</v>
      </c>
      <c r="R704" s="80" t="str">
        <f>REPLACE(INDEX(GroupVertices[Group],MATCH(Edges[[#This Row],[Vertex 2]],GroupVertices[Vertex],0)),1,1,"")</f>
        <v>2</v>
      </c>
      <c r="S704" s="35"/>
      <c r="T704" s="35"/>
      <c r="U704" s="35"/>
      <c r="V704" s="35"/>
      <c r="W704" s="35"/>
      <c r="X704" s="35"/>
      <c r="Y704" s="35"/>
      <c r="Z704" s="35"/>
      <c r="AA704" s="35"/>
    </row>
    <row r="705" spans="1:27" ht="15">
      <c r="A705" s="65" t="s">
        <v>241</v>
      </c>
      <c r="B705" s="65" t="s">
        <v>636</v>
      </c>
      <c r="C705" s="66" t="s">
        <v>2113</v>
      </c>
      <c r="D705" s="67">
        <v>3</v>
      </c>
      <c r="E705" s="68"/>
      <c r="F705" s="69">
        <v>40</v>
      </c>
      <c r="G705" s="66"/>
      <c r="H705" s="70"/>
      <c r="I705" s="71"/>
      <c r="J705" s="71"/>
      <c r="K705" s="35" t="s">
        <v>65</v>
      </c>
      <c r="L705" s="79">
        <v>705</v>
      </c>
      <c r="M705" s="79"/>
      <c r="N705" s="73"/>
      <c r="O705" s="81" t="s">
        <v>292</v>
      </c>
      <c r="P705">
        <v>1</v>
      </c>
      <c r="Q705" s="80" t="str">
        <f>REPLACE(INDEX(GroupVertices[Group],MATCH(Edges[[#This Row],[Vertex 1]],GroupVertices[Vertex],0)),1,1,"")</f>
        <v>1</v>
      </c>
      <c r="R705" s="80" t="str">
        <f>REPLACE(INDEX(GroupVertices[Group],MATCH(Edges[[#This Row],[Vertex 2]],GroupVertices[Vertex],0)),1,1,"")</f>
        <v>2</v>
      </c>
      <c r="S705" s="35"/>
      <c r="T705" s="35"/>
      <c r="U705" s="35"/>
      <c r="V705" s="35"/>
      <c r="W705" s="35"/>
      <c r="X705" s="35"/>
      <c r="Y705" s="35"/>
      <c r="Z705" s="35"/>
      <c r="AA705" s="35"/>
    </row>
    <row r="706" spans="1:27" ht="15">
      <c r="A706" s="65" t="s">
        <v>638</v>
      </c>
      <c r="B706" s="65" t="s">
        <v>636</v>
      </c>
      <c r="C706" s="66" t="s">
        <v>2113</v>
      </c>
      <c r="D706" s="67">
        <v>3</v>
      </c>
      <c r="E706" s="68"/>
      <c r="F706" s="69">
        <v>40</v>
      </c>
      <c r="G706" s="66"/>
      <c r="H706" s="70"/>
      <c r="I706" s="71"/>
      <c r="J706" s="71"/>
      <c r="K706" s="35" t="s">
        <v>65</v>
      </c>
      <c r="L706" s="79">
        <v>706</v>
      </c>
      <c r="M706" s="79"/>
      <c r="N706" s="73"/>
      <c r="O706" s="81" t="s">
        <v>292</v>
      </c>
      <c r="P706">
        <v>1</v>
      </c>
      <c r="Q706" s="80" t="str">
        <f>REPLACE(INDEX(GroupVertices[Group],MATCH(Edges[[#This Row],[Vertex 1]],GroupVertices[Vertex],0)),1,1,"")</f>
        <v>2</v>
      </c>
      <c r="R706" s="80" t="str">
        <f>REPLACE(INDEX(GroupVertices[Group],MATCH(Edges[[#This Row],[Vertex 2]],GroupVertices[Vertex],0)),1,1,"")</f>
        <v>2</v>
      </c>
      <c r="S706" s="35"/>
      <c r="T706" s="35"/>
      <c r="U706" s="35"/>
      <c r="V706" s="35"/>
      <c r="W706" s="35"/>
      <c r="X706" s="35"/>
      <c r="Y706" s="35"/>
      <c r="Z706" s="35"/>
      <c r="AA706" s="35"/>
    </row>
    <row r="707" spans="1:27" ht="15">
      <c r="A707" s="65" t="s">
        <v>216</v>
      </c>
      <c r="B707" s="65" t="s">
        <v>636</v>
      </c>
      <c r="C707" s="66" t="s">
        <v>2113</v>
      </c>
      <c r="D707" s="67">
        <v>3</v>
      </c>
      <c r="E707" s="68"/>
      <c r="F707" s="69">
        <v>40</v>
      </c>
      <c r="G707" s="66"/>
      <c r="H707" s="70"/>
      <c r="I707" s="71"/>
      <c r="J707" s="71"/>
      <c r="K707" s="35" t="s">
        <v>65</v>
      </c>
      <c r="L707" s="79">
        <v>707</v>
      </c>
      <c r="M707" s="79"/>
      <c r="N707" s="73"/>
      <c r="O707" s="81" t="s">
        <v>292</v>
      </c>
      <c r="P707">
        <v>1</v>
      </c>
      <c r="Q707" s="80" t="str">
        <f>REPLACE(INDEX(GroupVertices[Group],MATCH(Edges[[#This Row],[Vertex 1]],GroupVertices[Vertex],0)),1,1,"")</f>
        <v>1</v>
      </c>
      <c r="R707" s="80" t="str">
        <f>REPLACE(INDEX(GroupVertices[Group],MATCH(Edges[[#This Row],[Vertex 2]],GroupVertices[Vertex],0)),1,1,"")</f>
        <v>2</v>
      </c>
      <c r="S707" s="35"/>
      <c r="T707" s="35"/>
      <c r="U707" s="35"/>
      <c r="V707" s="35"/>
      <c r="W707" s="35"/>
      <c r="X707" s="35"/>
      <c r="Y707" s="35"/>
      <c r="Z707" s="35"/>
      <c r="AA707" s="35"/>
    </row>
    <row r="708" spans="1:27" ht="15">
      <c r="A708" s="65" t="s">
        <v>224</v>
      </c>
      <c r="B708" s="65" t="s">
        <v>636</v>
      </c>
      <c r="C708" s="66" t="s">
        <v>2113</v>
      </c>
      <c r="D708" s="67">
        <v>3</v>
      </c>
      <c r="E708" s="68"/>
      <c r="F708" s="69">
        <v>40</v>
      </c>
      <c r="G708" s="66"/>
      <c r="H708" s="70"/>
      <c r="I708" s="71"/>
      <c r="J708" s="71"/>
      <c r="K708" s="35" t="s">
        <v>66</v>
      </c>
      <c r="L708" s="79">
        <v>708</v>
      </c>
      <c r="M708" s="79"/>
      <c r="N708" s="73"/>
      <c r="O708" s="81" t="s">
        <v>293</v>
      </c>
      <c r="P708">
        <v>1</v>
      </c>
      <c r="Q708" s="80" t="str">
        <f>REPLACE(INDEX(GroupVertices[Group],MATCH(Edges[[#This Row],[Vertex 1]],GroupVertices[Vertex],0)),1,1,"")</f>
        <v>1</v>
      </c>
      <c r="R708" s="80" t="str">
        <f>REPLACE(INDEX(GroupVertices[Group],MATCH(Edges[[#This Row],[Vertex 2]],GroupVertices[Vertex],0)),1,1,"")</f>
        <v>2</v>
      </c>
      <c r="S708" s="35"/>
      <c r="T708" s="35"/>
      <c r="U708" s="35"/>
      <c r="V708" s="35"/>
      <c r="W708" s="35"/>
      <c r="X708" s="35"/>
      <c r="Y708" s="35"/>
      <c r="Z708" s="35"/>
      <c r="AA708" s="35"/>
    </row>
    <row r="709" spans="1:27" ht="15">
      <c r="A709" s="65" t="s">
        <v>224</v>
      </c>
      <c r="B709" s="65" t="s">
        <v>664</v>
      </c>
      <c r="C709" s="66" t="s">
        <v>2113</v>
      </c>
      <c r="D709" s="67">
        <v>3</v>
      </c>
      <c r="E709" s="68"/>
      <c r="F709" s="69">
        <v>40</v>
      </c>
      <c r="G709" s="66"/>
      <c r="H709" s="70"/>
      <c r="I709" s="71"/>
      <c r="J709" s="71"/>
      <c r="K709" s="35" t="s">
        <v>65</v>
      </c>
      <c r="L709" s="79">
        <v>709</v>
      </c>
      <c r="M709" s="79"/>
      <c r="N709" s="73"/>
      <c r="O709" s="81" t="s">
        <v>293</v>
      </c>
      <c r="P709">
        <v>1</v>
      </c>
      <c r="Q709" s="80" t="str">
        <f>REPLACE(INDEX(GroupVertices[Group],MATCH(Edges[[#This Row],[Vertex 1]],GroupVertices[Vertex],0)),1,1,"")</f>
        <v>1</v>
      </c>
      <c r="R709" s="80" t="str">
        <f>REPLACE(INDEX(GroupVertices[Group],MATCH(Edges[[#This Row],[Vertex 2]],GroupVertices[Vertex],0)),1,1,"")</f>
        <v>1</v>
      </c>
      <c r="S709" s="35"/>
      <c r="T709" s="35"/>
      <c r="U709" s="35"/>
      <c r="V709" s="35"/>
      <c r="W709" s="35"/>
      <c r="X709" s="35"/>
      <c r="Y709" s="35"/>
      <c r="Z709" s="35"/>
      <c r="AA709" s="35"/>
    </row>
    <row r="710" spans="1:27" ht="15">
      <c r="A710" s="65" t="s">
        <v>637</v>
      </c>
      <c r="B710" s="65" t="s">
        <v>224</v>
      </c>
      <c r="C710" s="66" t="s">
        <v>2113</v>
      </c>
      <c r="D710" s="67">
        <v>3</v>
      </c>
      <c r="E710" s="68"/>
      <c r="F710" s="69">
        <v>40</v>
      </c>
      <c r="G710" s="66"/>
      <c r="H710" s="70"/>
      <c r="I710" s="71"/>
      <c r="J710" s="71"/>
      <c r="K710" s="35" t="s">
        <v>66</v>
      </c>
      <c r="L710" s="79">
        <v>710</v>
      </c>
      <c r="M710" s="79"/>
      <c r="N710" s="73"/>
      <c r="O710" s="81" t="s">
        <v>292</v>
      </c>
      <c r="P710">
        <v>1</v>
      </c>
      <c r="Q710" s="80" t="str">
        <f>REPLACE(INDEX(GroupVertices[Group],MATCH(Edges[[#This Row],[Vertex 1]],GroupVertices[Vertex],0)),1,1,"")</f>
        <v>2</v>
      </c>
      <c r="R710" s="80" t="str">
        <f>REPLACE(INDEX(GroupVertices[Group],MATCH(Edges[[#This Row],[Vertex 2]],GroupVertices[Vertex],0)),1,1,"")</f>
        <v>1</v>
      </c>
      <c r="S710" s="35"/>
      <c r="T710" s="35"/>
      <c r="U710" s="35"/>
      <c r="V710" s="35"/>
      <c r="W710" s="35"/>
      <c r="X710" s="35"/>
      <c r="Y710" s="35"/>
      <c r="Z710" s="35"/>
      <c r="AA710" s="35"/>
    </row>
    <row r="711" spans="1:27" ht="15">
      <c r="A711" s="65" t="s">
        <v>233</v>
      </c>
      <c r="B711" s="65" t="s">
        <v>637</v>
      </c>
      <c r="C711" s="66" t="s">
        <v>2113</v>
      </c>
      <c r="D711" s="67">
        <v>3</v>
      </c>
      <c r="E711" s="68"/>
      <c r="F711" s="69">
        <v>40</v>
      </c>
      <c r="G711" s="66"/>
      <c r="H711" s="70"/>
      <c r="I711" s="71"/>
      <c r="J711" s="71"/>
      <c r="K711" s="35" t="s">
        <v>65</v>
      </c>
      <c r="L711" s="79">
        <v>711</v>
      </c>
      <c r="M711" s="79"/>
      <c r="N711" s="73"/>
      <c r="O711" s="81" t="s">
        <v>292</v>
      </c>
      <c r="P711">
        <v>1</v>
      </c>
      <c r="Q711" s="80" t="str">
        <f>REPLACE(INDEX(GroupVertices[Group],MATCH(Edges[[#This Row],[Vertex 1]],GroupVertices[Vertex],0)),1,1,"")</f>
        <v>1</v>
      </c>
      <c r="R711" s="80" t="str">
        <f>REPLACE(INDEX(GroupVertices[Group],MATCH(Edges[[#This Row],[Vertex 2]],GroupVertices[Vertex],0)),1,1,"")</f>
        <v>2</v>
      </c>
      <c r="S711" s="35"/>
      <c r="T711" s="35"/>
      <c r="U711" s="35"/>
      <c r="V711" s="35"/>
      <c r="W711" s="35"/>
      <c r="X711" s="35"/>
      <c r="Y711" s="35"/>
      <c r="Z711" s="35"/>
      <c r="AA711" s="35"/>
    </row>
    <row r="712" spans="1:27" ht="15">
      <c r="A712" s="65" t="s">
        <v>241</v>
      </c>
      <c r="B712" s="65" t="s">
        <v>637</v>
      </c>
      <c r="C712" s="66" t="s">
        <v>2113</v>
      </c>
      <c r="D712" s="67">
        <v>3</v>
      </c>
      <c r="E712" s="68"/>
      <c r="F712" s="69">
        <v>40</v>
      </c>
      <c r="G712" s="66"/>
      <c r="H712" s="70"/>
      <c r="I712" s="71"/>
      <c r="J712" s="71"/>
      <c r="K712" s="35" t="s">
        <v>65</v>
      </c>
      <c r="L712" s="79">
        <v>712</v>
      </c>
      <c r="M712" s="79"/>
      <c r="N712" s="73"/>
      <c r="O712" s="81" t="s">
        <v>292</v>
      </c>
      <c r="P712">
        <v>1</v>
      </c>
      <c r="Q712" s="80" t="str">
        <f>REPLACE(INDEX(GroupVertices[Group],MATCH(Edges[[#This Row],[Vertex 1]],GroupVertices[Vertex],0)),1,1,"")</f>
        <v>1</v>
      </c>
      <c r="R712" s="80" t="str">
        <f>REPLACE(INDEX(GroupVertices[Group],MATCH(Edges[[#This Row],[Vertex 2]],GroupVertices[Vertex],0)),1,1,"")</f>
        <v>2</v>
      </c>
      <c r="S712" s="35"/>
      <c r="T712" s="35"/>
      <c r="U712" s="35"/>
      <c r="V712" s="35"/>
      <c r="W712" s="35"/>
      <c r="X712" s="35"/>
      <c r="Y712" s="35"/>
      <c r="Z712" s="35"/>
      <c r="AA712" s="35"/>
    </row>
    <row r="713" spans="1:27" ht="15">
      <c r="A713" s="65" t="s">
        <v>638</v>
      </c>
      <c r="B713" s="65" t="s">
        <v>637</v>
      </c>
      <c r="C713" s="66" t="s">
        <v>2113</v>
      </c>
      <c r="D713" s="67">
        <v>3</v>
      </c>
      <c r="E713" s="68"/>
      <c r="F713" s="69">
        <v>40</v>
      </c>
      <c r="G713" s="66"/>
      <c r="H713" s="70"/>
      <c r="I713" s="71"/>
      <c r="J713" s="71"/>
      <c r="K713" s="35" t="s">
        <v>65</v>
      </c>
      <c r="L713" s="79">
        <v>713</v>
      </c>
      <c r="M713" s="79"/>
      <c r="N713" s="73"/>
      <c r="O713" s="81" t="s">
        <v>292</v>
      </c>
      <c r="P713">
        <v>1</v>
      </c>
      <c r="Q713" s="80" t="str">
        <f>REPLACE(INDEX(GroupVertices[Group],MATCH(Edges[[#This Row],[Vertex 1]],GroupVertices[Vertex],0)),1,1,"")</f>
        <v>2</v>
      </c>
      <c r="R713" s="80" t="str">
        <f>REPLACE(INDEX(GroupVertices[Group],MATCH(Edges[[#This Row],[Vertex 2]],GroupVertices[Vertex],0)),1,1,"")</f>
        <v>2</v>
      </c>
      <c r="S713" s="35"/>
      <c r="T713" s="35"/>
      <c r="U713" s="35"/>
      <c r="V713" s="35"/>
      <c r="W713" s="35"/>
      <c r="X713" s="35"/>
      <c r="Y713" s="35"/>
      <c r="Z713" s="35"/>
      <c r="AA713" s="35"/>
    </row>
    <row r="714" spans="1:27" ht="15">
      <c r="A714" s="65" t="s">
        <v>235</v>
      </c>
      <c r="B714" s="65" t="s">
        <v>637</v>
      </c>
      <c r="C714" s="66" t="s">
        <v>2113</v>
      </c>
      <c r="D714" s="67">
        <v>3</v>
      </c>
      <c r="E714" s="68"/>
      <c r="F714" s="69">
        <v>40</v>
      </c>
      <c r="G714" s="66"/>
      <c r="H714" s="70"/>
      <c r="I714" s="71"/>
      <c r="J714" s="71"/>
      <c r="K714" s="35" t="s">
        <v>65</v>
      </c>
      <c r="L714" s="79">
        <v>714</v>
      </c>
      <c r="M714" s="79"/>
      <c r="N714" s="73"/>
      <c r="O714" s="81" t="s">
        <v>292</v>
      </c>
      <c r="P714">
        <v>1</v>
      </c>
      <c r="Q714" s="80" t="str">
        <f>REPLACE(INDEX(GroupVertices[Group],MATCH(Edges[[#This Row],[Vertex 1]],GroupVertices[Vertex],0)),1,1,"")</f>
        <v>1</v>
      </c>
      <c r="R714" s="80" t="str">
        <f>REPLACE(INDEX(GroupVertices[Group],MATCH(Edges[[#This Row],[Vertex 2]],GroupVertices[Vertex],0)),1,1,"")</f>
        <v>2</v>
      </c>
      <c r="S714" s="35"/>
      <c r="T714" s="35"/>
      <c r="U714" s="35"/>
      <c r="V714" s="35"/>
      <c r="W714" s="35"/>
      <c r="X714" s="35"/>
      <c r="Y714" s="35"/>
      <c r="Z714" s="35"/>
      <c r="AA714" s="35"/>
    </row>
    <row r="715" spans="1:27" ht="15">
      <c r="A715" s="65" t="s">
        <v>639</v>
      </c>
      <c r="B715" s="65" t="s">
        <v>637</v>
      </c>
      <c r="C715" s="66" t="s">
        <v>2113</v>
      </c>
      <c r="D715" s="67">
        <v>3</v>
      </c>
      <c r="E715" s="68"/>
      <c r="F715" s="69">
        <v>40</v>
      </c>
      <c r="G715" s="66"/>
      <c r="H715" s="70"/>
      <c r="I715" s="71"/>
      <c r="J715" s="71"/>
      <c r="K715" s="35" t="s">
        <v>65</v>
      </c>
      <c r="L715" s="79">
        <v>715</v>
      </c>
      <c r="M715" s="79"/>
      <c r="N715" s="73"/>
      <c r="O715" s="81" t="s">
        <v>292</v>
      </c>
      <c r="P715">
        <v>1</v>
      </c>
      <c r="Q715" s="80" t="str">
        <f>REPLACE(INDEX(GroupVertices[Group],MATCH(Edges[[#This Row],[Vertex 1]],GroupVertices[Vertex],0)),1,1,"")</f>
        <v>2</v>
      </c>
      <c r="R715" s="80" t="str">
        <f>REPLACE(INDEX(GroupVertices[Group],MATCH(Edges[[#This Row],[Vertex 2]],GroupVertices[Vertex],0)),1,1,"")</f>
        <v>2</v>
      </c>
      <c r="S715" s="35"/>
      <c r="T715" s="35"/>
      <c r="U715" s="35"/>
      <c r="V715" s="35"/>
      <c r="W715" s="35"/>
      <c r="X715" s="35"/>
      <c r="Y715" s="35"/>
      <c r="Z715" s="35"/>
      <c r="AA715" s="35"/>
    </row>
    <row r="716" spans="1:27" ht="15">
      <c r="A716" s="65" t="s">
        <v>640</v>
      </c>
      <c r="B716" s="65" t="s">
        <v>637</v>
      </c>
      <c r="C716" s="66" t="s">
        <v>2113</v>
      </c>
      <c r="D716" s="67">
        <v>3</v>
      </c>
      <c r="E716" s="68"/>
      <c r="F716" s="69">
        <v>40</v>
      </c>
      <c r="G716" s="66"/>
      <c r="H716" s="70"/>
      <c r="I716" s="71"/>
      <c r="J716" s="71"/>
      <c r="K716" s="35" t="s">
        <v>65</v>
      </c>
      <c r="L716" s="79">
        <v>716</v>
      </c>
      <c r="M716" s="79"/>
      <c r="N716" s="73"/>
      <c r="O716" s="81" t="s">
        <v>292</v>
      </c>
      <c r="P716">
        <v>1</v>
      </c>
      <c r="Q716" s="80" t="str">
        <f>REPLACE(INDEX(GroupVertices[Group],MATCH(Edges[[#This Row],[Vertex 1]],GroupVertices[Vertex],0)),1,1,"")</f>
        <v>2</v>
      </c>
      <c r="R716" s="80" t="str">
        <f>REPLACE(INDEX(GroupVertices[Group],MATCH(Edges[[#This Row],[Vertex 2]],GroupVertices[Vertex],0)),1,1,"")</f>
        <v>2</v>
      </c>
      <c r="S716" s="35"/>
      <c r="T716" s="35"/>
      <c r="U716" s="35"/>
      <c r="V716" s="35"/>
      <c r="W716" s="35"/>
      <c r="X716" s="35"/>
      <c r="Y716" s="35"/>
      <c r="Z716" s="35"/>
      <c r="AA716" s="35"/>
    </row>
    <row r="717" spans="1:27" ht="15">
      <c r="A717" s="65" t="s">
        <v>231</v>
      </c>
      <c r="B717" s="65" t="s">
        <v>637</v>
      </c>
      <c r="C717" s="66" t="s">
        <v>2113</v>
      </c>
      <c r="D717" s="67">
        <v>3</v>
      </c>
      <c r="E717" s="68"/>
      <c r="F717" s="69">
        <v>40</v>
      </c>
      <c r="G717" s="66"/>
      <c r="H717" s="70"/>
      <c r="I717" s="71"/>
      <c r="J717" s="71"/>
      <c r="K717" s="35" t="s">
        <v>65</v>
      </c>
      <c r="L717" s="79">
        <v>717</v>
      </c>
      <c r="M717" s="79"/>
      <c r="N717" s="73"/>
      <c r="O717" s="81" t="s">
        <v>292</v>
      </c>
      <c r="P717">
        <v>1</v>
      </c>
      <c r="Q717" s="80" t="str">
        <f>REPLACE(INDEX(GroupVertices[Group],MATCH(Edges[[#This Row],[Vertex 1]],GroupVertices[Vertex],0)),1,1,"")</f>
        <v>1</v>
      </c>
      <c r="R717" s="80" t="str">
        <f>REPLACE(INDEX(GroupVertices[Group],MATCH(Edges[[#This Row],[Vertex 2]],GroupVertices[Vertex],0)),1,1,"")</f>
        <v>2</v>
      </c>
      <c r="S717" s="35"/>
      <c r="T717" s="35"/>
      <c r="U717" s="35"/>
      <c r="V717" s="35"/>
      <c r="W717" s="35"/>
      <c r="X717" s="35"/>
      <c r="Y717" s="35"/>
      <c r="Z717" s="35"/>
      <c r="AA717" s="35"/>
    </row>
    <row r="718" spans="1:27" ht="15">
      <c r="A718" s="65" t="s">
        <v>234</v>
      </c>
      <c r="B718" s="65" t="s">
        <v>637</v>
      </c>
      <c r="C718" s="66" t="s">
        <v>2113</v>
      </c>
      <c r="D718" s="67">
        <v>3</v>
      </c>
      <c r="E718" s="68"/>
      <c r="F718" s="69">
        <v>40</v>
      </c>
      <c r="G718" s="66"/>
      <c r="H718" s="70"/>
      <c r="I718" s="71"/>
      <c r="J718" s="71"/>
      <c r="K718" s="35" t="s">
        <v>65</v>
      </c>
      <c r="L718" s="79">
        <v>718</v>
      </c>
      <c r="M718" s="79"/>
      <c r="N718" s="73"/>
      <c r="O718" s="81" t="s">
        <v>292</v>
      </c>
      <c r="P718">
        <v>1</v>
      </c>
      <c r="Q718" s="80" t="str">
        <f>REPLACE(INDEX(GroupVertices[Group],MATCH(Edges[[#This Row],[Vertex 1]],GroupVertices[Vertex],0)),1,1,"")</f>
        <v>1</v>
      </c>
      <c r="R718" s="80" t="str">
        <f>REPLACE(INDEX(GroupVertices[Group],MATCH(Edges[[#This Row],[Vertex 2]],GroupVertices[Vertex],0)),1,1,"")</f>
        <v>2</v>
      </c>
      <c r="S718" s="35"/>
      <c r="T718" s="35"/>
      <c r="U718" s="35"/>
      <c r="V718" s="35"/>
      <c r="W718" s="35"/>
      <c r="X718" s="35"/>
      <c r="Y718" s="35"/>
      <c r="Z718" s="35"/>
      <c r="AA718" s="35"/>
    </row>
    <row r="719" spans="1:27" ht="15">
      <c r="A719" s="65" t="s">
        <v>641</v>
      </c>
      <c r="B719" s="65" t="s">
        <v>637</v>
      </c>
      <c r="C719" s="66" t="s">
        <v>2113</v>
      </c>
      <c r="D719" s="67">
        <v>3</v>
      </c>
      <c r="E719" s="68"/>
      <c r="F719" s="69">
        <v>40</v>
      </c>
      <c r="G719" s="66"/>
      <c r="H719" s="70"/>
      <c r="I719" s="71"/>
      <c r="J719" s="71"/>
      <c r="K719" s="35" t="s">
        <v>65</v>
      </c>
      <c r="L719" s="79">
        <v>719</v>
      </c>
      <c r="M719" s="79"/>
      <c r="N719" s="73"/>
      <c r="O719" s="81" t="s">
        <v>292</v>
      </c>
      <c r="P719">
        <v>1</v>
      </c>
      <c r="Q719" s="80" t="str">
        <f>REPLACE(INDEX(GroupVertices[Group],MATCH(Edges[[#This Row],[Vertex 1]],GroupVertices[Vertex],0)),1,1,"")</f>
        <v>2</v>
      </c>
      <c r="R719" s="80" t="str">
        <f>REPLACE(INDEX(GroupVertices[Group],MATCH(Edges[[#This Row],[Vertex 2]],GroupVertices[Vertex],0)),1,1,"")</f>
        <v>2</v>
      </c>
      <c r="S719" s="35"/>
      <c r="T719" s="35"/>
      <c r="U719" s="35"/>
      <c r="V719" s="35"/>
      <c r="W719" s="35"/>
      <c r="X719" s="35"/>
      <c r="Y719" s="35"/>
      <c r="Z719" s="35"/>
      <c r="AA719" s="35"/>
    </row>
    <row r="720" spans="1:27" ht="15">
      <c r="A720" s="65" t="s">
        <v>642</v>
      </c>
      <c r="B720" s="65" t="s">
        <v>637</v>
      </c>
      <c r="C720" s="66" t="s">
        <v>2113</v>
      </c>
      <c r="D720" s="67">
        <v>3</v>
      </c>
      <c r="E720" s="68"/>
      <c r="F720" s="69">
        <v>40</v>
      </c>
      <c r="G720" s="66"/>
      <c r="H720" s="70"/>
      <c r="I720" s="71"/>
      <c r="J720" s="71"/>
      <c r="K720" s="35" t="s">
        <v>65</v>
      </c>
      <c r="L720" s="79">
        <v>720</v>
      </c>
      <c r="M720" s="79"/>
      <c r="N720" s="73"/>
      <c r="O720" s="81" t="s">
        <v>292</v>
      </c>
      <c r="P720">
        <v>1</v>
      </c>
      <c r="Q720" s="80" t="str">
        <f>REPLACE(INDEX(GroupVertices[Group],MATCH(Edges[[#This Row],[Vertex 1]],GroupVertices[Vertex],0)),1,1,"")</f>
        <v>2</v>
      </c>
      <c r="R720" s="80" t="str">
        <f>REPLACE(INDEX(GroupVertices[Group],MATCH(Edges[[#This Row],[Vertex 2]],GroupVertices[Vertex],0)),1,1,"")</f>
        <v>2</v>
      </c>
      <c r="S720" s="35"/>
      <c r="T720" s="35"/>
      <c r="U720" s="35"/>
      <c r="V720" s="35"/>
      <c r="W720" s="35"/>
      <c r="X720" s="35"/>
      <c r="Y720" s="35"/>
      <c r="Z720" s="35"/>
      <c r="AA720" s="35"/>
    </row>
    <row r="721" spans="1:27" ht="15">
      <c r="A721" s="65" t="s">
        <v>214</v>
      </c>
      <c r="B721" s="65" t="s">
        <v>637</v>
      </c>
      <c r="C721" s="66" t="s">
        <v>2113</v>
      </c>
      <c r="D721" s="67">
        <v>3</v>
      </c>
      <c r="E721" s="68"/>
      <c r="F721" s="69">
        <v>40</v>
      </c>
      <c r="G721" s="66"/>
      <c r="H721" s="70"/>
      <c r="I721" s="71"/>
      <c r="J721" s="71"/>
      <c r="K721" s="35" t="s">
        <v>65</v>
      </c>
      <c r="L721" s="79">
        <v>721</v>
      </c>
      <c r="M721" s="79"/>
      <c r="N721" s="73"/>
      <c r="O721" s="81" t="s">
        <v>292</v>
      </c>
      <c r="P721">
        <v>1</v>
      </c>
      <c r="Q721" s="80" t="str">
        <f>REPLACE(INDEX(GroupVertices[Group],MATCH(Edges[[#This Row],[Vertex 1]],GroupVertices[Vertex],0)),1,1,"")</f>
        <v>1</v>
      </c>
      <c r="R721" s="80" t="str">
        <f>REPLACE(INDEX(GroupVertices[Group],MATCH(Edges[[#This Row],[Vertex 2]],GroupVertices[Vertex],0)),1,1,"")</f>
        <v>2</v>
      </c>
      <c r="S721" s="35"/>
      <c r="T721" s="35"/>
      <c r="U721" s="35"/>
      <c r="V721" s="35"/>
      <c r="W721" s="35"/>
      <c r="X721" s="35"/>
      <c r="Y721" s="35"/>
      <c r="Z721" s="35"/>
      <c r="AA721" s="35"/>
    </row>
    <row r="722" spans="1:27" ht="15">
      <c r="A722" s="65" t="s">
        <v>643</v>
      </c>
      <c r="B722" s="65" t="s">
        <v>637</v>
      </c>
      <c r="C722" s="66" t="s">
        <v>2113</v>
      </c>
      <c r="D722" s="67">
        <v>3</v>
      </c>
      <c r="E722" s="68"/>
      <c r="F722" s="69">
        <v>40</v>
      </c>
      <c r="G722" s="66"/>
      <c r="H722" s="70"/>
      <c r="I722" s="71"/>
      <c r="J722" s="71"/>
      <c r="K722" s="35" t="s">
        <v>65</v>
      </c>
      <c r="L722" s="79">
        <v>722</v>
      </c>
      <c r="M722" s="79"/>
      <c r="N722" s="73"/>
      <c r="O722" s="81" t="s">
        <v>292</v>
      </c>
      <c r="P722">
        <v>1</v>
      </c>
      <c r="Q722" s="80" t="str">
        <f>REPLACE(INDEX(GroupVertices[Group],MATCH(Edges[[#This Row],[Vertex 1]],GroupVertices[Vertex],0)),1,1,"")</f>
        <v>2</v>
      </c>
      <c r="R722" s="80" t="str">
        <f>REPLACE(INDEX(GroupVertices[Group],MATCH(Edges[[#This Row],[Vertex 2]],GroupVertices[Vertex],0)),1,1,"")</f>
        <v>2</v>
      </c>
      <c r="S722" s="35"/>
      <c r="T722" s="35"/>
      <c r="U722" s="35"/>
      <c r="V722" s="35"/>
      <c r="W722" s="35"/>
      <c r="X722" s="35"/>
      <c r="Y722" s="35"/>
      <c r="Z722" s="35"/>
      <c r="AA722" s="35"/>
    </row>
    <row r="723" spans="1:27" ht="15">
      <c r="A723" s="65" t="s">
        <v>226</v>
      </c>
      <c r="B723" s="65" t="s">
        <v>637</v>
      </c>
      <c r="C723" s="66" t="s">
        <v>2113</v>
      </c>
      <c r="D723" s="67">
        <v>3</v>
      </c>
      <c r="E723" s="68"/>
      <c r="F723" s="69">
        <v>40</v>
      </c>
      <c r="G723" s="66"/>
      <c r="H723" s="70"/>
      <c r="I723" s="71"/>
      <c r="J723" s="71"/>
      <c r="K723" s="35" t="s">
        <v>65</v>
      </c>
      <c r="L723" s="79">
        <v>723</v>
      </c>
      <c r="M723" s="79"/>
      <c r="N723" s="73"/>
      <c r="O723" s="81" t="s">
        <v>292</v>
      </c>
      <c r="P723">
        <v>1</v>
      </c>
      <c r="Q723" s="80" t="str">
        <f>REPLACE(INDEX(GroupVertices[Group],MATCH(Edges[[#This Row],[Vertex 1]],GroupVertices[Vertex],0)),1,1,"")</f>
        <v>1</v>
      </c>
      <c r="R723" s="80" t="str">
        <f>REPLACE(INDEX(GroupVertices[Group],MATCH(Edges[[#This Row],[Vertex 2]],GroupVertices[Vertex],0)),1,1,"")</f>
        <v>2</v>
      </c>
      <c r="S723" s="35"/>
      <c r="T723" s="35"/>
      <c r="U723" s="35"/>
      <c r="V723" s="35"/>
      <c r="W723" s="35"/>
      <c r="X723" s="35"/>
      <c r="Y723" s="35"/>
      <c r="Z723" s="35"/>
      <c r="AA723" s="35"/>
    </row>
    <row r="724" spans="1:27" ht="15">
      <c r="A724" s="65" t="s">
        <v>236</v>
      </c>
      <c r="B724" s="65" t="s">
        <v>637</v>
      </c>
      <c r="C724" s="66" t="s">
        <v>2113</v>
      </c>
      <c r="D724" s="67">
        <v>3</v>
      </c>
      <c r="E724" s="68"/>
      <c r="F724" s="69">
        <v>40</v>
      </c>
      <c r="G724" s="66"/>
      <c r="H724" s="70"/>
      <c r="I724" s="71"/>
      <c r="J724" s="71"/>
      <c r="K724" s="35" t="s">
        <v>65</v>
      </c>
      <c r="L724" s="79">
        <v>724</v>
      </c>
      <c r="M724" s="79"/>
      <c r="N724" s="73"/>
      <c r="O724" s="81" t="s">
        <v>292</v>
      </c>
      <c r="P724">
        <v>1</v>
      </c>
      <c r="Q724" s="80" t="str">
        <f>REPLACE(INDEX(GroupVertices[Group],MATCH(Edges[[#This Row],[Vertex 1]],GroupVertices[Vertex],0)),1,1,"")</f>
        <v>2</v>
      </c>
      <c r="R724" s="80" t="str">
        <f>REPLACE(INDEX(GroupVertices[Group],MATCH(Edges[[#This Row],[Vertex 2]],GroupVertices[Vertex],0)),1,1,"")</f>
        <v>2</v>
      </c>
      <c r="S724" s="35"/>
      <c r="T724" s="35"/>
      <c r="U724" s="35"/>
      <c r="V724" s="35"/>
      <c r="W724" s="35"/>
      <c r="X724" s="35"/>
      <c r="Y724" s="35"/>
      <c r="Z724" s="35"/>
      <c r="AA724" s="35"/>
    </row>
    <row r="725" spans="1:27" ht="15">
      <c r="A725" s="65" t="s">
        <v>644</v>
      </c>
      <c r="B725" s="65" t="s">
        <v>637</v>
      </c>
      <c r="C725" s="66" t="s">
        <v>2113</v>
      </c>
      <c r="D725" s="67">
        <v>3</v>
      </c>
      <c r="E725" s="68"/>
      <c r="F725" s="69">
        <v>40</v>
      </c>
      <c r="G725" s="66"/>
      <c r="H725" s="70"/>
      <c r="I725" s="71"/>
      <c r="J725" s="71"/>
      <c r="K725" s="35" t="s">
        <v>65</v>
      </c>
      <c r="L725" s="79">
        <v>725</v>
      </c>
      <c r="M725" s="79"/>
      <c r="N725" s="73"/>
      <c r="O725" s="81" t="s">
        <v>292</v>
      </c>
      <c r="P725">
        <v>1</v>
      </c>
      <c r="Q725" s="80" t="str">
        <f>REPLACE(INDEX(GroupVertices[Group],MATCH(Edges[[#This Row],[Vertex 1]],GroupVertices[Vertex],0)),1,1,"")</f>
        <v>2</v>
      </c>
      <c r="R725" s="80" t="str">
        <f>REPLACE(INDEX(GroupVertices[Group],MATCH(Edges[[#This Row],[Vertex 2]],GroupVertices[Vertex],0)),1,1,"")</f>
        <v>2</v>
      </c>
      <c r="S725" s="35"/>
      <c r="T725" s="35"/>
      <c r="U725" s="35"/>
      <c r="V725" s="35"/>
      <c r="W725" s="35"/>
      <c r="X725" s="35"/>
      <c r="Y725" s="35"/>
      <c r="Z725" s="35"/>
      <c r="AA725" s="35"/>
    </row>
    <row r="726" spans="1:27" ht="15">
      <c r="A726" s="65" t="s">
        <v>232</v>
      </c>
      <c r="B726" s="65" t="s">
        <v>637</v>
      </c>
      <c r="C726" s="66" t="s">
        <v>2113</v>
      </c>
      <c r="D726" s="67">
        <v>3</v>
      </c>
      <c r="E726" s="68"/>
      <c r="F726" s="69">
        <v>40</v>
      </c>
      <c r="G726" s="66"/>
      <c r="H726" s="70"/>
      <c r="I726" s="71"/>
      <c r="J726" s="71"/>
      <c r="K726" s="35" t="s">
        <v>65</v>
      </c>
      <c r="L726" s="79">
        <v>726</v>
      </c>
      <c r="M726" s="79"/>
      <c r="N726" s="73"/>
      <c r="O726" s="81" t="s">
        <v>292</v>
      </c>
      <c r="P726">
        <v>1</v>
      </c>
      <c r="Q726" s="80" t="str">
        <f>REPLACE(INDEX(GroupVertices[Group],MATCH(Edges[[#This Row],[Vertex 1]],GroupVertices[Vertex],0)),1,1,"")</f>
        <v>2</v>
      </c>
      <c r="R726" s="80" t="str">
        <f>REPLACE(INDEX(GroupVertices[Group],MATCH(Edges[[#This Row],[Vertex 2]],GroupVertices[Vertex],0)),1,1,"")</f>
        <v>2</v>
      </c>
      <c r="S726" s="35"/>
      <c r="T726" s="35"/>
      <c r="U726" s="35"/>
      <c r="V726" s="35"/>
      <c r="W726" s="35"/>
      <c r="X726" s="35"/>
      <c r="Y726" s="35"/>
      <c r="Z726" s="35"/>
      <c r="AA726" s="35"/>
    </row>
    <row r="727" spans="1:27" ht="15">
      <c r="A727" s="65" t="s">
        <v>645</v>
      </c>
      <c r="B727" s="65" t="s">
        <v>637</v>
      </c>
      <c r="C727" s="66" t="s">
        <v>2113</v>
      </c>
      <c r="D727" s="67">
        <v>3</v>
      </c>
      <c r="E727" s="68"/>
      <c r="F727" s="69">
        <v>40</v>
      </c>
      <c r="G727" s="66"/>
      <c r="H727" s="70"/>
      <c r="I727" s="71"/>
      <c r="J727" s="71"/>
      <c r="K727" s="35" t="s">
        <v>65</v>
      </c>
      <c r="L727" s="79">
        <v>727</v>
      </c>
      <c r="M727" s="79"/>
      <c r="N727" s="73"/>
      <c r="O727" s="81" t="s">
        <v>292</v>
      </c>
      <c r="P727">
        <v>1</v>
      </c>
      <c r="Q727" s="80" t="str">
        <f>REPLACE(INDEX(GroupVertices[Group],MATCH(Edges[[#This Row],[Vertex 1]],GroupVertices[Vertex],0)),1,1,"")</f>
        <v>2</v>
      </c>
      <c r="R727" s="80" t="str">
        <f>REPLACE(INDEX(GroupVertices[Group],MATCH(Edges[[#This Row],[Vertex 2]],GroupVertices[Vertex],0)),1,1,"")</f>
        <v>2</v>
      </c>
      <c r="S727" s="35"/>
      <c r="T727" s="35"/>
      <c r="U727" s="35"/>
      <c r="V727" s="35"/>
      <c r="W727" s="35"/>
      <c r="X727" s="35"/>
      <c r="Y727" s="35"/>
      <c r="Z727" s="35"/>
      <c r="AA727" s="35"/>
    </row>
    <row r="728" spans="1:27" ht="15">
      <c r="A728" s="65" t="s">
        <v>216</v>
      </c>
      <c r="B728" s="65" t="s">
        <v>637</v>
      </c>
      <c r="C728" s="66" t="s">
        <v>2113</v>
      </c>
      <c r="D728" s="67">
        <v>3</v>
      </c>
      <c r="E728" s="68"/>
      <c r="F728" s="69">
        <v>40</v>
      </c>
      <c r="G728" s="66"/>
      <c r="H728" s="70"/>
      <c r="I728" s="71"/>
      <c r="J728" s="71"/>
      <c r="K728" s="35" t="s">
        <v>65</v>
      </c>
      <c r="L728" s="79">
        <v>728</v>
      </c>
      <c r="M728" s="79"/>
      <c r="N728" s="73"/>
      <c r="O728" s="81" t="s">
        <v>292</v>
      </c>
      <c r="P728">
        <v>1</v>
      </c>
      <c r="Q728" s="80" t="str">
        <f>REPLACE(INDEX(GroupVertices[Group],MATCH(Edges[[#This Row],[Vertex 1]],GroupVertices[Vertex],0)),1,1,"")</f>
        <v>1</v>
      </c>
      <c r="R728" s="80" t="str">
        <f>REPLACE(INDEX(GroupVertices[Group],MATCH(Edges[[#This Row],[Vertex 2]],GroupVertices[Vertex],0)),1,1,"")</f>
        <v>2</v>
      </c>
      <c r="S728" s="35"/>
      <c r="T728" s="35"/>
      <c r="U728" s="35"/>
      <c r="V728" s="35"/>
      <c r="W728" s="35"/>
      <c r="X728" s="35"/>
      <c r="Y728" s="35"/>
      <c r="Z728" s="35"/>
      <c r="AA728" s="35"/>
    </row>
    <row r="729" spans="1:27" ht="15">
      <c r="A729" s="65" t="s">
        <v>221</v>
      </c>
      <c r="B729" s="65" t="s">
        <v>637</v>
      </c>
      <c r="C729" s="66" t="s">
        <v>2113</v>
      </c>
      <c r="D729" s="67">
        <v>3</v>
      </c>
      <c r="E729" s="68"/>
      <c r="F729" s="69">
        <v>40</v>
      </c>
      <c r="G729" s="66"/>
      <c r="H729" s="70"/>
      <c r="I729" s="71"/>
      <c r="J729" s="71"/>
      <c r="K729" s="35" t="s">
        <v>65</v>
      </c>
      <c r="L729" s="79">
        <v>729</v>
      </c>
      <c r="M729" s="79"/>
      <c r="N729" s="73"/>
      <c r="O729" s="81" t="s">
        <v>292</v>
      </c>
      <c r="P729">
        <v>1</v>
      </c>
      <c r="Q729" s="80" t="str">
        <f>REPLACE(INDEX(GroupVertices[Group],MATCH(Edges[[#This Row],[Vertex 1]],GroupVertices[Vertex],0)),1,1,"")</f>
        <v>1</v>
      </c>
      <c r="R729" s="80" t="str">
        <f>REPLACE(INDEX(GroupVertices[Group],MATCH(Edges[[#This Row],[Vertex 2]],GroupVertices[Vertex],0)),1,1,"")</f>
        <v>2</v>
      </c>
      <c r="S729" s="35"/>
      <c r="T729" s="35"/>
      <c r="U729" s="35"/>
      <c r="V729" s="35"/>
      <c r="W729" s="35"/>
      <c r="X729" s="35"/>
      <c r="Y729" s="35"/>
      <c r="Z729" s="35"/>
      <c r="AA729" s="35"/>
    </row>
    <row r="730" spans="1:27" ht="15">
      <c r="A730" s="65" t="s">
        <v>224</v>
      </c>
      <c r="B730" s="65" t="s">
        <v>637</v>
      </c>
      <c r="C730" s="66" t="s">
        <v>2113</v>
      </c>
      <c r="D730" s="67">
        <v>3</v>
      </c>
      <c r="E730" s="68"/>
      <c r="F730" s="69">
        <v>40</v>
      </c>
      <c r="G730" s="66"/>
      <c r="H730" s="70"/>
      <c r="I730" s="71"/>
      <c r="J730" s="71"/>
      <c r="K730" s="35" t="s">
        <v>66</v>
      </c>
      <c r="L730" s="79">
        <v>730</v>
      </c>
      <c r="M730" s="79"/>
      <c r="N730" s="73"/>
      <c r="O730" s="81" t="s">
        <v>293</v>
      </c>
      <c r="P730">
        <v>1</v>
      </c>
      <c r="Q730" s="80" t="str">
        <f>REPLACE(INDEX(GroupVertices[Group],MATCH(Edges[[#This Row],[Vertex 1]],GroupVertices[Vertex],0)),1,1,"")</f>
        <v>1</v>
      </c>
      <c r="R730" s="80" t="str">
        <f>REPLACE(INDEX(GroupVertices[Group],MATCH(Edges[[#This Row],[Vertex 2]],GroupVertices[Vertex],0)),1,1,"")</f>
        <v>2</v>
      </c>
      <c r="S730" s="35"/>
      <c r="T730" s="35"/>
      <c r="U730" s="35"/>
      <c r="V730" s="35"/>
      <c r="W730" s="35"/>
      <c r="X730" s="35"/>
      <c r="Y730" s="35"/>
      <c r="Z730" s="35"/>
      <c r="AA730" s="35"/>
    </row>
    <row r="731" spans="1:27" ht="15">
      <c r="A731" s="65" t="s">
        <v>233</v>
      </c>
      <c r="B731" s="65" t="s">
        <v>224</v>
      </c>
      <c r="C731" s="66" t="s">
        <v>2114</v>
      </c>
      <c r="D731" s="67">
        <v>3</v>
      </c>
      <c r="E731" s="68"/>
      <c r="F731" s="69">
        <v>40</v>
      </c>
      <c r="G731" s="66"/>
      <c r="H731" s="70"/>
      <c r="I731" s="71"/>
      <c r="J731" s="71"/>
      <c r="K731" s="35" t="s">
        <v>66</v>
      </c>
      <c r="L731" s="79">
        <v>731</v>
      </c>
      <c r="M731" s="79"/>
      <c r="N731" s="73"/>
      <c r="O731" s="81" t="s">
        <v>292</v>
      </c>
      <c r="P731">
        <v>2</v>
      </c>
      <c r="Q731" s="80" t="str">
        <f>REPLACE(INDEX(GroupVertices[Group],MATCH(Edges[[#This Row],[Vertex 1]],GroupVertices[Vertex],0)),1,1,"")</f>
        <v>1</v>
      </c>
      <c r="R731" s="80" t="str">
        <f>REPLACE(INDEX(GroupVertices[Group],MATCH(Edges[[#This Row],[Vertex 2]],GroupVertices[Vertex],0)),1,1,"")</f>
        <v>1</v>
      </c>
      <c r="S731" s="35"/>
      <c r="T731" s="35"/>
      <c r="U731" s="35"/>
      <c r="V731" s="35"/>
      <c r="W731" s="35"/>
      <c r="X731" s="35"/>
      <c r="Y731" s="35"/>
      <c r="Z731" s="35"/>
      <c r="AA731" s="35"/>
    </row>
    <row r="732" spans="1:27" ht="15">
      <c r="A732" s="65" t="s">
        <v>241</v>
      </c>
      <c r="B732" s="65" t="s">
        <v>233</v>
      </c>
      <c r="C732" s="66" t="s">
        <v>2113</v>
      </c>
      <c r="D732" s="67">
        <v>3</v>
      </c>
      <c r="E732" s="68"/>
      <c r="F732" s="69">
        <v>40</v>
      </c>
      <c r="G732" s="66"/>
      <c r="H732" s="70"/>
      <c r="I732" s="71"/>
      <c r="J732" s="71"/>
      <c r="K732" s="35" t="s">
        <v>66</v>
      </c>
      <c r="L732" s="79">
        <v>732</v>
      </c>
      <c r="M732" s="79"/>
      <c r="N732" s="73"/>
      <c r="O732" s="81" t="s">
        <v>292</v>
      </c>
      <c r="P732">
        <v>1</v>
      </c>
      <c r="Q732" s="80" t="str">
        <f>REPLACE(INDEX(GroupVertices[Group],MATCH(Edges[[#This Row],[Vertex 1]],GroupVertices[Vertex],0)),1,1,"")</f>
        <v>1</v>
      </c>
      <c r="R732" s="80" t="str">
        <f>REPLACE(INDEX(GroupVertices[Group],MATCH(Edges[[#This Row],[Vertex 2]],GroupVertices[Vertex],0)),1,1,"")</f>
        <v>1</v>
      </c>
      <c r="S732" s="35"/>
      <c r="T732" s="35"/>
      <c r="U732" s="35"/>
      <c r="V732" s="35"/>
      <c r="W732" s="35"/>
      <c r="X732" s="35"/>
      <c r="Y732" s="35"/>
      <c r="Z732" s="35"/>
      <c r="AA732" s="35"/>
    </row>
    <row r="733" spans="1:27" ht="15">
      <c r="A733" s="65" t="s">
        <v>638</v>
      </c>
      <c r="B733" s="65" t="s">
        <v>233</v>
      </c>
      <c r="C733" s="66" t="s">
        <v>2113</v>
      </c>
      <c r="D733" s="67">
        <v>3</v>
      </c>
      <c r="E733" s="68"/>
      <c r="F733" s="69">
        <v>40</v>
      </c>
      <c r="G733" s="66"/>
      <c r="H733" s="70"/>
      <c r="I733" s="71"/>
      <c r="J733" s="71"/>
      <c r="K733" s="35" t="s">
        <v>65</v>
      </c>
      <c r="L733" s="79">
        <v>733</v>
      </c>
      <c r="M733" s="79"/>
      <c r="N733" s="73"/>
      <c r="O733" s="81" t="s">
        <v>292</v>
      </c>
      <c r="P733">
        <v>1</v>
      </c>
      <c r="Q733" s="80" t="str">
        <f>REPLACE(INDEX(GroupVertices[Group],MATCH(Edges[[#This Row],[Vertex 1]],GroupVertices[Vertex],0)),1,1,"")</f>
        <v>2</v>
      </c>
      <c r="R733" s="80" t="str">
        <f>REPLACE(INDEX(GroupVertices[Group],MATCH(Edges[[#This Row],[Vertex 2]],GroupVertices[Vertex],0)),1,1,"")</f>
        <v>1</v>
      </c>
      <c r="S733" s="35"/>
      <c r="T733" s="35"/>
      <c r="U733" s="35"/>
      <c r="V733" s="35"/>
      <c r="W733" s="35"/>
      <c r="X733" s="35"/>
      <c r="Y733" s="35"/>
      <c r="Z733" s="35"/>
      <c r="AA733" s="35"/>
    </row>
    <row r="734" spans="1:27" ht="15">
      <c r="A734" s="65" t="s">
        <v>235</v>
      </c>
      <c r="B734" s="65" t="s">
        <v>233</v>
      </c>
      <c r="C734" s="66" t="s">
        <v>2115</v>
      </c>
      <c r="D734" s="67">
        <v>3</v>
      </c>
      <c r="E734" s="68"/>
      <c r="F734" s="69">
        <v>40</v>
      </c>
      <c r="G734" s="66"/>
      <c r="H734" s="70"/>
      <c r="I734" s="71"/>
      <c r="J734" s="71"/>
      <c r="K734" s="35" t="s">
        <v>65</v>
      </c>
      <c r="L734" s="79">
        <v>734</v>
      </c>
      <c r="M734" s="79"/>
      <c r="N734" s="73"/>
      <c r="O734" s="81" t="s">
        <v>292</v>
      </c>
      <c r="P734">
        <v>3</v>
      </c>
      <c r="Q734" s="80" t="str">
        <f>REPLACE(INDEX(GroupVertices[Group],MATCH(Edges[[#This Row],[Vertex 1]],GroupVertices[Vertex],0)),1,1,"")</f>
        <v>1</v>
      </c>
      <c r="R734" s="80" t="str">
        <f>REPLACE(INDEX(GroupVertices[Group],MATCH(Edges[[#This Row],[Vertex 2]],GroupVertices[Vertex],0)),1,1,"")</f>
        <v>1</v>
      </c>
      <c r="S734" s="35"/>
      <c r="T734" s="35"/>
      <c r="U734" s="35"/>
      <c r="V734" s="35"/>
      <c r="W734" s="35"/>
      <c r="X734" s="35"/>
      <c r="Y734" s="35"/>
      <c r="Z734" s="35"/>
      <c r="AA734" s="35"/>
    </row>
    <row r="735" spans="1:27" ht="15">
      <c r="A735" s="65" t="s">
        <v>640</v>
      </c>
      <c r="B735" s="65" t="s">
        <v>233</v>
      </c>
      <c r="C735" s="66" t="s">
        <v>2113</v>
      </c>
      <c r="D735" s="67">
        <v>3</v>
      </c>
      <c r="E735" s="68"/>
      <c r="F735" s="69">
        <v>40</v>
      </c>
      <c r="G735" s="66"/>
      <c r="H735" s="70"/>
      <c r="I735" s="71"/>
      <c r="J735" s="71"/>
      <c r="K735" s="35" t="s">
        <v>65</v>
      </c>
      <c r="L735" s="79">
        <v>735</v>
      </c>
      <c r="M735" s="79"/>
      <c r="N735" s="73"/>
      <c r="O735" s="81" t="s">
        <v>292</v>
      </c>
      <c r="P735">
        <v>1</v>
      </c>
      <c r="Q735" s="80" t="str">
        <f>REPLACE(INDEX(GroupVertices[Group],MATCH(Edges[[#This Row],[Vertex 1]],GroupVertices[Vertex],0)),1,1,"")</f>
        <v>2</v>
      </c>
      <c r="R735" s="80" t="str">
        <f>REPLACE(INDEX(GroupVertices[Group],MATCH(Edges[[#This Row],[Vertex 2]],GroupVertices[Vertex],0)),1,1,"")</f>
        <v>1</v>
      </c>
      <c r="S735" s="35"/>
      <c r="T735" s="35"/>
      <c r="U735" s="35"/>
      <c r="V735" s="35"/>
      <c r="W735" s="35"/>
      <c r="X735" s="35"/>
      <c r="Y735" s="35"/>
      <c r="Z735" s="35"/>
      <c r="AA735" s="35"/>
    </row>
    <row r="736" spans="1:27" ht="15">
      <c r="A736" s="65" t="s">
        <v>231</v>
      </c>
      <c r="B736" s="65" t="s">
        <v>233</v>
      </c>
      <c r="C736" s="66" t="s">
        <v>2113</v>
      </c>
      <c r="D736" s="67">
        <v>3</v>
      </c>
      <c r="E736" s="68"/>
      <c r="F736" s="69">
        <v>40</v>
      </c>
      <c r="G736" s="66"/>
      <c r="H736" s="70"/>
      <c r="I736" s="71"/>
      <c r="J736" s="71"/>
      <c r="K736" s="35" t="s">
        <v>66</v>
      </c>
      <c r="L736" s="79">
        <v>736</v>
      </c>
      <c r="M736" s="79"/>
      <c r="N736" s="73"/>
      <c r="O736" s="81" t="s">
        <v>292</v>
      </c>
      <c r="P736">
        <v>1</v>
      </c>
      <c r="Q736" s="80" t="str">
        <f>REPLACE(INDEX(GroupVertices[Group],MATCH(Edges[[#This Row],[Vertex 1]],GroupVertices[Vertex],0)),1,1,"")</f>
        <v>1</v>
      </c>
      <c r="R736" s="80" t="str">
        <f>REPLACE(INDEX(GroupVertices[Group],MATCH(Edges[[#This Row],[Vertex 2]],GroupVertices[Vertex],0)),1,1,"")</f>
        <v>1</v>
      </c>
      <c r="S736" s="35"/>
      <c r="T736" s="35"/>
      <c r="U736" s="35"/>
      <c r="V736" s="35"/>
      <c r="W736" s="35"/>
      <c r="X736" s="35"/>
      <c r="Y736" s="35"/>
      <c r="Z736" s="35"/>
      <c r="AA736" s="35"/>
    </row>
    <row r="737" spans="1:27" ht="15">
      <c r="A737" s="65" t="s">
        <v>234</v>
      </c>
      <c r="B737" s="65" t="s">
        <v>233</v>
      </c>
      <c r="C737" s="66" t="s">
        <v>2114</v>
      </c>
      <c r="D737" s="67">
        <v>3</v>
      </c>
      <c r="E737" s="68"/>
      <c r="F737" s="69">
        <v>40</v>
      </c>
      <c r="G737" s="66"/>
      <c r="H737" s="70"/>
      <c r="I737" s="71"/>
      <c r="J737" s="71"/>
      <c r="K737" s="35" t="s">
        <v>65</v>
      </c>
      <c r="L737" s="79">
        <v>737</v>
      </c>
      <c r="M737" s="79"/>
      <c r="N737" s="73"/>
      <c r="O737" s="81" t="s">
        <v>292</v>
      </c>
      <c r="P737">
        <v>2</v>
      </c>
      <c r="Q737" s="80" t="str">
        <f>REPLACE(INDEX(GroupVertices[Group],MATCH(Edges[[#This Row],[Vertex 1]],GroupVertices[Vertex],0)),1,1,"")</f>
        <v>1</v>
      </c>
      <c r="R737" s="80" t="str">
        <f>REPLACE(INDEX(GroupVertices[Group],MATCH(Edges[[#This Row],[Vertex 2]],GroupVertices[Vertex],0)),1,1,"")</f>
        <v>1</v>
      </c>
      <c r="S737" s="35"/>
      <c r="T737" s="35"/>
      <c r="U737" s="35"/>
      <c r="V737" s="35"/>
      <c r="W737" s="35"/>
      <c r="X737" s="35"/>
      <c r="Y737" s="35"/>
      <c r="Z737" s="35"/>
      <c r="AA737" s="35"/>
    </row>
    <row r="738" spans="1:27" ht="15">
      <c r="A738" s="65" t="s">
        <v>641</v>
      </c>
      <c r="B738" s="65" t="s">
        <v>233</v>
      </c>
      <c r="C738" s="66" t="s">
        <v>2113</v>
      </c>
      <c r="D738" s="67">
        <v>3</v>
      </c>
      <c r="E738" s="68"/>
      <c r="F738" s="69">
        <v>40</v>
      </c>
      <c r="G738" s="66"/>
      <c r="H738" s="70"/>
      <c r="I738" s="71"/>
      <c r="J738" s="71"/>
      <c r="K738" s="35" t="s">
        <v>65</v>
      </c>
      <c r="L738" s="79">
        <v>738</v>
      </c>
      <c r="M738" s="79"/>
      <c r="N738" s="73"/>
      <c r="O738" s="81" t="s">
        <v>292</v>
      </c>
      <c r="P738">
        <v>1</v>
      </c>
      <c r="Q738" s="80" t="str">
        <f>REPLACE(INDEX(GroupVertices[Group],MATCH(Edges[[#This Row],[Vertex 1]],GroupVertices[Vertex],0)),1,1,"")</f>
        <v>2</v>
      </c>
      <c r="R738" s="80" t="str">
        <f>REPLACE(INDEX(GroupVertices[Group],MATCH(Edges[[#This Row],[Vertex 2]],GroupVertices[Vertex],0)),1,1,"")</f>
        <v>1</v>
      </c>
      <c r="S738" s="35"/>
      <c r="T738" s="35"/>
      <c r="U738" s="35"/>
      <c r="V738" s="35"/>
      <c r="W738" s="35"/>
      <c r="X738" s="35"/>
      <c r="Y738" s="35"/>
      <c r="Z738" s="35"/>
      <c r="AA738" s="35"/>
    </row>
    <row r="739" spans="1:27" ht="15">
      <c r="A739" s="65" t="s">
        <v>214</v>
      </c>
      <c r="B739" s="65" t="s">
        <v>233</v>
      </c>
      <c r="C739" s="66" t="s">
        <v>2113</v>
      </c>
      <c r="D739" s="67">
        <v>3</v>
      </c>
      <c r="E739" s="68"/>
      <c r="F739" s="69">
        <v>40</v>
      </c>
      <c r="G739" s="66"/>
      <c r="H739" s="70"/>
      <c r="I739" s="71"/>
      <c r="J739" s="71"/>
      <c r="K739" s="35" t="s">
        <v>66</v>
      </c>
      <c r="L739" s="79">
        <v>739</v>
      </c>
      <c r="M739" s="79"/>
      <c r="N739" s="73"/>
      <c r="O739" s="81" t="s">
        <v>292</v>
      </c>
      <c r="P739">
        <v>1</v>
      </c>
      <c r="Q739" s="80" t="str">
        <f>REPLACE(INDEX(GroupVertices[Group],MATCH(Edges[[#This Row],[Vertex 1]],GroupVertices[Vertex],0)),1,1,"")</f>
        <v>1</v>
      </c>
      <c r="R739" s="80" t="str">
        <f>REPLACE(INDEX(GroupVertices[Group],MATCH(Edges[[#This Row],[Vertex 2]],GroupVertices[Vertex],0)),1,1,"")</f>
        <v>1</v>
      </c>
      <c r="S739" s="35"/>
      <c r="T739" s="35"/>
      <c r="U739" s="35"/>
      <c r="V739" s="35"/>
      <c r="W739" s="35"/>
      <c r="X739" s="35"/>
      <c r="Y739" s="35"/>
      <c r="Z739" s="35"/>
      <c r="AA739" s="35"/>
    </row>
    <row r="740" spans="1:27" ht="15">
      <c r="A740" s="65" t="s">
        <v>643</v>
      </c>
      <c r="B740" s="65" t="s">
        <v>233</v>
      </c>
      <c r="C740" s="66" t="s">
        <v>2113</v>
      </c>
      <c r="D740" s="67">
        <v>3</v>
      </c>
      <c r="E740" s="68"/>
      <c r="F740" s="69">
        <v>40</v>
      </c>
      <c r="G740" s="66"/>
      <c r="H740" s="70"/>
      <c r="I740" s="71"/>
      <c r="J740" s="71"/>
      <c r="K740" s="35" t="s">
        <v>65</v>
      </c>
      <c r="L740" s="79">
        <v>740</v>
      </c>
      <c r="M740" s="79"/>
      <c r="N740" s="73"/>
      <c r="O740" s="81" t="s">
        <v>292</v>
      </c>
      <c r="P740">
        <v>1</v>
      </c>
      <c r="Q740" s="80" t="str">
        <f>REPLACE(INDEX(GroupVertices[Group],MATCH(Edges[[#This Row],[Vertex 1]],GroupVertices[Vertex],0)),1,1,"")</f>
        <v>2</v>
      </c>
      <c r="R740" s="80" t="str">
        <f>REPLACE(INDEX(GroupVertices[Group],MATCH(Edges[[#This Row],[Vertex 2]],GroupVertices[Vertex],0)),1,1,"")</f>
        <v>1</v>
      </c>
      <c r="S740" s="35"/>
      <c r="T740" s="35"/>
      <c r="U740" s="35"/>
      <c r="V740" s="35"/>
      <c r="W740" s="35"/>
      <c r="X740" s="35"/>
      <c r="Y740" s="35"/>
      <c r="Z740" s="35"/>
      <c r="AA740" s="35"/>
    </row>
    <row r="741" spans="1:27" ht="15">
      <c r="A741" s="65" t="s">
        <v>226</v>
      </c>
      <c r="B741" s="65" t="s">
        <v>233</v>
      </c>
      <c r="C741" s="66" t="s">
        <v>2113</v>
      </c>
      <c r="D741" s="67">
        <v>3</v>
      </c>
      <c r="E741" s="68"/>
      <c r="F741" s="69">
        <v>40</v>
      </c>
      <c r="G741" s="66"/>
      <c r="H741" s="70"/>
      <c r="I741" s="71"/>
      <c r="J741" s="71"/>
      <c r="K741" s="35" t="s">
        <v>66</v>
      </c>
      <c r="L741" s="79">
        <v>741</v>
      </c>
      <c r="M741" s="79"/>
      <c r="N741" s="73"/>
      <c r="O741" s="81" t="s">
        <v>292</v>
      </c>
      <c r="P741">
        <v>1</v>
      </c>
      <c r="Q741" s="80" t="str">
        <f>REPLACE(INDEX(GroupVertices[Group],MATCH(Edges[[#This Row],[Vertex 1]],GroupVertices[Vertex],0)),1,1,"")</f>
        <v>1</v>
      </c>
      <c r="R741" s="80" t="str">
        <f>REPLACE(INDEX(GroupVertices[Group],MATCH(Edges[[#This Row],[Vertex 2]],GroupVertices[Vertex],0)),1,1,"")</f>
        <v>1</v>
      </c>
      <c r="S741" s="35"/>
      <c r="T741" s="35"/>
      <c r="U741" s="35"/>
      <c r="V741" s="35"/>
      <c r="W741" s="35"/>
      <c r="X741" s="35"/>
      <c r="Y741" s="35"/>
      <c r="Z741" s="35"/>
      <c r="AA741" s="35"/>
    </row>
    <row r="742" spans="1:27" ht="15">
      <c r="A742" s="65" t="s">
        <v>236</v>
      </c>
      <c r="B742" s="65" t="s">
        <v>233</v>
      </c>
      <c r="C742" s="66" t="s">
        <v>2114</v>
      </c>
      <c r="D742" s="67">
        <v>3</v>
      </c>
      <c r="E742" s="68"/>
      <c r="F742" s="69">
        <v>40</v>
      </c>
      <c r="G742" s="66"/>
      <c r="H742" s="70"/>
      <c r="I742" s="71"/>
      <c r="J742" s="71"/>
      <c r="K742" s="35" t="s">
        <v>65</v>
      </c>
      <c r="L742" s="79">
        <v>742</v>
      </c>
      <c r="M742" s="79"/>
      <c r="N742" s="73"/>
      <c r="O742" s="81" t="s">
        <v>292</v>
      </c>
      <c r="P742">
        <v>2</v>
      </c>
      <c r="Q742" s="80" t="str">
        <f>REPLACE(INDEX(GroupVertices[Group],MATCH(Edges[[#This Row],[Vertex 1]],GroupVertices[Vertex],0)),1,1,"")</f>
        <v>2</v>
      </c>
      <c r="R742" s="80" t="str">
        <f>REPLACE(INDEX(GroupVertices[Group],MATCH(Edges[[#This Row],[Vertex 2]],GroupVertices[Vertex],0)),1,1,"")</f>
        <v>1</v>
      </c>
      <c r="S742" s="35"/>
      <c r="T742" s="35"/>
      <c r="U742" s="35"/>
      <c r="V742" s="35"/>
      <c r="W742" s="35"/>
      <c r="X742" s="35"/>
      <c r="Y742" s="35"/>
      <c r="Z742" s="35"/>
      <c r="AA742" s="35"/>
    </row>
    <row r="743" spans="1:27" ht="15">
      <c r="A743" s="65" t="s">
        <v>644</v>
      </c>
      <c r="B743" s="65" t="s">
        <v>233</v>
      </c>
      <c r="C743" s="66" t="s">
        <v>2113</v>
      </c>
      <c r="D743" s="67">
        <v>3</v>
      </c>
      <c r="E743" s="68"/>
      <c r="F743" s="69">
        <v>40</v>
      </c>
      <c r="G743" s="66"/>
      <c r="H743" s="70"/>
      <c r="I743" s="71"/>
      <c r="J743" s="71"/>
      <c r="K743" s="35" t="s">
        <v>65</v>
      </c>
      <c r="L743" s="79">
        <v>743</v>
      </c>
      <c r="M743" s="79"/>
      <c r="N743" s="73"/>
      <c r="O743" s="81" t="s">
        <v>292</v>
      </c>
      <c r="P743">
        <v>1</v>
      </c>
      <c r="Q743" s="80" t="str">
        <f>REPLACE(INDEX(GroupVertices[Group],MATCH(Edges[[#This Row],[Vertex 1]],GroupVertices[Vertex],0)),1,1,"")</f>
        <v>2</v>
      </c>
      <c r="R743" s="80" t="str">
        <f>REPLACE(INDEX(GroupVertices[Group],MATCH(Edges[[#This Row],[Vertex 2]],GroupVertices[Vertex],0)),1,1,"")</f>
        <v>1</v>
      </c>
      <c r="S743" s="35"/>
      <c r="T743" s="35"/>
      <c r="U743" s="35"/>
      <c r="V743" s="35"/>
      <c r="W743" s="35"/>
      <c r="X743" s="35"/>
      <c r="Y743" s="35"/>
      <c r="Z743" s="35"/>
      <c r="AA743" s="35"/>
    </row>
    <row r="744" spans="1:27" ht="15">
      <c r="A744" s="65" t="s">
        <v>232</v>
      </c>
      <c r="B744" s="65" t="s">
        <v>233</v>
      </c>
      <c r="C744" s="66" t="s">
        <v>2114</v>
      </c>
      <c r="D744" s="67">
        <v>3</v>
      </c>
      <c r="E744" s="68"/>
      <c r="F744" s="69">
        <v>40</v>
      </c>
      <c r="G744" s="66"/>
      <c r="H744" s="70"/>
      <c r="I744" s="71"/>
      <c r="J744" s="71"/>
      <c r="K744" s="35" t="s">
        <v>66</v>
      </c>
      <c r="L744" s="79">
        <v>744</v>
      </c>
      <c r="M744" s="79"/>
      <c r="N744" s="73"/>
      <c r="O744" s="81" t="s">
        <v>292</v>
      </c>
      <c r="P744">
        <v>2</v>
      </c>
      <c r="Q744" s="80" t="str">
        <f>REPLACE(INDEX(GroupVertices[Group],MATCH(Edges[[#This Row],[Vertex 1]],GroupVertices[Vertex],0)),1,1,"")</f>
        <v>2</v>
      </c>
      <c r="R744" s="80" t="str">
        <f>REPLACE(INDEX(GroupVertices[Group],MATCH(Edges[[#This Row],[Vertex 2]],GroupVertices[Vertex],0)),1,1,"")</f>
        <v>1</v>
      </c>
      <c r="S744" s="35"/>
      <c r="T744" s="35"/>
      <c r="U744" s="35"/>
      <c r="V744" s="35"/>
      <c r="W744" s="35"/>
      <c r="X744" s="35"/>
      <c r="Y744" s="35"/>
      <c r="Z744" s="35"/>
      <c r="AA744" s="35"/>
    </row>
    <row r="745" spans="1:27" ht="15">
      <c r="A745" s="65" t="s">
        <v>645</v>
      </c>
      <c r="B745" s="65" t="s">
        <v>233</v>
      </c>
      <c r="C745" s="66" t="s">
        <v>2113</v>
      </c>
      <c r="D745" s="67">
        <v>3</v>
      </c>
      <c r="E745" s="68"/>
      <c r="F745" s="69">
        <v>40</v>
      </c>
      <c r="G745" s="66"/>
      <c r="H745" s="70"/>
      <c r="I745" s="71"/>
      <c r="J745" s="71"/>
      <c r="K745" s="35" t="s">
        <v>65</v>
      </c>
      <c r="L745" s="79">
        <v>745</v>
      </c>
      <c r="M745" s="79"/>
      <c r="N745" s="73"/>
      <c r="O745" s="81" t="s">
        <v>292</v>
      </c>
      <c r="P745">
        <v>1</v>
      </c>
      <c r="Q745" s="80" t="str">
        <f>REPLACE(INDEX(GroupVertices[Group],MATCH(Edges[[#This Row],[Vertex 1]],GroupVertices[Vertex],0)),1,1,"")</f>
        <v>2</v>
      </c>
      <c r="R745" s="80" t="str">
        <f>REPLACE(INDEX(GroupVertices[Group],MATCH(Edges[[#This Row],[Vertex 2]],GroupVertices[Vertex],0)),1,1,"")</f>
        <v>1</v>
      </c>
      <c r="S745" s="35"/>
      <c r="T745" s="35"/>
      <c r="U745" s="35"/>
      <c r="V745" s="35"/>
      <c r="W745" s="35"/>
      <c r="X745" s="35"/>
      <c r="Y745" s="35"/>
      <c r="Z745" s="35"/>
      <c r="AA745" s="35"/>
    </row>
    <row r="746" spans="1:27" ht="15">
      <c r="A746" s="65" t="s">
        <v>216</v>
      </c>
      <c r="B746" s="65" t="s">
        <v>233</v>
      </c>
      <c r="C746" s="66" t="s">
        <v>2114</v>
      </c>
      <c r="D746" s="67">
        <v>3</v>
      </c>
      <c r="E746" s="68"/>
      <c r="F746" s="69">
        <v>40</v>
      </c>
      <c r="G746" s="66"/>
      <c r="H746" s="70"/>
      <c r="I746" s="71"/>
      <c r="J746" s="71"/>
      <c r="K746" s="35" t="s">
        <v>66</v>
      </c>
      <c r="L746" s="79">
        <v>746</v>
      </c>
      <c r="M746" s="79"/>
      <c r="N746" s="73"/>
      <c r="O746" s="81" t="s">
        <v>292</v>
      </c>
      <c r="P746">
        <v>2</v>
      </c>
      <c r="Q746" s="80" t="str">
        <f>REPLACE(INDEX(GroupVertices[Group],MATCH(Edges[[#This Row],[Vertex 1]],GroupVertices[Vertex],0)),1,1,"")</f>
        <v>1</v>
      </c>
      <c r="R746" s="80" t="str">
        <f>REPLACE(INDEX(GroupVertices[Group],MATCH(Edges[[#This Row],[Vertex 2]],GroupVertices[Vertex],0)),1,1,"")</f>
        <v>1</v>
      </c>
      <c r="S746" s="35"/>
      <c r="T746" s="35"/>
      <c r="U746" s="35"/>
      <c r="V746" s="35"/>
      <c r="W746" s="35"/>
      <c r="X746" s="35"/>
      <c r="Y746" s="35"/>
      <c r="Z746" s="35"/>
      <c r="AA746" s="35"/>
    </row>
    <row r="747" spans="1:27" ht="15">
      <c r="A747" s="65" t="s">
        <v>221</v>
      </c>
      <c r="B747" s="65" t="s">
        <v>233</v>
      </c>
      <c r="C747" s="66" t="s">
        <v>2113</v>
      </c>
      <c r="D747" s="67">
        <v>3</v>
      </c>
      <c r="E747" s="68"/>
      <c r="F747" s="69">
        <v>40</v>
      </c>
      <c r="G747" s="66"/>
      <c r="H747" s="70"/>
      <c r="I747" s="71"/>
      <c r="J747" s="71"/>
      <c r="K747" s="35" t="s">
        <v>66</v>
      </c>
      <c r="L747" s="79">
        <v>747</v>
      </c>
      <c r="M747" s="79"/>
      <c r="N747" s="73"/>
      <c r="O747" s="81" t="s">
        <v>292</v>
      </c>
      <c r="P747">
        <v>1</v>
      </c>
      <c r="Q747" s="80" t="str">
        <f>REPLACE(INDEX(GroupVertices[Group],MATCH(Edges[[#This Row],[Vertex 1]],GroupVertices[Vertex],0)),1,1,"")</f>
        <v>1</v>
      </c>
      <c r="R747" s="80" t="str">
        <f>REPLACE(INDEX(GroupVertices[Group],MATCH(Edges[[#This Row],[Vertex 2]],GroupVertices[Vertex],0)),1,1,"")</f>
        <v>1</v>
      </c>
      <c r="S747" s="35"/>
      <c r="T747" s="35"/>
      <c r="U747" s="35"/>
      <c r="V747" s="35"/>
      <c r="W747" s="35"/>
      <c r="X747" s="35"/>
      <c r="Y747" s="35"/>
      <c r="Z747" s="35"/>
      <c r="AA747" s="35"/>
    </row>
    <row r="748" spans="1:27" ht="15">
      <c r="A748" s="65" t="s">
        <v>243</v>
      </c>
      <c r="B748" s="65" t="s">
        <v>233</v>
      </c>
      <c r="C748" s="66" t="s">
        <v>2114</v>
      </c>
      <c r="D748" s="67">
        <v>3</v>
      </c>
      <c r="E748" s="68"/>
      <c r="F748" s="69">
        <v>40</v>
      </c>
      <c r="G748" s="66"/>
      <c r="H748" s="70"/>
      <c r="I748" s="71"/>
      <c r="J748" s="71"/>
      <c r="K748" s="35" t="s">
        <v>65</v>
      </c>
      <c r="L748" s="79">
        <v>748</v>
      </c>
      <c r="M748" s="79"/>
      <c r="N748" s="73"/>
      <c r="O748" s="81" t="s">
        <v>292</v>
      </c>
      <c r="P748">
        <v>2</v>
      </c>
      <c r="Q748" s="80" t="str">
        <f>REPLACE(INDEX(GroupVertices[Group],MATCH(Edges[[#This Row],[Vertex 1]],GroupVertices[Vertex],0)),1,1,"")</f>
        <v>1</v>
      </c>
      <c r="R748" s="80" t="str">
        <f>REPLACE(INDEX(GroupVertices[Group],MATCH(Edges[[#This Row],[Vertex 2]],GroupVertices[Vertex],0)),1,1,"")</f>
        <v>1</v>
      </c>
      <c r="S748" s="35"/>
      <c r="T748" s="35"/>
      <c r="U748" s="35"/>
      <c r="V748" s="35"/>
      <c r="W748" s="35"/>
      <c r="X748" s="35"/>
      <c r="Y748" s="35"/>
      <c r="Z748" s="35"/>
      <c r="AA748" s="35"/>
    </row>
    <row r="749" spans="1:27" ht="15">
      <c r="A749" s="65" t="s">
        <v>232</v>
      </c>
      <c r="B749" s="65" t="s">
        <v>233</v>
      </c>
      <c r="C749" s="66" t="s">
        <v>2114</v>
      </c>
      <c r="D749" s="67">
        <v>3</v>
      </c>
      <c r="E749" s="68"/>
      <c r="F749" s="69">
        <v>40</v>
      </c>
      <c r="G749" s="66"/>
      <c r="H749" s="70"/>
      <c r="I749" s="71"/>
      <c r="J749" s="71"/>
      <c r="K749" s="35" t="s">
        <v>66</v>
      </c>
      <c r="L749" s="79">
        <v>749</v>
      </c>
      <c r="M749" s="79"/>
      <c r="N749" s="73"/>
      <c r="O749" s="81" t="s">
        <v>293</v>
      </c>
      <c r="P749">
        <v>2</v>
      </c>
      <c r="Q749" s="80" t="str">
        <f>REPLACE(INDEX(GroupVertices[Group],MATCH(Edges[[#This Row],[Vertex 1]],GroupVertices[Vertex],0)),1,1,"")</f>
        <v>2</v>
      </c>
      <c r="R749" s="80" t="str">
        <f>REPLACE(INDEX(GroupVertices[Group],MATCH(Edges[[#This Row],[Vertex 2]],GroupVertices[Vertex],0)),1,1,"")</f>
        <v>1</v>
      </c>
      <c r="S749" s="35"/>
      <c r="T749" s="35"/>
      <c r="U749" s="35"/>
      <c r="V749" s="35"/>
      <c r="W749" s="35"/>
      <c r="X749" s="35"/>
      <c r="Y749" s="35"/>
      <c r="Z749" s="35"/>
      <c r="AA749" s="35"/>
    </row>
    <row r="750" spans="1:27" ht="15">
      <c r="A750" s="65" t="s">
        <v>235</v>
      </c>
      <c r="B750" s="65" t="s">
        <v>233</v>
      </c>
      <c r="C750" s="66" t="s">
        <v>2115</v>
      </c>
      <c r="D750" s="67">
        <v>3</v>
      </c>
      <c r="E750" s="68"/>
      <c r="F750" s="69">
        <v>40</v>
      </c>
      <c r="G750" s="66"/>
      <c r="H750" s="70"/>
      <c r="I750" s="71"/>
      <c r="J750" s="71"/>
      <c r="K750" s="35" t="s">
        <v>65</v>
      </c>
      <c r="L750" s="79">
        <v>750</v>
      </c>
      <c r="M750" s="79"/>
      <c r="N750" s="73"/>
      <c r="O750" s="81" t="s">
        <v>293</v>
      </c>
      <c r="P750">
        <v>3</v>
      </c>
      <c r="Q750" s="80" t="str">
        <f>REPLACE(INDEX(GroupVertices[Group],MATCH(Edges[[#This Row],[Vertex 1]],GroupVertices[Vertex],0)),1,1,"")</f>
        <v>1</v>
      </c>
      <c r="R750" s="80" t="str">
        <f>REPLACE(INDEX(GroupVertices[Group],MATCH(Edges[[#This Row],[Vertex 2]],GroupVertices[Vertex],0)),1,1,"")</f>
        <v>1</v>
      </c>
      <c r="S750" s="35"/>
      <c r="T750" s="35"/>
      <c r="U750" s="35"/>
      <c r="V750" s="35"/>
      <c r="W750" s="35"/>
      <c r="X750" s="35"/>
      <c r="Y750" s="35"/>
      <c r="Z750" s="35"/>
      <c r="AA750" s="35"/>
    </row>
    <row r="751" spans="1:27" ht="15">
      <c r="A751" s="65" t="s">
        <v>224</v>
      </c>
      <c r="B751" s="65" t="s">
        <v>233</v>
      </c>
      <c r="C751" s="66" t="s">
        <v>2113</v>
      </c>
      <c r="D751" s="67">
        <v>3</v>
      </c>
      <c r="E751" s="68"/>
      <c r="F751" s="69">
        <v>40</v>
      </c>
      <c r="G751" s="66"/>
      <c r="H751" s="70"/>
      <c r="I751" s="71"/>
      <c r="J751" s="71"/>
      <c r="K751" s="35" t="s">
        <v>66</v>
      </c>
      <c r="L751" s="79">
        <v>751</v>
      </c>
      <c r="M751" s="79"/>
      <c r="N751" s="73"/>
      <c r="O751" s="81" t="s">
        <v>293</v>
      </c>
      <c r="P751">
        <v>1</v>
      </c>
      <c r="Q751" s="80" t="str">
        <f>REPLACE(INDEX(GroupVertices[Group],MATCH(Edges[[#This Row],[Vertex 1]],GroupVertices[Vertex],0)),1,1,"")</f>
        <v>1</v>
      </c>
      <c r="R751" s="80" t="str">
        <f>REPLACE(INDEX(GroupVertices[Group],MATCH(Edges[[#This Row],[Vertex 2]],GroupVertices[Vertex],0)),1,1,"")</f>
        <v>1</v>
      </c>
      <c r="S751" s="35"/>
      <c r="T751" s="35"/>
      <c r="U751" s="35"/>
      <c r="V751" s="35"/>
      <c r="W751" s="35"/>
      <c r="X751" s="35"/>
      <c r="Y751" s="35"/>
      <c r="Z751" s="35"/>
      <c r="AA751" s="35"/>
    </row>
    <row r="752" spans="1:27" ht="15">
      <c r="A752" s="65" t="s">
        <v>241</v>
      </c>
      <c r="B752" s="65" t="s">
        <v>224</v>
      </c>
      <c r="C752" s="66" t="s">
        <v>2114</v>
      </c>
      <c r="D752" s="67">
        <v>3</v>
      </c>
      <c r="E752" s="68"/>
      <c r="F752" s="69">
        <v>40</v>
      </c>
      <c r="G752" s="66"/>
      <c r="H752" s="70"/>
      <c r="I752" s="71"/>
      <c r="J752" s="71"/>
      <c r="K752" s="35" t="s">
        <v>66</v>
      </c>
      <c r="L752" s="79">
        <v>752</v>
      </c>
      <c r="M752" s="79"/>
      <c r="N752" s="73"/>
      <c r="O752" s="81" t="s">
        <v>292</v>
      </c>
      <c r="P752">
        <v>2</v>
      </c>
      <c r="Q752" s="80" t="str">
        <f>REPLACE(INDEX(GroupVertices[Group],MATCH(Edges[[#This Row],[Vertex 1]],GroupVertices[Vertex],0)),1,1,"")</f>
        <v>1</v>
      </c>
      <c r="R752" s="80" t="str">
        <f>REPLACE(INDEX(GroupVertices[Group],MATCH(Edges[[#This Row],[Vertex 2]],GroupVertices[Vertex],0)),1,1,"")</f>
        <v>1</v>
      </c>
      <c r="S752" s="35"/>
      <c r="T752" s="35"/>
      <c r="U752" s="35"/>
      <c r="V752" s="35"/>
      <c r="W752" s="35"/>
      <c r="X752" s="35"/>
      <c r="Y752" s="35"/>
      <c r="Z752" s="35"/>
      <c r="AA752" s="35"/>
    </row>
    <row r="753" spans="1:27" ht="15">
      <c r="A753" s="65" t="s">
        <v>638</v>
      </c>
      <c r="B753" s="65" t="s">
        <v>241</v>
      </c>
      <c r="C753" s="66" t="s">
        <v>2113</v>
      </c>
      <c r="D753" s="67">
        <v>3</v>
      </c>
      <c r="E753" s="68"/>
      <c r="F753" s="69">
        <v>40</v>
      </c>
      <c r="G753" s="66"/>
      <c r="H753" s="70"/>
      <c r="I753" s="71"/>
      <c r="J753" s="71"/>
      <c r="K753" s="35" t="s">
        <v>65</v>
      </c>
      <c r="L753" s="79">
        <v>753</v>
      </c>
      <c r="M753" s="79"/>
      <c r="N753" s="73"/>
      <c r="O753" s="81" t="s">
        <v>292</v>
      </c>
      <c r="P753">
        <v>1</v>
      </c>
      <c r="Q753" s="80" t="str">
        <f>REPLACE(INDEX(GroupVertices[Group],MATCH(Edges[[#This Row],[Vertex 1]],GroupVertices[Vertex],0)),1,1,"")</f>
        <v>2</v>
      </c>
      <c r="R753" s="80" t="str">
        <f>REPLACE(INDEX(GroupVertices[Group],MATCH(Edges[[#This Row],[Vertex 2]],GroupVertices[Vertex],0)),1,1,"")</f>
        <v>1</v>
      </c>
      <c r="S753" s="35"/>
      <c r="T753" s="35"/>
      <c r="U753" s="35"/>
      <c r="V753" s="35"/>
      <c r="W753" s="35"/>
      <c r="X753" s="35"/>
      <c r="Y753" s="35"/>
      <c r="Z753" s="35"/>
      <c r="AA753" s="35"/>
    </row>
    <row r="754" spans="1:27" ht="15">
      <c r="A754" s="65" t="s">
        <v>235</v>
      </c>
      <c r="B754" s="65" t="s">
        <v>241</v>
      </c>
      <c r="C754" s="66" t="s">
        <v>2114</v>
      </c>
      <c r="D754" s="67">
        <v>3</v>
      </c>
      <c r="E754" s="68"/>
      <c r="F754" s="69">
        <v>40</v>
      </c>
      <c r="G754" s="66"/>
      <c r="H754" s="70"/>
      <c r="I754" s="71"/>
      <c r="J754" s="71"/>
      <c r="K754" s="35" t="s">
        <v>65</v>
      </c>
      <c r="L754" s="79">
        <v>754</v>
      </c>
      <c r="M754" s="79"/>
      <c r="N754" s="73"/>
      <c r="O754" s="81" t="s">
        <v>292</v>
      </c>
      <c r="P754">
        <v>2</v>
      </c>
      <c r="Q754" s="80" t="str">
        <f>REPLACE(INDEX(GroupVertices[Group],MATCH(Edges[[#This Row],[Vertex 1]],GroupVertices[Vertex],0)),1,1,"")</f>
        <v>1</v>
      </c>
      <c r="R754" s="80" t="str">
        <f>REPLACE(INDEX(GroupVertices[Group],MATCH(Edges[[#This Row],[Vertex 2]],GroupVertices[Vertex],0)),1,1,"")</f>
        <v>1</v>
      </c>
      <c r="S754" s="35"/>
      <c r="T754" s="35"/>
      <c r="U754" s="35"/>
      <c r="V754" s="35"/>
      <c r="W754" s="35"/>
      <c r="X754" s="35"/>
      <c r="Y754" s="35"/>
      <c r="Z754" s="35"/>
      <c r="AA754" s="35"/>
    </row>
    <row r="755" spans="1:27" ht="15">
      <c r="A755" s="65" t="s">
        <v>639</v>
      </c>
      <c r="B755" s="65" t="s">
        <v>241</v>
      </c>
      <c r="C755" s="66" t="s">
        <v>2113</v>
      </c>
      <c r="D755" s="67">
        <v>3</v>
      </c>
      <c r="E755" s="68"/>
      <c r="F755" s="69">
        <v>40</v>
      </c>
      <c r="G755" s="66"/>
      <c r="H755" s="70"/>
      <c r="I755" s="71"/>
      <c r="J755" s="71"/>
      <c r="K755" s="35" t="s">
        <v>65</v>
      </c>
      <c r="L755" s="79">
        <v>755</v>
      </c>
      <c r="M755" s="79"/>
      <c r="N755" s="73"/>
      <c r="O755" s="81" t="s">
        <v>292</v>
      </c>
      <c r="P755">
        <v>1</v>
      </c>
      <c r="Q755" s="80" t="str">
        <f>REPLACE(INDEX(GroupVertices[Group],MATCH(Edges[[#This Row],[Vertex 1]],GroupVertices[Vertex],0)),1,1,"")</f>
        <v>2</v>
      </c>
      <c r="R755" s="80" t="str">
        <f>REPLACE(INDEX(GroupVertices[Group],MATCH(Edges[[#This Row],[Vertex 2]],GroupVertices[Vertex],0)),1,1,"")</f>
        <v>1</v>
      </c>
      <c r="S755" s="35"/>
      <c r="T755" s="35"/>
      <c r="U755" s="35"/>
      <c r="V755" s="35"/>
      <c r="W755" s="35"/>
      <c r="X755" s="35"/>
      <c r="Y755" s="35"/>
      <c r="Z755" s="35"/>
      <c r="AA755" s="35"/>
    </row>
    <row r="756" spans="1:27" ht="15">
      <c r="A756" s="65" t="s">
        <v>640</v>
      </c>
      <c r="B756" s="65" t="s">
        <v>241</v>
      </c>
      <c r="C756" s="66" t="s">
        <v>2113</v>
      </c>
      <c r="D756" s="67">
        <v>3</v>
      </c>
      <c r="E756" s="68"/>
      <c r="F756" s="69">
        <v>40</v>
      </c>
      <c r="G756" s="66"/>
      <c r="H756" s="70"/>
      <c r="I756" s="71"/>
      <c r="J756" s="71"/>
      <c r="K756" s="35" t="s">
        <v>65</v>
      </c>
      <c r="L756" s="79">
        <v>756</v>
      </c>
      <c r="M756" s="79"/>
      <c r="N756" s="73"/>
      <c r="O756" s="81" t="s">
        <v>292</v>
      </c>
      <c r="P756">
        <v>1</v>
      </c>
      <c r="Q756" s="80" t="str">
        <f>REPLACE(INDEX(GroupVertices[Group],MATCH(Edges[[#This Row],[Vertex 1]],GroupVertices[Vertex],0)),1,1,"")</f>
        <v>2</v>
      </c>
      <c r="R756" s="80" t="str">
        <f>REPLACE(INDEX(GroupVertices[Group],MATCH(Edges[[#This Row],[Vertex 2]],GroupVertices[Vertex],0)),1,1,"")</f>
        <v>1</v>
      </c>
      <c r="S756" s="35"/>
      <c r="T756" s="35"/>
      <c r="U756" s="35"/>
      <c r="V756" s="35"/>
      <c r="W756" s="35"/>
      <c r="X756" s="35"/>
      <c r="Y756" s="35"/>
      <c r="Z756" s="35"/>
      <c r="AA756" s="35"/>
    </row>
    <row r="757" spans="1:27" ht="15">
      <c r="A757" s="65" t="s">
        <v>231</v>
      </c>
      <c r="B757" s="65" t="s">
        <v>241</v>
      </c>
      <c r="C757" s="66" t="s">
        <v>2114</v>
      </c>
      <c r="D757" s="67">
        <v>3</v>
      </c>
      <c r="E757" s="68"/>
      <c r="F757" s="69">
        <v>40</v>
      </c>
      <c r="G757" s="66"/>
      <c r="H757" s="70"/>
      <c r="I757" s="71"/>
      <c r="J757" s="71"/>
      <c r="K757" s="35" t="s">
        <v>65</v>
      </c>
      <c r="L757" s="79">
        <v>757</v>
      </c>
      <c r="M757" s="79"/>
      <c r="N757" s="73"/>
      <c r="O757" s="81" t="s">
        <v>292</v>
      </c>
      <c r="P757">
        <v>2</v>
      </c>
      <c r="Q757" s="80" t="str">
        <f>REPLACE(INDEX(GroupVertices[Group],MATCH(Edges[[#This Row],[Vertex 1]],GroupVertices[Vertex],0)),1,1,"")</f>
        <v>1</v>
      </c>
      <c r="R757" s="80" t="str">
        <f>REPLACE(INDEX(GroupVertices[Group],MATCH(Edges[[#This Row],[Vertex 2]],GroupVertices[Vertex],0)),1,1,"")</f>
        <v>1</v>
      </c>
      <c r="S757" s="35"/>
      <c r="T757" s="35"/>
      <c r="U757" s="35"/>
      <c r="V757" s="35"/>
      <c r="W757" s="35"/>
      <c r="X757" s="35"/>
      <c r="Y757" s="35"/>
      <c r="Z757" s="35"/>
      <c r="AA757" s="35"/>
    </row>
    <row r="758" spans="1:27" ht="15">
      <c r="A758" s="65" t="s">
        <v>234</v>
      </c>
      <c r="B758" s="65" t="s">
        <v>241</v>
      </c>
      <c r="C758" s="66" t="s">
        <v>2114</v>
      </c>
      <c r="D758" s="67">
        <v>3</v>
      </c>
      <c r="E758" s="68"/>
      <c r="F758" s="69">
        <v>40</v>
      </c>
      <c r="G758" s="66"/>
      <c r="H758" s="70"/>
      <c r="I758" s="71"/>
      <c r="J758" s="71"/>
      <c r="K758" s="35" t="s">
        <v>65</v>
      </c>
      <c r="L758" s="79">
        <v>758</v>
      </c>
      <c r="M758" s="79"/>
      <c r="N758" s="73"/>
      <c r="O758" s="81" t="s">
        <v>292</v>
      </c>
      <c r="P758">
        <v>2</v>
      </c>
      <c r="Q758" s="80" t="str">
        <f>REPLACE(INDEX(GroupVertices[Group],MATCH(Edges[[#This Row],[Vertex 1]],GroupVertices[Vertex],0)),1,1,"")</f>
        <v>1</v>
      </c>
      <c r="R758" s="80" t="str">
        <f>REPLACE(INDEX(GroupVertices[Group],MATCH(Edges[[#This Row],[Vertex 2]],GroupVertices[Vertex],0)),1,1,"")</f>
        <v>1</v>
      </c>
      <c r="S758" s="35"/>
      <c r="T758" s="35"/>
      <c r="U758" s="35"/>
      <c r="V758" s="35"/>
      <c r="W758" s="35"/>
      <c r="X758" s="35"/>
      <c r="Y758" s="35"/>
      <c r="Z758" s="35"/>
      <c r="AA758" s="35"/>
    </row>
    <row r="759" spans="1:27" ht="15">
      <c r="A759" s="65" t="s">
        <v>641</v>
      </c>
      <c r="B759" s="65" t="s">
        <v>241</v>
      </c>
      <c r="C759" s="66" t="s">
        <v>2113</v>
      </c>
      <c r="D759" s="67">
        <v>3</v>
      </c>
      <c r="E759" s="68"/>
      <c r="F759" s="69">
        <v>40</v>
      </c>
      <c r="G759" s="66"/>
      <c r="H759" s="70"/>
      <c r="I759" s="71"/>
      <c r="J759" s="71"/>
      <c r="K759" s="35" t="s">
        <v>65</v>
      </c>
      <c r="L759" s="79">
        <v>759</v>
      </c>
      <c r="M759" s="79"/>
      <c r="N759" s="73"/>
      <c r="O759" s="81" t="s">
        <v>292</v>
      </c>
      <c r="P759">
        <v>1</v>
      </c>
      <c r="Q759" s="80" t="str">
        <f>REPLACE(INDEX(GroupVertices[Group],MATCH(Edges[[#This Row],[Vertex 1]],GroupVertices[Vertex],0)),1,1,"")</f>
        <v>2</v>
      </c>
      <c r="R759" s="80" t="str">
        <f>REPLACE(INDEX(GroupVertices[Group],MATCH(Edges[[#This Row],[Vertex 2]],GroupVertices[Vertex],0)),1,1,"")</f>
        <v>1</v>
      </c>
      <c r="S759" s="35"/>
      <c r="T759" s="35"/>
      <c r="U759" s="35"/>
      <c r="V759" s="35"/>
      <c r="W759" s="35"/>
      <c r="X759" s="35"/>
      <c r="Y759" s="35"/>
      <c r="Z759" s="35"/>
      <c r="AA759" s="35"/>
    </row>
    <row r="760" spans="1:27" ht="15">
      <c r="A760" s="65" t="s">
        <v>642</v>
      </c>
      <c r="B760" s="65" t="s">
        <v>241</v>
      </c>
      <c r="C760" s="66" t="s">
        <v>2113</v>
      </c>
      <c r="D760" s="67">
        <v>3</v>
      </c>
      <c r="E760" s="68"/>
      <c r="F760" s="69">
        <v>40</v>
      </c>
      <c r="G760" s="66"/>
      <c r="H760" s="70"/>
      <c r="I760" s="71"/>
      <c r="J760" s="71"/>
      <c r="K760" s="35" t="s">
        <v>65</v>
      </c>
      <c r="L760" s="79">
        <v>760</v>
      </c>
      <c r="M760" s="79"/>
      <c r="N760" s="73"/>
      <c r="O760" s="81" t="s">
        <v>292</v>
      </c>
      <c r="P760">
        <v>1</v>
      </c>
      <c r="Q760" s="80" t="str">
        <f>REPLACE(INDEX(GroupVertices[Group],MATCH(Edges[[#This Row],[Vertex 1]],GroupVertices[Vertex],0)),1,1,"")</f>
        <v>2</v>
      </c>
      <c r="R760" s="80" t="str">
        <f>REPLACE(INDEX(GroupVertices[Group],MATCH(Edges[[#This Row],[Vertex 2]],GroupVertices[Vertex],0)),1,1,"")</f>
        <v>1</v>
      </c>
      <c r="S760" s="35"/>
      <c r="T760" s="35"/>
      <c r="U760" s="35"/>
      <c r="V760" s="35"/>
      <c r="W760" s="35"/>
      <c r="X760" s="35"/>
      <c r="Y760" s="35"/>
      <c r="Z760" s="35"/>
      <c r="AA760" s="35"/>
    </row>
    <row r="761" spans="1:27" ht="15">
      <c r="A761" s="65" t="s">
        <v>214</v>
      </c>
      <c r="B761" s="65" t="s">
        <v>241</v>
      </c>
      <c r="C761" s="66" t="s">
        <v>2113</v>
      </c>
      <c r="D761" s="67">
        <v>3</v>
      </c>
      <c r="E761" s="68"/>
      <c r="F761" s="69">
        <v>40</v>
      </c>
      <c r="G761" s="66"/>
      <c r="H761" s="70"/>
      <c r="I761" s="71"/>
      <c r="J761" s="71"/>
      <c r="K761" s="35" t="s">
        <v>66</v>
      </c>
      <c r="L761" s="79">
        <v>761</v>
      </c>
      <c r="M761" s="79"/>
      <c r="N761" s="73"/>
      <c r="O761" s="81" t="s">
        <v>292</v>
      </c>
      <c r="P761">
        <v>1</v>
      </c>
      <c r="Q761" s="80" t="str">
        <f>REPLACE(INDEX(GroupVertices[Group],MATCH(Edges[[#This Row],[Vertex 1]],GroupVertices[Vertex],0)),1,1,"")</f>
        <v>1</v>
      </c>
      <c r="R761" s="80" t="str">
        <f>REPLACE(INDEX(GroupVertices[Group],MATCH(Edges[[#This Row],[Vertex 2]],GroupVertices[Vertex],0)),1,1,"")</f>
        <v>1</v>
      </c>
      <c r="S761" s="35"/>
      <c r="T761" s="35"/>
      <c r="U761" s="35"/>
      <c r="V761" s="35"/>
      <c r="W761" s="35"/>
      <c r="X761" s="35"/>
      <c r="Y761" s="35"/>
      <c r="Z761" s="35"/>
      <c r="AA761" s="35"/>
    </row>
    <row r="762" spans="1:27" ht="15">
      <c r="A762" s="65" t="s">
        <v>643</v>
      </c>
      <c r="B762" s="65" t="s">
        <v>241</v>
      </c>
      <c r="C762" s="66" t="s">
        <v>2113</v>
      </c>
      <c r="D762" s="67">
        <v>3</v>
      </c>
      <c r="E762" s="68"/>
      <c r="F762" s="69">
        <v>40</v>
      </c>
      <c r="G762" s="66"/>
      <c r="H762" s="70"/>
      <c r="I762" s="71"/>
      <c r="J762" s="71"/>
      <c r="K762" s="35" t="s">
        <v>65</v>
      </c>
      <c r="L762" s="79">
        <v>762</v>
      </c>
      <c r="M762" s="79"/>
      <c r="N762" s="73"/>
      <c r="O762" s="81" t="s">
        <v>292</v>
      </c>
      <c r="P762">
        <v>1</v>
      </c>
      <c r="Q762" s="80" t="str">
        <f>REPLACE(INDEX(GroupVertices[Group],MATCH(Edges[[#This Row],[Vertex 1]],GroupVertices[Vertex],0)),1,1,"")</f>
        <v>2</v>
      </c>
      <c r="R762" s="80" t="str">
        <f>REPLACE(INDEX(GroupVertices[Group],MATCH(Edges[[#This Row],[Vertex 2]],GroupVertices[Vertex],0)),1,1,"")</f>
        <v>1</v>
      </c>
      <c r="S762" s="35"/>
      <c r="T762" s="35"/>
      <c r="U762" s="35"/>
      <c r="V762" s="35"/>
      <c r="W762" s="35"/>
      <c r="X762" s="35"/>
      <c r="Y762" s="35"/>
      <c r="Z762" s="35"/>
      <c r="AA762" s="35"/>
    </row>
    <row r="763" spans="1:27" ht="15">
      <c r="A763" s="65" t="s">
        <v>226</v>
      </c>
      <c r="B763" s="65" t="s">
        <v>241</v>
      </c>
      <c r="C763" s="66" t="s">
        <v>2113</v>
      </c>
      <c r="D763" s="67">
        <v>3</v>
      </c>
      <c r="E763" s="68"/>
      <c r="F763" s="69">
        <v>40</v>
      </c>
      <c r="G763" s="66"/>
      <c r="H763" s="70"/>
      <c r="I763" s="71"/>
      <c r="J763" s="71"/>
      <c r="K763" s="35" t="s">
        <v>66</v>
      </c>
      <c r="L763" s="79">
        <v>763</v>
      </c>
      <c r="M763" s="79"/>
      <c r="N763" s="73"/>
      <c r="O763" s="81" t="s">
        <v>292</v>
      </c>
      <c r="P763">
        <v>1</v>
      </c>
      <c r="Q763" s="80" t="str">
        <f>REPLACE(INDEX(GroupVertices[Group],MATCH(Edges[[#This Row],[Vertex 1]],GroupVertices[Vertex],0)),1,1,"")</f>
        <v>1</v>
      </c>
      <c r="R763" s="80" t="str">
        <f>REPLACE(INDEX(GroupVertices[Group],MATCH(Edges[[#This Row],[Vertex 2]],GroupVertices[Vertex],0)),1,1,"")</f>
        <v>1</v>
      </c>
      <c r="S763" s="35"/>
      <c r="T763" s="35"/>
      <c r="U763" s="35"/>
      <c r="V763" s="35"/>
      <c r="W763" s="35"/>
      <c r="X763" s="35"/>
      <c r="Y763" s="35"/>
      <c r="Z763" s="35"/>
      <c r="AA763" s="35"/>
    </row>
    <row r="764" spans="1:27" ht="15">
      <c r="A764" s="65" t="s">
        <v>236</v>
      </c>
      <c r="B764" s="65" t="s">
        <v>241</v>
      </c>
      <c r="C764" s="66" t="s">
        <v>2113</v>
      </c>
      <c r="D764" s="67">
        <v>3</v>
      </c>
      <c r="E764" s="68"/>
      <c r="F764" s="69">
        <v>40</v>
      </c>
      <c r="G764" s="66"/>
      <c r="H764" s="70"/>
      <c r="I764" s="71"/>
      <c r="J764" s="71"/>
      <c r="K764" s="35" t="s">
        <v>65</v>
      </c>
      <c r="L764" s="79">
        <v>764</v>
      </c>
      <c r="M764" s="79"/>
      <c r="N764" s="73"/>
      <c r="O764" s="81" t="s">
        <v>292</v>
      </c>
      <c r="P764">
        <v>1</v>
      </c>
      <c r="Q764" s="80" t="str">
        <f>REPLACE(INDEX(GroupVertices[Group],MATCH(Edges[[#This Row],[Vertex 1]],GroupVertices[Vertex],0)),1,1,"")</f>
        <v>2</v>
      </c>
      <c r="R764" s="80" t="str">
        <f>REPLACE(INDEX(GroupVertices[Group],MATCH(Edges[[#This Row],[Vertex 2]],GroupVertices[Vertex],0)),1,1,"")</f>
        <v>1</v>
      </c>
      <c r="S764" s="35"/>
      <c r="T764" s="35"/>
      <c r="U764" s="35"/>
      <c r="V764" s="35"/>
      <c r="W764" s="35"/>
      <c r="X764" s="35"/>
      <c r="Y764" s="35"/>
      <c r="Z764" s="35"/>
      <c r="AA764" s="35"/>
    </row>
    <row r="765" spans="1:27" ht="15">
      <c r="A765" s="65" t="s">
        <v>644</v>
      </c>
      <c r="B765" s="65" t="s">
        <v>241</v>
      </c>
      <c r="C765" s="66" t="s">
        <v>2113</v>
      </c>
      <c r="D765" s="67">
        <v>3</v>
      </c>
      <c r="E765" s="68"/>
      <c r="F765" s="69">
        <v>40</v>
      </c>
      <c r="G765" s="66"/>
      <c r="H765" s="70"/>
      <c r="I765" s="71"/>
      <c r="J765" s="71"/>
      <c r="K765" s="35" t="s">
        <v>65</v>
      </c>
      <c r="L765" s="79">
        <v>765</v>
      </c>
      <c r="M765" s="79"/>
      <c r="N765" s="73"/>
      <c r="O765" s="81" t="s">
        <v>292</v>
      </c>
      <c r="P765">
        <v>1</v>
      </c>
      <c r="Q765" s="80" t="str">
        <f>REPLACE(INDEX(GroupVertices[Group],MATCH(Edges[[#This Row],[Vertex 1]],GroupVertices[Vertex],0)),1,1,"")</f>
        <v>2</v>
      </c>
      <c r="R765" s="80" t="str">
        <f>REPLACE(INDEX(GroupVertices[Group],MATCH(Edges[[#This Row],[Vertex 2]],GroupVertices[Vertex],0)),1,1,"")</f>
        <v>1</v>
      </c>
      <c r="S765" s="35"/>
      <c r="T765" s="35"/>
      <c r="U765" s="35"/>
      <c r="V765" s="35"/>
      <c r="W765" s="35"/>
      <c r="X765" s="35"/>
      <c r="Y765" s="35"/>
      <c r="Z765" s="35"/>
      <c r="AA765" s="35"/>
    </row>
    <row r="766" spans="1:27" ht="15">
      <c r="A766" s="65" t="s">
        <v>232</v>
      </c>
      <c r="B766" s="65" t="s">
        <v>241</v>
      </c>
      <c r="C766" s="66" t="s">
        <v>2114</v>
      </c>
      <c r="D766" s="67">
        <v>3</v>
      </c>
      <c r="E766" s="68"/>
      <c r="F766" s="69">
        <v>40</v>
      </c>
      <c r="G766" s="66"/>
      <c r="H766" s="70"/>
      <c r="I766" s="71"/>
      <c r="J766" s="71"/>
      <c r="K766" s="35" t="s">
        <v>65</v>
      </c>
      <c r="L766" s="79">
        <v>766</v>
      </c>
      <c r="M766" s="79"/>
      <c r="N766" s="73"/>
      <c r="O766" s="81" t="s">
        <v>292</v>
      </c>
      <c r="P766">
        <v>2</v>
      </c>
      <c r="Q766" s="80" t="str">
        <f>REPLACE(INDEX(GroupVertices[Group],MATCH(Edges[[#This Row],[Vertex 1]],GroupVertices[Vertex],0)),1,1,"")</f>
        <v>2</v>
      </c>
      <c r="R766" s="80" t="str">
        <f>REPLACE(INDEX(GroupVertices[Group],MATCH(Edges[[#This Row],[Vertex 2]],GroupVertices[Vertex],0)),1,1,"")</f>
        <v>1</v>
      </c>
      <c r="S766" s="35"/>
      <c r="T766" s="35"/>
      <c r="U766" s="35"/>
      <c r="V766" s="35"/>
      <c r="W766" s="35"/>
      <c r="X766" s="35"/>
      <c r="Y766" s="35"/>
      <c r="Z766" s="35"/>
      <c r="AA766" s="35"/>
    </row>
    <row r="767" spans="1:27" ht="15">
      <c r="A767" s="65" t="s">
        <v>645</v>
      </c>
      <c r="B767" s="65" t="s">
        <v>241</v>
      </c>
      <c r="C767" s="66" t="s">
        <v>2113</v>
      </c>
      <c r="D767" s="67">
        <v>3</v>
      </c>
      <c r="E767" s="68"/>
      <c r="F767" s="69">
        <v>40</v>
      </c>
      <c r="G767" s="66"/>
      <c r="H767" s="70"/>
      <c r="I767" s="71"/>
      <c r="J767" s="71"/>
      <c r="K767" s="35" t="s">
        <v>65</v>
      </c>
      <c r="L767" s="79">
        <v>767</v>
      </c>
      <c r="M767" s="79"/>
      <c r="N767" s="73"/>
      <c r="O767" s="81" t="s">
        <v>292</v>
      </c>
      <c r="P767">
        <v>1</v>
      </c>
      <c r="Q767" s="80" t="str">
        <f>REPLACE(INDEX(GroupVertices[Group],MATCH(Edges[[#This Row],[Vertex 1]],GroupVertices[Vertex],0)),1,1,"")</f>
        <v>2</v>
      </c>
      <c r="R767" s="80" t="str">
        <f>REPLACE(INDEX(GroupVertices[Group],MATCH(Edges[[#This Row],[Vertex 2]],GroupVertices[Vertex],0)),1,1,"")</f>
        <v>1</v>
      </c>
      <c r="S767" s="35"/>
      <c r="T767" s="35"/>
      <c r="U767" s="35"/>
      <c r="V767" s="35"/>
      <c r="W767" s="35"/>
      <c r="X767" s="35"/>
      <c r="Y767" s="35"/>
      <c r="Z767" s="35"/>
      <c r="AA767" s="35"/>
    </row>
    <row r="768" spans="1:27" ht="15">
      <c r="A768" s="65" t="s">
        <v>216</v>
      </c>
      <c r="B768" s="65" t="s">
        <v>241</v>
      </c>
      <c r="C768" s="66" t="s">
        <v>2114</v>
      </c>
      <c r="D768" s="67">
        <v>3</v>
      </c>
      <c r="E768" s="68"/>
      <c r="F768" s="69">
        <v>40</v>
      </c>
      <c r="G768" s="66"/>
      <c r="H768" s="70"/>
      <c r="I768" s="71"/>
      <c r="J768" s="71"/>
      <c r="K768" s="35" t="s">
        <v>66</v>
      </c>
      <c r="L768" s="79">
        <v>768</v>
      </c>
      <c r="M768" s="79"/>
      <c r="N768" s="73"/>
      <c r="O768" s="81" t="s">
        <v>292</v>
      </c>
      <c r="P768">
        <v>2</v>
      </c>
      <c r="Q768" s="80" t="str">
        <f>REPLACE(INDEX(GroupVertices[Group],MATCH(Edges[[#This Row],[Vertex 1]],GroupVertices[Vertex],0)),1,1,"")</f>
        <v>1</v>
      </c>
      <c r="R768" s="80" t="str">
        <f>REPLACE(INDEX(GroupVertices[Group],MATCH(Edges[[#This Row],[Vertex 2]],GroupVertices[Vertex],0)),1,1,"")</f>
        <v>1</v>
      </c>
      <c r="S768" s="35"/>
      <c r="T768" s="35"/>
      <c r="U768" s="35"/>
      <c r="V768" s="35"/>
      <c r="W768" s="35"/>
      <c r="X768" s="35"/>
      <c r="Y768" s="35"/>
      <c r="Z768" s="35"/>
      <c r="AA768" s="35"/>
    </row>
    <row r="769" spans="1:27" ht="15">
      <c r="A769" s="65" t="s">
        <v>221</v>
      </c>
      <c r="B769" s="65" t="s">
        <v>241</v>
      </c>
      <c r="C769" s="66" t="s">
        <v>2113</v>
      </c>
      <c r="D769" s="67">
        <v>3</v>
      </c>
      <c r="E769" s="68"/>
      <c r="F769" s="69">
        <v>40</v>
      </c>
      <c r="G769" s="66"/>
      <c r="H769" s="70"/>
      <c r="I769" s="71"/>
      <c r="J769" s="71"/>
      <c r="K769" s="35" t="s">
        <v>66</v>
      </c>
      <c r="L769" s="79">
        <v>769</v>
      </c>
      <c r="M769" s="79"/>
      <c r="N769" s="73"/>
      <c r="O769" s="81" t="s">
        <v>292</v>
      </c>
      <c r="P769">
        <v>1</v>
      </c>
      <c r="Q769" s="80" t="str">
        <f>REPLACE(INDEX(GroupVertices[Group],MATCH(Edges[[#This Row],[Vertex 1]],GroupVertices[Vertex],0)),1,1,"")</f>
        <v>1</v>
      </c>
      <c r="R769" s="80" t="str">
        <f>REPLACE(INDEX(GroupVertices[Group],MATCH(Edges[[#This Row],[Vertex 2]],GroupVertices[Vertex],0)),1,1,"")</f>
        <v>1</v>
      </c>
      <c r="S769" s="35"/>
      <c r="T769" s="35"/>
      <c r="U769" s="35"/>
      <c r="V769" s="35"/>
      <c r="W769" s="35"/>
      <c r="X769" s="35"/>
      <c r="Y769" s="35"/>
      <c r="Z769" s="35"/>
      <c r="AA769" s="35"/>
    </row>
    <row r="770" spans="1:27" ht="15">
      <c r="A770" s="65" t="s">
        <v>224</v>
      </c>
      <c r="B770" s="65" t="s">
        <v>241</v>
      </c>
      <c r="C770" s="66" t="s">
        <v>2113</v>
      </c>
      <c r="D770" s="67">
        <v>3</v>
      </c>
      <c r="E770" s="68"/>
      <c r="F770" s="69">
        <v>40</v>
      </c>
      <c r="G770" s="66"/>
      <c r="H770" s="70"/>
      <c r="I770" s="71"/>
      <c r="J770" s="71"/>
      <c r="K770" s="35" t="s">
        <v>66</v>
      </c>
      <c r="L770" s="79">
        <v>770</v>
      </c>
      <c r="M770" s="79"/>
      <c r="N770" s="73"/>
      <c r="O770" s="81" t="s">
        <v>293</v>
      </c>
      <c r="P770">
        <v>1</v>
      </c>
      <c r="Q770" s="80" t="str">
        <f>REPLACE(INDEX(GroupVertices[Group],MATCH(Edges[[#This Row],[Vertex 1]],GroupVertices[Vertex],0)),1,1,"")</f>
        <v>1</v>
      </c>
      <c r="R770" s="80" t="str">
        <f>REPLACE(INDEX(GroupVertices[Group],MATCH(Edges[[#This Row],[Vertex 2]],GroupVertices[Vertex],0)),1,1,"")</f>
        <v>1</v>
      </c>
      <c r="S770" s="35"/>
      <c r="T770" s="35"/>
      <c r="U770" s="35"/>
      <c r="V770" s="35"/>
      <c r="W770" s="35"/>
      <c r="X770" s="35"/>
      <c r="Y770" s="35"/>
      <c r="Z770" s="35"/>
      <c r="AA770" s="35"/>
    </row>
    <row r="771" spans="1:27" ht="15">
      <c r="A771" s="65" t="s">
        <v>224</v>
      </c>
      <c r="B771" s="65" t="s">
        <v>665</v>
      </c>
      <c r="C771" s="66" t="s">
        <v>2113</v>
      </c>
      <c r="D771" s="67">
        <v>3</v>
      </c>
      <c r="E771" s="68"/>
      <c r="F771" s="69">
        <v>40</v>
      </c>
      <c r="G771" s="66"/>
      <c r="H771" s="70"/>
      <c r="I771" s="71"/>
      <c r="J771" s="71"/>
      <c r="K771" s="35" t="s">
        <v>65</v>
      </c>
      <c r="L771" s="79">
        <v>771</v>
      </c>
      <c r="M771" s="79"/>
      <c r="N771" s="73"/>
      <c r="O771" s="81" t="s">
        <v>293</v>
      </c>
      <c r="P771">
        <v>1</v>
      </c>
      <c r="Q771" s="80" t="str">
        <f>REPLACE(INDEX(GroupVertices[Group],MATCH(Edges[[#This Row],[Vertex 1]],GroupVertices[Vertex],0)),1,1,"")</f>
        <v>1</v>
      </c>
      <c r="R771" s="80" t="str">
        <f>REPLACE(INDEX(GroupVertices[Group],MATCH(Edges[[#This Row],[Vertex 2]],GroupVertices[Vertex],0)),1,1,"")</f>
        <v>1</v>
      </c>
      <c r="S771" s="35"/>
      <c r="T771" s="35"/>
      <c r="U771" s="35"/>
      <c r="V771" s="35"/>
      <c r="W771" s="35"/>
      <c r="X771" s="35"/>
      <c r="Y771" s="35"/>
      <c r="Z771" s="35"/>
      <c r="AA771" s="35"/>
    </row>
    <row r="772" spans="1:27" ht="15">
      <c r="A772" s="65" t="s">
        <v>638</v>
      </c>
      <c r="B772" s="65" t="s">
        <v>224</v>
      </c>
      <c r="C772" s="66" t="s">
        <v>2113</v>
      </c>
      <c r="D772" s="67">
        <v>3</v>
      </c>
      <c r="E772" s="68"/>
      <c r="F772" s="69">
        <v>40</v>
      </c>
      <c r="G772" s="66"/>
      <c r="H772" s="70"/>
      <c r="I772" s="71"/>
      <c r="J772" s="71"/>
      <c r="K772" s="35" t="s">
        <v>66</v>
      </c>
      <c r="L772" s="79">
        <v>772</v>
      </c>
      <c r="M772" s="79"/>
      <c r="N772" s="73"/>
      <c r="O772" s="81" t="s">
        <v>292</v>
      </c>
      <c r="P772">
        <v>1</v>
      </c>
      <c r="Q772" s="80" t="str">
        <f>REPLACE(INDEX(GroupVertices[Group],MATCH(Edges[[#This Row],[Vertex 1]],GroupVertices[Vertex],0)),1,1,"")</f>
        <v>2</v>
      </c>
      <c r="R772" s="80" t="str">
        <f>REPLACE(INDEX(GroupVertices[Group],MATCH(Edges[[#This Row],[Vertex 2]],GroupVertices[Vertex],0)),1,1,"")</f>
        <v>1</v>
      </c>
      <c r="S772" s="35"/>
      <c r="T772" s="35"/>
      <c r="U772" s="35"/>
      <c r="V772" s="35"/>
      <c r="W772" s="35"/>
      <c r="X772" s="35"/>
      <c r="Y772" s="35"/>
      <c r="Z772" s="35"/>
      <c r="AA772" s="35"/>
    </row>
    <row r="773" spans="1:27" ht="15">
      <c r="A773" s="65" t="s">
        <v>235</v>
      </c>
      <c r="B773" s="65" t="s">
        <v>638</v>
      </c>
      <c r="C773" s="66" t="s">
        <v>2113</v>
      </c>
      <c r="D773" s="67">
        <v>3</v>
      </c>
      <c r="E773" s="68"/>
      <c r="F773" s="69">
        <v>40</v>
      </c>
      <c r="G773" s="66"/>
      <c r="H773" s="70"/>
      <c r="I773" s="71"/>
      <c r="J773" s="71"/>
      <c r="K773" s="35" t="s">
        <v>65</v>
      </c>
      <c r="L773" s="79">
        <v>773</v>
      </c>
      <c r="M773" s="79"/>
      <c r="N773" s="73"/>
      <c r="O773" s="81" t="s">
        <v>292</v>
      </c>
      <c r="P773">
        <v>1</v>
      </c>
      <c r="Q773" s="80" t="str">
        <f>REPLACE(INDEX(GroupVertices[Group],MATCH(Edges[[#This Row],[Vertex 1]],GroupVertices[Vertex],0)),1,1,"")</f>
        <v>1</v>
      </c>
      <c r="R773" s="80" t="str">
        <f>REPLACE(INDEX(GroupVertices[Group],MATCH(Edges[[#This Row],[Vertex 2]],GroupVertices[Vertex],0)),1,1,"")</f>
        <v>2</v>
      </c>
      <c r="S773" s="35"/>
      <c r="T773" s="35"/>
      <c r="U773" s="35"/>
      <c r="V773" s="35"/>
      <c r="W773" s="35"/>
      <c r="X773" s="35"/>
      <c r="Y773" s="35"/>
      <c r="Z773" s="35"/>
      <c r="AA773" s="35"/>
    </row>
    <row r="774" spans="1:27" ht="15">
      <c r="A774" s="65" t="s">
        <v>639</v>
      </c>
      <c r="B774" s="65" t="s">
        <v>638</v>
      </c>
      <c r="C774" s="66" t="s">
        <v>2113</v>
      </c>
      <c r="D774" s="67">
        <v>3</v>
      </c>
      <c r="E774" s="68"/>
      <c r="F774" s="69">
        <v>40</v>
      </c>
      <c r="G774" s="66"/>
      <c r="H774" s="70"/>
      <c r="I774" s="71"/>
      <c r="J774" s="71"/>
      <c r="K774" s="35" t="s">
        <v>65</v>
      </c>
      <c r="L774" s="79">
        <v>774</v>
      </c>
      <c r="M774" s="79"/>
      <c r="N774" s="73"/>
      <c r="O774" s="81" t="s">
        <v>292</v>
      </c>
      <c r="P774">
        <v>1</v>
      </c>
      <c r="Q774" s="80" t="str">
        <f>REPLACE(INDEX(GroupVertices[Group],MATCH(Edges[[#This Row],[Vertex 1]],GroupVertices[Vertex],0)),1,1,"")</f>
        <v>2</v>
      </c>
      <c r="R774" s="80" t="str">
        <f>REPLACE(INDEX(GroupVertices[Group],MATCH(Edges[[#This Row],[Vertex 2]],GroupVertices[Vertex],0)),1,1,"")</f>
        <v>2</v>
      </c>
      <c r="S774" s="35"/>
      <c r="T774" s="35"/>
      <c r="U774" s="35"/>
      <c r="V774" s="35"/>
      <c r="W774" s="35"/>
      <c r="X774" s="35"/>
      <c r="Y774" s="35"/>
      <c r="Z774" s="35"/>
      <c r="AA774" s="35"/>
    </row>
    <row r="775" spans="1:27" ht="15">
      <c r="A775" s="65" t="s">
        <v>640</v>
      </c>
      <c r="B775" s="65" t="s">
        <v>638</v>
      </c>
      <c r="C775" s="66" t="s">
        <v>2113</v>
      </c>
      <c r="D775" s="67">
        <v>3</v>
      </c>
      <c r="E775" s="68"/>
      <c r="F775" s="69">
        <v>40</v>
      </c>
      <c r="G775" s="66"/>
      <c r="H775" s="70"/>
      <c r="I775" s="71"/>
      <c r="J775" s="71"/>
      <c r="K775" s="35" t="s">
        <v>65</v>
      </c>
      <c r="L775" s="79">
        <v>775</v>
      </c>
      <c r="M775" s="79"/>
      <c r="N775" s="73"/>
      <c r="O775" s="81" t="s">
        <v>292</v>
      </c>
      <c r="P775">
        <v>1</v>
      </c>
      <c r="Q775" s="80" t="str">
        <f>REPLACE(INDEX(GroupVertices[Group],MATCH(Edges[[#This Row],[Vertex 1]],GroupVertices[Vertex],0)),1,1,"")</f>
        <v>2</v>
      </c>
      <c r="R775" s="80" t="str">
        <f>REPLACE(INDEX(GroupVertices[Group],MATCH(Edges[[#This Row],[Vertex 2]],GroupVertices[Vertex],0)),1,1,"")</f>
        <v>2</v>
      </c>
      <c r="S775" s="35"/>
      <c r="T775" s="35"/>
      <c r="U775" s="35"/>
      <c r="V775" s="35"/>
      <c r="W775" s="35"/>
      <c r="X775" s="35"/>
      <c r="Y775" s="35"/>
      <c r="Z775" s="35"/>
      <c r="AA775" s="35"/>
    </row>
    <row r="776" spans="1:27" ht="15">
      <c r="A776" s="65" t="s">
        <v>231</v>
      </c>
      <c r="B776" s="65" t="s">
        <v>638</v>
      </c>
      <c r="C776" s="66" t="s">
        <v>2113</v>
      </c>
      <c r="D776" s="67">
        <v>3</v>
      </c>
      <c r="E776" s="68"/>
      <c r="F776" s="69">
        <v>40</v>
      </c>
      <c r="G776" s="66"/>
      <c r="H776" s="70"/>
      <c r="I776" s="71"/>
      <c r="J776" s="71"/>
      <c r="K776" s="35" t="s">
        <v>65</v>
      </c>
      <c r="L776" s="79">
        <v>776</v>
      </c>
      <c r="M776" s="79"/>
      <c r="N776" s="73"/>
      <c r="O776" s="81" t="s">
        <v>292</v>
      </c>
      <c r="P776">
        <v>1</v>
      </c>
      <c r="Q776" s="80" t="str">
        <f>REPLACE(INDEX(GroupVertices[Group],MATCH(Edges[[#This Row],[Vertex 1]],GroupVertices[Vertex],0)),1,1,"")</f>
        <v>1</v>
      </c>
      <c r="R776" s="80" t="str">
        <f>REPLACE(INDEX(GroupVertices[Group],MATCH(Edges[[#This Row],[Vertex 2]],GroupVertices[Vertex],0)),1,1,"")</f>
        <v>2</v>
      </c>
      <c r="S776" s="35"/>
      <c r="T776" s="35"/>
      <c r="U776" s="35"/>
      <c r="V776" s="35"/>
      <c r="W776" s="35"/>
      <c r="X776" s="35"/>
      <c r="Y776" s="35"/>
      <c r="Z776" s="35"/>
      <c r="AA776" s="35"/>
    </row>
    <row r="777" spans="1:27" ht="15">
      <c r="A777" s="65" t="s">
        <v>234</v>
      </c>
      <c r="B777" s="65" t="s">
        <v>638</v>
      </c>
      <c r="C777" s="66" t="s">
        <v>2113</v>
      </c>
      <c r="D777" s="67">
        <v>3</v>
      </c>
      <c r="E777" s="68"/>
      <c r="F777" s="69">
        <v>40</v>
      </c>
      <c r="G777" s="66"/>
      <c r="H777" s="70"/>
      <c r="I777" s="71"/>
      <c r="J777" s="71"/>
      <c r="K777" s="35" t="s">
        <v>65</v>
      </c>
      <c r="L777" s="79">
        <v>777</v>
      </c>
      <c r="M777" s="79"/>
      <c r="N777" s="73"/>
      <c r="O777" s="81" t="s">
        <v>292</v>
      </c>
      <c r="P777">
        <v>1</v>
      </c>
      <c r="Q777" s="80" t="str">
        <f>REPLACE(INDEX(GroupVertices[Group],MATCH(Edges[[#This Row],[Vertex 1]],GroupVertices[Vertex],0)),1,1,"")</f>
        <v>1</v>
      </c>
      <c r="R777" s="80" t="str">
        <f>REPLACE(INDEX(GroupVertices[Group],MATCH(Edges[[#This Row],[Vertex 2]],GroupVertices[Vertex],0)),1,1,"")</f>
        <v>2</v>
      </c>
      <c r="S777" s="35"/>
      <c r="T777" s="35"/>
      <c r="U777" s="35"/>
      <c r="V777" s="35"/>
      <c r="W777" s="35"/>
      <c r="X777" s="35"/>
      <c r="Y777" s="35"/>
      <c r="Z777" s="35"/>
      <c r="AA777" s="35"/>
    </row>
    <row r="778" spans="1:27" ht="15">
      <c r="A778" s="65" t="s">
        <v>646</v>
      </c>
      <c r="B778" s="65" t="s">
        <v>638</v>
      </c>
      <c r="C778" s="66" t="s">
        <v>2113</v>
      </c>
      <c r="D778" s="67">
        <v>3</v>
      </c>
      <c r="E778" s="68"/>
      <c r="F778" s="69">
        <v>40</v>
      </c>
      <c r="G778" s="66"/>
      <c r="H778" s="70"/>
      <c r="I778" s="71"/>
      <c r="J778" s="71"/>
      <c r="K778" s="35" t="s">
        <v>65</v>
      </c>
      <c r="L778" s="79">
        <v>778</v>
      </c>
      <c r="M778" s="79"/>
      <c r="N778" s="73"/>
      <c r="O778" s="81" t="s">
        <v>292</v>
      </c>
      <c r="P778">
        <v>1</v>
      </c>
      <c r="Q778" s="80" t="str">
        <f>REPLACE(INDEX(GroupVertices[Group],MATCH(Edges[[#This Row],[Vertex 1]],GroupVertices[Vertex],0)),1,1,"")</f>
        <v>2</v>
      </c>
      <c r="R778" s="80" t="str">
        <f>REPLACE(INDEX(GroupVertices[Group],MATCH(Edges[[#This Row],[Vertex 2]],GroupVertices[Vertex],0)),1,1,"")</f>
        <v>2</v>
      </c>
      <c r="S778" s="35"/>
      <c r="T778" s="35"/>
      <c r="U778" s="35"/>
      <c r="V778" s="35"/>
      <c r="W778" s="35"/>
      <c r="X778" s="35"/>
      <c r="Y778" s="35"/>
      <c r="Z778" s="35"/>
      <c r="AA778" s="35"/>
    </row>
    <row r="779" spans="1:27" ht="15">
      <c r="A779" s="65" t="s">
        <v>641</v>
      </c>
      <c r="B779" s="65" t="s">
        <v>638</v>
      </c>
      <c r="C779" s="66" t="s">
        <v>2113</v>
      </c>
      <c r="D779" s="67">
        <v>3</v>
      </c>
      <c r="E779" s="68"/>
      <c r="F779" s="69">
        <v>40</v>
      </c>
      <c r="G779" s="66"/>
      <c r="H779" s="70"/>
      <c r="I779" s="71"/>
      <c r="J779" s="71"/>
      <c r="K779" s="35" t="s">
        <v>65</v>
      </c>
      <c r="L779" s="79">
        <v>779</v>
      </c>
      <c r="M779" s="79"/>
      <c r="N779" s="73"/>
      <c r="O779" s="81" t="s">
        <v>292</v>
      </c>
      <c r="P779">
        <v>1</v>
      </c>
      <c r="Q779" s="80" t="str">
        <f>REPLACE(INDEX(GroupVertices[Group],MATCH(Edges[[#This Row],[Vertex 1]],GroupVertices[Vertex],0)),1,1,"")</f>
        <v>2</v>
      </c>
      <c r="R779" s="80" t="str">
        <f>REPLACE(INDEX(GroupVertices[Group],MATCH(Edges[[#This Row],[Vertex 2]],GroupVertices[Vertex],0)),1,1,"")</f>
        <v>2</v>
      </c>
      <c r="S779" s="35"/>
      <c r="T779" s="35"/>
      <c r="U779" s="35"/>
      <c r="V779" s="35"/>
      <c r="W779" s="35"/>
      <c r="X779" s="35"/>
      <c r="Y779" s="35"/>
      <c r="Z779" s="35"/>
      <c r="AA779" s="35"/>
    </row>
    <row r="780" spans="1:27" ht="15">
      <c r="A780" s="65" t="s">
        <v>642</v>
      </c>
      <c r="B780" s="65" t="s">
        <v>638</v>
      </c>
      <c r="C780" s="66" t="s">
        <v>2113</v>
      </c>
      <c r="D780" s="67">
        <v>3</v>
      </c>
      <c r="E780" s="68"/>
      <c r="F780" s="69">
        <v>40</v>
      </c>
      <c r="G780" s="66"/>
      <c r="H780" s="70"/>
      <c r="I780" s="71"/>
      <c r="J780" s="71"/>
      <c r="K780" s="35" t="s">
        <v>65</v>
      </c>
      <c r="L780" s="79">
        <v>780</v>
      </c>
      <c r="M780" s="79"/>
      <c r="N780" s="73"/>
      <c r="O780" s="81" t="s">
        <v>292</v>
      </c>
      <c r="P780">
        <v>1</v>
      </c>
      <c r="Q780" s="80" t="str">
        <f>REPLACE(INDEX(GroupVertices[Group],MATCH(Edges[[#This Row],[Vertex 1]],GroupVertices[Vertex],0)),1,1,"")</f>
        <v>2</v>
      </c>
      <c r="R780" s="80" t="str">
        <f>REPLACE(INDEX(GroupVertices[Group],MATCH(Edges[[#This Row],[Vertex 2]],GroupVertices[Vertex],0)),1,1,"")</f>
        <v>2</v>
      </c>
      <c r="S780" s="35"/>
      <c r="T780" s="35"/>
      <c r="U780" s="35"/>
      <c r="V780" s="35"/>
      <c r="W780" s="35"/>
      <c r="X780" s="35"/>
      <c r="Y780" s="35"/>
      <c r="Z780" s="35"/>
      <c r="AA780" s="35"/>
    </row>
    <row r="781" spans="1:27" ht="15">
      <c r="A781" s="65" t="s">
        <v>214</v>
      </c>
      <c r="B781" s="65" t="s">
        <v>638</v>
      </c>
      <c r="C781" s="66" t="s">
        <v>2113</v>
      </c>
      <c r="D781" s="67">
        <v>3</v>
      </c>
      <c r="E781" s="68"/>
      <c r="F781" s="69">
        <v>40</v>
      </c>
      <c r="G781" s="66"/>
      <c r="H781" s="70"/>
      <c r="I781" s="71"/>
      <c r="J781" s="71"/>
      <c r="K781" s="35" t="s">
        <v>65</v>
      </c>
      <c r="L781" s="79">
        <v>781</v>
      </c>
      <c r="M781" s="79"/>
      <c r="N781" s="73"/>
      <c r="O781" s="81" t="s">
        <v>292</v>
      </c>
      <c r="P781">
        <v>1</v>
      </c>
      <c r="Q781" s="80" t="str">
        <f>REPLACE(INDEX(GroupVertices[Group],MATCH(Edges[[#This Row],[Vertex 1]],GroupVertices[Vertex],0)),1,1,"")</f>
        <v>1</v>
      </c>
      <c r="R781" s="80" t="str">
        <f>REPLACE(INDEX(GroupVertices[Group],MATCH(Edges[[#This Row],[Vertex 2]],GroupVertices[Vertex],0)),1,1,"")</f>
        <v>2</v>
      </c>
      <c r="S781" s="35"/>
      <c r="T781" s="35"/>
      <c r="U781" s="35"/>
      <c r="V781" s="35"/>
      <c r="W781" s="35"/>
      <c r="X781" s="35"/>
      <c r="Y781" s="35"/>
      <c r="Z781" s="35"/>
      <c r="AA781" s="35"/>
    </row>
    <row r="782" spans="1:27" ht="15">
      <c r="A782" s="65" t="s">
        <v>643</v>
      </c>
      <c r="B782" s="65" t="s">
        <v>638</v>
      </c>
      <c r="C782" s="66" t="s">
        <v>2113</v>
      </c>
      <c r="D782" s="67">
        <v>3</v>
      </c>
      <c r="E782" s="68"/>
      <c r="F782" s="69">
        <v>40</v>
      </c>
      <c r="G782" s="66"/>
      <c r="H782" s="70"/>
      <c r="I782" s="71"/>
      <c r="J782" s="71"/>
      <c r="K782" s="35" t="s">
        <v>65</v>
      </c>
      <c r="L782" s="79">
        <v>782</v>
      </c>
      <c r="M782" s="79"/>
      <c r="N782" s="73"/>
      <c r="O782" s="81" t="s">
        <v>292</v>
      </c>
      <c r="P782">
        <v>1</v>
      </c>
      <c r="Q782" s="80" t="str">
        <f>REPLACE(INDEX(GroupVertices[Group],MATCH(Edges[[#This Row],[Vertex 1]],GroupVertices[Vertex],0)),1,1,"")</f>
        <v>2</v>
      </c>
      <c r="R782" s="80" t="str">
        <f>REPLACE(INDEX(GroupVertices[Group],MATCH(Edges[[#This Row],[Vertex 2]],GroupVertices[Vertex],0)),1,1,"")</f>
        <v>2</v>
      </c>
      <c r="S782" s="35"/>
      <c r="T782" s="35"/>
      <c r="U782" s="35"/>
      <c r="V782" s="35"/>
      <c r="W782" s="35"/>
      <c r="X782" s="35"/>
      <c r="Y782" s="35"/>
      <c r="Z782" s="35"/>
      <c r="AA782" s="35"/>
    </row>
    <row r="783" spans="1:27" ht="15">
      <c r="A783" s="65" t="s">
        <v>226</v>
      </c>
      <c r="B783" s="65" t="s">
        <v>638</v>
      </c>
      <c r="C783" s="66" t="s">
        <v>2113</v>
      </c>
      <c r="D783" s="67">
        <v>3</v>
      </c>
      <c r="E783" s="68"/>
      <c r="F783" s="69">
        <v>40</v>
      </c>
      <c r="G783" s="66"/>
      <c r="H783" s="70"/>
      <c r="I783" s="71"/>
      <c r="J783" s="71"/>
      <c r="K783" s="35" t="s">
        <v>65</v>
      </c>
      <c r="L783" s="79">
        <v>783</v>
      </c>
      <c r="M783" s="79"/>
      <c r="N783" s="73"/>
      <c r="O783" s="81" t="s">
        <v>292</v>
      </c>
      <c r="P783">
        <v>1</v>
      </c>
      <c r="Q783" s="80" t="str">
        <f>REPLACE(INDEX(GroupVertices[Group],MATCH(Edges[[#This Row],[Vertex 1]],GroupVertices[Vertex],0)),1,1,"")</f>
        <v>1</v>
      </c>
      <c r="R783" s="80" t="str">
        <f>REPLACE(INDEX(GroupVertices[Group],MATCH(Edges[[#This Row],[Vertex 2]],GroupVertices[Vertex],0)),1,1,"")</f>
        <v>2</v>
      </c>
      <c r="S783" s="35"/>
      <c r="T783" s="35"/>
      <c r="U783" s="35"/>
      <c r="V783" s="35"/>
      <c r="W783" s="35"/>
      <c r="X783" s="35"/>
      <c r="Y783" s="35"/>
      <c r="Z783" s="35"/>
      <c r="AA783" s="35"/>
    </row>
    <row r="784" spans="1:27" ht="15">
      <c r="A784" s="65" t="s">
        <v>236</v>
      </c>
      <c r="B784" s="65" t="s">
        <v>638</v>
      </c>
      <c r="C784" s="66" t="s">
        <v>2113</v>
      </c>
      <c r="D784" s="67">
        <v>3</v>
      </c>
      <c r="E784" s="68"/>
      <c r="F784" s="69">
        <v>40</v>
      </c>
      <c r="G784" s="66"/>
      <c r="H784" s="70"/>
      <c r="I784" s="71"/>
      <c r="J784" s="71"/>
      <c r="K784" s="35" t="s">
        <v>65</v>
      </c>
      <c r="L784" s="79">
        <v>784</v>
      </c>
      <c r="M784" s="79"/>
      <c r="N784" s="73"/>
      <c r="O784" s="81" t="s">
        <v>292</v>
      </c>
      <c r="P784">
        <v>1</v>
      </c>
      <c r="Q784" s="80" t="str">
        <f>REPLACE(INDEX(GroupVertices[Group],MATCH(Edges[[#This Row],[Vertex 1]],GroupVertices[Vertex],0)),1,1,"")</f>
        <v>2</v>
      </c>
      <c r="R784" s="80" t="str">
        <f>REPLACE(INDEX(GroupVertices[Group],MATCH(Edges[[#This Row],[Vertex 2]],GroupVertices[Vertex],0)),1,1,"")</f>
        <v>2</v>
      </c>
      <c r="S784" s="35"/>
      <c r="T784" s="35"/>
      <c r="U784" s="35"/>
      <c r="V784" s="35"/>
      <c r="W784" s="35"/>
      <c r="X784" s="35"/>
      <c r="Y784" s="35"/>
      <c r="Z784" s="35"/>
      <c r="AA784" s="35"/>
    </row>
    <row r="785" spans="1:27" ht="15">
      <c r="A785" s="65" t="s">
        <v>644</v>
      </c>
      <c r="B785" s="65" t="s">
        <v>638</v>
      </c>
      <c r="C785" s="66" t="s">
        <v>2113</v>
      </c>
      <c r="D785" s="67">
        <v>3</v>
      </c>
      <c r="E785" s="68"/>
      <c r="F785" s="69">
        <v>40</v>
      </c>
      <c r="G785" s="66"/>
      <c r="H785" s="70"/>
      <c r="I785" s="71"/>
      <c r="J785" s="71"/>
      <c r="K785" s="35" t="s">
        <v>65</v>
      </c>
      <c r="L785" s="79">
        <v>785</v>
      </c>
      <c r="M785" s="79"/>
      <c r="N785" s="73"/>
      <c r="O785" s="81" t="s">
        <v>292</v>
      </c>
      <c r="P785">
        <v>1</v>
      </c>
      <c r="Q785" s="80" t="str">
        <f>REPLACE(INDEX(GroupVertices[Group],MATCH(Edges[[#This Row],[Vertex 1]],GroupVertices[Vertex],0)),1,1,"")</f>
        <v>2</v>
      </c>
      <c r="R785" s="80" t="str">
        <f>REPLACE(INDEX(GroupVertices[Group],MATCH(Edges[[#This Row],[Vertex 2]],GroupVertices[Vertex],0)),1,1,"")</f>
        <v>2</v>
      </c>
      <c r="S785" s="35"/>
      <c r="T785" s="35"/>
      <c r="U785" s="35"/>
      <c r="V785" s="35"/>
      <c r="W785" s="35"/>
      <c r="X785" s="35"/>
      <c r="Y785" s="35"/>
      <c r="Z785" s="35"/>
      <c r="AA785" s="35"/>
    </row>
    <row r="786" spans="1:27" ht="15">
      <c r="A786" s="65" t="s">
        <v>232</v>
      </c>
      <c r="B786" s="65" t="s">
        <v>638</v>
      </c>
      <c r="C786" s="66" t="s">
        <v>2113</v>
      </c>
      <c r="D786" s="67">
        <v>3</v>
      </c>
      <c r="E786" s="68"/>
      <c r="F786" s="69">
        <v>40</v>
      </c>
      <c r="G786" s="66"/>
      <c r="H786" s="70"/>
      <c r="I786" s="71"/>
      <c r="J786" s="71"/>
      <c r="K786" s="35" t="s">
        <v>65</v>
      </c>
      <c r="L786" s="79">
        <v>786</v>
      </c>
      <c r="M786" s="79"/>
      <c r="N786" s="73"/>
      <c r="O786" s="81" t="s">
        <v>292</v>
      </c>
      <c r="P786">
        <v>1</v>
      </c>
      <c r="Q786" s="80" t="str">
        <f>REPLACE(INDEX(GroupVertices[Group],MATCH(Edges[[#This Row],[Vertex 1]],GroupVertices[Vertex],0)),1,1,"")</f>
        <v>2</v>
      </c>
      <c r="R786" s="80" t="str">
        <f>REPLACE(INDEX(GroupVertices[Group],MATCH(Edges[[#This Row],[Vertex 2]],GroupVertices[Vertex],0)),1,1,"")</f>
        <v>2</v>
      </c>
      <c r="S786" s="35"/>
      <c r="T786" s="35"/>
      <c r="U786" s="35"/>
      <c r="V786" s="35"/>
      <c r="W786" s="35"/>
      <c r="X786" s="35"/>
      <c r="Y786" s="35"/>
      <c r="Z786" s="35"/>
      <c r="AA786" s="35"/>
    </row>
    <row r="787" spans="1:27" ht="15">
      <c r="A787" s="65" t="s">
        <v>645</v>
      </c>
      <c r="B787" s="65" t="s">
        <v>638</v>
      </c>
      <c r="C787" s="66" t="s">
        <v>2113</v>
      </c>
      <c r="D787" s="67">
        <v>3</v>
      </c>
      <c r="E787" s="68"/>
      <c r="F787" s="69">
        <v>40</v>
      </c>
      <c r="G787" s="66"/>
      <c r="H787" s="70"/>
      <c r="I787" s="71"/>
      <c r="J787" s="71"/>
      <c r="K787" s="35" t="s">
        <v>65</v>
      </c>
      <c r="L787" s="79">
        <v>787</v>
      </c>
      <c r="M787" s="79"/>
      <c r="N787" s="73"/>
      <c r="O787" s="81" t="s">
        <v>292</v>
      </c>
      <c r="P787">
        <v>1</v>
      </c>
      <c r="Q787" s="80" t="str">
        <f>REPLACE(INDEX(GroupVertices[Group],MATCH(Edges[[#This Row],[Vertex 1]],GroupVertices[Vertex],0)),1,1,"")</f>
        <v>2</v>
      </c>
      <c r="R787" s="80" t="str">
        <f>REPLACE(INDEX(GroupVertices[Group],MATCH(Edges[[#This Row],[Vertex 2]],GroupVertices[Vertex],0)),1,1,"")</f>
        <v>2</v>
      </c>
      <c r="S787" s="35"/>
      <c r="T787" s="35"/>
      <c r="U787" s="35"/>
      <c r="V787" s="35"/>
      <c r="W787" s="35"/>
      <c r="X787" s="35"/>
      <c r="Y787" s="35"/>
      <c r="Z787" s="35"/>
      <c r="AA787" s="35"/>
    </row>
    <row r="788" spans="1:27" ht="15">
      <c r="A788" s="65" t="s">
        <v>216</v>
      </c>
      <c r="B788" s="65" t="s">
        <v>638</v>
      </c>
      <c r="C788" s="66" t="s">
        <v>2113</v>
      </c>
      <c r="D788" s="67">
        <v>3</v>
      </c>
      <c r="E788" s="68"/>
      <c r="F788" s="69">
        <v>40</v>
      </c>
      <c r="G788" s="66"/>
      <c r="H788" s="70"/>
      <c r="I788" s="71"/>
      <c r="J788" s="71"/>
      <c r="K788" s="35" t="s">
        <v>65</v>
      </c>
      <c r="L788" s="79">
        <v>788</v>
      </c>
      <c r="M788" s="79"/>
      <c r="N788" s="73"/>
      <c r="O788" s="81" t="s">
        <v>292</v>
      </c>
      <c r="P788">
        <v>1</v>
      </c>
      <c r="Q788" s="80" t="str">
        <f>REPLACE(INDEX(GroupVertices[Group],MATCH(Edges[[#This Row],[Vertex 1]],GroupVertices[Vertex],0)),1,1,"")</f>
        <v>1</v>
      </c>
      <c r="R788" s="80" t="str">
        <f>REPLACE(INDEX(GroupVertices[Group],MATCH(Edges[[#This Row],[Vertex 2]],GroupVertices[Vertex],0)),1,1,"")</f>
        <v>2</v>
      </c>
      <c r="S788" s="35"/>
      <c r="T788" s="35"/>
      <c r="U788" s="35"/>
      <c r="V788" s="35"/>
      <c r="W788" s="35"/>
      <c r="X788" s="35"/>
      <c r="Y788" s="35"/>
      <c r="Z788" s="35"/>
      <c r="AA788" s="35"/>
    </row>
    <row r="789" spans="1:27" ht="15">
      <c r="A789" s="65" t="s">
        <v>221</v>
      </c>
      <c r="B789" s="65" t="s">
        <v>638</v>
      </c>
      <c r="C789" s="66" t="s">
        <v>2113</v>
      </c>
      <c r="D789" s="67">
        <v>3</v>
      </c>
      <c r="E789" s="68"/>
      <c r="F789" s="69">
        <v>40</v>
      </c>
      <c r="G789" s="66"/>
      <c r="H789" s="70"/>
      <c r="I789" s="71"/>
      <c r="J789" s="71"/>
      <c r="K789" s="35" t="s">
        <v>65</v>
      </c>
      <c r="L789" s="79">
        <v>789</v>
      </c>
      <c r="M789" s="79"/>
      <c r="N789" s="73"/>
      <c r="O789" s="81" t="s">
        <v>292</v>
      </c>
      <c r="P789">
        <v>1</v>
      </c>
      <c r="Q789" s="80" t="str">
        <f>REPLACE(INDEX(GroupVertices[Group],MATCH(Edges[[#This Row],[Vertex 1]],GroupVertices[Vertex],0)),1,1,"")</f>
        <v>1</v>
      </c>
      <c r="R789" s="80" t="str">
        <f>REPLACE(INDEX(GroupVertices[Group],MATCH(Edges[[#This Row],[Vertex 2]],GroupVertices[Vertex],0)),1,1,"")</f>
        <v>2</v>
      </c>
      <c r="S789" s="35"/>
      <c r="T789" s="35"/>
      <c r="U789" s="35"/>
      <c r="V789" s="35"/>
      <c r="W789" s="35"/>
      <c r="X789" s="35"/>
      <c r="Y789" s="35"/>
      <c r="Z789" s="35"/>
      <c r="AA789" s="35"/>
    </row>
    <row r="790" spans="1:27" ht="15">
      <c r="A790" s="65" t="s">
        <v>224</v>
      </c>
      <c r="B790" s="65" t="s">
        <v>638</v>
      </c>
      <c r="C790" s="66" t="s">
        <v>2113</v>
      </c>
      <c r="D790" s="67">
        <v>3</v>
      </c>
      <c r="E790" s="68"/>
      <c r="F790" s="69">
        <v>40</v>
      </c>
      <c r="G790" s="66"/>
      <c r="H790" s="70"/>
      <c r="I790" s="71"/>
      <c r="J790" s="71"/>
      <c r="K790" s="35" t="s">
        <v>66</v>
      </c>
      <c r="L790" s="79">
        <v>790</v>
      </c>
      <c r="M790" s="79"/>
      <c r="N790" s="73"/>
      <c r="O790" s="81" t="s">
        <v>293</v>
      </c>
      <c r="P790">
        <v>1</v>
      </c>
      <c r="Q790" s="80" t="str">
        <f>REPLACE(INDEX(GroupVertices[Group],MATCH(Edges[[#This Row],[Vertex 1]],GroupVertices[Vertex],0)),1,1,"")</f>
        <v>1</v>
      </c>
      <c r="R790" s="80" t="str">
        <f>REPLACE(INDEX(GroupVertices[Group],MATCH(Edges[[#This Row],[Vertex 2]],GroupVertices[Vertex],0)),1,1,"")</f>
        <v>2</v>
      </c>
      <c r="S790" s="35"/>
      <c r="T790" s="35"/>
      <c r="U790" s="35"/>
      <c r="V790" s="35"/>
      <c r="W790" s="35"/>
      <c r="X790" s="35"/>
      <c r="Y790" s="35"/>
      <c r="Z790" s="35"/>
      <c r="AA790" s="35"/>
    </row>
    <row r="791" spans="1:27" ht="15">
      <c r="A791" s="65" t="s">
        <v>235</v>
      </c>
      <c r="B791" s="65" t="s">
        <v>224</v>
      </c>
      <c r="C791" s="66" t="s">
        <v>2115</v>
      </c>
      <c r="D791" s="67">
        <v>3</v>
      </c>
      <c r="E791" s="68"/>
      <c r="F791" s="69">
        <v>40</v>
      </c>
      <c r="G791" s="66"/>
      <c r="H791" s="70"/>
      <c r="I791" s="71"/>
      <c r="J791" s="71"/>
      <c r="K791" s="35" t="s">
        <v>66</v>
      </c>
      <c r="L791" s="79">
        <v>791</v>
      </c>
      <c r="M791" s="79"/>
      <c r="N791" s="73"/>
      <c r="O791" s="81" t="s">
        <v>292</v>
      </c>
      <c r="P791">
        <v>3</v>
      </c>
      <c r="Q791" s="80" t="str">
        <f>REPLACE(INDEX(GroupVertices[Group],MATCH(Edges[[#This Row],[Vertex 1]],GroupVertices[Vertex],0)),1,1,"")</f>
        <v>1</v>
      </c>
      <c r="R791" s="80" t="str">
        <f>REPLACE(INDEX(GroupVertices[Group],MATCH(Edges[[#This Row],[Vertex 2]],GroupVertices[Vertex],0)),1,1,"")</f>
        <v>1</v>
      </c>
      <c r="S791" s="35"/>
      <c r="T791" s="35"/>
      <c r="U791" s="35"/>
      <c r="V791" s="35"/>
      <c r="W791" s="35"/>
      <c r="X791" s="35"/>
      <c r="Y791" s="35"/>
      <c r="Z791" s="35"/>
      <c r="AA791" s="35"/>
    </row>
    <row r="792" spans="1:27" ht="15">
      <c r="A792" s="65" t="s">
        <v>639</v>
      </c>
      <c r="B792" s="65" t="s">
        <v>235</v>
      </c>
      <c r="C792" s="66" t="s">
        <v>2113</v>
      </c>
      <c r="D792" s="67">
        <v>3</v>
      </c>
      <c r="E792" s="68"/>
      <c r="F792" s="69">
        <v>40</v>
      </c>
      <c r="G792" s="66"/>
      <c r="H792" s="70"/>
      <c r="I792" s="71"/>
      <c r="J792" s="71"/>
      <c r="K792" s="35" t="s">
        <v>65</v>
      </c>
      <c r="L792" s="79">
        <v>792</v>
      </c>
      <c r="M792" s="79"/>
      <c r="N792" s="73"/>
      <c r="O792" s="81" t="s">
        <v>292</v>
      </c>
      <c r="P792">
        <v>1</v>
      </c>
      <c r="Q792" s="80" t="str">
        <f>REPLACE(INDEX(GroupVertices[Group],MATCH(Edges[[#This Row],[Vertex 1]],GroupVertices[Vertex],0)),1,1,"")</f>
        <v>2</v>
      </c>
      <c r="R792" s="80" t="str">
        <f>REPLACE(INDEX(GroupVertices[Group],MATCH(Edges[[#This Row],[Vertex 2]],GroupVertices[Vertex],0)),1,1,"")</f>
        <v>1</v>
      </c>
      <c r="S792" s="35"/>
      <c r="T792" s="35"/>
      <c r="U792" s="35"/>
      <c r="V792" s="35"/>
      <c r="W792" s="35"/>
      <c r="X792" s="35"/>
      <c r="Y792" s="35"/>
      <c r="Z792" s="35"/>
      <c r="AA792" s="35"/>
    </row>
    <row r="793" spans="1:27" ht="15">
      <c r="A793" s="65" t="s">
        <v>640</v>
      </c>
      <c r="B793" s="65" t="s">
        <v>235</v>
      </c>
      <c r="C793" s="66" t="s">
        <v>2113</v>
      </c>
      <c r="D793" s="67">
        <v>3</v>
      </c>
      <c r="E793" s="68"/>
      <c r="F793" s="69">
        <v>40</v>
      </c>
      <c r="G793" s="66"/>
      <c r="H793" s="70"/>
      <c r="I793" s="71"/>
      <c r="J793" s="71"/>
      <c r="K793" s="35" t="s">
        <v>65</v>
      </c>
      <c r="L793" s="79">
        <v>793</v>
      </c>
      <c r="M793" s="79"/>
      <c r="N793" s="73"/>
      <c r="O793" s="81" t="s">
        <v>292</v>
      </c>
      <c r="P793">
        <v>1</v>
      </c>
      <c r="Q793" s="80" t="str">
        <f>REPLACE(INDEX(GroupVertices[Group],MATCH(Edges[[#This Row],[Vertex 1]],GroupVertices[Vertex],0)),1,1,"")</f>
        <v>2</v>
      </c>
      <c r="R793" s="80" t="str">
        <f>REPLACE(INDEX(GroupVertices[Group],MATCH(Edges[[#This Row],[Vertex 2]],GroupVertices[Vertex],0)),1,1,"")</f>
        <v>1</v>
      </c>
      <c r="S793" s="35"/>
      <c r="T793" s="35"/>
      <c r="U793" s="35"/>
      <c r="V793" s="35"/>
      <c r="W793" s="35"/>
      <c r="X793" s="35"/>
      <c r="Y793" s="35"/>
      <c r="Z793" s="35"/>
      <c r="AA793" s="35"/>
    </row>
    <row r="794" spans="1:27" ht="15">
      <c r="A794" s="65" t="s">
        <v>231</v>
      </c>
      <c r="B794" s="65" t="s">
        <v>235</v>
      </c>
      <c r="C794" s="66" t="s">
        <v>2113</v>
      </c>
      <c r="D794" s="67">
        <v>3</v>
      </c>
      <c r="E794" s="68"/>
      <c r="F794" s="69">
        <v>40</v>
      </c>
      <c r="G794" s="66"/>
      <c r="H794" s="70"/>
      <c r="I794" s="71"/>
      <c r="J794" s="71"/>
      <c r="K794" s="35" t="s">
        <v>66</v>
      </c>
      <c r="L794" s="79">
        <v>794</v>
      </c>
      <c r="M794" s="79"/>
      <c r="N794" s="73"/>
      <c r="O794" s="81" t="s">
        <v>292</v>
      </c>
      <c r="P794">
        <v>1</v>
      </c>
      <c r="Q794" s="80" t="str">
        <f>REPLACE(INDEX(GroupVertices[Group],MATCH(Edges[[#This Row],[Vertex 1]],GroupVertices[Vertex],0)),1,1,"")</f>
        <v>1</v>
      </c>
      <c r="R794" s="80" t="str">
        <f>REPLACE(INDEX(GroupVertices[Group],MATCH(Edges[[#This Row],[Vertex 2]],GroupVertices[Vertex],0)),1,1,"")</f>
        <v>1</v>
      </c>
      <c r="S794" s="35"/>
      <c r="T794" s="35"/>
      <c r="U794" s="35"/>
      <c r="V794" s="35"/>
      <c r="W794" s="35"/>
      <c r="X794" s="35"/>
      <c r="Y794" s="35"/>
      <c r="Z794" s="35"/>
      <c r="AA794" s="35"/>
    </row>
    <row r="795" spans="1:27" ht="15">
      <c r="A795" s="65" t="s">
        <v>234</v>
      </c>
      <c r="B795" s="65" t="s">
        <v>235</v>
      </c>
      <c r="C795" s="66" t="s">
        <v>2113</v>
      </c>
      <c r="D795" s="67">
        <v>3</v>
      </c>
      <c r="E795" s="68"/>
      <c r="F795" s="69">
        <v>40</v>
      </c>
      <c r="G795" s="66"/>
      <c r="H795" s="70"/>
      <c r="I795" s="71"/>
      <c r="J795" s="71"/>
      <c r="K795" s="35" t="s">
        <v>66</v>
      </c>
      <c r="L795" s="79">
        <v>795</v>
      </c>
      <c r="M795" s="79"/>
      <c r="N795" s="73"/>
      <c r="O795" s="81" t="s">
        <v>292</v>
      </c>
      <c r="P795">
        <v>1</v>
      </c>
      <c r="Q795" s="80" t="str">
        <f>REPLACE(INDEX(GroupVertices[Group],MATCH(Edges[[#This Row],[Vertex 1]],GroupVertices[Vertex],0)),1,1,"")</f>
        <v>1</v>
      </c>
      <c r="R795" s="80" t="str">
        <f>REPLACE(INDEX(GroupVertices[Group],MATCH(Edges[[#This Row],[Vertex 2]],GroupVertices[Vertex],0)),1,1,"")</f>
        <v>1</v>
      </c>
      <c r="S795" s="35"/>
      <c r="T795" s="35"/>
      <c r="U795" s="35"/>
      <c r="V795" s="35"/>
      <c r="W795" s="35"/>
      <c r="X795" s="35"/>
      <c r="Y795" s="35"/>
      <c r="Z795" s="35"/>
      <c r="AA795" s="35"/>
    </row>
    <row r="796" spans="1:27" ht="15">
      <c r="A796" s="65" t="s">
        <v>646</v>
      </c>
      <c r="B796" s="65" t="s">
        <v>235</v>
      </c>
      <c r="C796" s="66" t="s">
        <v>2113</v>
      </c>
      <c r="D796" s="67">
        <v>3</v>
      </c>
      <c r="E796" s="68"/>
      <c r="F796" s="69">
        <v>40</v>
      </c>
      <c r="G796" s="66"/>
      <c r="H796" s="70"/>
      <c r="I796" s="71"/>
      <c r="J796" s="71"/>
      <c r="K796" s="35" t="s">
        <v>66</v>
      </c>
      <c r="L796" s="79">
        <v>796</v>
      </c>
      <c r="M796" s="79"/>
      <c r="N796" s="73"/>
      <c r="O796" s="81" t="s">
        <v>292</v>
      </c>
      <c r="P796">
        <v>1</v>
      </c>
      <c r="Q796" s="80" t="str">
        <f>REPLACE(INDEX(GroupVertices[Group],MATCH(Edges[[#This Row],[Vertex 1]],GroupVertices[Vertex],0)),1,1,"")</f>
        <v>2</v>
      </c>
      <c r="R796" s="80" t="str">
        <f>REPLACE(INDEX(GroupVertices[Group],MATCH(Edges[[#This Row],[Vertex 2]],GroupVertices[Vertex],0)),1,1,"")</f>
        <v>1</v>
      </c>
      <c r="S796" s="35"/>
      <c r="T796" s="35"/>
      <c r="U796" s="35"/>
      <c r="V796" s="35"/>
      <c r="W796" s="35"/>
      <c r="X796" s="35"/>
      <c r="Y796" s="35"/>
      <c r="Z796" s="35"/>
      <c r="AA796" s="35"/>
    </row>
    <row r="797" spans="1:27" ht="15">
      <c r="A797" s="65" t="s">
        <v>641</v>
      </c>
      <c r="B797" s="65" t="s">
        <v>235</v>
      </c>
      <c r="C797" s="66" t="s">
        <v>2113</v>
      </c>
      <c r="D797" s="67">
        <v>3</v>
      </c>
      <c r="E797" s="68"/>
      <c r="F797" s="69">
        <v>40</v>
      </c>
      <c r="G797" s="66"/>
      <c r="H797" s="70"/>
      <c r="I797" s="71"/>
      <c r="J797" s="71"/>
      <c r="K797" s="35" t="s">
        <v>65</v>
      </c>
      <c r="L797" s="79">
        <v>797</v>
      </c>
      <c r="M797" s="79"/>
      <c r="N797" s="73"/>
      <c r="O797" s="81" t="s">
        <v>292</v>
      </c>
      <c r="P797">
        <v>1</v>
      </c>
      <c r="Q797" s="80" t="str">
        <f>REPLACE(INDEX(GroupVertices[Group],MATCH(Edges[[#This Row],[Vertex 1]],GroupVertices[Vertex],0)),1,1,"")</f>
        <v>2</v>
      </c>
      <c r="R797" s="80" t="str">
        <f>REPLACE(INDEX(GroupVertices[Group],MATCH(Edges[[#This Row],[Vertex 2]],GroupVertices[Vertex],0)),1,1,"")</f>
        <v>1</v>
      </c>
      <c r="S797" s="35"/>
      <c r="T797" s="35"/>
      <c r="U797" s="35"/>
      <c r="V797" s="35"/>
      <c r="W797" s="35"/>
      <c r="X797" s="35"/>
      <c r="Y797" s="35"/>
      <c r="Z797" s="35"/>
      <c r="AA797" s="35"/>
    </row>
    <row r="798" spans="1:27" ht="15">
      <c r="A798" s="65" t="s">
        <v>642</v>
      </c>
      <c r="B798" s="65" t="s">
        <v>235</v>
      </c>
      <c r="C798" s="66" t="s">
        <v>2113</v>
      </c>
      <c r="D798" s="67">
        <v>3</v>
      </c>
      <c r="E798" s="68"/>
      <c r="F798" s="69">
        <v>40</v>
      </c>
      <c r="G798" s="66"/>
      <c r="H798" s="70"/>
      <c r="I798" s="71"/>
      <c r="J798" s="71"/>
      <c r="K798" s="35" t="s">
        <v>65</v>
      </c>
      <c r="L798" s="79">
        <v>798</v>
      </c>
      <c r="M798" s="79"/>
      <c r="N798" s="73"/>
      <c r="O798" s="81" t="s">
        <v>292</v>
      </c>
      <c r="P798">
        <v>1</v>
      </c>
      <c r="Q798" s="80" t="str">
        <f>REPLACE(INDEX(GroupVertices[Group],MATCH(Edges[[#This Row],[Vertex 1]],GroupVertices[Vertex],0)),1,1,"")</f>
        <v>2</v>
      </c>
      <c r="R798" s="80" t="str">
        <f>REPLACE(INDEX(GroupVertices[Group],MATCH(Edges[[#This Row],[Vertex 2]],GroupVertices[Vertex],0)),1,1,"")</f>
        <v>1</v>
      </c>
      <c r="S798" s="35"/>
      <c r="T798" s="35"/>
      <c r="U798" s="35"/>
      <c r="V798" s="35"/>
      <c r="W798" s="35"/>
      <c r="X798" s="35"/>
      <c r="Y798" s="35"/>
      <c r="Z798" s="35"/>
      <c r="AA798" s="35"/>
    </row>
    <row r="799" spans="1:27" ht="15">
      <c r="A799" s="65" t="s">
        <v>214</v>
      </c>
      <c r="B799" s="65" t="s">
        <v>235</v>
      </c>
      <c r="C799" s="66" t="s">
        <v>2113</v>
      </c>
      <c r="D799" s="67">
        <v>3</v>
      </c>
      <c r="E799" s="68"/>
      <c r="F799" s="69">
        <v>40</v>
      </c>
      <c r="G799" s="66"/>
      <c r="H799" s="70"/>
      <c r="I799" s="71"/>
      <c r="J799" s="71"/>
      <c r="K799" s="35" t="s">
        <v>66</v>
      </c>
      <c r="L799" s="79">
        <v>799</v>
      </c>
      <c r="M799" s="79"/>
      <c r="N799" s="73"/>
      <c r="O799" s="81" t="s">
        <v>292</v>
      </c>
      <c r="P799">
        <v>1</v>
      </c>
      <c r="Q799" s="80" t="str">
        <f>REPLACE(INDEX(GroupVertices[Group],MATCH(Edges[[#This Row],[Vertex 1]],GroupVertices[Vertex],0)),1,1,"")</f>
        <v>1</v>
      </c>
      <c r="R799" s="80" t="str">
        <f>REPLACE(INDEX(GroupVertices[Group],MATCH(Edges[[#This Row],[Vertex 2]],GroupVertices[Vertex],0)),1,1,"")</f>
        <v>1</v>
      </c>
      <c r="S799" s="35"/>
      <c r="T799" s="35"/>
      <c r="U799" s="35"/>
      <c r="V799" s="35"/>
      <c r="W799" s="35"/>
      <c r="X799" s="35"/>
      <c r="Y799" s="35"/>
      <c r="Z799" s="35"/>
      <c r="AA799" s="35"/>
    </row>
    <row r="800" spans="1:27" ht="15">
      <c r="A800" s="65" t="s">
        <v>643</v>
      </c>
      <c r="B800" s="65" t="s">
        <v>235</v>
      </c>
      <c r="C800" s="66" t="s">
        <v>2113</v>
      </c>
      <c r="D800" s="67">
        <v>3</v>
      </c>
      <c r="E800" s="68"/>
      <c r="F800" s="69">
        <v>40</v>
      </c>
      <c r="G800" s="66"/>
      <c r="H800" s="70"/>
      <c r="I800" s="71"/>
      <c r="J800" s="71"/>
      <c r="K800" s="35" t="s">
        <v>65</v>
      </c>
      <c r="L800" s="79">
        <v>800</v>
      </c>
      <c r="M800" s="79"/>
      <c r="N800" s="73"/>
      <c r="O800" s="81" t="s">
        <v>292</v>
      </c>
      <c r="P800">
        <v>1</v>
      </c>
      <c r="Q800" s="80" t="str">
        <f>REPLACE(INDEX(GroupVertices[Group],MATCH(Edges[[#This Row],[Vertex 1]],GroupVertices[Vertex],0)),1,1,"")</f>
        <v>2</v>
      </c>
      <c r="R800" s="80" t="str">
        <f>REPLACE(INDEX(GroupVertices[Group],MATCH(Edges[[#This Row],[Vertex 2]],GroupVertices[Vertex],0)),1,1,"")</f>
        <v>1</v>
      </c>
      <c r="S800" s="35"/>
      <c r="T800" s="35"/>
      <c r="U800" s="35"/>
      <c r="V800" s="35"/>
      <c r="W800" s="35"/>
      <c r="X800" s="35"/>
      <c r="Y800" s="35"/>
      <c r="Z800" s="35"/>
      <c r="AA800" s="35"/>
    </row>
    <row r="801" spans="1:27" ht="15">
      <c r="A801" s="65" t="s">
        <v>226</v>
      </c>
      <c r="B801" s="65" t="s">
        <v>235</v>
      </c>
      <c r="C801" s="66" t="s">
        <v>2113</v>
      </c>
      <c r="D801" s="67">
        <v>3</v>
      </c>
      <c r="E801" s="68"/>
      <c r="F801" s="69">
        <v>40</v>
      </c>
      <c r="G801" s="66"/>
      <c r="H801" s="70"/>
      <c r="I801" s="71"/>
      <c r="J801" s="71"/>
      <c r="K801" s="35" t="s">
        <v>66</v>
      </c>
      <c r="L801" s="79">
        <v>801</v>
      </c>
      <c r="M801" s="79"/>
      <c r="N801" s="73"/>
      <c r="O801" s="81" t="s">
        <v>292</v>
      </c>
      <c r="P801">
        <v>1</v>
      </c>
      <c r="Q801" s="80" t="str">
        <f>REPLACE(INDEX(GroupVertices[Group],MATCH(Edges[[#This Row],[Vertex 1]],GroupVertices[Vertex],0)),1,1,"")</f>
        <v>1</v>
      </c>
      <c r="R801" s="80" t="str">
        <f>REPLACE(INDEX(GroupVertices[Group],MATCH(Edges[[#This Row],[Vertex 2]],GroupVertices[Vertex],0)),1,1,"")</f>
        <v>1</v>
      </c>
      <c r="S801" s="35"/>
      <c r="T801" s="35"/>
      <c r="U801" s="35"/>
      <c r="V801" s="35"/>
      <c r="W801" s="35"/>
      <c r="X801" s="35"/>
      <c r="Y801" s="35"/>
      <c r="Z801" s="35"/>
      <c r="AA801" s="35"/>
    </row>
    <row r="802" spans="1:27" ht="15">
      <c r="A802" s="65" t="s">
        <v>248</v>
      </c>
      <c r="B802" s="65" t="s">
        <v>235</v>
      </c>
      <c r="C802" s="66" t="s">
        <v>2113</v>
      </c>
      <c r="D802" s="67">
        <v>3</v>
      </c>
      <c r="E802" s="68"/>
      <c r="F802" s="69">
        <v>40</v>
      </c>
      <c r="G802" s="66"/>
      <c r="H802" s="70"/>
      <c r="I802" s="71"/>
      <c r="J802" s="71"/>
      <c r="K802" s="35" t="s">
        <v>66</v>
      </c>
      <c r="L802" s="79">
        <v>802</v>
      </c>
      <c r="M802" s="79"/>
      <c r="N802" s="73"/>
      <c r="O802" s="81" t="s">
        <v>292</v>
      </c>
      <c r="P802">
        <v>1</v>
      </c>
      <c r="Q802" s="80" t="str">
        <f>REPLACE(INDEX(GroupVertices[Group],MATCH(Edges[[#This Row],[Vertex 1]],GroupVertices[Vertex],0)),1,1,"")</f>
        <v>1</v>
      </c>
      <c r="R802" s="80" t="str">
        <f>REPLACE(INDEX(GroupVertices[Group],MATCH(Edges[[#This Row],[Vertex 2]],GroupVertices[Vertex],0)),1,1,"")</f>
        <v>1</v>
      </c>
      <c r="S802" s="35"/>
      <c r="T802" s="35"/>
      <c r="U802" s="35"/>
      <c r="V802" s="35"/>
      <c r="W802" s="35"/>
      <c r="X802" s="35"/>
      <c r="Y802" s="35"/>
      <c r="Z802" s="35"/>
      <c r="AA802" s="35"/>
    </row>
    <row r="803" spans="1:27" ht="15">
      <c r="A803" s="65" t="s">
        <v>236</v>
      </c>
      <c r="B803" s="65" t="s">
        <v>235</v>
      </c>
      <c r="C803" s="66" t="s">
        <v>2114</v>
      </c>
      <c r="D803" s="67">
        <v>3</v>
      </c>
      <c r="E803" s="68"/>
      <c r="F803" s="69">
        <v>40</v>
      </c>
      <c r="G803" s="66"/>
      <c r="H803" s="70"/>
      <c r="I803" s="71"/>
      <c r="J803" s="71"/>
      <c r="K803" s="35" t="s">
        <v>66</v>
      </c>
      <c r="L803" s="79">
        <v>803</v>
      </c>
      <c r="M803" s="79"/>
      <c r="N803" s="73"/>
      <c r="O803" s="81" t="s">
        <v>292</v>
      </c>
      <c r="P803">
        <v>2</v>
      </c>
      <c r="Q803" s="80" t="str">
        <f>REPLACE(INDEX(GroupVertices[Group],MATCH(Edges[[#This Row],[Vertex 1]],GroupVertices[Vertex],0)),1,1,"")</f>
        <v>2</v>
      </c>
      <c r="R803" s="80" t="str">
        <f>REPLACE(INDEX(GroupVertices[Group],MATCH(Edges[[#This Row],[Vertex 2]],GroupVertices[Vertex],0)),1,1,"")</f>
        <v>1</v>
      </c>
      <c r="S803" s="35"/>
      <c r="T803" s="35"/>
      <c r="U803" s="35"/>
      <c r="V803" s="35"/>
      <c r="W803" s="35"/>
      <c r="X803" s="35"/>
      <c r="Y803" s="35"/>
      <c r="Z803" s="35"/>
      <c r="AA803" s="35"/>
    </row>
    <row r="804" spans="1:27" ht="15">
      <c r="A804" s="65" t="s">
        <v>644</v>
      </c>
      <c r="B804" s="65" t="s">
        <v>235</v>
      </c>
      <c r="C804" s="66" t="s">
        <v>2113</v>
      </c>
      <c r="D804" s="67">
        <v>3</v>
      </c>
      <c r="E804" s="68"/>
      <c r="F804" s="69">
        <v>40</v>
      </c>
      <c r="G804" s="66"/>
      <c r="H804" s="70"/>
      <c r="I804" s="71"/>
      <c r="J804" s="71"/>
      <c r="K804" s="35" t="s">
        <v>65</v>
      </c>
      <c r="L804" s="79">
        <v>804</v>
      </c>
      <c r="M804" s="79"/>
      <c r="N804" s="73"/>
      <c r="O804" s="81" t="s">
        <v>292</v>
      </c>
      <c r="P804">
        <v>1</v>
      </c>
      <c r="Q804" s="80" t="str">
        <f>REPLACE(INDEX(GroupVertices[Group],MATCH(Edges[[#This Row],[Vertex 1]],GroupVertices[Vertex],0)),1,1,"")</f>
        <v>2</v>
      </c>
      <c r="R804" s="80" t="str">
        <f>REPLACE(INDEX(GroupVertices[Group],MATCH(Edges[[#This Row],[Vertex 2]],GroupVertices[Vertex],0)),1,1,"")</f>
        <v>1</v>
      </c>
      <c r="S804" s="35"/>
      <c r="T804" s="35"/>
      <c r="U804" s="35"/>
      <c r="V804" s="35"/>
      <c r="W804" s="35"/>
      <c r="X804" s="35"/>
      <c r="Y804" s="35"/>
      <c r="Z804" s="35"/>
      <c r="AA804" s="35"/>
    </row>
    <row r="805" spans="1:27" ht="15">
      <c r="A805" s="65" t="s">
        <v>232</v>
      </c>
      <c r="B805" s="65" t="s">
        <v>235</v>
      </c>
      <c r="C805" s="66" t="s">
        <v>2114</v>
      </c>
      <c r="D805" s="67">
        <v>3</v>
      </c>
      <c r="E805" s="68"/>
      <c r="F805" s="69">
        <v>40</v>
      </c>
      <c r="G805" s="66"/>
      <c r="H805" s="70"/>
      <c r="I805" s="71"/>
      <c r="J805" s="71"/>
      <c r="K805" s="35" t="s">
        <v>66</v>
      </c>
      <c r="L805" s="79">
        <v>805</v>
      </c>
      <c r="M805" s="79"/>
      <c r="N805" s="73"/>
      <c r="O805" s="81" t="s">
        <v>292</v>
      </c>
      <c r="P805">
        <v>2</v>
      </c>
      <c r="Q805" s="80" t="str">
        <f>REPLACE(INDEX(GroupVertices[Group],MATCH(Edges[[#This Row],[Vertex 1]],GroupVertices[Vertex],0)),1,1,"")</f>
        <v>2</v>
      </c>
      <c r="R805" s="80" t="str">
        <f>REPLACE(INDEX(GroupVertices[Group],MATCH(Edges[[#This Row],[Vertex 2]],GroupVertices[Vertex],0)),1,1,"")</f>
        <v>1</v>
      </c>
      <c r="S805" s="35"/>
      <c r="T805" s="35"/>
      <c r="U805" s="35"/>
      <c r="V805" s="35"/>
      <c r="W805" s="35"/>
      <c r="X805" s="35"/>
      <c r="Y805" s="35"/>
      <c r="Z805" s="35"/>
      <c r="AA805" s="35"/>
    </row>
    <row r="806" spans="1:27" ht="15">
      <c r="A806" s="65" t="s">
        <v>645</v>
      </c>
      <c r="B806" s="65" t="s">
        <v>235</v>
      </c>
      <c r="C806" s="66" t="s">
        <v>2113</v>
      </c>
      <c r="D806" s="67">
        <v>3</v>
      </c>
      <c r="E806" s="68"/>
      <c r="F806" s="69">
        <v>40</v>
      </c>
      <c r="G806" s="66"/>
      <c r="H806" s="70"/>
      <c r="I806" s="71"/>
      <c r="J806" s="71"/>
      <c r="K806" s="35" t="s">
        <v>65</v>
      </c>
      <c r="L806" s="79">
        <v>806</v>
      </c>
      <c r="M806" s="79"/>
      <c r="N806" s="73"/>
      <c r="O806" s="81" t="s">
        <v>292</v>
      </c>
      <c r="P806">
        <v>1</v>
      </c>
      <c r="Q806" s="80" t="str">
        <f>REPLACE(INDEX(GroupVertices[Group],MATCH(Edges[[#This Row],[Vertex 1]],GroupVertices[Vertex],0)),1,1,"")</f>
        <v>2</v>
      </c>
      <c r="R806" s="80" t="str">
        <f>REPLACE(INDEX(GroupVertices[Group],MATCH(Edges[[#This Row],[Vertex 2]],GroupVertices[Vertex],0)),1,1,"")</f>
        <v>1</v>
      </c>
      <c r="S806" s="35"/>
      <c r="T806" s="35"/>
      <c r="U806" s="35"/>
      <c r="V806" s="35"/>
      <c r="W806" s="35"/>
      <c r="X806" s="35"/>
      <c r="Y806" s="35"/>
      <c r="Z806" s="35"/>
      <c r="AA806" s="35"/>
    </row>
    <row r="807" spans="1:27" ht="15">
      <c r="A807" s="65" t="s">
        <v>216</v>
      </c>
      <c r="B807" s="65" t="s">
        <v>235</v>
      </c>
      <c r="C807" s="66" t="s">
        <v>2114</v>
      </c>
      <c r="D807" s="67">
        <v>3</v>
      </c>
      <c r="E807" s="68"/>
      <c r="F807" s="69">
        <v>40</v>
      </c>
      <c r="G807" s="66"/>
      <c r="H807" s="70"/>
      <c r="I807" s="71"/>
      <c r="J807" s="71"/>
      <c r="K807" s="35" t="s">
        <v>66</v>
      </c>
      <c r="L807" s="79">
        <v>807</v>
      </c>
      <c r="M807" s="79"/>
      <c r="N807" s="73"/>
      <c r="O807" s="81" t="s">
        <v>292</v>
      </c>
      <c r="P807">
        <v>2</v>
      </c>
      <c r="Q807" s="80" t="str">
        <f>REPLACE(INDEX(GroupVertices[Group],MATCH(Edges[[#This Row],[Vertex 1]],GroupVertices[Vertex],0)),1,1,"")</f>
        <v>1</v>
      </c>
      <c r="R807" s="80" t="str">
        <f>REPLACE(INDEX(GroupVertices[Group],MATCH(Edges[[#This Row],[Vertex 2]],GroupVertices[Vertex],0)),1,1,"")</f>
        <v>1</v>
      </c>
      <c r="S807" s="35"/>
      <c r="T807" s="35"/>
      <c r="U807" s="35"/>
      <c r="V807" s="35"/>
      <c r="W807" s="35"/>
      <c r="X807" s="35"/>
      <c r="Y807" s="35"/>
      <c r="Z807" s="35"/>
      <c r="AA807" s="35"/>
    </row>
    <row r="808" spans="1:27" ht="15">
      <c r="A808" s="65" t="s">
        <v>221</v>
      </c>
      <c r="B808" s="65" t="s">
        <v>235</v>
      </c>
      <c r="C808" s="66" t="s">
        <v>2113</v>
      </c>
      <c r="D808" s="67">
        <v>3</v>
      </c>
      <c r="E808" s="68"/>
      <c r="F808" s="69">
        <v>40</v>
      </c>
      <c r="G808" s="66"/>
      <c r="H808" s="70"/>
      <c r="I808" s="71"/>
      <c r="J808" s="71"/>
      <c r="K808" s="35" t="s">
        <v>66</v>
      </c>
      <c r="L808" s="79">
        <v>808</v>
      </c>
      <c r="M808" s="79"/>
      <c r="N808" s="73"/>
      <c r="O808" s="81" t="s">
        <v>292</v>
      </c>
      <c r="P808">
        <v>1</v>
      </c>
      <c r="Q808" s="80" t="str">
        <f>REPLACE(INDEX(GroupVertices[Group],MATCH(Edges[[#This Row],[Vertex 1]],GroupVertices[Vertex],0)),1,1,"")</f>
        <v>1</v>
      </c>
      <c r="R808" s="80" t="str">
        <f>REPLACE(INDEX(GroupVertices[Group],MATCH(Edges[[#This Row],[Vertex 2]],GroupVertices[Vertex],0)),1,1,"")</f>
        <v>1</v>
      </c>
      <c r="S808" s="35"/>
      <c r="T808" s="35"/>
      <c r="U808" s="35"/>
      <c r="V808" s="35"/>
      <c r="W808" s="35"/>
      <c r="X808" s="35"/>
      <c r="Y808" s="35"/>
      <c r="Z808" s="35"/>
      <c r="AA808" s="35"/>
    </row>
    <row r="809" spans="1:27" ht="15">
      <c r="A809" s="65" t="s">
        <v>232</v>
      </c>
      <c r="B809" s="65" t="s">
        <v>235</v>
      </c>
      <c r="C809" s="66" t="s">
        <v>2114</v>
      </c>
      <c r="D809" s="67">
        <v>3</v>
      </c>
      <c r="E809" s="68"/>
      <c r="F809" s="69">
        <v>40</v>
      </c>
      <c r="G809" s="66"/>
      <c r="H809" s="70"/>
      <c r="I809" s="71"/>
      <c r="J809" s="71"/>
      <c r="K809" s="35" t="s">
        <v>66</v>
      </c>
      <c r="L809" s="79">
        <v>809</v>
      </c>
      <c r="M809" s="79"/>
      <c r="N809" s="73"/>
      <c r="O809" s="81" t="s">
        <v>293</v>
      </c>
      <c r="P809">
        <v>2</v>
      </c>
      <c r="Q809" s="80" t="str">
        <f>REPLACE(INDEX(GroupVertices[Group],MATCH(Edges[[#This Row],[Vertex 1]],GroupVertices[Vertex],0)),1,1,"")</f>
        <v>2</v>
      </c>
      <c r="R809" s="80" t="str">
        <f>REPLACE(INDEX(GroupVertices[Group],MATCH(Edges[[#This Row],[Vertex 2]],GroupVertices[Vertex],0)),1,1,"")</f>
        <v>1</v>
      </c>
      <c r="S809" s="35"/>
      <c r="T809" s="35"/>
      <c r="U809" s="35"/>
      <c r="V809" s="35"/>
      <c r="W809" s="35"/>
      <c r="X809" s="35"/>
      <c r="Y809" s="35"/>
      <c r="Z809" s="35"/>
      <c r="AA809" s="35"/>
    </row>
    <row r="810" spans="1:27" ht="15">
      <c r="A810" s="65" t="s">
        <v>235</v>
      </c>
      <c r="B810" s="65" t="s">
        <v>236</v>
      </c>
      <c r="C810" s="66" t="s">
        <v>2113</v>
      </c>
      <c r="D810" s="67">
        <v>3</v>
      </c>
      <c r="E810" s="68"/>
      <c r="F810" s="69">
        <v>40</v>
      </c>
      <c r="G810" s="66"/>
      <c r="H810" s="70"/>
      <c r="I810" s="71"/>
      <c r="J810" s="71"/>
      <c r="K810" s="35" t="s">
        <v>66</v>
      </c>
      <c r="L810" s="79">
        <v>810</v>
      </c>
      <c r="M810" s="79"/>
      <c r="N810" s="73"/>
      <c r="O810" s="81" t="s">
        <v>293</v>
      </c>
      <c r="P810">
        <v>1</v>
      </c>
      <c r="Q810" s="80" t="str">
        <f>REPLACE(INDEX(GroupVertices[Group],MATCH(Edges[[#This Row],[Vertex 1]],GroupVertices[Vertex],0)),1,1,"")</f>
        <v>1</v>
      </c>
      <c r="R810" s="80" t="str">
        <f>REPLACE(INDEX(GroupVertices[Group],MATCH(Edges[[#This Row],[Vertex 2]],GroupVertices[Vertex],0)),1,1,"")</f>
        <v>2</v>
      </c>
      <c r="S810" s="35"/>
      <c r="T810" s="35"/>
      <c r="U810" s="35"/>
      <c r="V810" s="35"/>
      <c r="W810" s="35"/>
      <c r="X810" s="35"/>
      <c r="Y810" s="35"/>
      <c r="Z810" s="35"/>
      <c r="AA810" s="35"/>
    </row>
    <row r="811" spans="1:27" ht="15">
      <c r="A811" s="65" t="s">
        <v>235</v>
      </c>
      <c r="B811" s="65" t="s">
        <v>646</v>
      </c>
      <c r="C811" s="66" t="s">
        <v>2113</v>
      </c>
      <c r="D811" s="67">
        <v>3</v>
      </c>
      <c r="E811" s="68"/>
      <c r="F811" s="69">
        <v>40</v>
      </c>
      <c r="G811" s="66"/>
      <c r="H811" s="70"/>
      <c r="I811" s="71"/>
      <c r="J811" s="71"/>
      <c r="K811" s="35" t="s">
        <v>66</v>
      </c>
      <c r="L811" s="79">
        <v>811</v>
      </c>
      <c r="M811" s="79"/>
      <c r="N811" s="73"/>
      <c r="O811" s="81" t="s">
        <v>293</v>
      </c>
      <c r="P811">
        <v>1</v>
      </c>
      <c r="Q811" s="80" t="str">
        <f>REPLACE(INDEX(GroupVertices[Group],MATCH(Edges[[#This Row],[Vertex 1]],GroupVertices[Vertex],0)),1,1,"")</f>
        <v>1</v>
      </c>
      <c r="R811" s="80" t="str">
        <f>REPLACE(INDEX(GroupVertices[Group],MATCH(Edges[[#This Row],[Vertex 2]],GroupVertices[Vertex],0)),1,1,"")</f>
        <v>2</v>
      </c>
      <c r="S811" s="35"/>
      <c r="T811" s="35"/>
      <c r="U811" s="35"/>
      <c r="V811" s="35"/>
      <c r="W811" s="35"/>
      <c r="X811" s="35"/>
      <c r="Y811" s="35"/>
      <c r="Z811" s="35"/>
      <c r="AA811" s="35"/>
    </row>
    <row r="812" spans="1:27" ht="15">
      <c r="A812" s="65" t="s">
        <v>235</v>
      </c>
      <c r="B812" s="65" t="s">
        <v>224</v>
      </c>
      <c r="C812" s="66" t="s">
        <v>2115</v>
      </c>
      <c r="D812" s="67">
        <v>3</v>
      </c>
      <c r="E812" s="68"/>
      <c r="F812" s="69">
        <v>40</v>
      </c>
      <c r="G812" s="66"/>
      <c r="H812" s="70"/>
      <c r="I812" s="71"/>
      <c r="J812" s="71"/>
      <c r="K812" s="35" t="s">
        <v>66</v>
      </c>
      <c r="L812" s="79">
        <v>812</v>
      </c>
      <c r="M812" s="79"/>
      <c r="N812" s="73"/>
      <c r="O812" s="81" t="s">
        <v>293</v>
      </c>
      <c r="P812">
        <v>3</v>
      </c>
      <c r="Q812" s="80" t="str">
        <f>REPLACE(INDEX(GroupVertices[Group],MATCH(Edges[[#This Row],[Vertex 1]],GroupVertices[Vertex],0)),1,1,"")</f>
        <v>1</v>
      </c>
      <c r="R812" s="80" t="str">
        <f>REPLACE(INDEX(GroupVertices[Group],MATCH(Edges[[#This Row],[Vertex 2]],GroupVertices[Vertex],0)),1,1,"")</f>
        <v>1</v>
      </c>
      <c r="S812" s="35"/>
      <c r="T812" s="35"/>
      <c r="U812" s="35"/>
      <c r="V812" s="35"/>
      <c r="W812" s="35"/>
      <c r="X812" s="35"/>
      <c r="Y812" s="35"/>
      <c r="Z812" s="35"/>
      <c r="AA812" s="35"/>
    </row>
    <row r="813" spans="1:27" ht="15">
      <c r="A813" s="65" t="s">
        <v>235</v>
      </c>
      <c r="B813" s="65" t="s">
        <v>234</v>
      </c>
      <c r="C813" s="66" t="s">
        <v>2114</v>
      </c>
      <c r="D813" s="67">
        <v>3</v>
      </c>
      <c r="E813" s="68"/>
      <c r="F813" s="69">
        <v>40</v>
      </c>
      <c r="G813" s="66"/>
      <c r="H813" s="70"/>
      <c r="I813" s="71"/>
      <c r="J813" s="71"/>
      <c r="K813" s="35" t="s">
        <v>66</v>
      </c>
      <c r="L813" s="79">
        <v>813</v>
      </c>
      <c r="M813" s="79"/>
      <c r="N813" s="73"/>
      <c r="O813" s="81" t="s">
        <v>293</v>
      </c>
      <c r="P813">
        <v>2</v>
      </c>
      <c r="Q813" s="80" t="str">
        <f>REPLACE(INDEX(GroupVertices[Group],MATCH(Edges[[#This Row],[Vertex 1]],GroupVertices[Vertex],0)),1,1,"")</f>
        <v>1</v>
      </c>
      <c r="R813" s="80" t="str">
        <f>REPLACE(INDEX(GroupVertices[Group],MATCH(Edges[[#This Row],[Vertex 2]],GroupVertices[Vertex],0)),1,1,"")</f>
        <v>1</v>
      </c>
      <c r="S813" s="35"/>
      <c r="T813" s="35"/>
      <c r="U813" s="35"/>
      <c r="V813" s="35"/>
      <c r="W813" s="35"/>
      <c r="X813" s="35"/>
      <c r="Y813" s="35"/>
      <c r="Z813" s="35"/>
      <c r="AA813" s="35"/>
    </row>
    <row r="814" spans="1:27" ht="15">
      <c r="A814" s="65" t="s">
        <v>235</v>
      </c>
      <c r="B814" s="65" t="s">
        <v>232</v>
      </c>
      <c r="C814" s="66" t="s">
        <v>2114</v>
      </c>
      <c r="D814" s="67">
        <v>3</v>
      </c>
      <c r="E814" s="68"/>
      <c r="F814" s="69">
        <v>40</v>
      </c>
      <c r="G814" s="66"/>
      <c r="H814" s="70"/>
      <c r="I814" s="71"/>
      <c r="J814" s="71"/>
      <c r="K814" s="35" t="s">
        <v>66</v>
      </c>
      <c r="L814" s="79">
        <v>814</v>
      </c>
      <c r="M814" s="79"/>
      <c r="N814" s="73"/>
      <c r="O814" s="81" t="s">
        <v>293</v>
      </c>
      <c r="P814">
        <v>2</v>
      </c>
      <c r="Q814" s="80" t="str">
        <f>REPLACE(INDEX(GroupVertices[Group],MATCH(Edges[[#This Row],[Vertex 1]],GroupVertices[Vertex],0)),1,1,"")</f>
        <v>1</v>
      </c>
      <c r="R814" s="80" t="str">
        <f>REPLACE(INDEX(GroupVertices[Group],MATCH(Edges[[#This Row],[Vertex 2]],GroupVertices[Vertex],0)),1,1,"")</f>
        <v>2</v>
      </c>
      <c r="S814" s="35"/>
      <c r="T814" s="35"/>
      <c r="U814" s="35"/>
      <c r="V814" s="35"/>
      <c r="W814" s="35"/>
      <c r="X814" s="35"/>
      <c r="Y814" s="35"/>
      <c r="Z814" s="35"/>
      <c r="AA814" s="35"/>
    </row>
    <row r="815" spans="1:27" ht="15">
      <c r="A815" s="65" t="s">
        <v>235</v>
      </c>
      <c r="B815" s="65" t="s">
        <v>226</v>
      </c>
      <c r="C815" s="66" t="s">
        <v>2114</v>
      </c>
      <c r="D815" s="67">
        <v>3</v>
      </c>
      <c r="E815" s="68"/>
      <c r="F815" s="69">
        <v>40</v>
      </c>
      <c r="G815" s="66"/>
      <c r="H815" s="70"/>
      <c r="I815" s="71"/>
      <c r="J815" s="71"/>
      <c r="K815" s="35" t="s">
        <v>66</v>
      </c>
      <c r="L815" s="79">
        <v>815</v>
      </c>
      <c r="M815" s="79"/>
      <c r="N815" s="73"/>
      <c r="O815" s="81" t="s">
        <v>293</v>
      </c>
      <c r="P815">
        <v>2</v>
      </c>
      <c r="Q815" s="80" t="str">
        <f>REPLACE(INDEX(GroupVertices[Group],MATCH(Edges[[#This Row],[Vertex 1]],GroupVertices[Vertex],0)),1,1,"")</f>
        <v>1</v>
      </c>
      <c r="R815" s="80" t="str">
        <f>REPLACE(INDEX(GroupVertices[Group],MATCH(Edges[[#This Row],[Vertex 2]],GroupVertices[Vertex],0)),1,1,"")</f>
        <v>1</v>
      </c>
      <c r="S815" s="35"/>
      <c r="T815" s="35"/>
      <c r="U815" s="35"/>
      <c r="V815" s="35"/>
      <c r="W815" s="35"/>
      <c r="X815" s="35"/>
      <c r="Y815" s="35"/>
      <c r="Z815" s="35"/>
      <c r="AA815" s="35"/>
    </row>
    <row r="816" spans="1:27" ht="15">
      <c r="A816" s="65" t="s">
        <v>235</v>
      </c>
      <c r="B816" s="65" t="s">
        <v>231</v>
      </c>
      <c r="C816" s="66" t="s">
        <v>2114</v>
      </c>
      <c r="D816" s="67">
        <v>3</v>
      </c>
      <c r="E816" s="68"/>
      <c r="F816" s="69">
        <v>40</v>
      </c>
      <c r="G816" s="66"/>
      <c r="H816" s="70"/>
      <c r="I816" s="71"/>
      <c r="J816" s="71"/>
      <c r="K816" s="35" t="s">
        <v>66</v>
      </c>
      <c r="L816" s="79">
        <v>816</v>
      </c>
      <c r="M816" s="79"/>
      <c r="N816" s="73"/>
      <c r="O816" s="81" t="s">
        <v>293</v>
      </c>
      <c r="P816">
        <v>2</v>
      </c>
      <c r="Q816" s="80" t="str">
        <f>REPLACE(INDEX(GroupVertices[Group],MATCH(Edges[[#This Row],[Vertex 1]],GroupVertices[Vertex],0)),1,1,"")</f>
        <v>1</v>
      </c>
      <c r="R816" s="80" t="str">
        <f>REPLACE(INDEX(GroupVertices[Group],MATCH(Edges[[#This Row],[Vertex 2]],GroupVertices[Vertex],0)),1,1,"")</f>
        <v>1</v>
      </c>
      <c r="S816" s="35"/>
      <c r="T816" s="35"/>
      <c r="U816" s="35"/>
      <c r="V816" s="35"/>
      <c r="W816" s="35"/>
      <c r="X816" s="35"/>
      <c r="Y816" s="35"/>
      <c r="Z816" s="35"/>
      <c r="AA816" s="35"/>
    </row>
    <row r="817" spans="1:27" ht="15">
      <c r="A817" s="65" t="s">
        <v>235</v>
      </c>
      <c r="B817" s="65" t="s">
        <v>243</v>
      </c>
      <c r="C817" s="66" t="s">
        <v>2113</v>
      </c>
      <c r="D817" s="67">
        <v>3</v>
      </c>
      <c r="E817" s="68"/>
      <c r="F817" s="69">
        <v>40</v>
      </c>
      <c r="G817" s="66"/>
      <c r="H817" s="70"/>
      <c r="I817" s="71"/>
      <c r="J817" s="71"/>
      <c r="K817" s="35" t="s">
        <v>65</v>
      </c>
      <c r="L817" s="79">
        <v>817</v>
      </c>
      <c r="M817" s="79"/>
      <c r="N817" s="73"/>
      <c r="O817" s="81" t="s">
        <v>293</v>
      </c>
      <c r="P817">
        <v>1</v>
      </c>
      <c r="Q817" s="80" t="str">
        <f>REPLACE(INDEX(GroupVertices[Group],MATCH(Edges[[#This Row],[Vertex 1]],GroupVertices[Vertex],0)),1,1,"")</f>
        <v>1</v>
      </c>
      <c r="R817" s="80" t="str">
        <f>REPLACE(INDEX(GroupVertices[Group],MATCH(Edges[[#This Row],[Vertex 2]],GroupVertices[Vertex],0)),1,1,"")</f>
        <v>1</v>
      </c>
      <c r="S817" s="35"/>
      <c r="T817" s="35"/>
      <c r="U817" s="35"/>
      <c r="V817" s="35"/>
      <c r="W817" s="35"/>
      <c r="X817" s="35"/>
      <c r="Y817" s="35"/>
      <c r="Z817" s="35"/>
      <c r="AA817" s="35"/>
    </row>
    <row r="818" spans="1:27" ht="15">
      <c r="A818" s="65" t="s">
        <v>235</v>
      </c>
      <c r="B818" s="65" t="s">
        <v>216</v>
      </c>
      <c r="C818" s="66" t="s">
        <v>2114</v>
      </c>
      <c r="D818" s="67">
        <v>3</v>
      </c>
      <c r="E818" s="68"/>
      <c r="F818" s="69">
        <v>40</v>
      </c>
      <c r="G818" s="66"/>
      <c r="H818" s="70"/>
      <c r="I818" s="71"/>
      <c r="J818" s="71"/>
      <c r="K818" s="35" t="s">
        <v>66</v>
      </c>
      <c r="L818" s="79">
        <v>818</v>
      </c>
      <c r="M818" s="79"/>
      <c r="N818" s="73"/>
      <c r="O818" s="81" t="s">
        <v>293</v>
      </c>
      <c r="P818">
        <v>2</v>
      </c>
      <c r="Q818" s="80" t="str">
        <f>REPLACE(INDEX(GroupVertices[Group],MATCH(Edges[[#This Row],[Vertex 1]],GroupVertices[Vertex],0)),1,1,"")</f>
        <v>1</v>
      </c>
      <c r="R818" s="80" t="str">
        <f>REPLACE(INDEX(GroupVertices[Group],MATCH(Edges[[#This Row],[Vertex 2]],GroupVertices[Vertex],0)),1,1,"")</f>
        <v>1</v>
      </c>
      <c r="S818" s="35"/>
      <c r="T818" s="35"/>
      <c r="U818" s="35"/>
      <c r="V818" s="35"/>
      <c r="W818" s="35"/>
      <c r="X818" s="35"/>
      <c r="Y818" s="35"/>
      <c r="Z818" s="35"/>
      <c r="AA818" s="35"/>
    </row>
    <row r="819" spans="1:27" ht="15">
      <c r="A819" s="65" t="s">
        <v>224</v>
      </c>
      <c r="B819" s="65" t="s">
        <v>235</v>
      </c>
      <c r="C819" s="66" t="s">
        <v>2113</v>
      </c>
      <c r="D819" s="67">
        <v>3</v>
      </c>
      <c r="E819" s="68"/>
      <c r="F819" s="69">
        <v>40</v>
      </c>
      <c r="G819" s="66"/>
      <c r="H819" s="70"/>
      <c r="I819" s="71"/>
      <c r="J819" s="71"/>
      <c r="K819" s="35" t="s">
        <v>66</v>
      </c>
      <c r="L819" s="79">
        <v>819</v>
      </c>
      <c r="M819" s="79"/>
      <c r="N819" s="73"/>
      <c r="O819" s="81" t="s">
        <v>293</v>
      </c>
      <c r="P819">
        <v>1</v>
      </c>
      <c r="Q819" s="80" t="str">
        <f>REPLACE(INDEX(GroupVertices[Group],MATCH(Edges[[#This Row],[Vertex 1]],GroupVertices[Vertex],0)),1,1,"")</f>
        <v>1</v>
      </c>
      <c r="R819" s="80" t="str">
        <f>REPLACE(INDEX(GroupVertices[Group],MATCH(Edges[[#This Row],[Vertex 2]],GroupVertices[Vertex],0)),1,1,"")</f>
        <v>1</v>
      </c>
      <c r="S819" s="35"/>
      <c r="T819" s="35"/>
      <c r="U819" s="35"/>
      <c r="V819" s="35"/>
      <c r="W819" s="35"/>
      <c r="X819" s="35"/>
      <c r="Y819" s="35"/>
      <c r="Z819" s="35"/>
      <c r="AA819" s="35"/>
    </row>
    <row r="820" spans="1:27" ht="15">
      <c r="A820" s="65" t="s">
        <v>639</v>
      </c>
      <c r="B820" s="65" t="s">
        <v>224</v>
      </c>
      <c r="C820" s="66" t="s">
        <v>2113</v>
      </c>
      <c r="D820" s="67">
        <v>3</v>
      </c>
      <c r="E820" s="68"/>
      <c r="F820" s="69">
        <v>40</v>
      </c>
      <c r="G820" s="66"/>
      <c r="H820" s="70"/>
      <c r="I820" s="71"/>
      <c r="J820" s="71"/>
      <c r="K820" s="35" t="s">
        <v>66</v>
      </c>
      <c r="L820" s="79">
        <v>820</v>
      </c>
      <c r="M820" s="79"/>
      <c r="N820" s="73"/>
      <c r="O820" s="81" t="s">
        <v>292</v>
      </c>
      <c r="P820">
        <v>1</v>
      </c>
      <c r="Q820" s="80" t="str">
        <f>REPLACE(INDEX(GroupVertices[Group],MATCH(Edges[[#This Row],[Vertex 1]],GroupVertices[Vertex],0)),1,1,"")</f>
        <v>2</v>
      </c>
      <c r="R820" s="80" t="str">
        <f>REPLACE(INDEX(GroupVertices[Group],MATCH(Edges[[#This Row],[Vertex 2]],GroupVertices[Vertex],0)),1,1,"")</f>
        <v>1</v>
      </c>
      <c r="S820" s="35"/>
      <c r="T820" s="35"/>
      <c r="U820" s="35"/>
      <c r="V820" s="35"/>
      <c r="W820" s="35"/>
      <c r="X820" s="35"/>
      <c r="Y820" s="35"/>
      <c r="Z820" s="35"/>
      <c r="AA820" s="35"/>
    </row>
    <row r="821" spans="1:27" ht="15">
      <c r="A821" s="65" t="s">
        <v>640</v>
      </c>
      <c r="B821" s="65" t="s">
        <v>639</v>
      </c>
      <c r="C821" s="66" t="s">
        <v>2113</v>
      </c>
      <c r="D821" s="67">
        <v>3</v>
      </c>
      <c r="E821" s="68"/>
      <c r="F821" s="69">
        <v>40</v>
      </c>
      <c r="G821" s="66"/>
      <c r="H821" s="70"/>
      <c r="I821" s="71"/>
      <c r="J821" s="71"/>
      <c r="K821" s="35" t="s">
        <v>65</v>
      </c>
      <c r="L821" s="79">
        <v>821</v>
      </c>
      <c r="M821" s="79"/>
      <c r="N821" s="73"/>
      <c r="O821" s="81" t="s">
        <v>292</v>
      </c>
      <c r="P821">
        <v>1</v>
      </c>
      <c r="Q821" s="80" t="str">
        <f>REPLACE(INDEX(GroupVertices[Group],MATCH(Edges[[#This Row],[Vertex 1]],GroupVertices[Vertex],0)),1,1,"")</f>
        <v>2</v>
      </c>
      <c r="R821" s="80" t="str">
        <f>REPLACE(INDEX(GroupVertices[Group],MATCH(Edges[[#This Row],[Vertex 2]],GroupVertices[Vertex],0)),1,1,"")</f>
        <v>2</v>
      </c>
      <c r="S821" s="35"/>
      <c r="T821" s="35"/>
      <c r="U821" s="35"/>
      <c r="V821" s="35"/>
      <c r="W821" s="35"/>
      <c r="X821" s="35"/>
      <c r="Y821" s="35"/>
      <c r="Z821" s="35"/>
      <c r="AA821" s="35"/>
    </row>
    <row r="822" spans="1:27" ht="15">
      <c r="A822" s="65" t="s">
        <v>234</v>
      </c>
      <c r="B822" s="65" t="s">
        <v>639</v>
      </c>
      <c r="C822" s="66" t="s">
        <v>2113</v>
      </c>
      <c r="D822" s="67">
        <v>3</v>
      </c>
      <c r="E822" s="68"/>
      <c r="F822" s="69">
        <v>40</v>
      </c>
      <c r="G822" s="66"/>
      <c r="H822" s="70"/>
      <c r="I822" s="71"/>
      <c r="J822" s="71"/>
      <c r="K822" s="35" t="s">
        <v>65</v>
      </c>
      <c r="L822" s="79">
        <v>822</v>
      </c>
      <c r="M822" s="79"/>
      <c r="N822" s="73"/>
      <c r="O822" s="81" t="s">
        <v>292</v>
      </c>
      <c r="P822">
        <v>1</v>
      </c>
      <c r="Q822" s="80" t="str">
        <f>REPLACE(INDEX(GroupVertices[Group],MATCH(Edges[[#This Row],[Vertex 1]],GroupVertices[Vertex],0)),1,1,"")</f>
        <v>1</v>
      </c>
      <c r="R822" s="80" t="str">
        <f>REPLACE(INDEX(GroupVertices[Group],MATCH(Edges[[#This Row],[Vertex 2]],GroupVertices[Vertex],0)),1,1,"")</f>
        <v>2</v>
      </c>
      <c r="S822" s="35"/>
      <c r="T822" s="35"/>
      <c r="U822" s="35"/>
      <c r="V822" s="35"/>
      <c r="W822" s="35"/>
      <c r="X822" s="35"/>
      <c r="Y822" s="35"/>
      <c r="Z822" s="35"/>
      <c r="AA822" s="35"/>
    </row>
    <row r="823" spans="1:27" ht="15">
      <c r="A823" s="65" t="s">
        <v>642</v>
      </c>
      <c r="B823" s="65" t="s">
        <v>639</v>
      </c>
      <c r="C823" s="66" t="s">
        <v>2113</v>
      </c>
      <c r="D823" s="67">
        <v>3</v>
      </c>
      <c r="E823" s="68"/>
      <c r="F823" s="69">
        <v>40</v>
      </c>
      <c r="G823" s="66"/>
      <c r="H823" s="70"/>
      <c r="I823" s="71"/>
      <c r="J823" s="71"/>
      <c r="K823" s="35" t="s">
        <v>65</v>
      </c>
      <c r="L823" s="79">
        <v>823</v>
      </c>
      <c r="M823" s="79"/>
      <c r="N823" s="73"/>
      <c r="O823" s="81" t="s">
        <v>292</v>
      </c>
      <c r="P823">
        <v>1</v>
      </c>
      <c r="Q823" s="80" t="str">
        <f>REPLACE(INDEX(GroupVertices[Group],MATCH(Edges[[#This Row],[Vertex 1]],GroupVertices[Vertex],0)),1,1,"")</f>
        <v>2</v>
      </c>
      <c r="R823" s="80" t="str">
        <f>REPLACE(INDEX(GroupVertices[Group],MATCH(Edges[[#This Row],[Vertex 2]],GroupVertices[Vertex],0)),1,1,"")</f>
        <v>2</v>
      </c>
      <c r="S823" s="35"/>
      <c r="T823" s="35"/>
      <c r="U823" s="35"/>
      <c r="V823" s="35"/>
      <c r="W823" s="35"/>
      <c r="X823" s="35"/>
      <c r="Y823" s="35"/>
      <c r="Z823" s="35"/>
      <c r="AA823" s="35"/>
    </row>
    <row r="824" spans="1:27" ht="15">
      <c r="A824" s="65" t="s">
        <v>214</v>
      </c>
      <c r="B824" s="65" t="s">
        <v>639</v>
      </c>
      <c r="C824" s="66" t="s">
        <v>2113</v>
      </c>
      <c r="D824" s="67">
        <v>3</v>
      </c>
      <c r="E824" s="68"/>
      <c r="F824" s="69">
        <v>40</v>
      </c>
      <c r="G824" s="66"/>
      <c r="H824" s="70"/>
      <c r="I824" s="71"/>
      <c r="J824" s="71"/>
      <c r="K824" s="35" t="s">
        <v>65</v>
      </c>
      <c r="L824" s="79">
        <v>824</v>
      </c>
      <c r="M824" s="79"/>
      <c r="N824" s="73"/>
      <c r="O824" s="81" t="s">
        <v>292</v>
      </c>
      <c r="P824">
        <v>1</v>
      </c>
      <c r="Q824" s="80" t="str">
        <f>REPLACE(INDEX(GroupVertices[Group],MATCH(Edges[[#This Row],[Vertex 1]],GroupVertices[Vertex],0)),1,1,"")</f>
        <v>1</v>
      </c>
      <c r="R824" s="80" t="str">
        <f>REPLACE(INDEX(GroupVertices[Group],MATCH(Edges[[#This Row],[Vertex 2]],GroupVertices[Vertex],0)),1,1,"")</f>
        <v>2</v>
      </c>
      <c r="S824" s="35"/>
      <c r="T824" s="35"/>
      <c r="U824" s="35"/>
      <c r="V824" s="35"/>
      <c r="W824" s="35"/>
      <c r="X824" s="35"/>
      <c r="Y824" s="35"/>
      <c r="Z824" s="35"/>
      <c r="AA824" s="35"/>
    </row>
    <row r="825" spans="1:27" ht="15">
      <c r="A825" s="65" t="s">
        <v>643</v>
      </c>
      <c r="B825" s="65" t="s">
        <v>639</v>
      </c>
      <c r="C825" s="66" t="s">
        <v>2113</v>
      </c>
      <c r="D825" s="67">
        <v>3</v>
      </c>
      <c r="E825" s="68"/>
      <c r="F825" s="69">
        <v>40</v>
      </c>
      <c r="G825" s="66"/>
      <c r="H825" s="70"/>
      <c r="I825" s="71"/>
      <c r="J825" s="71"/>
      <c r="K825" s="35" t="s">
        <v>65</v>
      </c>
      <c r="L825" s="79">
        <v>825</v>
      </c>
      <c r="M825" s="79"/>
      <c r="N825" s="73"/>
      <c r="O825" s="81" t="s">
        <v>292</v>
      </c>
      <c r="P825">
        <v>1</v>
      </c>
      <c r="Q825" s="80" t="str">
        <f>REPLACE(INDEX(GroupVertices[Group],MATCH(Edges[[#This Row],[Vertex 1]],GroupVertices[Vertex],0)),1,1,"")</f>
        <v>2</v>
      </c>
      <c r="R825" s="80" t="str">
        <f>REPLACE(INDEX(GroupVertices[Group],MATCH(Edges[[#This Row],[Vertex 2]],GroupVertices[Vertex],0)),1,1,"")</f>
        <v>2</v>
      </c>
      <c r="S825" s="35"/>
      <c r="T825" s="35"/>
      <c r="U825" s="35"/>
      <c r="V825" s="35"/>
      <c r="W825" s="35"/>
      <c r="X825" s="35"/>
      <c r="Y825" s="35"/>
      <c r="Z825" s="35"/>
      <c r="AA825" s="35"/>
    </row>
    <row r="826" spans="1:27" ht="15">
      <c r="A826" s="65" t="s">
        <v>226</v>
      </c>
      <c r="B826" s="65" t="s">
        <v>639</v>
      </c>
      <c r="C826" s="66" t="s">
        <v>2113</v>
      </c>
      <c r="D826" s="67">
        <v>3</v>
      </c>
      <c r="E826" s="68"/>
      <c r="F826" s="69">
        <v>40</v>
      </c>
      <c r="G826" s="66"/>
      <c r="H826" s="70"/>
      <c r="I826" s="71"/>
      <c r="J826" s="71"/>
      <c r="K826" s="35" t="s">
        <v>65</v>
      </c>
      <c r="L826" s="79">
        <v>826</v>
      </c>
      <c r="M826" s="79"/>
      <c r="N826" s="73"/>
      <c r="O826" s="81" t="s">
        <v>292</v>
      </c>
      <c r="P826">
        <v>1</v>
      </c>
      <c r="Q826" s="80" t="str">
        <f>REPLACE(INDEX(GroupVertices[Group],MATCH(Edges[[#This Row],[Vertex 1]],GroupVertices[Vertex],0)),1,1,"")</f>
        <v>1</v>
      </c>
      <c r="R826" s="80" t="str">
        <f>REPLACE(INDEX(GroupVertices[Group],MATCH(Edges[[#This Row],[Vertex 2]],GroupVertices[Vertex],0)),1,1,"")</f>
        <v>2</v>
      </c>
      <c r="S826" s="35"/>
      <c r="T826" s="35"/>
      <c r="U826" s="35"/>
      <c r="V826" s="35"/>
      <c r="W826" s="35"/>
      <c r="X826" s="35"/>
      <c r="Y826" s="35"/>
      <c r="Z826" s="35"/>
      <c r="AA826" s="35"/>
    </row>
    <row r="827" spans="1:27" ht="15">
      <c r="A827" s="65" t="s">
        <v>236</v>
      </c>
      <c r="B827" s="65" t="s">
        <v>639</v>
      </c>
      <c r="C827" s="66" t="s">
        <v>2113</v>
      </c>
      <c r="D827" s="67">
        <v>3</v>
      </c>
      <c r="E827" s="68"/>
      <c r="F827" s="69">
        <v>40</v>
      </c>
      <c r="G827" s="66"/>
      <c r="H827" s="70"/>
      <c r="I827" s="71"/>
      <c r="J827" s="71"/>
      <c r="K827" s="35" t="s">
        <v>65</v>
      </c>
      <c r="L827" s="79">
        <v>827</v>
      </c>
      <c r="M827" s="79"/>
      <c r="N827" s="73"/>
      <c r="O827" s="81" t="s">
        <v>292</v>
      </c>
      <c r="P827">
        <v>1</v>
      </c>
      <c r="Q827" s="80" t="str">
        <f>REPLACE(INDEX(GroupVertices[Group],MATCH(Edges[[#This Row],[Vertex 1]],GroupVertices[Vertex],0)),1,1,"")</f>
        <v>2</v>
      </c>
      <c r="R827" s="80" t="str">
        <f>REPLACE(INDEX(GroupVertices[Group],MATCH(Edges[[#This Row],[Vertex 2]],GroupVertices[Vertex],0)),1,1,"")</f>
        <v>2</v>
      </c>
      <c r="S827" s="35"/>
      <c r="T827" s="35"/>
      <c r="U827" s="35"/>
      <c r="V827" s="35"/>
      <c r="W827" s="35"/>
      <c r="X827" s="35"/>
      <c r="Y827" s="35"/>
      <c r="Z827" s="35"/>
      <c r="AA827" s="35"/>
    </row>
    <row r="828" spans="1:27" ht="15">
      <c r="A828" s="65" t="s">
        <v>232</v>
      </c>
      <c r="B828" s="65" t="s">
        <v>639</v>
      </c>
      <c r="C828" s="66" t="s">
        <v>2113</v>
      </c>
      <c r="D828" s="67">
        <v>3</v>
      </c>
      <c r="E828" s="68"/>
      <c r="F828" s="69">
        <v>40</v>
      </c>
      <c r="G828" s="66"/>
      <c r="H828" s="70"/>
      <c r="I828" s="71"/>
      <c r="J828" s="71"/>
      <c r="K828" s="35" t="s">
        <v>65</v>
      </c>
      <c r="L828" s="79">
        <v>828</v>
      </c>
      <c r="M828" s="79"/>
      <c r="N828" s="73"/>
      <c r="O828" s="81" t="s">
        <v>292</v>
      </c>
      <c r="P828">
        <v>1</v>
      </c>
      <c r="Q828" s="80" t="str">
        <f>REPLACE(INDEX(GroupVertices[Group],MATCH(Edges[[#This Row],[Vertex 1]],GroupVertices[Vertex],0)),1,1,"")</f>
        <v>2</v>
      </c>
      <c r="R828" s="80" t="str">
        <f>REPLACE(INDEX(GroupVertices[Group],MATCH(Edges[[#This Row],[Vertex 2]],GroupVertices[Vertex],0)),1,1,"")</f>
        <v>2</v>
      </c>
      <c r="S828" s="35"/>
      <c r="T828" s="35"/>
      <c r="U828" s="35"/>
      <c r="V828" s="35"/>
      <c r="W828" s="35"/>
      <c r="X828" s="35"/>
      <c r="Y828" s="35"/>
      <c r="Z828" s="35"/>
      <c r="AA828" s="35"/>
    </row>
    <row r="829" spans="1:27" ht="15">
      <c r="A829" s="65" t="s">
        <v>216</v>
      </c>
      <c r="B829" s="65" t="s">
        <v>639</v>
      </c>
      <c r="C829" s="66" t="s">
        <v>2113</v>
      </c>
      <c r="D829" s="67">
        <v>3</v>
      </c>
      <c r="E829" s="68"/>
      <c r="F829" s="69">
        <v>40</v>
      </c>
      <c r="G829" s="66"/>
      <c r="H829" s="70"/>
      <c r="I829" s="71"/>
      <c r="J829" s="71"/>
      <c r="K829" s="35" t="s">
        <v>65</v>
      </c>
      <c r="L829" s="79">
        <v>829</v>
      </c>
      <c r="M829" s="79"/>
      <c r="N829" s="73"/>
      <c r="O829" s="81" t="s">
        <v>292</v>
      </c>
      <c r="P829">
        <v>1</v>
      </c>
      <c r="Q829" s="80" t="str">
        <f>REPLACE(INDEX(GroupVertices[Group],MATCH(Edges[[#This Row],[Vertex 1]],GroupVertices[Vertex],0)),1,1,"")</f>
        <v>1</v>
      </c>
      <c r="R829" s="80" t="str">
        <f>REPLACE(INDEX(GroupVertices[Group],MATCH(Edges[[#This Row],[Vertex 2]],GroupVertices[Vertex],0)),1,1,"")</f>
        <v>2</v>
      </c>
      <c r="S829" s="35"/>
      <c r="T829" s="35"/>
      <c r="U829" s="35"/>
      <c r="V829" s="35"/>
      <c r="W829" s="35"/>
      <c r="X829" s="35"/>
      <c r="Y829" s="35"/>
      <c r="Z829" s="35"/>
      <c r="AA829" s="35"/>
    </row>
    <row r="830" spans="1:27" ht="15">
      <c r="A830" s="65" t="s">
        <v>224</v>
      </c>
      <c r="B830" s="65" t="s">
        <v>639</v>
      </c>
      <c r="C830" s="66" t="s">
        <v>2113</v>
      </c>
      <c r="D830" s="67">
        <v>3</v>
      </c>
      <c r="E830" s="68"/>
      <c r="F830" s="69">
        <v>40</v>
      </c>
      <c r="G830" s="66"/>
      <c r="H830" s="70"/>
      <c r="I830" s="71"/>
      <c r="J830" s="71"/>
      <c r="K830" s="35" t="s">
        <v>66</v>
      </c>
      <c r="L830" s="79">
        <v>830</v>
      </c>
      <c r="M830" s="79"/>
      <c r="N830" s="73"/>
      <c r="O830" s="81" t="s">
        <v>293</v>
      </c>
      <c r="P830">
        <v>1</v>
      </c>
      <c r="Q830" s="80" t="str">
        <f>REPLACE(INDEX(GroupVertices[Group],MATCH(Edges[[#This Row],[Vertex 1]],GroupVertices[Vertex],0)),1,1,"")</f>
        <v>1</v>
      </c>
      <c r="R830" s="80" t="str">
        <f>REPLACE(INDEX(GroupVertices[Group],MATCH(Edges[[#This Row],[Vertex 2]],GroupVertices[Vertex],0)),1,1,"")</f>
        <v>2</v>
      </c>
      <c r="S830" s="35"/>
      <c r="T830" s="35"/>
      <c r="U830" s="35"/>
      <c r="V830" s="35"/>
      <c r="W830" s="35"/>
      <c r="X830" s="35"/>
      <c r="Y830" s="35"/>
      <c r="Z830" s="35"/>
      <c r="AA830" s="35"/>
    </row>
    <row r="831" spans="1:27" ht="15">
      <c r="A831" s="65" t="s">
        <v>640</v>
      </c>
      <c r="B831" s="65" t="s">
        <v>224</v>
      </c>
      <c r="C831" s="66" t="s">
        <v>2113</v>
      </c>
      <c r="D831" s="67">
        <v>3</v>
      </c>
      <c r="E831" s="68"/>
      <c r="F831" s="69">
        <v>40</v>
      </c>
      <c r="G831" s="66"/>
      <c r="H831" s="70"/>
      <c r="I831" s="71"/>
      <c r="J831" s="71"/>
      <c r="K831" s="35" t="s">
        <v>66</v>
      </c>
      <c r="L831" s="79">
        <v>831</v>
      </c>
      <c r="M831" s="79"/>
      <c r="N831" s="73"/>
      <c r="O831" s="81" t="s">
        <v>292</v>
      </c>
      <c r="P831">
        <v>1</v>
      </c>
      <c r="Q831" s="80" t="str">
        <f>REPLACE(INDEX(GroupVertices[Group],MATCH(Edges[[#This Row],[Vertex 1]],GroupVertices[Vertex],0)),1,1,"")</f>
        <v>2</v>
      </c>
      <c r="R831" s="80" t="str">
        <f>REPLACE(INDEX(GroupVertices[Group],MATCH(Edges[[#This Row],[Vertex 2]],GroupVertices[Vertex],0)),1,1,"")</f>
        <v>1</v>
      </c>
      <c r="S831" s="35"/>
      <c r="T831" s="35"/>
      <c r="U831" s="35"/>
      <c r="V831" s="35"/>
      <c r="W831" s="35"/>
      <c r="X831" s="35"/>
      <c r="Y831" s="35"/>
      <c r="Z831" s="35"/>
      <c r="AA831" s="35"/>
    </row>
    <row r="832" spans="1:27" ht="15">
      <c r="A832" s="65" t="s">
        <v>231</v>
      </c>
      <c r="B832" s="65" t="s">
        <v>640</v>
      </c>
      <c r="C832" s="66" t="s">
        <v>2113</v>
      </c>
      <c r="D832" s="67">
        <v>3</v>
      </c>
      <c r="E832" s="68"/>
      <c r="F832" s="69">
        <v>40</v>
      </c>
      <c r="G832" s="66"/>
      <c r="H832" s="70"/>
      <c r="I832" s="71"/>
      <c r="J832" s="71"/>
      <c r="K832" s="35" t="s">
        <v>65</v>
      </c>
      <c r="L832" s="79">
        <v>832</v>
      </c>
      <c r="M832" s="79"/>
      <c r="N832" s="73"/>
      <c r="O832" s="81" t="s">
        <v>292</v>
      </c>
      <c r="P832">
        <v>1</v>
      </c>
      <c r="Q832" s="80" t="str">
        <f>REPLACE(INDEX(GroupVertices[Group],MATCH(Edges[[#This Row],[Vertex 1]],GroupVertices[Vertex],0)),1,1,"")</f>
        <v>1</v>
      </c>
      <c r="R832" s="80" t="str">
        <f>REPLACE(INDEX(GroupVertices[Group],MATCH(Edges[[#This Row],[Vertex 2]],GroupVertices[Vertex],0)),1,1,"")</f>
        <v>2</v>
      </c>
      <c r="S832" s="35"/>
      <c r="T832" s="35"/>
      <c r="U832" s="35"/>
      <c r="V832" s="35"/>
      <c r="W832" s="35"/>
      <c r="X832" s="35"/>
      <c r="Y832" s="35"/>
      <c r="Z832" s="35"/>
      <c r="AA832" s="35"/>
    </row>
    <row r="833" spans="1:27" ht="15">
      <c r="A833" s="65" t="s">
        <v>234</v>
      </c>
      <c r="B833" s="65" t="s">
        <v>640</v>
      </c>
      <c r="C833" s="66" t="s">
        <v>2113</v>
      </c>
      <c r="D833" s="67">
        <v>3</v>
      </c>
      <c r="E833" s="68"/>
      <c r="F833" s="69">
        <v>40</v>
      </c>
      <c r="G833" s="66"/>
      <c r="H833" s="70"/>
      <c r="I833" s="71"/>
      <c r="J833" s="71"/>
      <c r="K833" s="35" t="s">
        <v>65</v>
      </c>
      <c r="L833" s="79">
        <v>833</v>
      </c>
      <c r="M833" s="79"/>
      <c r="N833" s="73"/>
      <c r="O833" s="81" t="s">
        <v>292</v>
      </c>
      <c r="P833">
        <v>1</v>
      </c>
      <c r="Q833" s="80" t="str">
        <f>REPLACE(INDEX(GroupVertices[Group],MATCH(Edges[[#This Row],[Vertex 1]],GroupVertices[Vertex],0)),1,1,"")</f>
        <v>1</v>
      </c>
      <c r="R833" s="80" t="str">
        <f>REPLACE(INDEX(GroupVertices[Group],MATCH(Edges[[#This Row],[Vertex 2]],GroupVertices[Vertex],0)),1,1,"")</f>
        <v>2</v>
      </c>
      <c r="S833" s="35"/>
      <c r="T833" s="35"/>
      <c r="U833" s="35"/>
      <c r="V833" s="35"/>
      <c r="W833" s="35"/>
      <c r="X833" s="35"/>
      <c r="Y833" s="35"/>
      <c r="Z833" s="35"/>
      <c r="AA833" s="35"/>
    </row>
    <row r="834" spans="1:27" ht="15">
      <c r="A834" s="65" t="s">
        <v>646</v>
      </c>
      <c r="B834" s="65" t="s">
        <v>640</v>
      </c>
      <c r="C834" s="66" t="s">
        <v>2113</v>
      </c>
      <c r="D834" s="67">
        <v>3</v>
      </c>
      <c r="E834" s="68"/>
      <c r="F834" s="69">
        <v>40</v>
      </c>
      <c r="G834" s="66"/>
      <c r="H834" s="70"/>
      <c r="I834" s="71"/>
      <c r="J834" s="71"/>
      <c r="K834" s="35" t="s">
        <v>65</v>
      </c>
      <c r="L834" s="79">
        <v>834</v>
      </c>
      <c r="M834" s="79"/>
      <c r="N834" s="73"/>
      <c r="O834" s="81" t="s">
        <v>292</v>
      </c>
      <c r="P834">
        <v>1</v>
      </c>
      <c r="Q834" s="80" t="str">
        <f>REPLACE(INDEX(GroupVertices[Group],MATCH(Edges[[#This Row],[Vertex 1]],GroupVertices[Vertex],0)),1,1,"")</f>
        <v>2</v>
      </c>
      <c r="R834" s="80" t="str">
        <f>REPLACE(INDEX(GroupVertices[Group],MATCH(Edges[[#This Row],[Vertex 2]],GroupVertices[Vertex],0)),1,1,"")</f>
        <v>2</v>
      </c>
      <c r="S834" s="35"/>
      <c r="T834" s="35"/>
      <c r="U834" s="35"/>
      <c r="V834" s="35"/>
      <c r="W834" s="35"/>
      <c r="X834" s="35"/>
      <c r="Y834" s="35"/>
      <c r="Z834" s="35"/>
      <c r="AA834" s="35"/>
    </row>
    <row r="835" spans="1:27" ht="15">
      <c r="A835" s="65" t="s">
        <v>641</v>
      </c>
      <c r="B835" s="65" t="s">
        <v>640</v>
      </c>
      <c r="C835" s="66" t="s">
        <v>2113</v>
      </c>
      <c r="D835" s="67">
        <v>3</v>
      </c>
      <c r="E835" s="68"/>
      <c r="F835" s="69">
        <v>40</v>
      </c>
      <c r="G835" s="66"/>
      <c r="H835" s="70"/>
      <c r="I835" s="71"/>
      <c r="J835" s="71"/>
      <c r="K835" s="35" t="s">
        <v>65</v>
      </c>
      <c r="L835" s="79">
        <v>835</v>
      </c>
      <c r="M835" s="79"/>
      <c r="N835" s="73"/>
      <c r="O835" s="81" t="s">
        <v>292</v>
      </c>
      <c r="P835">
        <v>1</v>
      </c>
      <c r="Q835" s="80" t="str">
        <f>REPLACE(INDEX(GroupVertices[Group],MATCH(Edges[[#This Row],[Vertex 1]],GroupVertices[Vertex],0)),1,1,"")</f>
        <v>2</v>
      </c>
      <c r="R835" s="80" t="str">
        <f>REPLACE(INDEX(GroupVertices[Group],MATCH(Edges[[#This Row],[Vertex 2]],GroupVertices[Vertex],0)),1,1,"")</f>
        <v>2</v>
      </c>
      <c r="S835" s="35"/>
      <c r="T835" s="35"/>
      <c r="U835" s="35"/>
      <c r="V835" s="35"/>
      <c r="W835" s="35"/>
      <c r="X835" s="35"/>
      <c r="Y835" s="35"/>
      <c r="Z835" s="35"/>
      <c r="AA835" s="35"/>
    </row>
    <row r="836" spans="1:27" ht="15">
      <c r="A836" s="65" t="s">
        <v>642</v>
      </c>
      <c r="B836" s="65" t="s">
        <v>640</v>
      </c>
      <c r="C836" s="66" t="s">
        <v>2113</v>
      </c>
      <c r="D836" s="67">
        <v>3</v>
      </c>
      <c r="E836" s="68"/>
      <c r="F836" s="69">
        <v>40</v>
      </c>
      <c r="G836" s="66"/>
      <c r="H836" s="70"/>
      <c r="I836" s="71"/>
      <c r="J836" s="71"/>
      <c r="K836" s="35" t="s">
        <v>65</v>
      </c>
      <c r="L836" s="79">
        <v>836</v>
      </c>
      <c r="M836" s="79"/>
      <c r="N836" s="73"/>
      <c r="O836" s="81" t="s">
        <v>292</v>
      </c>
      <c r="P836">
        <v>1</v>
      </c>
      <c r="Q836" s="80" t="str">
        <f>REPLACE(INDEX(GroupVertices[Group],MATCH(Edges[[#This Row],[Vertex 1]],GroupVertices[Vertex],0)),1,1,"")</f>
        <v>2</v>
      </c>
      <c r="R836" s="80" t="str">
        <f>REPLACE(INDEX(GroupVertices[Group],MATCH(Edges[[#This Row],[Vertex 2]],GroupVertices[Vertex],0)),1,1,"")</f>
        <v>2</v>
      </c>
      <c r="S836" s="35"/>
      <c r="T836" s="35"/>
      <c r="U836" s="35"/>
      <c r="V836" s="35"/>
      <c r="W836" s="35"/>
      <c r="X836" s="35"/>
      <c r="Y836" s="35"/>
      <c r="Z836" s="35"/>
      <c r="AA836" s="35"/>
    </row>
    <row r="837" spans="1:27" ht="15">
      <c r="A837" s="65" t="s">
        <v>214</v>
      </c>
      <c r="B837" s="65" t="s">
        <v>640</v>
      </c>
      <c r="C837" s="66" t="s">
        <v>2113</v>
      </c>
      <c r="D837" s="67">
        <v>3</v>
      </c>
      <c r="E837" s="68"/>
      <c r="F837" s="69">
        <v>40</v>
      </c>
      <c r="G837" s="66"/>
      <c r="H837" s="70"/>
      <c r="I837" s="71"/>
      <c r="J837" s="71"/>
      <c r="K837" s="35" t="s">
        <v>65</v>
      </c>
      <c r="L837" s="79">
        <v>837</v>
      </c>
      <c r="M837" s="79"/>
      <c r="N837" s="73"/>
      <c r="O837" s="81" t="s">
        <v>292</v>
      </c>
      <c r="P837">
        <v>1</v>
      </c>
      <c r="Q837" s="80" t="str">
        <f>REPLACE(INDEX(GroupVertices[Group],MATCH(Edges[[#This Row],[Vertex 1]],GroupVertices[Vertex],0)),1,1,"")</f>
        <v>1</v>
      </c>
      <c r="R837" s="80" t="str">
        <f>REPLACE(INDEX(GroupVertices[Group],MATCH(Edges[[#This Row],[Vertex 2]],GroupVertices[Vertex],0)),1,1,"")</f>
        <v>2</v>
      </c>
      <c r="S837" s="35"/>
      <c r="T837" s="35"/>
      <c r="U837" s="35"/>
      <c r="V837" s="35"/>
      <c r="W837" s="35"/>
      <c r="X837" s="35"/>
      <c r="Y837" s="35"/>
      <c r="Z837" s="35"/>
      <c r="AA837" s="35"/>
    </row>
    <row r="838" spans="1:27" ht="15">
      <c r="A838" s="65" t="s">
        <v>643</v>
      </c>
      <c r="B838" s="65" t="s">
        <v>640</v>
      </c>
      <c r="C838" s="66" t="s">
        <v>2113</v>
      </c>
      <c r="D838" s="67">
        <v>3</v>
      </c>
      <c r="E838" s="68"/>
      <c r="F838" s="69">
        <v>40</v>
      </c>
      <c r="G838" s="66"/>
      <c r="H838" s="70"/>
      <c r="I838" s="71"/>
      <c r="J838" s="71"/>
      <c r="K838" s="35" t="s">
        <v>65</v>
      </c>
      <c r="L838" s="79">
        <v>838</v>
      </c>
      <c r="M838" s="79"/>
      <c r="N838" s="73"/>
      <c r="O838" s="81" t="s">
        <v>292</v>
      </c>
      <c r="P838">
        <v>1</v>
      </c>
      <c r="Q838" s="80" t="str">
        <f>REPLACE(INDEX(GroupVertices[Group],MATCH(Edges[[#This Row],[Vertex 1]],GroupVertices[Vertex],0)),1,1,"")</f>
        <v>2</v>
      </c>
      <c r="R838" s="80" t="str">
        <f>REPLACE(INDEX(GroupVertices[Group],MATCH(Edges[[#This Row],[Vertex 2]],GroupVertices[Vertex],0)),1,1,"")</f>
        <v>2</v>
      </c>
      <c r="S838" s="35"/>
      <c r="T838" s="35"/>
      <c r="U838" s="35"/>
      <c r="V838" s="35"/>
      <c r="W838" s="35"/>
      <c r="X838" s="35"/>
      <c r="Y838" s="35"/>
      <c r="Z838" s="35"/>
      <c r="AA838" s="35"/>
    </row>
    <row r="839" spans="1:27" ht="15">
      <c r="A839" s="65" t="s">
        <v>226</v>
      </c>
      <c r="B839" s="65" t="s">
        <v>640</v>
      </c>
      <c r="C839" s="66" t="s">
        <v>2113</v>
      </c>
      <c r="D839" s="67">
        <v>3</v>
      </c>
      <c r="E839" s="68"/>
      <c r="F839" s="69">
        <v>40</v>
      </c>
      <c r="G839" s="66"/>
      <c r="H839" s="70"/>
      <c r="I839" s="71"/>
      <c r="J839" s="71"/>
      <c r="K839" s="35" t="s">
        <v>65</v>
      </c>
      <c r="L839" s="79">
        <v>839</v>
      </c>
      <c r="M839" s="79"/>
      <c r="N839" s="73"/>
      <c r="O839" s="81" t="s">
        <v>292</v>
      </c>
      <c r="P839">
        <v>1</v>
      </c>
      <c r="Q839" s="80" t="str">
        <f>REPLACE(INDEX(GroupVertices[Group],MATCH(Edges[[#This Row],[Vertex 1]],GroupVertices[Vertex],0)),1,1,"")</f>
        <v>1</v>
      </c>
      <c r="R839" s="80" t="str">
        <f>REPLACE(INDEX(GroupVertices[Group],MATCH(Edges[[#This Row],[Vertex 2]],GroupVertices[Vertex],0)),1,1,"")</f>
        <v>2</v>
      </c>
      <c r="S839" s="35"/>
      <c r="T839" s="35"/>
      <c r="U839" s="35"/>
      <c r="V839" s="35"/>
      <c r="W839" s="35"/>
      <c r="X839" s="35"/>
      <c r="Y839" s="35"/>
      <c r="Z839" s="35"/>
      <c r="AA839" s="35"/>
    </row>
    <row r="840" spans="1:27" ht="15">
      <c r="A840" s="65" t="s">
        <v>236</v>
      </c>
      <c r="B840" s="65" t="s">
        <v>640</v>
      </c>
      <c r="C840" s="66" t="s">
        <v>2113</v>
      </c>
      <c r="D840" s="67">
        <v>3</v>
      </c>
      <c r="E840" s="68"/>
      <c r="F840" s="69">
        <v>40</v>
      </c>
      <c r="G840" s="66"/>
      <c r="H840" s="70"/>
      <c r="I840" s="71"/>
      <c r="J840" s="71"/>
      <c r="K840" s="35" t="s">
        <v>65</v>
      </c>
      <c r="L840" s="79">
        <v>840</v>
      </c>
      <c r="M840" s="79"/>
      <c r="N840" s="73"/>
      <c r="O840" s="81" t="s">
        <v>292</v>
      </c>
      <c r="P840">
        <v>1</v>
      </c>
      <c r="Q840" s="80" t="str">
        <f>REPLACE(INDEX(GroupVertices[Group],MATCH(Edges[[#This Row],[Vertex 1]],GroupVertices[Vertex],0)),1,1,"")</f>
        <v>2</v>
      </c>
      <c r="R840" s="80" t="str">
        <f>REPLACE(INDEX(GroupVertices[Group],MATCH(Edges[[#This Row],[Vertex 2]],GroupVertices[Vertex],0)),1,1,"")</f>
        <v>2</v>
      </c>
      <c r="S840" s="35"/>
      <c r="T840" s="35"/>
      <c r="U840" s="35"/>
      <c r="V840" s="35"/>
      <c r="W840" s="35"/>
      <c r="X840" s="35"/>
      <c r="Y840" s="35"/>
      <c r="Z840" s="35"/>
      <c r="AA840" s="35"/>
    </row>
    <row r="841" spans="1:27" ht="15">
      <c r="A841" s="65" t="s">
        <v>644</v>
      </c>
      <c r="B841" s="65" t="s">
        <v>640</v>
      </c>
      <c r="C841" s="66" t="s">
        <v>2113</v>
      </c>
      <c r="D841" s="67">
        <v>3</v>
      </c>
      <c r="E841" s="68"/>
      <c r="F841" s="69">
        <v>40</v>
      </c>
      <c r="G841" s="66"/>
      <c r="H841" s="70"/>
      <c r="I841" s="71"/>
      <c r="J841" s="71"/>
      <c r="K841" s="35" t="s">
        <v>65</v>
      </c>
      <c r="L841" s="79">
        <v>841</v>
      </c>
      <c r="M841" s="79"/>
      <c r="N841" s="73"/>
      <c r="O841" s="81" t="s">
        <v>292</v>
      </c>
      <c r="P841">
        <v>1</v>
      </c>
      <c r="Q841" s="80" t="str">
        <f>REPLACE(INDEX(GroupVertices[Group],MATCH(Edges[[#This Row],[Vertex 1]],GroupVertices[Vertex],0)),1,1,"")</f>
        <v>2</v>
      </c>
      <c r="R841" s="80" t="str">
        <f>REPLACE(INDEX(GroupVertices[Group],MATCH(Edges[[#This Row],[Vertex 2]],GroupVertices[Vertex],0)),1,1,"")</f>
        <v>2</v>
      </c>
      <c r="S841" s="35"/>
      <c r="T841" s="35"/>
      <c r="U841" s="35"/>
      <c r="V841" s="35"/>
      <c r="W841" s="35"/>
      <c r="X841" s="35"/>
      <c r="Y841" s="35"/>
      <c r="Z841" s="35"/>
      <c r="AA841" s="35"/>
    </row>
    <row r="842" spans="1:27" ht="15">
      <c r="A842" s="65" t="s">
        <v>232</v>
      </c>
      <c r="B842" s="65" t="s">
        <v>640</v>
      </c>
      <c r="C842" s="66" t="s">
        <v>2114</v>
      </c>
      <c r="D842" s="67">
        <v>3</v>
      </c>
      <c r="E842" s="68"/>
      <c r="F842" s="69">
        <v>40</v>
      </c>
      <c r="G842" s="66"/>
      <c r="H842" s="70"/>
      <c r="I842" s="71"/>
      <c r="J842" s="71"/>
      <c r="K842" s="35" t="s">
        <v>65</v>
      </c>
      <c r="L842" s="79">
        <v>842</v>
      </c>
      <c r="M842" s="79"/>
      <c r="N842" s="73"/>
      <c r="O842" s="81" t="s">
        <v>292</v>
      </c>
      <c r="P842">
        <v>2</v>
      </c>
      <c r="Q842" s="80" t="str">
        <f>REPLACE(INDEX(GroupVertices[Group],MATCH(Edges[[#This Row],[Vertex 1]],GroupVertices[Vertex],0)),1,1,"")</f>
        <v>2</v>
      </c>
      <c r="R842" s="80" t="str">
        <f>REPLACE(INDEX(GroupVertices[Group],MATCH(Edges[[#This Row],[Vertex 2]],GroupVertices[Vertex],0)),1,1,"")</f>
        <v>2</v>
      </c>
      <c r="S842" s="35"/>
      <c r="T842" s="35"/>
      <c r="U842" s="35"/>
      <c r="V842" s="35"/>
      <c r="W842" s="35"/>
      <c r="X842" s="35"/>
      <c r="Y842" s="35"/>
      <c r="Z842" s="35"/>
      <c r="AA842" s="35"/>
    </row>
    <row r="843" spans="1:27" ht="15">
      <c r="A843" s="65" t="s">
        <v>645</v>
      </c>
      <c r="B843" s="65" t="s">
        <v>640</v>
      </c>
      <c r="C843" s="66" t="s">
        <v>2113</v>
      </c>
      <c r="D843" s="67">
        <v>3</v>
      </c>
      <c r="E843" s="68"/>
      <c r="F843" s="69">
        <v>40</v>
      </c>
      <c r="G843" s="66"/>
      <c r="H843" s="70"/>
      <c r="I843" s="71"/>
      <c r="J843" s="71"/>
      <c r="K843" s="35" t="s">
        <v>65</v>
      </c>
      <c r="L843" s="79">
        <v>843</v>
      </c>
      <c r="M843" s="79"/>
      <c r="N843" s="73"/>
      <c r="O843" s="81" t="s">
        <v>292</v>
      </c>
      <c r="P843">
        <v>1</v>
      </c>
      <c r="Q843" s="80" t="str">
        <f>REPLACE(INDEX(GroupVertices[Group],MATCH(Edges[[#This Row],[Vertex 1]],GroupVertices[Vertex],0)),1,1,"")</f>
        <v>2</v>
      </c>
      <c r="R843" s="80" t="str">
        <f>REPLACE(INDEX(GroupVertices[Group],MATCH(Edges[[#This Row],[Vertex 2]],GroupVertices[Vertex],0)),1,1,"")</f>
        <v>2</v>
      </c>
      <c r="S843" s="35"/>
      <c r="T843" s="35"/>
      <c r="U843" s="35"/>
      <c r="V843" s="35"/>
      <c r="W843" s="35"/>
      <c r="X843" s="35"/>
      <c r="Y843" s="35"/>
      <c r="Z843" s="35"/>
      <c r="AA843" s="35"/>
    </row>
    <row r="844" spans="1:27" ht="15">
      <c r="A844" s="65" t="s">
        <v>216</v>
      </c>
      <c r="B844" s="65" t="s">
        <v>640</v>
      </c>
      <c r="C844" s="66" t="s">
        <v>2113</v>
      </c>
      <c r="D844" s="67">
        <v>3</v>
      </c>
      <c r="E844" s="68"/>
      <c r="F844" s="69">
        <v>40</v>
      </c>
      <c r="G844" s="66"/>
      <c r="H844" s="70"/>
      <c r="I844" s="71"/>
      <c r="J844" s="71"/>
      <c r="K844" s="35" t="s">
        <v>65</v>
      </c>
      <c r="L844" s="79">
        <v>844</v>
      </c>
      <c r="M844" s="79"/>
      <c r="N844" s="73"/>
      <c r="O844" s="81" t="s">
        <v>292</v>
      </c>
      <c r="P844">
        <v>1</v>
      </c>
      <c r="Q844" s="80" t="str">
        <f>REPLACE(INDEX(GroupVertices[Group],MATCH(Edges[[#This Row],[Vertex 1]],GroupVertices[Vertex],0)),1,1,"")</f>
        <v>1</v>
      </c>
      <c r="R844" s="80" t="str">
        <f>REPLACE(INDEX(GroupVertices[Group],MATCH(Edges[[#This Row],[Vertex 2]],GroupVertices[Vertex],0)),1,1,"")</f>
        <v>2</v>
      </c>
      <c r="S844" s="35"/>
      <c r="T844" s="35"/>
      <c r="U844" s="35"/>
      <c r="V844" s="35"/>
      <c r="W844" s="35"/>
      <c r="X844" s="35"/>
      <c r="Y844" s="35"/>
      <c r="Z844" s="35"/>
      <c r="AA844" s="35"/>
    </row>
    <row r="845" spans="1:27" ht="15">
      <c r="A845" s="65" t="s">
        <v>221</v>
      </c>
      <c r="B845" s="65" t="s">
        <v>640</v>
      </c>
      <c r="C845" s="66" t="s">
        <v>2113</v>
      </c>
      <c r="D845" s="67">
        <v>3</v>
      </c>
      <c r="E845" s="68"/>
      <c r="F845" s="69">
        <v>40</v>
      </c>
      <c r="G845" s="66"/>
      <c r="H845" s="70"/>
      <c r="I845" s="71"/>
      <c r="J845" s="71"/>
      <c r="K845" s="35" t="s">
        <v>65</v>
      </c>
      <c r="L845" s="79">
        <v>845</v>
      </c>
      <c r="M845" s="79"/>
      <c r="N845" s="73"/>
      <c r="O845" s="81" t="s">
        <v>292</v>
      </c>
      <c r="P845">
        <v>1</v>
      </c>
      <c r="Q845" s="80" t="str">
        <f>REPLACE(INDEX(GroupVertices[Group],MATCH(Edges[[#This Row],[Vertex 1]],GroupVertices[Vertex],0)),1,1,"")</f>
        <v>1</v>
      </c>
      <c r="R845" s="80" t="str">
        <f>REPLACE(INDEX(GroupVertices[Group],MATCH(Edges[[#This Row],[Vertex 2]],GroupVertices[Vertex],0)),1,1,"")</f>
        <v>2</v>
      </c>
      <c r="S845" s="35"/>
      <c r="T845" s="35"/>
      <c r="U845" s="35"/>
      <c r="V845" s="35"/>
      <c r="W845" s="35"/>
      <c r="X845" s="35"/>
      <c r="Y845" s="35"/>
      <c r="Z845" s="35"/>
      <c r="AA845" s="35"/>
    </row>
    <row r="846" spans="1:27" ht="15">
      <c r="A846" s="65" t="s">
        <v>232</v>
      </c>
      <c r="B846" s="65" t="s">
        <v>640</v>
      </c>
      <c r="C846" s="66" t="s">
        <v>2114</v>
      </c>
      <c r="D846" s="67">
        <v>3</v>
      </c>
      <c r="E846" s="68"/>
      <c r="F846" s="69">
        <v>40</v>
      </c>
      <c r="G846" s="66"/>
      <c r="H846" s="70"/>
      <c r="I846" s="71"/>
      <c r="J846" s="71"/>
      <c r="K846" s="35" t="s">
        <v>65</v>
      </c>
      <c r="L846" s="79">
        <v>846</v>
      </c>
      <c r="M846" s="79"/>
      <c r="N846" s="73"/>
      <c r="O846" s="81" t="s">
        <v>293</v>
      </c>
      <c r="P846">
        <v>2</v>
      </c>
      <c r="Q846" s="80" t="str">
        <f>REPLACE(INDEX(GroupVertices[Group],MATCH(Edges[[#This Row],[Vertex 1]],GroupVertices[Vertex],0)),1,1,"")</f>
        <v>2</v>
      </c>
      <c r="R846" s="80" t="str">
        <f>REPLACE(INDEX(GroupVertices[Group],MATCH(Edges[[#This Row],[Vertex 2]],GroupVertices[Vertex],0)),1,1,"")</f>
        <v>2</v>
      </c>
      <c r="S846" s="35"/>
      <c r="T846" s="35"/>
      <c r="U846" s="35"/>
      <c r="V846" s="35"/>
      <c r="W846" s="35"/>
      <c r="X846" s="35"/>
      <c r="Y846" s="35"/>
      <c r="Z846" s="35"/>
      <c r="AA846" s="35"/>
    </row>
    <row r="847" spans="1:27" ht="15">
      <c r="A847" s="65" t="s">
        <v>224</v>
      </c>
      <c r="B847" s="65" t="s">
        <v>640</v>
      </c>
      <c r="C847" s="66" t="s">
        <v>2113</v>
      </c>
      <c r="D847" s="67">
        <v>3</v>
      </c>
      <c r="E847" s="68"/>
      <c r="F847" s="69">
        <v>40</v>
      </c>
      <c r="G847" s="66"/>
      <c r="H847" s="70"/>
      <c r="I847" s="71"/>
      <c r="J847" s="71"/>
      <c r="K847" s="35" t="s">
        <v>66</v>
      </c>
      <c r="L847" s="79">
        <v>847</v>
      </c>
      <c r="M847" s="79"/>
      <c r="N847" s="73"/>
      <c r="O847" s="81" t="s">
        <v>293</v>
      </c>
      <c r="P847">
        <v>1</v>
      </c>
      <c r="Q847" s="80" t="str">
        <f>REPLACE(INDEX(GroupVertices[Group],MATCH(Edges[[#This Row],[Vertex 1]],GroupVertices[Vertex],0)),1,1,"")</f>
        <v>1</v>
      </c>
      <c r="R847" s="80" t="str">
        <f>REPLACE(INDEX(GroupVertices[Group],MATCH(Edges[[#This Row],[Vertex 2]],GroupVertices[Vertex],0)),1,1,"")</f>
        <v>2</v>
      </c>
      <c r="S847" s="35"/>
      <c r="T847" s="35"/>
      <c r="U847" s="35"/>
      <c r="V847" s="35"/>
      <c r="W847" s="35"/>
      <c r="X847" s="35"/>
      <c r="Y847" s="35"/>
      <c r="Z847" s="35"/>
      <c r="AA847" s="35"/>
    </row>
    <row r="848" spans="1:27" ht="15">
      <c r="A848" s="65" t="s">
        <v>231</v>
      </c>
      <c r="B848" s="65" t="s">
        <v>224</v>
      </c>
      <c r="C848" s="66" t="s">
        <v>2114</v>
      </c>
      <c r="D848" s="67">
        <v>3</v>
      </c>
      <c r="E848" s="68"/>
      <c r="F848" s="69">
        <v>40</v>
      </c>
      <c r="G848" s="66"/>
      <c r="H848" s="70"/>
      <c r="I848" s="71"/>
      <c r="J848" s="71"/>
      <c r="K848" s="35" t="s">
        <v>66</v>
      </c>
      <c r="L848" s="79">
        <v>848</v>
      </c>
      <c r="M848" s="79"/>
      <c r="N848" s="73"/>
      <c r="O848" s="81" t="s">
        <v>292</v>
      </c>
      <c r="P848">
        <v>2</v>
      </c>
      <c r="Q848" s="80" t="str">
        <f>REPLACE(INDEX(GroupVertices[Group],MATCH(Edges[[#This Row],[Vertex 1]],GroupVertices[Vertex],0)),1,1,"")</f>
        <v>1</v>
      </c>
      <c r="R848" s="80" t="str">
        <f>REPLACE(INDEX(GroupVertices[Group],MATCH(Edges[[#This Row],[Vertex 2]],GroupVertices[Vertex],0)),1,1,"")</f>
        <v>1</v>
      </c>
      <c r="S848" s="35"/>
      <c r="T848" s="35"/>
      <c r="U848" s="35"/>
      <c r="V848" s="35"/>
      <c r="W848" s="35"/>
      <c r="X848" s="35"/>
      <c r="Y848" s="35"/>
      <c r="Z848" s="35"/>
      <c r="AA848" s="35"/>
    </row>
    <row r="849" spans="1:27" ht="15">
      <c r="A849" s="65" t="s">
        <v>234</v>
      </c>
      <c r="B849" s="65" t="s">
        <v>231</v>
      </c>
      <c r="C849" s="66" t="s">
        <v>2114</v>
      </c>
      <c r="D849" s="67">
        <v>3</v>
      </c>
      <c r="E849" s="68"/>
      <c r="F849" s="69">
        <v>40</v>
      </c>
      <c r="G849" s="66"/>
      <c r="H849" s="70"/>
      <c r="I849" s="71"/>
      <c r="J849" s="71"/>
      <c r="K849" s="35" t="s">
        <v>65</v>
      </c>
      <c r="L849" s="79">
        <v>849</v>
      </c>
      <c r="M849" s="79"/>
      <c r="N849" s="73"/>
      <c r="O849" s="81" t="s">
        <v>292</v>
      </c>
      <c r="P849">
        <v>2</v>
      </c>
      <c r="Q849" s="80" t="str">
        <f>REPLACE(INDEX(GroupVertices[Group],MATCH(Edges[[#This Row],[Vertex 1]],GroupVertices[Vertex],0)),1,1,"")</f>
        <v>1</v>
      </c>
      <c r="R849" s="80" t="str">
        <f>REPLACE(INDEX(GroupVertices[Group],MATCH(Edges[[#This Row],[Vertex 2]],GroupVertices[Vertex],0)),1,1,"")</f>
        <v>1</v>
      </c>
      <c r="S849" s="35"/>
      <c r="T849" s="35"/>
      <c r="U849" s="35"/>
      <c r="V849" s="35"/>
      <c r="W849" s="35"/>
      <c r="X849" s="35"/>
      <c r="Y849" s="35"/>
      <c r="Z849" s="35"/>
      <c r="AA849" s="35"/>
    </row>
    <row r="850" spans="1:27" ht="15">
      <c r="A850" s="65" t="s">
        <v>641</v>
      </c>
      <c r="B850" s="65" t="s">
        <v>231</v>
      </c>
      <c r="C850" s="66" t="s">
        <v>2113</v>
      </c>
      <c r="D850" s="67">
        <v>3</v>
      </c>
      <c r="E850" s="68"/>
      <c r="F850" s="69">
        <v>40</v>
      </c>
      <c r="G850" s="66"/>
      <c r="H850" s="70"/>
      <c r="I850" s="71"/>
      <c r="J850" s="71"/>
      <c r="K850" s="35" t="s">
        <v>65</v>
      </c>
      <c r="L850" s="79">
        <v>850</v>
      </c>
      <c r="M850" s="79"/>
      <c r="N850" s="73"/>
      <c r="O850" s="81" t="s">
        <v>292</v>
      </c>
      <c r="P850">
        <v>1</v>
      </c>
      <c r="Q850" s="80" t="str">
        <f>REPLACE(INDEX(GroupVertices[Group],MATCH(Edges[[#This Row],[Vertex 1]],GroupVertices[Vertex],0)),1,1,"")</f>
        <v>2</v>
      </c>
      <c r="R850" s="80" t="str">
        <f>REPLACE(INDEX(GroupVertices[Group],MATCH(Edges[[#This Row],[Vertex 2]],GroupVertices[Vertex],0)),1,1,"")</f>
        <v>1</v>
      </c>
      <c r="S850" s="35"/>
      <c r="T850" s="35"/>
      <c r="U850" s="35"/>
      <c r="V850" s="35"/>
      <c r="W850" s="35"/>
      <c r="X850" s="35"/>
      <c r="Y850" s="35"/>
      <c r="Z850" s="35"/>
      <c r="AA850" s="35"/>
    </row>
    <row r="851" spans="1:27" ht="15">
      <c r="A851" s="65" t="s">
        <v>214</v>
      </c>
      <c r="B851" s="65" t="s">
        <v>231</v>
      </c>
      <c r="C851" s="66" t="s">
        <v>2113</v>
      </c>
      <c r="D851" s="67">
        <v>3</v>
      </c>
      <c r="E851" s="68"/>
      <c r="F851" s="69">
        <v>40</v>
      </c>
      <c r="G851" s="66"/>
      <c r="H851" s="70"/>
      <c r="I851" s="71"/>
      <c r="J851" s="71"/>
      <c r="K851" s="35" t="s">
        <v>66</v>
      </c>
      <c r="L851" s="79">
        <v>851</v>
      </c>
      <c r="M851" s="79"/>
      <c r="N851" s="73"/>
      <c r="O851" s="81" t="s">
        <v>292</v>
      </c>
      <c r="P851">
        <v>1</v>
      </c>
      <c r="Q851" s="80" t="str">
        <f>REPLACE(INDEX(GroupVertices[Group],MATCH(Edges[[#This Row],[Vertex 1]],GroupVertices[Vertex],0)),1,1,"")</f>
        <v>1</v>
      </c>
      <c r="R851" s="80" t="str">
        <f>REPLACE(INDEX(GroupVertices[Group],MATCH(Edges[[#This Row],[Vertex 2]],GroupVertices[Vertex],0)),1,1,"")</f>
        <v>1</v>
      </c>
      <c r="S851" s="35"/>
      <c r="T851" s="35"/>
      <c r="U851" s="35"/>
      <c r="V851" s="35"/>
      <c r="W851" s="35"/>
      <c r="X851" s="35"/>
      <c r="Y851" s="35"/>
      <c r="Z851" s="35"/>
      <c r="AA851" s="35"/>
    </row>
    <row r="852" spans="1:27" ht="15">
      <c r="A852" s="65" t="s">
        <v>643</v>
      </c>
      <c r="B852" s="65" t="s">
        <v>231</v>
      </c>
      <c r="C852" s="66" t="s">
        <v>2113</v>
      </c>
      <c r="D852" s="67">
        <v>3</v>
      </c>
      <c r="E852" s="68"/>
      <c r="F852" s="69">
        <v>40</v>
      </c>
      <c r="G852" s="66"/>
      <c r="H852" s="70"/>
      <c r="I852" s="71"/>
      <c r="J852" s="71"/>
      <c r="K852" s="35" t="s">
        <v>65</v>
      </c>
      <c r="L852" s="79">
        <v>852</v>
      </c>
      <c r="M852" s="79"/>
      <c r="N852" s="73"/>
      <c r="O852" s="81" t="s">
        <v>292</v>
      </c>
      <c r="P852">
        <v>1</v>
      </c>
      <c r="Q852" s="80" t="str">
        <f>REPLACE(INDEX(GroupVertices[Group],MATCH(Edges[[#This Row],[Vertex 1]],GroupVertices[Vertex],0)),1,1,"")</f>
        <v>2</v>
      </c>
      <c r="R852" s="80" t="str">
        <f>REPLACE(INDEX(GroupVertices[Group],MATCH(Edges[[#This Row],[Vertex 2]],GroupVertices[Vertex],0)),1,1,"")</f>
        <v>1</v>
      </c>
      <c r="S852" s="35"/>
      <c r="T852" s="35"/>
      <c r="U852" s="35"/>
      <c r="V852" s="35"/>
      <c r="W852" s="35"/>
      <c r="X852" s="35"/>
      <c r="Y852" s="35"/>
      <c r="Z852" s="35"/>
      <c r="AA852" s="35"/>
    </row>
    <row r="853" spans="1:27" ht="15">
      <c r="A853" s="65" t="s">
        <v>226</v>
      </c>
      <c r="B853" s="65" t="s">
        <v>231</v>
      </c>
      <c r="C853" s="66" t="s">
        <v>2113</v>
      </c>
      <c r="D853" s="67">
        <v>3</v>
      </c>
      <c r="E853" s="68"/>
      <c r="F853" s="69">
        <v>40</v>
      </c>
      <c r="G853" s="66"/>
      <c r="H853" s="70"/>
      <c r="I853" s="71"/>
      <c r="J853" s="71"/>
      <c r="K853" s="35" t="s">
        <v>66</v>
      </c>
      <c r="L853" s="79">
        <v>853</v>
      </c>
      <c r="M853" s="79"/>
      <c r="N853" s="73"/>
      <c r="O853" s="81" t="s">
        <v>292</v>
      </c>
      <c r="P853">
        <v>1</v>
      </c>
      <c r="Q853" s="80" t="str">
        <f>REPLACE(INDEX(GroupVertices[Group],MATCH(Edges[[#This Row],[Vertex 1]],GroupVertices[Vertex],0)),1,1,"")</f>
        <v>1</v>
      </c>
      <c r="R853" s="80" t="str">
        <f>REPLACE(INDEX(GroupVertices[Group],MATCH(Edges[[#This Row],[Vertex 2]],GroupVertices[Vertex],0)),1,1,"")</f>
        <v>1</v>
      </c>
      <c r="S853" s="35"/>
      <c r="T853" s="35"/>
      <c r="U853" s="35"/>
      <c r="V853" s="35"/>
      <c r="W853" s="35"/>
      <c r="X853" s="35"/>
      <c r="Y853" s="35"/>
      <c r="Z853" s="35"/>
      <c r="AA853" s="35"/>
    </row>
    <row r="854" spans="1:27" ht="15">
      <c r="A854" s="65" t="s">
        <v>236</v>
      </c>
      <c r="B854" s="65" t="s">
        <v>231</v>
      </c>
      <c r="C854" s="66" t="s">
        <v>2114</v>
      </c>
      <c r="D854" s="67">
        <v>3</v>
      </c>
      <c r="E854" s="68"/>
      <c r="F854" s="69">
        <v>40</v>
      </c>
      <c r="G854" s="66"/>
      <c r="H854" s="70"/>
      <c r="I854" s="71"/>
      <c r="J854" s="71"/>
      <c r="K854" s="35" t="s">
        <v>65</v>
      </c>
      <c r="L854" s="79">
        <v>854</v>
      </c>
      <c r="M854" s="79"/>
      <c r="N854" s="73"/>
      <c r="O854" s="81" t="s">
        <v>292</v>
      </c>
      <c r="P854">
        <v>2</v>
      </c>
      <c r="Q854" s="80" t="str">
        <f>REPLACE(INDEX(GroupVertices[Group],MATCH(Edges[[#This Row],[Vertex 1]],GroupVertices[Vertex],0)),1,1,"")</f>
        <v>2</v>
      </c>
      <c r="R854" s="80" t="str">
        <f>REPLACE(INDEX(GroupVertices[Group],MATCH(Edges[[#This Row],[Vertex 2]],GroupVertices[Vertex],0)),1,1,"")</f>
        <v>1</v>
      </c>
      <c r="S854" s="35"/>
      <c r="T854" s="35"/>
      <c r="U854" s="35"/>
      <c r="V854" s="35"/>
      <c r="W854" s="35"/>
      <c r="X854" s="35"/>
      <c r="Y854" s="35"/>
      <c r="Z854" s="35"/>
      <c r="AA854" s="35"/>
    </row>
    <row r="855" spans="1:27" ht="15">
      <c r="A855" s="65" t="s">
        <v>644</v>
      </c>
      <c r="B855" s="65" t="s">
        <v>231</v>
      </c>
      <c r="C855" s="66" t="s">
        <v>2113</v>
      </c>
      <c r="D855" s="67">
        <v>3</v>
      </c>
      <c r="E855" s="68"/>
      <c r="F855" s="69">
        <v>40</v>
      </c>
      <c r="G855" s="66"/>
      <c r="H855" s="70"/>
      <c r="I855" s="71"/>
      <c r="J855" s="71"/>
      <c r="K855" s="35" t="s">
        <v>65</v>
      </c>
      <c r="L855" s="79">
        <v>855</v>
      </c>
      <c r="M855" s="79"/>
      <c r="N855" s="73"/>
      <c r="O855" s="81" t="s">
        <v>292</v>
      </c>
      <c r="P855">
        <v>1</v>
      </c>
      <c r="Q855" s="80" t="str">
        <f>REPLACE(INDEX(GroupVertices[Group],MATCH(Edges[[#This Row],[Vertex 1]],GroupVertices[Vertex],0)),1,1,"")</f>
        <v>2</v>
      </c>
      <c r="R855" s="80" t="str">
        <f>REPLACE(INDEX(GroupVertices[Group],MATCH(Edges[[#This Row],[Vertex 2]],GroupVertices[Vertex],0)),1,1,"")</f>
        <v>1</v>
      </c>
      <c r="S855" s="35"/>
      <c r="T855" s="35"/>
      <c r="U855" s="35"/>
      <c r="V855" s="35"/>
      <c r="W855" s="35"/>
      <c r="X855" s="35"/>
      <c r="Y855" s="35"/>
      <c r="Z855" s="35"/>
      <c r="AA855" s="35"/>
    </row>
    <row r="856" spans="1:27" ht="15">
      <c r="A856" s="65" t="s">
        <v>232</v>
      </c>
      <c r="B856" s="65" t="s">
        <v>231</v>
      </c>
      <c r="C856" s="66" t="s">
        <v>2115</v>
      </c>
      <c r="D856" s="67">
        <v>3</v>
      </c>
      <c r="E856" s="68"/>
      <c r="F856" s="69">
        <v>40</v>
      </c>
      <c r="G856" s="66"/>
      <c r="H856" s="70"/>
      <c r="I856" s="71"/>
      <c r="J856" s="71"/>
      <c r="K856" s="35" t="s">
        <v>65</v>
      </c>
      <c r="L856" s="79">
        <v>856</v>
      </c>
      <c r="M856" s="79"/>
      <c r="N856" s="73"/>
      <c r="O856" s="81" t="s">
        <v>292</v>
      </c>
      <c r="P856">
        <v>3</v>
      </c>
      <c r="Q856" s="80" t="str">
        <f>REPLACE(INDEX(GroupVertices[Group],MATCH(Edges[[#This Row],[Vertex 1]],GroupVertices[Vertex],0)),1,1,"")</f>
        <v>2</v>
      </c>
      <c r="R856" s="80" t="str">
        <f>REPLACE(INDEX(GroupVertices[Group],MATCH(Edges[[#This Row],[Vertex 2]],GroupVertices[Vertex],0)),1,1,"")</f>
        <v>1</v>
      </c>
      <c r="S856" s="35"/>
      <c r="T856" s="35"/>
      <c r="U856" s="35"/>
      <c r="V856" s="35"/>
      <c r="W856" s="35"/>
      <c r="X856" s="35"/>
      <c r="Y856" s="35"/>
      <c r="Z856" s="35"/>
      <c r="AA856" s="35"/>
    </row>
    <row r="857" spans="1:27" ht="15">
      <c r="A857" s="65" t="s">
        <v>645</v>
      </c>
      <c r="B857" s="65" t="s">
        <v>231</v>
      </c>
      <c r="C857" s="66" t="s">
        <v>2113</v>
      </c>
      <c r="D857" s="67">
        <v>3</v>
      </c>
      <c r="E857" s="68"/>
      <c r="F857" s="69">
        <v>40</v>
      </c>
      <c r="G857" s="66"/>
      <c r="H857" s="70"/>
      <c r="I857" s="71"/>
      <c r="J857" s="71"/>
      <c r="K857" s="35" t="s">
        <v>65</v>
      </c>
      <c r="L857" s="79">
        <v>857</v>
      </c>
      <c r="M857" s="79"/>
      <c r="N857" s="73"/>
      <c r="O857" s="81" t="s">
        <v>292</v>
      </c>
      <c r="P857">
        <v>1</v>
      </c>
      <c r="Q857" s="80" t="str">
        <f>REPLACE(INDEX(GroupVertices[Group],MATCH(Edges[[#This Row],[Vertex 1]],GroupVertices[Vertex],0)),1,1,"")</f>
        <v>2</v>
      </c>
      <c r="R857" s="80" t="str">
        <f>REPLACE(INDEX(GroupVertices[Group],MATCH(Edges[[#This Row],[Vertex 2]],GroupVertices[Vertex],0)),1,1,"")</f>
        <v>1</v>
      </c>
      <c r="S857" s="35"/>
      <c r="T857" s="35"/>
      <c r="U857" s="35"/>
      <c r="V857" s="35"/>
      <c r="W857" s="35"/>
      <c r="X857" s="35"/>
      <c r="Y857" s="35"/>
      <c r="Z857" s="35"/>
      <c r="AA857" s="35"/>
    </row>
    <row r="858" spans="1:27" ht="15">
      <c r="A858" s="65" t="s">
        <v>216</v>
      </c>
      <c r="B858" s="65" t="s">
        <v>231</v>
      </c>
      <c r="C858" s="66" t="s">
        <v>2114</v>
      </c>
      <c r="D858" s="67">
        <v>3</v>
      </c>
      <c r="E858" s="68"/>
      <c r="F858" s="69">
        <v>40</v>
      </c>
      <c r="G858" s="66"/>
      <c r="H858" s="70"/>
      <c r="I858" s="71"/>
      <c r="J858" s="71"/>
      <c r="K858" s="35" t="s">
        <v>66</v>
      </c>
      <c r="L858" s="79">
        <v>858</v>
      </c>
      <c r="M858" s="79"/>
      <c r="N858" s="73"/>
      <c r="O858" s="81" t="s">
        <v>292</v>
      </c>
      <c r="P858">
        <v>2</v>
      </c>
      <c r="Q858" s="80" t="str">
        <f>REPLACE(INDEX(GroupVertices[Group],MATCH(Edges[[#This Row],[Vertex 1]],GroupVertices[Vertex],0)),1,1,"")</f>
        <v>1</v>
      </c>
      <c r="R858" s="80" t="str">
        <f>REPLACE(INDEX(GroupVertices[Group],MATCH(Edges[[#This Row],[Vertex 2]],GroupVertices[Vertex],0)),1,1,"")</f>
        <v>1</v>
      </c>
      <c r="S858" s="35"/>
      <c r="T858" s="35"/>
      <c r="U858" s="35"/>
      <c r="V858" s="35"/>
      <c r="W858" s="35"/>
      <c r="X858" s="35"/>
      <c r="Y858" s="35"/>
      <c r="Z858" s="35"/>
      <c r="AA858" s="35"/>
    </row>
    <row r="859" spans="1:27" ht="15">
      <c r="A859" s="65" t="s">
        <v>221</v>
      </c>
      <c r="B859" s="65" t="s">
        <v>231</v>
      </c>
      <c r="C859" s="66" t="s">
        <v>2113</v>
      </c>
      <c r="D859" s="67">
        <v>3</v>
      </c>
      <c r="E859" s="68"/>
      <c r="F859" s="69">
        <v>40</v>
      </c>
      <c r="G859" s="66"/>
      <c r="H859" s="70"/>
      <c r="I859" s="71"/>
      <c r="J859" s="71"/>
      <c r="K859" s="35" t="s">
        <v>66</v>
      </c>
      <c r="L859" s="79">
        <v>859</v>
      </c>
      <c r="M859" s="79"/>
      <c r="N859" s="73"/>
      <c r="O859" s="81" t="s">
        <v>292</v>
      </c>
      <c r="P859">
        <v>1</v>
      </c>
      <c r="Q859" s="80" t="str">
        <f>REPLACE(INDEX(GroupVertices[Group],MATCH(Edges[[#This Row],[Vertex 1]],GroupVertices[Vertex],0)),1,1,"")</f>
        <v>1</v>
      </c>
      <c r="R859" s="80" t="str">
        <f>REPLACE(INDEX(GroupVertices[Group],MATCH(Edges[[#This Row],[Vertex 2]],GroupVertices[Vertex],0)),1,1,"")</f>
        <v>1</v>
      </c>
      <c r="S859" s="35"/>
      <c r="T859" s="35"/>
      <c r="U859" s="35"/>
      <c r="V859" s="35"/>
      <c r="W859" s="35"/>
      <c r="X859" s="35"/>
      <c r="Y859" s="35"/>
      <c r="Z859" s="35"/>
      <c r="AA859" s="35"/>
    </row>
    <row r="860" spans="1:27" ht="15">
      <c r="A860" s="65" t="s">
        <v>232</v>
      </c>
      <c r="B860" s="65" t="s">
        <v>231</v>
      </c>
      <c r="C860" s="66" t="s">
        <v>2115</v>
      </c>
      <c r="D860" s="67">
        <v>3</v>
      </c>
      <c r="E860" s="68"/>
      <c r="F860" s="69">
        <v>40</v>
      </c>
      <c r="G860" s="66"/>
      <c r="H860" s="70"/>
      <c r="I860" s="71"/>
      <c r="J860" s="71"/>
      <c r="K860" s="35" t="s">
        <v>65</v>
      </c>
      <c r="L860" s="79">
        <v>860</v>
      </c>
      <c r="M860" s="79"/>
      <c r="N860" s="73"/>
      <c r="O860" s="81" t="s">
        <v>293</v>
      </c>
      <c r="P860">
        <v>3</v>
      </c>
      <c r="Q860" s="80" t="str">
        <f>REPLACE(INDEX(GroupVertices[Group],MATCH(Edges[[#This Row],[Vertex 1]],GroupVertices[Vertex],0)),1,1,"")</f>
        <v>2</v>
      </c>
      <c r="R860" s="80" t="str">
        <f>REPLACE(INDEX(GroupVertices[Group],MATCH(Edges[[#This Row],[Vertex 2]],GroupVertices[Vertex],0)),1,1,"")</f>
        <v>1</v>
      </c>
      <c r="S860" s="35"/>
      <c r="T860" s="35"/>
      <c r="U860" s="35"/>
      <c r="V860" s="35"/>
      <c r="W860" s="35"/>
      <c r="X860" s="35"/>
      <c r="Y860" s="35"/>
      <c r="Z860" s="35"/>
      <c r="AA860" s="35"/>
    </row>
    <row r="861" spans="1:27" ht="15">
      <c r="A861" s="65" t="s">
        <v>224</v>
      </c>
      <c r="B861" s="65" t="s">
        <v>231</v>
      </c>
      <c r="C861" s="66" t="s">
        <v>2113</v>
      </c>
      <c r="D861" s="67">
        <v>3</v>
      </c>
      <c r="E861" s="68"/>
      <c r="F861" s="69">
        <v>40</v>
      </c>
      <c r="G861" s="66"/>
      <c r="H861" s="70"/>
      <c r="I861" s="71"/>
      <c r="J861" s="71"/>
      <c r="K861" s="35" t="s">
        <v>66</v>
      </c>
      <c r="L861" s="79">
        <v>861</v>
      </c>
      <c r="M861" s="79"/>
      <c r="N861" s="73"/>
      <c r="O861" s="81" t="s">
        <v>293</v>
      </c>
      <c r="P861">
        <v>1</v>
      </c>
      <c r="Q861" s="80" t="str">
        <f>REPLACE(INDEX(GroupVertices[Group],MATCH(Edges[[#This Row],[Vertex 1]],GroupVertices[Vertex],0)),1,1,"")</f>
        <v>1</v>
      </c>
      <c r="R861" s="80" t="str">
        <f>REPLACE(INDEX(GroupVertices[Group],MATCH(Edges[[#This Row],[Vertex 2]],GroupVertices[Vertex],0)),1,1,"")</f>
        <v>1</v>
      </c>
      <c r="S861" s="35"/>
      <c r="T861" s="35"/>
      <c r="U861" s="35"/>
      <c r="V861" s="35"/>
      <c r="W861" s="35"/>
      <c r="X861" s="35"/>
      <c r="Y861" s="35"/>
      <c r="Z861" s="35"/>
      <c r="AA861" s="35"/>
    </row>
    <row r="862" spans="1:27" ht="15">
      <c r="A862" s="65" t="s">
        <v>224</v>
      </c>
      <c r="B862" s="65" t="s">
        <v>277</v>
      </c>
      <c r="C862" s="66" t="s">
        <v>2113</v>
      </c>
      <c r="D862" s="67">
        <v>3</v>
      </c>
      <c r="E862" s="68"/>
      <c r="F862" s="69">
        <v>40</v>
      </c>
      <c r="G862" s="66"/>
      <c r="H862" s="70"/>
      <c r="I862" s="71"/>
      <c r="J862" s="71"/>
      <c r="K862" s="35" t="s">
        <v>65</v>
      </c>
      <c r="L862" s="79">
        <v>862</v>
      </c>
      <c r="M862" s="79"/>
      <c r="N862" s="73"/>
      <c r="O862" s="81" t="s">
        <v>293</v>
      </c>
      <c r="P862">
        <v>1</v>
      </c>
      <c r="Q862" s="80" t="str">
        <f>REPLACE(INDEX(GroupVertices[Group],MATCH(Edges[[#This Row],[Vertex 1]],GroupVertices[Vertex],0)),1,1,"")</f>
        <v>1</v>
      </c>
      <c r="R862" s="80" t="str">
        <f>REPLACE(INDEX(GroupVertices[Group],MATCH(Edges[[#This Row],[Vertex 2]],GroupVertices[Vertex],0)),1,1,"")</f>
        <v>4</v>
      </c>
      <c r="S862" s="35"/>
      <c r="T862" s="35"/>
      <c r="U862" s="35"/>
      <c r="V862" s="35"/>
      <c r="W862" s="35"/>
      <c r="X862" s="35"/>
      <c r="Y862" s="35"/>
      <c r="Z862" s="35"/>
      <c r="AA862" s="35"/>
    </row>
    <row r="863" spans="1:27" ht="15">
      <c r="A863" s="65" t="s">
        <v>234</v>
      </c>
      <c r="B863" s="65" t="s">
        <v>224</v>
      </c>
      <c r="C863" s="66" t="s">
        <v>2114</v>
      </c>
      <c r="D863" s="67">
        <v>3</v>
      </c>
      <c r="E863" s="68"/>
      <c r="F863" s="69">
        <v>40</v>
      </c>
      <c r="G863" s="66"/>
      <c r="H863" s="70"/>
      <c r="I863" s="71"/>
      <c r="J863" s="71"/>
      <c r="K863" s="35" t="s">
        <v>66</v>
      </c>
      <c r="L863" s="79">
        <v>863</v>
      </c>
      <c r="M863" s="79"/>
      <c r="N863" s="73"/>
      <c r="O863" s="81" t="s">
        <v>292</v>
      </c>
      <c r="P863">
        <v>2</v>
      </c>
      <c r="Q863" s="80" t="str">
        <f>REPLACE(INDEX(GroupVertices[Group],MATCH(Edges[[#This Row],[Vertex 1]],GroupVertices[Vertex],0)),1,1,"")</f>
        <v>1</v>
      </c>
      <c r="R863" s="80" t="str">
        <f>REPLACE(INDEX(GroupVertices[Group],MATCH(Edges[[#This Row],[Vertex 2]],GroupVertices[Vertex],0)),1,1,"")</f>
        <v>1</v>
      </c>
      <c r="S863" s="35"/>
      <c r="T863" s="35"/>
      <c r="U863" s="35"/>
      <c r="V863" s="35"/>
      <c r="W863" s="35"/>
      <c r="X863" s="35"/>
      <c r="Y863" s="35"/>
      <c r="Z863" s="35"/>
      <c r="AA863" s="35"/>
    </row>
    <row r="864" spans="1:27" ht="15">
      <c r="A864" s="65" t="s">
        <v>646</v>
      </c>
      <c r="B864" s="65" t="s">
        <v>224</v>
      </c>
      <c r="C864" s="66" t="s">
        <v>2113</v>
      </c>
      <c r="D864" s="67">
        <v>3</v>
      </c>
      <c r="E864" s="68"/>
      <c r="F864" s="69">
        <v>40</v>
      </c>
      <c r="G864" s="66"/>
      <c r="H864" s="70"/>
      <c r="I864" s="71"/>
      <c r="J864" s="71"/>
      <c r="K864" s="35" t="s">
        <v>66</v>
      </c>
      <c r="L864" s="79">
        <v>864</v>
      </c>
      <c r="M864" s="79"/>
      <c r="N864" s="73"/>
      <c r="O864" s="81" t="s">
        <v>292</v>
      </c>
      <c r="P864">
        <v>1</v>
      </c>
      <c r="Q864" s="80" t="str">
        <f>REPLACE(INDEX(GroupVertices[Group],MATCH(Edges[[#This Row],[Vertex 1]],GroupVertices[Vertex],0)),1,1,"")</f>
        <v>2</v>
      </c>
      <c r="R864" s="80" t="str">
        <f>REPLACE(INDEX(GroupVertices[Group],MATCH(Edges[[#This Row],[Vertex 2]],GroupVertices[Vertex],0)),1,1,"")</f>
        <v>1</v>
      </c>
      <c r="S864" s="35"/>
      <c r="T864" s="35"/>
      <c r="U864" s="35"/>
      <c r="V864" s="35"/>
      <c r="W864" s="35"/>
      <c r="X864" s="35"/>
      <c r="Y864" s="35"/>
      <c r="Z864" s="35"/>
      <c r="AA864" s="35"/>
    </row>
    <row r="865" spans="1:27" ht="15">
      <c r="A865" s="65" t="s">
        <v>641</v>
      </c>
      <c r="B865" s="65" t="s">
        <v>224</v>
      </c>
      <c r="C865" s="66" t="s">
        <v>2113</v>
      </c>
      <c r="D865" s="67">
        <v>3</v>
      </c>
      <c r="E865" s="68"/>
      <c r="F865" s="69">
        <v>40</v>
      </c>
      <c r="G865" s="66"/>
      <c r="H865" s="70"/>
      <c r="I865" s="71"/>
      <c r="J865" s="71"/>
      <c r="K865" s="35" t="s">
        <v>65</v>
      </c>
      <c r="L865" s="79">
        <v>865</v>
      </c>
      <c r="M865" s="79"/>
      <c r="N865" s="73"/>
      <c r="O865" s="81" t="s">
        <v>292</v>
      </c>
      <c r="P865">
        <v>1</v>
      </c>
      <c r="Q865" s="80" t="str">
        <f>REPLACE(INDEX(GroupVertices[Group],MATCH(Edges[[#This Row],[Vertex 1]],GroupVertices[Vertex],0)),1,1,"")</f>
        <v>2</v>
      </c>
      <c r="R865" s="80" t="str">
        <f>REPLACE(INDEX(GroupVertices[Group],MATCH(Edges[[#This Row],[Vertex 2]],GroupVertices[Vertex],0)),1,1,"")</f>
        <v>1</v>
      </c>
      <c r="S865" s="35"/>
      <c r="T865" s="35"/>
      <c r="U865" s="35"/>
      <c r="V865" s="35"/>
      <c r="W865" s="35"/>
      <c r="X865" s="35"/>
      <c r="Y865" s="35"/>
      <c r="Z865" s="35"/>
      <c r="AA865" s="35"/>
    </row>
    <row r="866" spans="1:27" ht="15">
      <c r="A866" s="65" t="s">
        <v>642</v>
      </c>
      <c r="B866" s="65" t="s">
        <v>224</v>
      </c>
      <c r="C866" s="66" t="s">
        <v>2113</v>
      </c>
      <c r="D866" s="67">
        <v>3</v>
      </c>
      <c r="E866" s="68"/>
      <c r="F866" s="69">
        <v>40</v>
      </c>
      <c r="G866" s="66"/>
      <c r="H866" s="70"/>
      <c r="I866" s="71"/>
      <c r="J866" s="71"/>
      <c r="K866" s="35" t="s">
        <v>65</v>
      </c>
      <c r="L866" s="79">
        <v>866</v>
      </c>
      <c r="M866" s="79"/>
      <c r="N866" s="73"/>
      <c r="O866" s="81" t="s">
        <v>292</v>
      </c>
      <c r="P866">
        <v>1</v>
      </c>
      <c r="Q866" s="80" t="str">
        <f>REPLACE(INDEX(GroupVertices[Group],MATCH(Edges[[#This Row],[Vertex 1]],GroupVertices[Vertex],0)),1,1,"")</f>
        <v>2</v>
      </c>
      <c r="R866" s="80" t="str">
        <f>REPLACE(INDEX(GroupVertices[Group],MATCH(Edges[[#This Row],[Vertex 2]],GroupVertices[Vertex],0)),1,1,"")</f>
        <v>1</v>
      </c>
      <c r="S866" s="35"/>
      <c r="T866" s="35"/>
      <c r="U866" s="35"/>
      <c r="V866" s="35"/>
      <c r="W866" s="35"/>
      <c r="X866" s="35"/>
      <c r="Y866" s="35"/>
      <c r="Z866" s="35"/>
      <c r="AA866" s="35"/>
    </row>
    <row r="867" spans="1:27" ht="15">
      <c r="A867" s="65" t="s">
        <v>214</v>
      </c>
      <c r="B867" s="65" t="s">
        <v>224</v>
      </c>
      <c r="C867" s="66" t="s">
        <v>2113</v>
      </c>
      <c r="D867" s="67">
        <v>3</v>
      </c>
      <c r="E867" s="68"/>
      <c r="F867" s="69">
        <v>40</v>
      </c>
      <c r="G867" s="66"/>
      <c r="H867" s="70"/>
      <c r="I867" s="71"/>
      <c r="J867" s="71"/>
      <c r="K867" s="35" t="s">
        <v>66</v>
      </c>
      <c r="L867" s="79">
        <v>867</v>
      </c>
      <c r="M867" s="79"/>
      <c r="N867" s="73"/>
      <c r="O867" s="81" t="s">
        <v>292</v>
      </c>
      <c r="P867">
        <v>1</v>
      </c>
      <c r="Q867" s="80" t="str">
        <f>REPLACE(INDEX(GroupVertices[Group],MATCH(Edges[[#This Row],[Vertex 1]],GroupVertices[Vertex],0)),1,1,"")</f>
        <v>1</v>
      </c>
      <c r="R867" s="80" t="str">
        <f>REPLACE(INDEX(GroupVertices[Group],MATCH(Edges[[#This Row],[Vertex 2]],GroupVertices[Vertex],0)),1,1,"")</f>
        <v>1</v>
      </c>
      <c r="S867" s="35"/>
      <c r="T867" s="35"/>
      <c r="U867" s="35"/>
      <c r="V867" s="35"/>
      <c r="W867" s="35"/>
      <c r="X867" s="35"/>
      <c r="Y867" s="35"/>
      <c r="Z867" s="35"/>
      <c r="AA867" s="35"/>
    </row>
    <row r="868" spans="1:27" ht="15">
      <c r="A868" s="65" t="s">
        <v>643</v>
      </c>
      <c r="B868" s="65" t="s">
        <v>224</v>
      </c>
      <c r="C868" s="66" t="s">
        <v>2113</v>
      </c>
      <c r="D868" s="67">
        <v>3</v>
      </c>
      <c r="E868" s="68"/>
      <c r="F868" s="69">
        <v>40</v>
      </c>
      <c r="G868" s="66"/>
      <c r="H868" s="70"/>
      <c r="I868" s="71"/>
      <c r="J868" s="71"/>
      <c r="K868" s="35" t="s">
        <v>65</v>
      </c>
      <c r="L868" s="79">
        <v>868</v>
      </c>
      <c r="M868" s="79"/>
      <c r="N868" s="73"/>
      <c r="O868" s="81" t="s">
        <v>292</v>
      </c>
      <c r="P868">
        <v>1</v>
      </c>
      <c r="Q868" s="80" t="str">
        <f>REPLACE(INDEX(GroupVertices[Group],MATCH(Edges[[#This Row],[Vertex 1]],GroupVertices[Vertex],0)),1,1,"")</f>
        <v>2</v>
      </c>
      <c r="R868" s="80" t="str">
        <f>REPLACE(INDEX(GroupVertices[Group],MATCH(Edges[[#This Row],[Vertex 2]],GroupVertices[Vertex],0)),1,1,"")</f>
        <v>1</v>
      </c>
      <c r="S868" s="35"/>
      <c r="T868" s="35"/>
      <c r="U868" s="35"/>
      <c r="V868" s="35"/>
      <c r="W868" s="35"/>
      <c r="X868" s="35"/>
      <c r="Y868" s="35"/>
      <c r="Z868" s="35"/>
      <c r="AA868" s="35"/>
    </row>
    <row r="869" spans="1:27" ht="15">
      <c r="A869" s="65" t="s">
        <v>226</v>
      </c>
      <c r="B869" s="65" t="s">
        <v>224</v>
      </c>
      <c r="C869" s="66" t="s">
        <v>2114</v>
      </c>
      <c r="D869" s="67">
        <v>3</v>
      </c>
      <c r="E869" s="68"/>
      <c r="F869" s="69">
        <v>40</v>
      </c>
      <c r="G869" s="66"/>
      <c r="H869" s="70"/>
      <c r="I869" s="71"/>
      <c r="J869" s="71"/>
      <c r="K869" s="35" t="s">
        <v>66</v>
      </c>
      <c r="L869" s="79">
        <v>869</v>
      </c>
      <c r="M869" s="79"/>
      <c r="N869" s="73"/>
      <c r="O869" s="81" t="s">
        <v>292</v>
      </c>
      <c r="P869">
        <v>2</v>
      </c>
      <c r="Q869" s="80" t="str">
        <f>REPLACE(INDEX(GroupVertices[Group],MATCH(Edges[[#This Row],[Vertex 1]],GroupVertices[Vertex],0)),1,1,"")</f>
        <v>1</v>
      </c>
      <c r="R869" s="80" t="str">
        <f>REPLACE(INDEX(GroupVertices[Group],MATCH(Edges[[#This Row],[Vertex 2]],GroupVertices[Vertex],0)),1,1,"")</f>
        <v>1</v>
      </c>
      <c r="S869" s="35"/>
      <c r="T869" s="35"/>
      <c r="U869" s="35"/>
      <c r="V869" s="35"/>
      <c r="W869" s="35"/>
      <c r="X869" s="35"/>
      <c r="Y869" s="35"/>
      <c r="Z869" s="35"/>
      <c r="AA869" s="35"/>
    </row>
    <row r="870" spans="1:27" ht="15">
      <c r="A870" s="65" t="s">
        <v>236</v>
      </c>
      <c r="B870" s="65" t="s">
        <v>224</v>
      </c>
      <c r="C870" s="66" t="s">
        <v>2114</v>
      </c>
      <c r="D870" s="67">
        <v>3</v>
      </c>
      <c r="E870" s="68"/>
      <c r="F870" s="69">
        <v>40</v>
      </c>
      <c r="G870" s="66"/>
      <c r="H870" s="70"/>
      <c r="I870" s="71"/>
      <c r="J870" s="71"/>
      <c r="K870" s="35" t="s">
        <v>66</v>
      </c>
      <c r="L870" s="79">
        <v>870</v>
      </c>
      <c r="M870" s="79"/>
      <c r="N870" s="73"/>
      <c r="O870" s="81" t="s">
        <v>292</v>
      </c>
      <c r="P870">
        <v>2</v>
      </c>
      <c r="Q870" s="80" t="str">
        <f>REPLACE(INDEX(GroupVertices[Group],MATCH(Edges[[#This Row],[Vertex 1]],GroupVertices[Vertex],0)),1,1,"")</f>
        <v>2</v>
      </c>
      <c r="R870" s="80" t="str">
        <f>REPLACE(INDEX(GroupVertices[Group],MATCH(Edges[[#This Row],[Vertex 2]],GroupVertices[Vertex],0)),1,1,"")</f>
        <v>1</v>
      </c>
      <c r="S870" s="35"/>
      <c r="T870" s="35"/>
      <c r="U870" s="35"/>
      <c r="V870" s="35"/>
      <c r="W870" s="35"/>
      <c r="X870" s="35"/>
      <c r="Y870" s="35"/>
      <c r="Z870" s="35"/>
      <c r="AA870" s="35"/>
    </row>
    <row r="871" spans="1:27" ht="15">
      <c r="A871" s="65" t="s">
        <v>644</v>
      </c>
      <c r="B871" s="65" t="s">
        <v>224</v>
      </c>
      <c r="C871" s="66" t="s">
        <v>2113</v>
      </c>
      <c r="D871" s="67">
        <v>3</v>
      </c>
      <c r="E871" s="68"/>
      <c r="F871" s="69">
        <v>40</v>
      </c>
      <c r="G871" s="66"/>
      <c r="H871" s="70"/>
      <c r="I871" s="71"/>
      <c r="J871" s="71"/>
      <c r="K871" s="35" t="s">
        <v>65</v>
      </c>
      <c r="L871" s="79">
        <v>871</v>
      </c>
      <c r="M871" s="79"/>
      <c r="N871" s="73"/>
      <c r="O871" s="81" t="s">
        <v>292</v>
      </c>
      <c r="P871">
        <v>1</v>
      </c>
      <c r="Q871" s="80" t="str">
        <f>REPLACE(INDEX(GroupVertices[Group],MATCH(Edges[[#This Row],[Vertex 1]],GroupVertices[Vertex],0)),1,1,"")</f>
        <v>2</v>
      </c>
      <c r="R871" s="80" t="str">
        <f>REPLACE(INDEX(GroupVertices[Group],MATCH(Edges[[#This Row],[Vertex 2]],GroupVertices[Vertex],0)),1,1,"")</f>
        <v>1</v>
      </c>
      <c r="S871" s="35"/>
      <c r="T871" s="35"/>
      <c r="U871" s="35"/>
      <c r="V871" s="35"/>
      <c r="W871" s="35"/>
      <c r="X871" s="35"/>
      <c r="Y871" s="35"/>
      <c r="Z871" s="35"/>
      <c r="AA871" s="35"/>
    </row>
    <row r="872" spans="1:27" ht="15">
      <c r="A872" s="65" t="s">
        <v>232</v>
      </c>
      <c r="B872" s="65" t="s">
        <v>224</v>
      </c>
      <c r="C872" s="66" t="s">
        <v>2115</v>
      </c>
      <c r="D872" s="67">
        <v>3</v>
      </c>
      <c r="E872" s="68"/>
      <c r="F872" s="69">
        <v>40</v>
      </c>
      <c r="G872" s="66"/>
      <c r="H872" s="70"/>
      <c r="I872" s="71"/>
      <c r="J872" s="71"/>
      <c r="K872" s="35" t="s">
        <v>66</v>
      </c>
      <c r="L872" s="79">
        <v>872</v>
      </c>
      <c r="M872" s="79"/>
      <c r="N872" s="73"/>
      <c r="O872" s="81" t="s">
        <v>292</v>
      </c>
      <c r="P872">
        <v>3</v>
      </c>
      <c r="Q872" s="80" t="str">
        <f>REPLACE(INDEX(GroupVertices[Group],MATCH(Edges[[#This Row],[Vertex 1]],GroupVertices[Vertex],0)),1,1,"")</f>
        <v>2</v>
      </c>
      <c r="R872" s="80" t="str">
        <f>REPLACE(INDEX(GroupVertices[Group],MATCH(Edges[[#This Row],[Vertex 2]],GroupVertices[Vertex],0)),1,1,"")</f>
        <v>1</v>
      </c>
      <c r="S872" s="35"/>
      <c r="T872" s="35"/>
      <c r="U872" s="35"/>
      <c r="V872" s="35"/>
      <c r="W872" s="35"/>
      <c r="X872" s="35"/>
      <c r="Y872" s="35"/>
      <c r="Z872" s="35"/>
      <c r="AA872" s="35"/>
    </row>
    <row r="873" spans="1:27" ht="15">
      <c r="A873" s="65" t="s">
        <v>645</v>
      </c>
      <c r="B873" s="65" t="s">
        <v>224</v>
      </c>
      <c r="C873" s="66" t="s">
        <v>2113</v>
      </c>
      <c r="D873" s="67">
        <v>3</v>
      </c>
      <c r="E873" s="68"/>
      <c r="F873" s="69">
        <v>40</v>
      </c>
      <c r="G873" s="66"/>
      <c r="H873" s="70"/>
      <c r="I873" s="71"/>
      <c r="J873" s="71"/>
      <c r="K873" s="35" t="s">
        <v>65</v>
      </c>
      <c r="L873" s="79">
        <v>873</v>
      </c>
      <c r="M873" s="79"/>
      <c r="N873" s="73"/>
      <c r="O873" s="81" t="s">
        <v>292</v>
      </c>
      <c r="P873">
        <v>1</v>
      </c>
      <c r="Q873" s="80" t="str">
        <f>REPLACE(INDEX(GroupVertices[Group],MATCH(Edges[[#This Row],[Vertex 1]],GroupVertices[Vertex],0)),1,1,"")</f>
        <v>2</v>
      </c>
      <c r="R873" s="80" t="str">
        <f>REPLACE(INDEX(GroupVertices[Group],MATCH(Edges[[#This Row],[Vertex 2]],GroupVertices[Vertex],0)),1,1,"")</f>
        <v>1</v>
      </c>
      <c r="S873" s="35"/>
      <c r="T873" s="35"/>
      <c r="U873" s="35"/>
      <c r="V873" s="35"/>
      <c r="W873" s="35"/>
      <c r="X873" s="35"/>
      <c r="Y873" s="35"/>
      <c r="Z873" s="35"/>
      <c r="AA873" s="35"/>
    </row>
    <row r="874" spans="1:27" ht="15">
      <c r="A874" s="65" t="s">
        <v>216</v>
      </c>
      <c r="B874" s="65" t="s">
        <v>224</v>
      </c>
      <c r="C874" s="66" t="s">
        <v>2114</v>
      </c>
      <c r="D874" s="67">
        <v>3</v>
      </c>
      <c r="E874" s="68"/>
      <c r="F874" s="69">
        <v>40</v>
      </c>
      <c r="G874" s="66"/>
      <c r="H874" s="70"/>
      <c r="I874" s="71"/>
      <c r="J874" s="71"/>
      <c r="K874" s="35" t="s">
        <v>66</v>
      </c>
      <c r="L874" s="79">
        <v>874</v>
      </c>
      <c r="M874" s="79"/>
      <c r="N874" s="73"/>
      <c r="O874" s="81" t="s">
        <v>292</v>
      </c>
      <c r="P874">
        <v>2</v>
      </c>
      <c r="Q874" s="80" t="str">
        <f>REPLACE(INDEX(GroupVertices[Group],MATCH(Edges[[#This Row],[Vertex 1]],GroupVertices[Vertex],0)),1,1,"")</f>
        <v>1</v>
      </c>
      <c r="R874" s="80" t="str">
        <f>REPLACE(INDEX(GroupVertices[Group],MATCH(Edges[[#This Row],[Vertex 2]],GroupVertices[Vertex],0)),1,1,"")</f>
        <v>1</v>
      </c>
      <c r="S874" s="35"/>
      <c r="T874" s="35"/>
      <c r="U874" s="35"/>
      <c r="V874" s="35"/>
      <c r="W874" s="35"/>
      <c r="X874" s="35"/>
      <c r="Y874" s="35"/>
      <c r="Z874" s="35"/>
      <c r="AA874" s="35"/>
    </row>
    <row r="875" spans="1:27" ht="15">
      <c r="A875" s="65" t="s">
        <v>221</v>
      </c>
      <c r="B875" s="65" t="s">
        <v>224</v>
      </c>
      <c r="C875" s="66" t="s">
        <v>2113</v>
      </c>
      <c r="D875" s="67">
        <v>3</v>
      </c>
      <c r="E875" s="68"/>
      <c r="F875" s="69">
        <v>40</v>
      </c>
      <c r="G875" s="66"/>
      <c r="H875" s="70"/>
      <c r="I875" s="71"/>
      <c r="J875" s="71"/>
      <c r="K875" s="35" t="s">
        <v>66</v>
      </c>
      <c r="L875" s="79">
        <v>875</v>
      </c>
      <c r="M875" s="79"/>
      <c r="N875" s="73"/>
      <c r="O875" s="81" t="s">
        <v>292</v>
      </c>
      <c r="P875">
        <v>1</v>
      </c>
      <c r="Q875" s="80" t="str">
        <f>REPLACE(INDEX(GroupVertices[Group],MATCH(Edges[[#This Row],[Vertex 1]],GroupVertices[Vertex],0)),1,1,"")</f>
        <v>1</v>
      </c>
      <c r="R875" s="80" t="str">
        <f>REPLACE(INDEX(GroupVertices[Group],MATCH(Edges[[#This Row],[Vertex 2]],GroupVertices[Vertex],0)),1,1,"")</f>
        <v>1</v>
      </c>
      <c r="S875" s="35"/>
      <c r="T875" s="35"/>
      <c r="U875" s="35"/>
      <c r="V875" s="35"/>
      <c r="W875" s="35"/>
      <c r="X875" s="35"/>
      <c r="Y875" s="35"/>
      <c r="Z875" s="35"/>
      <c r="AA875" s="35"/>
    </row>
    <row r="876" spans="1:27" ht="15">
      <c r="A876" s="65" t="s">
        <v>232</v>
      </c>
      <c r="B876" s="65" t="s">
        <v>224</v>
      </c>
      <c r="C876" s="66" t="s">
        <v>2115</v>
      </c>
      <c r="D876" s="67">
        <v>3</v>
      </c>
      <c r="E876" s="68"/>
      <c r="F876" s="69">
        <v>40</v>
      </c>
      <c r="G876" s="66"/>
      <c r="H876" s="70"/>
      <c r="I876" s="71"/>
      <c r="J876" s="71"/>
      <c r="K876" s="35" t="s">
        <v>66</v>
      </c>
      <c r="L876" s="79">
        <v>876</v>
      </c>
      <c r="M876" s="79"/>
      <c r="N876" s="73"/>
      <c r="O876" s="81" t="s">
        <v>293</v>
      </c>
      <c r="P876">
        <v>3</v>
      </c>
      <c r="Q876" s="80" t="str">
        <f>REPLACE(INDEX(GroupVertices[Group],MATCH(Edges[[#This Row],[Vertex 1]],GroupVertices[Vertex],0)),1,1,"")</f>
        <v>2</v>
      </c>
      <c r="R876" s="80" t="str">
        <f>REPLACE(INDEX(GroupVertices[Group],MATCH(Edges[[#This Row],[Vertex 2]],GroupVertices[Vertex],0)),1,1,"")</f>
        <v>1</v>
      </c>
      <c r="S876" s="35"/>
      <c r="T876" s="35"/>
      <c r="U876" s="35"/>
      <c r="V876" s="35"/>
      <c r="W876" s="35"/>
      <c r="X876" s="35"/>
      <c r="Y876" s="35"/>
      <c r="Z876" s="35"/>
      <c r="AA876" s="35"/>
    </row>
    <row r="877" spans="1:27" ht="15">
      <c r="A877" s="65" t="s">
        <v>224</v>
      </c>
      <c r="B877" s="65" t="s">
        <v>646</v>
      </c>
      <c r="C877" s="66" t="s">
        <v>2113</v>
      </c>
      <c r="D877" s="67">
        <v>3</v>
      </c>
      <c r="E877" s="68"/>
      <c r="F877" s="69">
        <v>40</v>
      </c>
      <c r="G877" s="66"/>
      <c r="H877" s="70"/>
      <c r="I877" s="71"/>
      <c r="J877" s="71"/>
      <c r="K877" s="35" t="s">
        <v>66</v>
      </c>
      <c r="L877" s="79">
        <v>877</v>
      </c>
      <c r="M877" s="79"/>
      <c r="N877" s="73"/>
      <c r="O877" s="81" t="s">
        <v>293</v>
      </c>
      <c r="P877">
        <v>1</v>
      </c>
      <c r="Q877" s="80" t="str">
        <f>REPLACE(INDEX(GroupVertices[Group],MATCH(Edges[[#This Row],[Vertex 1]],GroupVertices[Vertex],0)),1,1,"")</f>
        <v>1</v>
      </c>
      <c r="R877" s="80" t="str">
        <f>REPLACE(INDEX(GroupVertices[Group],MATCH(Edges[[#This Row],[Vertex 2]],GroupVertices[Vertex],0)),1,1,"")</f>
        <v>2</v>
      </c>
      <c r="S877" s="35"/>
      <c r="T877" s="35"/>
      <c r="U877" s="35"/>
      <c r="V877" s="35"/>
      <c r="W877" s="35"/>
      <c r="X877" s="35"/>
      <c r="Y877" s="35"/>
      <c r="Z877" s="35"/>
      <c r="AA877" s="35"/>
    </row>
    <row r="878" spans="1:27" ht="15">
      <c r="A878" s="65" t="s">
        <v>224</v>
      </c>
      <c r="B878" s="65" t="s">
        <v>226</v>
      </c>
      <c r="C878" s="66" t="s">
        <v>2113</v>
      </c>
      <c r="D878" s="67">
        <v>3</v>
      </c>
      <c r="E878" s="68"/>
      <c r="F878" s="69">
        <v>40</v>
      </c>
      <c r="G878" s="66"/>
      <c r="H878" s="70"/>
      <c r="I878" s="71"/>
      <c r="J878" s="71"/>
      <c r="K878" s="35" t="s">
        <v>66</v>
      </c>
      <c r="L878" s="79">
        <v>878</v>
      </c>
      <c r="M878" s="79"/>
      <c r="N878" s="73"/>
      <c r="O878" s="81" t="s">
        <v>293</v>
      </c>
      <c r="P878">
        <v>1</v>
      </c>
      <c r="Q878" s="80" t="str">
        <f>REPLACE(INDEX(GroupVertices[Group],MATCH(Edges[[#This Row],[Vertex 1]],GroupVertices[Vertex],0)),1,1,"")</f>
        <v>1</v>
      </c>
      <c r="R878" s="80" t="str">
        <f>REPLACE(INDEX(GroupVertices[Group],MATCH(Edges[[#This Row],[Vertex 2]],GroupVertices[Vertex],0)),1,1,"")</f>
        <v>1</v>
      </c>
      <c r="S878" s="35"/>
      <c r="T878" s="35"/>
      <c r="U878" s="35"/>
      <c r="V878" s="35"/>
      <c r="W878" s="35"/>
      <c r="X878" s="35"/>
      <c r="Y878" s="35"/>
      <c r="Z878" s="35"/>
      <c r="AA878" s="35"/>
    </row>
    <row r="879" spans="1:27" ht="15">
      <c r="A879" s="65" t="s">
        <v>224</v>
      </c>
      <c r="B879" s="65" t="s">
        <v>236</v>
      </c>
      <c r="C879" s="66" t="s">
        <v>2113</v>
      </c>
      <c r="D879" s="67">
        <v>3</v>
      </c>
      <c r="E879" s="68"/>
      <c r="F879" s="69">
        <v>40</v>
      </c>
      <c r="G879" s="66"/>
      <c r="H879" s="70"/>
      <c r="I879" s="71"/>
      <c r="J879" s="71"/>
      <c r="K879" s="35" t="s">
        <v>66</v>
      </c>
      <c r="L879" s="79">
        <v>879</v>
      </c>
      <c r="M879" s="79"/>
      <c r="N879" s="73"/>
      <c r="O879" s="81" t="s">
        <v>293</v>
      </c>
      <c r="P879">
        <v>1</v>
      </c>
      <c r="Q879" s="80" t="str">
        <f>REPLACE(INDEX(GroupVertices[Group],MATCH(Edges[[#This Row],[Vertex 1]],GroupVertices[Vertex],0)),1,1,"")</f>
        <v>1</v>
      </c>
      <c r="R879" s="80" t="str">
        <f>REPLACE(INDEX(GroupVertices[Group],MATCH(Edges[[#This Row],[Vertex 2]],GroupVertices[Vertex],0)),1,1,"")</f>
        <v>2</v>
      </c>
      <c r="S879" s="35"/>
      <c r="T879" s="35"/>
      <c r="U879" s="35"/>
      <c r="V879" s="35"/>
      <c r="W879" s="35"/>
      <c r="X879" s="35"/>
      <c r="Y879" s="35"/>
      <c r="Z879" s="35"/>
      <c r="AA879" s="35"/>
    </row>
    <row r="880" spans="1:27" ht="15">
      <c r="A880" s="65" t="s">
        <v>224</v>
      </c>
      <c r="B880" s="65" t="s">
        <v>234</v>
      </c>
      <c r="C880" s="66" t="s">
        <v>2113</v>
      </c>
      <c r="D880" s="67">
        <v>3</v>
      </c>
      <c r="E880" s="68"/>
      <c r="F880" s="69">
        <v>40</v>
      </c>
      <c r="G880" s="66"/>
      <c r="H880" s="70"/>
      <c r="I880" s="71"/>
      <c r="J880" s="71"/>
      <c r="K880" s="35" t="s">
        <v>66</v>
      </c>
      <c r="L880" s="79">
        <v>880</v>
      </c>
      <c r="M880" s="79"/>
      <c r="N880" s="73"/>
      <c r="O880" s="81" t="s">
        <v>293</v>
      </c>
      <c r="P880">
        <v>1</v>
      </c>
      <c r="Q880" s="80" t="str">
        <f>REPLACE(INDEX(GroupVertices[Group],MATCH(Edges[[#This Row],[Vertex 1]],GroupVertices[Vertex],0)),1,1,"")</f>
        <v>1</v>
      </c>
      <c r="R880" s="80" t="str">
        <f>REPLACE(INDEX(GroupVertices[Group],MATCH(Edges[[#This Row],[Vertex 2]],GroupVertices[Vertex],0)),1,1,"")</f>
        <v>1</v>
      </c>
      <c r="S880" s="35"/>
      <c r="T880" s="35"/>
      <c r="U880" s="35"/>
      <c r="V880" s="35"/>
      <c r="W880" s="35"/>
      <c r="X880" s="35"/>
      <c r="Y880" s="35"/>
      <c r="Z880" s="35"/>
      <c r="AA880" s="35"/>
    </row>
    <row r="881" spans="1:27" ht="15">
      <c r="A881" s="65" t="s">
        <v>224</v>
      </c>
      <c r="B881" s="65" t="s">
        <v>232</v>
      </c>
      <c r="C881" s="66" t="s">
        <v>2113</v>
      </c>
      <c r="D881" s="67">
        <v>3</v>
      </c>
      <c r="E881" s="68"/>
      <c r="F881" s="69">
        <v>40</v>
      </c>
      <c r="G881" s="66"/>
      <c r="H881" s="70"/>
      <c r="I881" s="71"/>
      <c r="J881" s="71"/>
      <c r="K881" s="35" t="s">
        <v>66</v>
      </c>
      <c r="L881" s="79">
        <v>881</v>
      </c>
      <c r="M881" s="79"/>
      <c r="N881" s="73"/>
      <c r="O881" s="81" t="s">
        <v>293</v>
      </c>
      <c r="P881">
        <v>1</v>
      </c>
      <c r="Q881" s="80" t="str">
        <f>REPLACE(INDEX(GroupVertices[Group],MATCH(Edges[[#This Row],[Vertex 1]],GroupVertices[Vertex],0)),1,1,"")</f>
        <v>1</v>
      </c>
      <c r="R881" s="80" t="str">
        <f>REPLACE(INDEX(GroupVertices[Group],MATCH(Edges[[#This Row],[Vertex 2]],GroupVertices[Vertex],0)),1,1,"")</f>
        <v>2</v>
      </c>
      <c r="S881" s="35"/>
      <c r="T881" s="35"/>
      <c r="U881" s="35"/>
      <c r="V881" s="35"/>
      <c r="W881" s="35"/>
      <c r="X881" s="35"/>
      <c r="Y881" s="35"/>
      <c r="Z881" s="35"/>
      <c r="AA881" s="35"/>
    </row>
    <row r="882" spans="1:27" ht="15">
      <c r="A882" s="65" t="s">
        <v>224</v>
      </c>
      <c r="B882" s="65" t="s">
        <v>243</v>
      </c>
      <c r="C882" s="66" t="s">
        <v>2113</v>
      </c>
      <c r="D882" s="67">
        <v>3</v>
      </c>
      <c r="E882" s="68"/>
      <c r="F882" s="69">
        <v>40</v>
      </c>
      <c r="G882" s="66"/>
      <c r="H882" s="70"/>
      <c r="I882" s="71"/>
      <c r="J882" s="71"/>
      <c r="K882" s="35" t="s">
        <v>65</v>
      </c>
      <c r="L882" s="79">
        <v>882</v>
      </c>
      <c r="M882" s="79"/>
      <c r="N882" s="73"/>
      <c r="O882" s="81" t="s">
        <v>293</v>
      </c>
      <c r="P882">
        <v>1</v>
      </c>
      <c r="Q882" s="80" t="str">
        <f>REPLACE(INDEX(GroupVertices[Group],MATCH(Edges[[#This Row],[Vertex 1]],GroupVertices[Vertex],0)),1,1,"")</f>
        <v>1</v>
      </c>
      <c r="R882" s="80" t="str">
        <f>REPLACE(INDEX(GroupVertices[Group],MATCH(Edges[[#This Row],[Vertex 2]],GroupVertices[Vertex],0)),1,1,"")</f>
        <v>1</v>
      </c>
      <c r="S882" s="35"/>
      <c r="T882" s="35"/>
      <c r="U882" s="35"/>
      <c r="V882" s="35"/>
      <c r="W882" s="35"/>
      <c r="X882" s="35"/>
      <c r="Y882" s="35"/>
      <c r="Z882" s="35"/>
      <c r="AA882" s="35"/>
    </row>
    <row r="883" spans="1:27" ht="15">
      <c r="A883" s="65" t="s">
        <v>224</v>
      </c>
      <c r="B883" s="65" t="s">
        <v>216</v>
      </c>
      <c r="C883" s="66" t="s">
        <v>2114</v>
      </c>
      <c r="D883" s="67">
        <v>3</v>
      </c>
      <c r="E883" s="68"/>
      <c r="F883" s="69">
        <v>40</v>
      </c>
      <c r="G883" s="66"/>
      <c r="H883" s="70"/>
      <c r="I883" s="71"/>
      <c r="J883" s="71"/>
      <c r="K883" s="35" t="s">
        <v>66</v>
      </c>
      <c r="L883" s="79">
        <v>883</v>
      </c>
      <c r="M883" s="79"/>
      <c r="N883" s="73"/>
      <c r="O883" s="81" t="s">
        <v>293</v>
      </c>
      <c r="P883">
        <v>2</v>
      </c>
      <c r="Q883" s="80" t="str">
        <f>REPLACE(INDEX(GroupVertices[Group],MATCH(Edges[[#This Row],[Vertex 1]],GroupVertices[Vertex],0)),1,1,"")</f>
        <v>1</v>
      </c>
      <c r="R883" s="80" t="str">
        <f>REPLACE(INDEX(GroupVertices[Group],MATCH(Edges[[#This Row],[Vertex 2]],GroupVertices[Vertex],0)),1,1,"")</f>
        <v>1</v>
      </c>
      <c r="S883" s="35"/>
      <c r="T883" s="35"/>
      <c r="U883" s="35"/>
      <c r="V883" s="35"/>
      <c r="W883" s="35"/>
      <c r="X883" s="35"/>
      <c r="Y883" s="35"/>
      <c r="Z883" s="35"/>
      <c r="AA883" s="35"/>
    </row>
    <row r="884" spans="1:27" ht="15">
      <c r="A884" s="65" t="s">
        <v>641</v>
      </c>
      <c r="B884" s="65" t="s">
        <v>234</v>
      </c>
      <c r="C884" s="66" t="s">
        <v>2113</v>
      </c>
      <c r="D884" s="67">
        <v>3</v>
      </c>
      <c r="E884" s="68"/>
      <c r="F884" s="69">
        <v>40</v>
      </c>
      <c r="G884" s="66"/>
      <c r="H884" s="70"/>
      <c r="I884" s="71"/>
      <c r="J884" s="71"/>
      <c r="K884" s="35" t="s">
        <v>65</v>
      </c>
      <c r="L884" s="79">
        <v>884</v>
      </c>
      <c r="M884" s="79"/>
      <c r="N884" s="73"/>
      <c r="O884" s="81" t="s">
        <v>292</v>
      </c>
      <c r="P884">
        <v>1</v>
      </c>
      <c r="Q884" s="80" t="str">
        <f>REPLACE(INDEX(GroupVertices[Group],MATCH(Edges[[#This Row],[Vertex 1]],GroupVertices[Vertex],0)),1,1,"")</f>
        <v>2</v>
      </c>
      <c r="R884" s="80" t="str">
        <f>REPLACE(INDEX(GroupVertices[Group],MATCH(Edges[[#This Row],[Vertex 2]],GroupVertices[Vertex],0)),1,1,"")</f>
        <v>1</v>
      </c>
      <c r="S884" s="35"/>
      <c r="T884" s="35"/>
      <c r="U884" s="35"/>
      <c r="V884" s="35"/>
      <c r="W884" s="35"/>
      <c r="X884" s="35"/>
      <c r="Y884" s="35"/>
      <c r="Z884" s="35"/>
      <c r="AA884" s="35"/>
    </row>
    <row r="885" spans="1:27" ht="15">
      <c r="A885" s="65" t="s">
        <v>642</v>
      </c>
      <c r="B885" s="65" t="s">
        <v>234</v>
      </c>
      <c r="C885" s="66" t="s">
        <v>2113</v>
      </c>
      <c r="D885" s="67">
        <v>3</v>
      </c>
      <c r="E885" s="68"/>
      <c r="F885" s="69">
        <v>40</v>
      </c>
      <c r="G885" s="66"/>
      <c r="H885" s="70"/>
      <c r="I885" s="71"/>
      <c r="J885" s="71"/>
      <c r="K885" s="35" t="s">
        <v>65</v>
      </c>
      <c r="L885" s="79">
        <v>885</v>
      </c>
      <c r="M885" s="79"/>
      <c r="N885" s="73"/>
      <c r="O885" s="81" t="s">
        <v>292</v>
      </c>
      <c r="P885">
        <v>1</v>
      </c>
      <c r="Q885" s="80" t="str">
        <f>REPLACE(INDEX(GroupVertices[Group],MATCH(Edges[[#This Row],[Vertex 1]],GroupVertices[Vertex],0)),1,1,"")</f>
        <v>2</v>
      </c>
      <c r="R885" s="80" t="str">
        <f>REPLACE(INDEX(GroupVertices[Group],MATCH(Edges[[#This Row],[Vertex 2]],GroupVertices[Vertex],0)),1,1,"")</f>
        <v>1</v>
      </c>
      <c r="S885" s="35"/>
      <c r="T885" s="35"/>
      <c r="U885" s="35"/>
      <c r="V885" s="35"/>
      <c r="W885" s="35"/>
      <c r="X885" s="35"/>
      <c r="Y885" s="35"/>
      <c r="Z885" s="35"/>
      <c r="AA885" s="35"/>
    </row>
    <row r="886" spans="1:27" ht="15">
      <c r="A886" s="65" t="s">
        <v>214</v>
      </c>
      <c r="B886" s="65" t="s">
        <v>234</v>
      </c>
      <c r="C886" s="66" t="s">
        <v>2113</v>
      </c>
      <c r="D886" s="67">
        <v>3</v>
      </c>
      <c r="E886" s="68"/>
      <c r="F886" s="69">
        <v>40</v>
      </c>
      <c r="G886" s="66"/>
      <c r="H886" s="70"/>
      <c r="I886" s="71"/>
      <c r="J886" s="71"/>
      <c r="K886" s="35" t="s">
        <v>66</v>
      </c>
      <c r="L886" s="79">
        <v>886</v>
      </c>
      <c r="M886" s="79"/>
      <c r="N886" s="73"/>
      <c r="O886" s="81" t="s">
        <v>292</v>
      </c>
      <c r="P886">
        <v>1</v>
      </c>
      <c r="Q886" s="80" t="str">
        <f>REPLACE(INDEX(GroupVertices[Group],MATCH(Edges[[#This Row],[Vertex 1]],GroupVertices[Vertex],0)),1,1,"")</f>
        <v>1</v>
      </c>
      <c r="R886" s="80" t="str">
        <f>REPLACE(INDEX(GroupVertices[Group],MATCH(Edges[[#This Row],[Vertex 2]],GroupVertices[Vertex],0)),1,1,"")</f>
        <v>1</v>
      </c>
      <c r="S886" s="35"/>
      <c r="T886" s="35"/>
      <c r="U886" s="35"/>
      <c r="V886" s="35"/>
      <c r="W886" s="35"/>
      <c r="X886" s="35"/>
      <c r="Y886" s="35"/>
      <c r="Z886" s="35"/>
      <c r="AA886" s="35"/>
    </row>
    <row r="887" spans="1:27" ht="15">
      <c r="A887" s="65" t="s">
        <v>643</v>
      </c>
      <c r="B887" s="65" t="s">
        <v>234</v>
      </c>
      <c r="C887" s="66" t="s">
        <v>2113</v>
      </c>
      <c r="D887" s="67">
        <v>3</v>
      </c>
      <c r="E887" s="68"/>
      <c r="F887" s="69">
        <v>40</v>
      </c>
      <c r="G887" s="66"/>
      <c r="H887" s="70"/>
      <c r="I887" s="71"/>
      <c r="J887" s="71"/>
      <c r="K887" s="35" t="s">
        <v>65</v>
      </c>
      <c r="L887" s="79">
        <v>887</v>
      </c>
      <c r="M887" s="79"/>
      <c r="N887" s="73"/>
      <c r="O887" s="81" t="s">
        <v>292</v>
      </c>
      <c r="P887">
        <v>1</v>
      </c>
      <c r="Q887" s="80" t="str">
        <f>REPLACE(INDEX(GroupVertices[Group],MATCH(Edges[[#This Row],[Vertex 1]],GroupVertices[Vertex],0)),1,1,"")</f>
        <v>2</v>
      </c>
      <c r="R887" s="80" t="str">
        <f>REPLACE(INDEX(GroupVertices[Group],MATCH(Edges[[#This Row],[Vertex 2]],GroupVertices[Vertex],0)),1,1,"")</f>
        <v>1</v>
      </c>
      <c r="S887" s="35"/>
      <c r="T887" s="35"/>
      <c r="U887" s="35"/>
      <c r="V887" s="35"/>
      <c r="W887" s="35"/>
      <c r="X887" s="35"/>
      <c r="Y887" s="35"/>
      <c r="Z887" s="35"/>
      <c r="AA887" s="35"/>
    </row>
    <row r="888" spans="1:27" ht="15">
      <c r="A888" s="65" t="s">
        <v>226</v>
      </c>
      <c r="B888" s="65" t="s">
        <v>234</v>
      </c>
      <c r="C888" s="66" t="s">
        <v>2113</v>
      </c>
      <c r="D888" s="67">
        <v>3</v>
      </c>
      <c r="E888" s="68"/>
      <c r="F888" s="69">
        <v>40</v>
      </c>
      <c r="G888" s="66"/>
      <c r="H888" s="70"/>
      <c r="I888" s="71"/>
      <c r="J888" s="71"/>
      <c r="K888" s="35" t="s">
        <v>66</v>
      </c>
      <c r="L888" s="79">
        <v>888</v>
      </c>
      <c r="M888" s="79"/>
      <c r="N888" s="73"/>
      <c r="O888" s="81" t="s">
        <v>292</v>
      </c>
      <c r="P888">
        <v>1</v>
      </c>
      <c r="Q888" s="80" t="str">
        <f>REPLACE(INDEX(GroupVertices[Group],MATCH(Edges[[#This Row],[Vertex 1]],GroupVertices[Vertex],0)),1,1,"")</f>
        <v>1</v>
      </c>
      <c r="R888" s="80" t="str">
        <f>REPLACE(INDEX(GroupVertices[Group],MATCH(Edges[[#This Row],[Vertex 2]],GroupVertices[Vertex],0)),1,1,"")</f>
        <v>1</v>
      </c>
      <c r="S888" s="35"/>
      <c r="T888" s="35"/>
      <c r="U888" s="35"/>
      <c r="V888" s="35"/>
      <c r="W888" s="35"/>
      <c r="X888" s="35"/>
      <c r="Y888" s="35"/>
      <c r="Z888" s="35"/>
      <c r="AA888" s="35"/>
    </row>
    <row r="889" spans="1:27" ht="15">
      <c r="A889" s="65" t="s">
        <v>236</v>
      </c>
      <c r="B889" s="65" t="s">
        <v>234</v>
      </c>
      <c r="C889" s="66" t="s">
        <v>2113</v>
      </c>
      <c r="D889" s="67">
        <v>3</v>
      </c>
      <c r="E889" s="68"/>
      <c r="F889" s="69">
        <v>40</v>
      </c>
      <c r="G889" s="66"/>
      <c r="H889" s="70"/>
      <c r="I889" s="71"/>
      <c r="J889" s="71"/>
      <c r="K889" s="35" t="s">
        <v>65</v>
      </c>
      <c r="L889" s="79">
        <v>889</v>
      </c>
      <c r="M889" s="79"/>
      <c r="N889" s="73"/>
      <c r="O889" s="81" t="s">
        <v>292</v>
      </c>
      <c r="P889">
        <v>1</v>
      </c>
      <c r="Q889" s="80" t="str">
        <f>REPLACE(INDEX(GroupVertices[Group],MATCH(Edges[[#This Row],[Vertex 1]],GroupVertices[Vertex],0)),1,1,"")</f>
        <v>2</v>
      </c>
      <c r="R889" s="80" t="str">
        <f>REPLACE(INDEX(GroupVertices[Group],MATCH(Edges[[#This Row],[Vertex 2]],GroupVertices[Vertex],0)),1,1,"")</f>
        <v>1</v>
      </c>
      <c r="S889" s="35"/>
      <c r="T889" s="35"/>
      <c r="U889" s="35"/>
      <c r="V889" s="35"/>
      <c r="W889" s="35"/>
      <c r="X889" s="35"/>
      <c r="Y889" s="35"/>
      <c r="Z889" s="35"/>
      <c r="AA889" s="35"/>
    </row>
    <row r="890" spans="1:27" ht="15">
      <c r="A890" s="65" t="s">
        <v>644</v>
      </c>
      <c r="B890" s="65" t="s">
        <v>234</v>
      </c>
      <c r="C890" s="66" t="s">
        <v>2113</v>
      </c>
      <c r="D890" s="67">
        <v>3</v>
      </c>
      <c r="E890" s="68"/>
      <c r="F890" s="69">
        <v>40</v>
      </c>
      <c r="G890" s="66"/>
      <c r="H890" s="70"/>
      <c r="I890" s="71"/>
      <c r="J890" s="71"/>
      <c r="K890" s="35" t="s">
        <v>65</v>
      </c>
      <c r="L890" s="79">
        <v>890</v>
      </c>
      <c r="M890" s="79"/>
      <c r="N890" s="73"/>
      <c r="O890" s="81" t="s">
        <v>292</v>
      </c>
      <c r="P890">
        <v>1</v>
      </c>
      <c r="Q890" s="80" t="str">
        <f>REPLACE(INDEX(GroupVertices[Group],MATCH(Edges[[#This Row],[Vertex 1]],GroupVertices[Vertex],0)),1,1,"")</f>
        <v>2</v>
      </c>
      <c r="R890" s="80" t="str">
        <f>REPLACE(INDEX(GroupVertices[Group],MATCH(Edges[[#This Row],[Vertex 2]],GroupVertices[Vertex],0)),1,1,"")</f>
        <v>1</v>
      </c>
      <c r="S890" s="35"/>
      <c r="T890" s="35"/>
      <c r="U890" s="35"/>
      <c r="V890" s="35"/>
      <c r="W890" s="35"/>
      <c r="X890" s="35"/>
      <c r="Y890" s="35"/>
      <c r="Z890" s="35"/>
      <c r="AA890" s="35"/>
    </row>
    <row r="891" spans="1:27" ht="15">
      <c r="A891" s="65" t="s">
        <v>232</v>
      </c>
      <c r="B891" s="65" t="s">
        <v>234</v>
      </c>
      <c r="C891" s="66" t="s">
        <v>2114</v>
      </c>
      <c r="D891" s="67">
        <v>3</v>
      </c>
      <c r="E891" s="68"/>
      <c r="F891" s="69">
        <v>40</v>
      </c>
      <c r="G891" s="66"/>
      <c r="H891" s="70"/>
      <c r="I891" s="71"/>
      <c r="J891" s="71"/>
      <c r="K891" s="35" t="s">
        <v>66</v>
      </c>
      <c r="L891" s="79">
        <v>891</v>
      </c>
      <c r="M891" s="79"/>
      <c r="N891" s="73"/>
      <c r="O891" s="81" t="s">
        <v>292</v>
      </c>
      <c r="P891">
        <v>2</v>
      </c>
      <c r="Q891" s="80" t="str">
        <f>REPLACE(INDEX(GroupVertices[Group],MATCH(Edges[[#This Row],[Vertex 1]],GroupVertices[Vertex],0)),1,1,"")</f>
        <v>2</v>
      </c>
      <c r="R891" s="80" t="str">
        <f>REPLACE(INDEX(GroupVertices[Group],MATCH(Edges[[#This Row],[Vertex 2]],GroupVertices[Vertex],0)),1,1,"")</f>
        <v>1</v>
      </c>
      <c r="S891" s="35"/>
      <c r="T891" s="35"/>
      <c r="U891" s="35"/>
      <c r="V891" s="35"/>
      <c r="W891" s="35"/>
      <c r="X891" s="35"/>
      <c r="Y891" s="35"/>
      <c r="Z891" s="35"/>
      <c r="AA891" s="35"/>
    </row>
    <row r="892" spans="1:27" ht="15">
      <c r="A892" s="65" t="s">
        <v>645</v>
      </c>
      <c r="B892" s="65" t="s">
        <v>234</v>
      </c>
      <c r="C892" s="66" t="s">
        <v>2113</v>
      </c>
      <c r="D892" s="67">
        <v>3</v>
      </c>
      <c r="E892" s="68"/>
      <c r="F892" s="69">
        <v>40</v>
      </c>
      <c r="G892" s="66"/>
      <c r="H892" s="70"/>
      <c r="I892" s="71"/>
      <c r="J892" s="71"/>
      <c r="K892" s="35" t="s">
        <v>65</v>
      </c>
      <c r="L892" s="79">
        <v>892</v>
      </c>
      <c r="M892" s="79"/>
      <c r="N892" s="73"/>
      <c r="O892" s="81" t="s">
        <v>292</v>
      </c>
      <c r="P892">
        <v>1</v>
      </c>
      <c r="Q892" s="80" t="str">
        <f>REPLACE(INDEX(GroupVertices[Group],MATCH(Edges[[#This Row],[Vertex 1]],GroupVertices[Vertex],0)),1,1,"")</f>
        <v>2</v>
      </c>
      <c r="R892" s="80" t="str">
        <f>REPLACE(INDEX(GroupVertices[Group],MATCH(Edges[[#This Row],[Vertex 2]],GroupVertices[Vertex],0)),1,1,"")</f>
        <v>1</v>
      </c>
      <c r="S892" s="35"/>
      <c r="T892" s="35"/>
      <c r="U892" s="35"/>
      <c r="V892" s="35"/>
      <c r="W892" s="35"/>
      <c r="X892" s="35"/>
      <c r="Y892" s="35"/>
      <c r="Z892" s="35"/>
      <c r="AA892" s="35"/>
    </row>
    <row r="893" spans="1:27" ht="15">
      <c r="A893" s="65" t="s">
        <v>216</v>
      </c>
      <c r="B893" s="65" t="s">
        <v>234</v>
      </c>
      <c r="C893" s="66" t="s">
        <v>2114</v>
      </c>
      <c r="D893" s="67">
        <v>3</v>
      </c>
      <c r="E893" s="68"/>
      <c r="F893" s="69">
        <v>40</v>
      </c>
      <c r="G893" s="66"/>
      <c r="H893" s="70"/>
      <c r="I893" s="71"/>
      <c r="J893" s="71"/>
      <c r="K893" s="35" t="s">
        <v>66</v>
      </c>
      <c r="L893" s="79">
        <v>893</v>
      </c>
      <c r="M893" s="79"/>
      <c r="N893" s="73"/>
      <c r="O893" s="81" t="s">
        <v>292</v>
      </c>
      <c r="P893">
        <v>2</v>
      </c>
      <c r="Q893" s="80" t="str">
        <f>REPLACE(INDEX(GroupVertices[Group],MATCH(Edges[[#This Row],[Vertex 1]],GroupVertices[Vertex],0)),1,1,"")</f>
        <v>1</v>
      </c>
      <c r="R893" s="80" t="str">
        <f>REPLACE(INDEX(GroupVertices[Group],MATCH(Edges[[#This Row],[Vertex 2]],GroupVertices[Vertex],0)),1,1,"")</f>
        <v>1</v>
      </c>
      <c r="S893" s="35"/>
      <c r="T893" s="35"/>
      <c r="U893" s="35"/>
      <c r="V893" s="35"/>
      <c r="W893" s="35"/>
      <c r="X893" s="35"/>
      <c r="Y893" s="35"/>
      <c r="Z893" s="35"/>
      <c r="AA893" s="35"/>
    </row>
    <row r="894" spans="1:27" ht="15">
      <c r="A894" s="65" t="s">
        <v>221</v>
      </c>
      <c r="B894" s="65" t="s">
        <v>234</v>
      </c>
      <c r="C894" s="66" t="s">
        <v>2113</v>
      </c>
      <c r="D894" s="67">
        <v>3</v>
      </c>
      <c r="E894" s="68"/>
      <c r="F894" s="69">
        <v>40</v>
      </c>
      <c r="G894" s="66"/>
      <c r="H894" s="70"/>
      <c r="I894" s="71"/>
      <c r="J894" s="71"/>
      <c r="K894" s="35" t="s">
        <v>66</v>
      </c>
      <c r="L894" s="79">
        <v>894</v>
      </c>
      <c r="M894" s="79"/>
      <c r="N894" s="73"/>
      <c r="O894" s="81" t="s">
        <v>292</v>
      </c>
      <c r="P894">
        <v>1</v>
      </c>
      <c r="Q894" s="80" t="str">
        <f>REPLACE(INDEX(GroupVertices[Group],MATCH(Edges[[#This Row],[Vertex 1]],GroupVertices[Vertex],0)),1,1,"")</f>
        <v>1</v>
      </c>
      <c r="R894" s="80" t="str">
        <f>REPLACE(INDEX(GroupVertices[Group],MATCH(Edges[[#This Row],[Vertex 2]],GroupVertices[Vertex],0)),1,1,"")</f>
        <v>1</v>
      </c>
      <c r="S894" s="35"/>
      <c r="T894" s="35"/>
      <c r="U894" s="35"/>
      <c r="V894" s="35"/>
      <c r="W894" s="35"/>
      <c r="X894" s="35"/>
      <c r="Y894" s="35"/>
      <c r="Z894" s="35"/>
      <c r="AA894" s="35"/>
    </row>
    <row r="895" spans="1:27" ht="15">
      <c r="A895" s="65" t="s">
        <v>232</v>
      </c>
      <c r="B895" s="65" t="s">
        <v>234</v>
      </c>
      <c r="C895" s="66" t="s">
        <v>2114</v>
      </c>
      <c r="D895" s="67">
        <v>3</v>
      </c>
      <c r="E895" s="68"/>
      <c r="F895" s="69">
        <v>40</v>
      </c>
      <c r="G895" s="66"/>
      <c r="H895" s="70"/>
      <c r="I895" s="71"/>
      <c r="J895" s="71"/>
      <c r="K895" s="35" t="s">
        <v>66</v>
      </c>
      <c r="L895" s="79">
        <v>895</v>
      </c>
      <c r="M895" s="79"/>
      <c r="N895" s="73"/>
      <c r="O895" s="81" t="s">
        <v>293</v>
      </c>
      <c r="P895">
        <v>2</v>
      </c>
      <c r="Q895" s="80" t="str">
        <f>REPLACE(INDEX(GroupVertices[Group],MATCH(Edges[[#This Row],[Vertex 1]],GroupVertices[Vertex],0)),1,1,"")</f>
        <v>2</v>
      </c>
      <c r="R895" s="80" t="str">
        <f>REPLACE(INDEX(GroupVertices[Group],MATCH(Edges[[#This Row],[Vertex 2]],GroupVertices[Vertex],0)),1,1,"")</f>
        <v>1</v>
      </c>
      <c r="S895" s="35"/>
      <c r="T895" s="35"/>
      <c r="U895" s="35"/>
      <c r="V895" s="35"/>
      <c r="W895" s="35"/>
      <c r="X895" s="35"/>
      <c r="Y895" s="35"/>
      <c r="Z895" s="35"/>
      <c r="AA895" s="35"/>
    </row>
    <row r="896" spans="1:27" ht="15">
      <c r="A896" s="65" t="s">
        <v>647</v>
      </c>
      <c r="B896" s="65" t="s">
        <v>234</v>
      </c>
      <c r="C896" s="66" t="s">
        <v>2113</v>
      </c>
      <c r="D896" s="67">
        <v>3</v>
      </c>
      <c r="E896" s="68"/>
      <c r="F896" s="69">
        <v>40</v>
      </c>
      <c r="G896" s="66"/>
      <c r="H896" s="70"/>
      <c r="I896" s="71"/>
      <c r="J896" s="71"/>
      <c r="K896" s="35" t="s">
        <v>65</v>
      </c>
      <c r="L896" s="79">
        <v>896</v>
      </c>
      <c r="M896" s="79"/>
      <c r="N896" s="73"/>
      <c r="O896" s="81" t="s">
        <v>293</v>
      </c>
      <c r="P896">
        <v>1</v>
      </c>
      <c r="Q896" s="80" t="str">
        <f>REPLACE(INDEX(GroupVertices[Group],MATCH(Edges[[#This Row],[Vertex 1]],GroupVertices[Vertex],0)),1,1,"")</f>
        <v>2</v>
      </c>
      <c r="R896" s="80" t="str">
        <f>REPLACE(INDEX(GroupVertices[Group],MATCH(Edges[[#This Row],[Vertex 2]],GroupVertices[Vertex],0)),1,1,"")</f>
        <v>1</v>
      </c>
      <c r="S896" s="35"/>
      <c r="T896" s="35"/>
      <c r="U896" s="35"/>
      <c r="V896" s="35"/>
      <c r="W896" s="35"/>
      <c r="X896" s="35"/>
      <c r="Y896" s="35"/>
      <c r="Z896" s="35"/>
      <c r="AA896" s="35"/>
    </row>
    <row r="897" spans="1:27" ht="15">
      <c r="A897" s="65" t="s">
        <v>643</v>
      </c>
      <c r="B897" s="65" t="s">
        <v>646</v>
      </c>
      <c r="C897" s="66" t="s">
        <v>2113</v>
      </c>
      <c r="D897" s="67">
        <v>3</v>
      </c>
      <c r="E897" s="68"/>
      <c r="F897" s="69">
        <v>40</v>
      </c>
      <c r="G897" s="66"/>
      <c r="H897" s="70"/>
      <c r="I897" s="71"/>
      <c r="J897" s="71"/>
      <c r="K897" s="35" t="s">
        <v>65</v>
      </c>
      <c r="L897" s="79">
        <v>897</v>
      </c>
      <c r="M897" s="79"/>
      <c r="N897" s="73"/>
      <c r="O897" s="81" t="s">
        <v>292</v>
      </c>
      <c r="P897">
        <v>1</v>
      </c>
      <c r="Q897" s="80" t="str">
        <f>REPLACE(INDEX(GroupVertices[Group],MATCH(Edges[[#This Row],[Vertex 1]],GroupVertices[Vertex],0)),1,1,"")</f>
        <v>2</v>
      </c>
      <c r="R897" s="80" t="str">
        <f>REPLACE(INDEX(GroupVertices[Group],MATCH(Edges[[#This Row],[Vertex 2]],GroupVertices[Vertex],0)),1,1,"")</f>
        <v>2</v>
      </c>
      <c r="S897" s="35"/>
      <c r="T897" s="35"/>
      <c r="U897" s="35"/>
      <c r="V897" s="35"/>
      <c r="W897" s="35"/>
      <c r="X897" s="35"/>
      <c r="Y897" s="35"/>
      <c r="Z897" s="35"/>
      <c r="AA897" s="35"/>
    </row>
    <row r="898" spans="1:27" ht="15">
      <c r="A898" s="65" t="s">
        <v>226</v>
      </c>
      <c r="B898" s="65" t="s">
        <v>646</v>
      </c>
      <c r="C898" s="66" t="s">
        <v>2113</v>
      </c>
      <c r="D898" s="67">
        <v>3</v>
      </c>
      <c r="E898" s="68"/>
      <c r="F898" s="69">
        <v>40</v>
      </c>
      <c r="G898" s="66"/>
      <c r="H898" s="70"/>
      <c r="I898" s="71"/>
      <c r="J898" s="71"/>
      <c r="K898" s="35" t="s">
        <v>65</v>
      </c>
      <c r="L898" s="79">
        <v>898</v>
      </c>
      <c r="M898" s="79"/>
      <c r="N898" s="73"/>
      <c r="O898" s="81" t="s">
        <v>292</v>
      </c>
      <c r="P898">
        <v>1</v>
      </c>
      <c r="Q898" s="80" t="str">
        <f>REPLACE(INDEX(GroupVertices[Group],MATCH(Edges[[#This Row],[Vertex 1]],GroupVertices[Vertex],0)),1,1,"")</f>
        <v>1</v>
      </c>
      <c r="R898" s="80" t="str">
        <f>REPLACE(INDEX(GroupVertices[Group],MATCH(Edges[[#This Row],[Vertex 2]],GroupVertices[Vertex],0)),1,1,"")</f>
        <v>2</v>
      </c>
      <c r="S898" s="35"/>
      <c r="T898" s="35"/>
      <c r="U898" s="35"/>
      <c r="V898" s="35"/>
      <c r="W898" s="35"/>
      <c r="X898" s="35"/>
      <c r="Y898" s="35"/>
      <c r="Z898" s="35"/>
      <c r="AA898" s="35"/>
    </row>
    <row r="899" spans="1:27" ht="15">
      <c r="A899" s="65" t="s">
        <v>236</v>
      </c>
      <c r="B899" s="65" t="s">
        <v>646</v>
      </c>
      <c r="C899" s="66" t="s">
        <v>2113</v>
      </c>
      <c r="D899" s="67">
        <v>3</v>
      </c>
      <c r="E899" s="68"/>
      <c r="F899" s="69">
        <v>40</v>
      </c>
      <c r="G899" s="66"/>
      <c r="H899" s="70"/>
      <c r="I899" s="71"/>
      <c r="J899" s="71"/>
      <c r="K899" s="35" t="s">
        <v>65</v>
      </c>
      <c r="L899" s="79">
        <v>899</v>
      </c>
      <c r="M899" s="79"/>
      <c r="N899" s="73"/>
      <c r="O899" s="81" t="s">
        <v>292</v>
      </c>
      <c r="P899">
        <v>1</v>
      </c>
      <c r="Q899" s="80" t="str">
        <f>REPLACE(INDEX(GroupVertices[Group],MATCH(Edges[[#This Row],[Vertex 1]],GroupVertices[Vertex],0)),1,1,"")</f>
        <v>2</v>
      </c>
      <c r="R899" s="80" t="str">
        <f>REPLACE(INDEX(GroupVertices[Group],MATCH(Edges[[#This Row],[Vertex 2]],GroupVertices[Vertex],0)),1,1,"")</f>
        <v>2</v>
      </c>
      <c r="S899" s="35"/>
      <c r="T899" s="35"/>
      <c r="U899" s="35"/>
      <c r="V899" s="35"/>
      <c r="W899" s="35"/>
      <c r="X899" s="35"/>
      <c r="Y899" s="35"/>
      <c r="Z899" s="35"/>
      <c r="AA899" s="35"/>
    </row>
    <row r="900" spans="1:27" ht="15">
      <c r="A900" s="65" t="s">
        <v>232</v>
      </c>
      <c r="B900" s="65" t="s">
        <v>646</v>
      </c>
      <c r="C900" s="66" t="s">
        <v>2113</v>
      </c>
      <c r="D900" s="67">
        <v>3</v>
      </c>
      <c r="E900" s="68"/>
      <c r="F900" s="69">
        <v>40</v>
      </c>
      <c r="G900" s="66"/>
      <c r="H900" s="70"/>
      <c r="I900" s="71"/>
      <c r="J900" s="71"/>
      <c r="K900" s="35" t="s">
        <v>65</v>
      </c>
      <c r="L900" s="79">
        <v>900</v>
      </c>
      <c r="M900" s="79"/>
      <c r="N900" s="73"/>
      <c r="O900" s="81" t="s">
        <v>292</v>
      </c>
      <c r="P900">
        <v>1</v>
      </c>
      <c r="Q900" s="80" t="str">
        <f>REPLACE(INDEX(GroupVertices[Group],MATCH(Edges[[#This Row],[Vertex 1]],GroupVertices[Vertex],0)),1,1,"")</f>
        <v>2</v>
      </c>
      <c r="R900" s="80" t="str">
        <f>REPLACE(INDEX(GroupVertices[Group],MATCH(Edges[[#This Row],[Vertex 2]],GroupVertices[Vertex],0)),1,1,"")</f>
        <v>2</v>
      </c>
      <c r="S900" s="35"/>
      <c r="T900" s="35"/>
      <c r="U900" s="35"/>
      <c r="V900" s="35"/>
      <c r="W900" s="35"/>
      <c r="X900" s="35"/>
      <c r="Y900" s="35"/>
      <c r="Z900" s="35"/>
      <c r="AA900" s="35"/>
    </row>
    <row r="901" spans="1:27" ht="15">
      <c r="A901" s="65" t="s">
        <v>216</v>
      </c>
      <c r="B901" s="65" t="s">
        <v>646</v>
      </c>
      <c r="C901" s="66" t="s">
        <v>2113</v>
      </c>
      <c r="D901" s="67">
        <v>3</v>
      </c>
      <c r="E901" s="68"/>
      <c r="F901" s="69">
        <v>40</v>
      </c>
      <c r="G901" s="66"/>
      <c r="H901" s="70"/>
      <c r="I901" s="71"/>
      <c r="J901" s="71"/>
      <c r="K901" s="35" t="s">
        <v>65</v>
      </c>
      <c r="L901" s="79">
        <v>901</v>
      </c>
      <c r="M901" s="79"/>
      <c r="N901" s="73"/>
      <c r="O901" s="81" t="s">
        <v>292</v>
      </c>
      <c r="P901">
        <v>1</v>
      </c>
      <c r="Q901" s="80" t="str">
        <f>REPLACE(INDEX(GroupVertices[Group],MATCH(Edges[[#This Row],[Vertex 1]],GroupVertices[Vertex],0)),1,1,"")</f>
        <v>1</v>
      </c>
      <c r="R901" s="80" t="str">
        <f>REPLACE(INDEX(GroupVertices[Group],MATCH(Edges[[#This Row],[Vertex 2]],GroupVertices[Vertex],0)),1,1,"")</f>
        <v>2</v>
      </c>
      <c r="S901" s="35"/>
      <c r="T901" s="35"/>
      <c r="U901" s="35"/>
      <c r="V901" s="35"/>
      <c r="W901" s="35"/>
      <c r="X901" s="35"/>
      <c r="Y901" s="35"/>
      <c r="Z901" s="35"/>
      <c r="AA901" s="35"/>
    </row>
    <row r="902" spans="1:27" ht="15">
      <c r="A902" s="65" t="s">
        <v>647</v>
      </c>
      <c r="B902" s="65" t="s">
        <v>646</v>
      </c>
      <c r="C902" s="66" t="s">
        <v>2113</v>
      </c>
      <c r="D902" s="67">
        <v>3</v>
      </c>
      <c r="E902" s="68"/>
      <c r="F902" s="69">
        <v>40</v>
      </c>
      <c r="G902" s="66"/>
      <c r="H902" s="70"/>
      <c r="I902" s="71"/>
      <c r="J902" s="71"/>
      <c r="K902" s="35" t="s">
        <v>65</v>
      </c>
      <c r="L902" s="79">
        <v>902</v>
      </c>
      <c r="M902" s="79"/>
      <c r="N902" s="73"/>
      <c r="O902" s="81" t="s">
        <v>293</v>
      </c>
      <c r="P902">
        <v>1</v>
      </c>
      <c r="Q902" s="80" t="str">
        <f>REPLACE(INDEX(GroupVertices[Group],MATCH(Edges[[#This Row],[Vertex 1]],GroupVertices[Vertex],0)),1,1,"")</f>
        <v>2</v>
      </c>
      <c r="R902" s="80" t="str">
        <f>REPLACE(INDEX(GroupVertices[Group],MATCH(Edges[[#This Row],[Vertex 2]],GroupVertices[Vertex],0)),1,1,"")</f>
        <v>2</v>
      </c>
      <c r="S902" s="35"/>
      <c r="T902" s="35"/>
      <c r="U902" s="35"/>
      <c r="V902" s="35"/>
      <c r="W902" s="35"/>
      <c r="X902" s="35"/>
      <c r="Y902" s="35"/>
      <c r="Z902" s="35"/>
      <c r="AA902" s="35"/>
    </row>
    <row r="903" spans="1:27" ht="15">
      <c r="A903" s="65" t="s">
        <v>214</v>
      </c>
      <c r="B903" s="65" t="s">
        <v>641</v>
      </c>
      <c r="C903" s="66" t="s">
        <v>2113</v>
      </c>
      <c r="D903" s="67">
        <v>3</v>
      </c>
      <c r="E903" s="68"/>
      <c r="F903" s="69">
        <v>40</v>
      </c>
      <c r="G903" s="66"/>
      <c r="H903" s="70"/>
      <c r="I903" s="71"/>
      <c r="J903" s="71"/>
      <c r="K903" s="35" t="s">
        <v>65</v>
      </c>
      <c r="L903" s="79">
        <v>903</v>
      </c>
      <c r="M903" s="79"/>
      <c r="N903" s="73"/>
      <c r="O903" s="81" t="s">
        <v>292</v>
      </c>
      <c r="P903">
        <v>1</v>
      </c>
      <c r="Q903" s="80" t="str">
        <f>REPLACE(INDEX(GroupVertices[Group],MATCH(Edges[[#This Row],[Vertex 1]],GroupVertices[Vertex],0)),1,1,"")</f>
        <v>1</v>
      </c>
      <c r="R903" s="80" t="str">
        <f>REPLACE(INDEX(GroupVertices[Group],MATCH(Edges[[#This Row],[Vertex 2]],GroupVertices[Vertex],0)),1,1,"")</f>
        <v>2</v>
      </c>
      <c r="S903" s="35"/>
      <c r="T903" s="35"/>
      <c r="U903" s="35"/>
      <c r="V903" s="35"/>
      <c r="W903" s="35"/>
      <c r="X903" s="35"/>
      <c r="Y903" s="35"/>
      <c r="Z903" s="35"/>
      <c r="AA903" s="35"/>
    </row>
    <row r="904" spans="1:27" ht="15">
      <c r="A904" s="65" t="s">
        <v>643</v>
      </c>
      <c r="B904" s="65" t="s">
        <v>641</v>
      </c>
      <c r="C904" s="66" t="s">
        <v>2113</v>
      </c>
      <c r="D904" s="67">
        <v>3</v>
      </c>
      <c r="E904" s="68"/>
      <c r="F904" s="69">
        <v>40</v>
      </c>
      <c r="G904" s="66"/>
      <c r="H904" s="70"/>
      <c r="I904" s="71"/>
      <c r="J904" s="71"/>
      <c r="K904" s="35" t="s">
        <v>65</v>
      </c>
      <c r="L904" s="79">
        <v>904</v>
      </c>
      <c r="M904" s="79"/>
      <c r="N904" s="73"/>
      <c r="O904" s="81" t="s">
        <v>292</v>
      </c>
      <c r="P904">
        <v>1</v>
      </c>
      <c r="Q904" s="80" t="str">
        <f>REPLACE(INDEX(GroupVertices[Group],MATCH(Edges[[#This Row],[Vertex 1]],GroupVertices[Vertex],0)),1,1,"")</f>
        <v>2</v>
      </c>
      <c r="R904" s="80" t="str">
        <f>REPLACE(INDEX(GroupVertices[Group],MATCH(Edges[[#This Row],[Vertex 2]],GroupVertices[Vertex],0)),1,1,"")</f>
        <v>2</v>
      </c>
      <c r="S904" s="35"/>
      <c r="T904" s="35"/>
      <c r="U904" s="35"/>
      <c r="V904" s="35"/>
      <c r="W904" s="35"/>
      <c r="X904" s="35"/>
      <c r="Y904" s="35"/>
      <c r="Z904" s="35"/>
      <c r="AA904" s="35"/>
    </row>
    <row r="905" spans="1:27" ht="15">
      <c r="A905" s="65" t="s">
        <v>226</v>
      </c>
      <c r="B905" s="65" t="s">
        <v>641</v>
      </c>
      <c r="C905" s="66" t="s">
        <v>2113</v>
      </c>
      <c r="D905" s="67">
        <v>3</v>
      </c>
      <c r="E905" s="68"/>
      <c r="F905" s="69">
        <v>40</v>
      </c>
      <c r="G905" s="66"/>
      <c r="H905" s="70"/>
      <c r="I905" s="71"/>
      <c r="J905" s="71"/>
      <c r="K905" s="35" t="s">
        <v>65</v>
      </c>
      <c r="L905" s="79">
        <v>905</v>
      </c>
      <c r="M905" s="79"/>
      <c r="N905" s="73"/>
      <c r="O905" s="81" t="s">
        <v>292</v>
      </c>
      <c r="P905">
        <v>1</v>
      </c>
      <c r="Q905" s="80" t="str">
        <f>REPLACE(INDEX(GroupVertices[Group],MATCH(Edges[[#This Row],[Vertex 1]],GroupVertices[Vertex],0)),1,1,"")</f>
        <v>1</v>
      </c>
      <c r="R905" s="80" t="str">
        <f>REPLACE(INDEX(GroupVertices[Group],MATCH(Edges[[#This Row],[Vertex 2]],GroupVertices[Vertex],0)),1,1,"")</f>
        <v>2</v>
      </c>
      <c r="S905" s="35"/>
      <c r="T905" s="35"/>
      <c r="U905" s="35"/>
      <c r="V905" s="35"/>
      <c r="W905" s="35"/>
      <c r="X905" s="35"/>
      <c r="Y905" s="35"/>
      <c r="Z905" s="35"/>
      <c r="AA905" s="35"/>
    </row>
    <row r="906" spans="1:27" ht="15">
      <c r="A906" s="65" t="s">
        <v>236</v>
      </c>
      <c r="B906" s="65" t="s">
        <v>641</v>
      </c>
      <c r="C906" s="66" t="s">
        <v>2113</v>
      </c>
      <c r="D906" s="67">
        <v>3</v>
      </c>
      <c r="E906" s="68"/>
      <c r="F906" s="69">
        <v>40</v>
      </c>
      <c r="G906" s="66"/>
      <c r="H906" s="70"/>
      <c r="I906" s="71"/>
      <c r="J906" s="71"/>
      <c r="K906" s="35" t="s">
        <v>65</v>
      </c>
      <c r="L906" s="79">
        <v>906</v>
      </c>
      <c r="M906" s="79"/>
      <c r="N906" s="73"/>
      <c r="O906" s="81" t="s">
        <v>292</v>
      </c>
      <c r="P906">
        <v>1</v>
      </c>
      <c r="Q906" s="80" t="str">
        <f>REPLACE(INDEX(GroupVertices[Group],MATCH(Edges[[#This Row],[Vertex 1]],GroupVertices[Vertex],0)),1,1,"")</f>
        <v>2</v>
      </c>
      <c r="R906" s="80" t="str">
        <f>REPLACE(INDEX(GroupVertices[Group],MATCH(Edges[[#This Row],[Vertex 2]],GroupVertices[Vertex],0)),1,1,"")</f>
        <v>2</v>
      </c>
      <c r="S906" s="35"/>
      <c r="T906" s="35"/>
      <c r="U906" s="35"/>
      <c r="V906" s="35"/>
      <c r="W906" s="35"/>
      <c r="X906" s="35"/>
      <c r="Y906" s="35"/>
      <c r="Z906" s="35"/>
      <c r="AA906" s="35"/>
    </row>
    <row r="907" spans="1:27" ht="15">
      <c r="A907" s="65" t="s">
        <v>644</v>
      </c>
      <c r="B907" s="65" t="s">
        <v>641</v>
      </c>
      <c r="C907" s="66" t="s">
        <v>2113</v>
      </c>
      <c r="D907" s="67">
        <v>3</v>
      </c>
      <c r="E907" s="68"/>
      <c r="F907" s="69">
        <v>40</v>
      </c>
      <c r="G907" s="66"/>
      <c r="H907" s="70"/>
      <c r="I907" s="71"/>
      <c r="J907" s="71"/>
      <c r="K907" s="35" t="s">
        <v>65</v>
      </c>
      <c r="L907" s="79">
        <v>907</v>
      </c>
      <c r="M907" s="79"/>
      <c r="N907" s="73"/>
      <c r="O907" s="81" t="s">
        <v>292</v>
      </c>
      <c r="P907">
        <v>1</v>
      </c>
      <c r="Q907" s="80" t="str">
        <f>REPLACE(INDEX(GroupVertices[Group],MATCH(Edges[[#This Row],[Vertex 1]],GroupVertices[Vertex],0)),1,1,"")</f>
        <v>2</v>
      </c>
      <c r="R907" s="80" t="str">
        <f>REPLACE(INDEX(GroupVertices[Group],MATCH(Edges[[#This Row],[Vertex 2]],GroupVertices[Vertex],0)),1,1,"")</f>
        <v>2</v>
      </c>
      <c r="S907" s="35"/>
      <c r="T907" s="35"/>
      <c r="U907" s="35"/>
      <c r="V907" s="35"/>
      <c r="W907" s="35"/>
      <c r="X907" s="35"/>
      <c r="Y907" s="35"/>
      <c r="Z907" s="35"/>
      <c r="AA907" s="35"/>
    </row>
    <row r="908" spans="1:27" ht="15">
      <c r="A908" s="65" t="s">
        <v>232</v>
      </c>
      <c r="B908" s="65" t="s">
        <v>641</v>
      </c>
      <c r="C908" s="66" t="s">
        <v>2113</v>
      </c>
      <c r="D908" s="67">
        <v>3</v>
      </c>
      <c r="E908" s="68"/>
      <c r="F908" s="69">
        <v>40</v>
      </c>
      <c r="G908" s="66"/>
      <c r="H908" s="70"/>
      <c r="I908" s="71"/>
      <c r="J908" s="71"/>
      <c r="K908" s="35" t="s">
        <v>65</v>
      </c>
      <c r="L908" s="79">
        <v>908</v>
      </c>
      <c r="M908" s="79"/>
      <c r="N908" s="73"/>
      <c r="O908" s="81" t="s">
        <v>292</v>
      </c>
      <c r="P908">
        <v>1</v>
      </c>
      <c r="Q908" s="80" t="str">
        <f>REPLACE(INDEX(GroupVertices[Group],MATCH(Edges[[#This Row],[Vertex 1]],GroupVertices[Vertex],0)),1,1,"")</f>
        <v>2</v>
      </c>
      <c r="R908" s="80" t="str">
        <f>REPLACE(INDEX(GroupVertices[Group],MATCH(Edges[[#This Row],[Vertex 2]],GroupVertices[Vertex],0)),1,1,"")</f>
        <v>2</v>
      </c>
      <c r="S908" s="35"/>
      <c r="T908" s="35"/>
      <c r="U908" s="35"/>
      <c r="V908" s="35"/>
      <c r="W908" s="35"/>
      <c r="X908" s="35"/>
      <c r="Y908" s="35"/>
      <c r="Z908" s="35"/>
      <c r="AA908" s="35"/>
    </row>
    <row r="909" spans="1:27" ht="15">
      <c r="A909" s="65" t="s">
        <v>645</v>
      </c>
      <c r="B909" s="65" t="s">
        <v>641</v>
      </c>
      <c r="C909" s="66" t="s">
        <v>2113</v>
      </c>
      <c r="D909" s="67">
        <v>3</v>
      </c>
      <c r="E909" s="68"/>
      <c r="F909" s="69">
        <v>40</v>
      </c>
      <c r="G909" s="66"/>
      <c r="H909" s="70"/>
      <c r="I909" s="71"/>
      <c r="J909" s="71"/>
      <c r="K909" s="35" t="s">
        <v>65</v>
      </c>
      <c r="L909" s="79">
        <v>909</v>
      </c>
      <c r="M909" s="79"/>
      <c r="N909" s="73"/>
      <c r="O909" s="81" t="s">
        <v>292</v>
      </c>
      <c r="P909">
        <v>1</v>
      </c>
      <c r="Q909" s="80" t="str">
        <f>REPLACE(INDEX(GroupVertices[Group],MATCH(Edges[[#This Row],[Vertex 1]],GroupVertices[Vertex],0)),1,1,"")</f>
        <v>2</v>
      </c>
      <c r="R909" s="80" t="str">
        <f>REPLACE(INDEX(GroupVertices[Group],MATCH(Edges[[#This Row],[Vertex 2]],GroupVertices[Vertex],0)),1,1,"")</f>
        <v>2</v>
      </c>
      <c r="S909" s="35"/>
      <c r="T909" s="35"/>
      <c r="U909" s="35"/>
      <c r="V909" s="35"/>
      <c r="W909" s="35"/>
      <c r="X909" s="35"/>
      <c r="Y909" s="35"/>
      <c r="Z909" s="35"/>
      <c r="AA909" s="35"/>
    </row>
    <row r="910" spans="1:27" ht="15">
      <c r="A910" s="65" t="s">
        <v>216</v>
      </c>
      <c r="B910" s="65" t="s">
        <v>641</v>
      </c>
      <c r="C910" s="66" t="s">
        <v>2113</v>
      </c>
      <c r="D910" s="67">
        <v>3</v>
      </c>
      <c r="E910" s="68"/>
      <c r="F910" s="69">
        <v>40</v>
      </c>
      <c r="G910" s="66"/>
      <c r="H910" s="70"/>
      <c r="I910" s="71"/>
      <c r="J910" s="71"/>
      <c r="K910" s="35" t="s">
        <v>65</v>
      </c>
      <c r="L910" s="79">
        <v>910</v>
      </c>
      <c r="M910" s="79"/>
      <c r="N910" s="73"/>
      <c r="O910" s="81" t="s">
        <v>292</v>
      </c>
      <c r="P910">
        <v>1</v>
      </c>
      <c r="Q910" s="80" t="str">
        <f>REPLACE(INDEX(GroupVertices[Group],MATCH(Edges[[#This Row],[Vertex 1]],GroupVertices[Vertex],0)),1,1,"")</f>
        <v>1</v>
      </c>
      <c r="R910" s="80" t="str">
        <f>REPLACE(INDEX(GroupVertices[Group],MATCH(Edges[[#This Row],[Vertex 2]],GroupVertices[Vertex],0)),1,1,"")</f>
        <v>2</v>
      </c>
      <c r="S910" s="35"/>
      <c r="T910" s="35"/>
      <c r="U910" s="35"/>
      <c r="V910" s="35"/>
      <c r="W910" s="35"/>
      <c r="X910" s="35"/>
      <c r="Y910" s="35"/>
      <c r="Z910" s="35"/>
      <c r="AA910" s="35"/>
    </row>
    <row r="911" spans="1:27" ht="15">
      <c r="A911" s="65" t="s">
        <v>221</v>
      </c>
      <c r="B911" s="65" t="s">
        <v>641</v>
      </c>
      <c r="C911" s="66" t="s">
        <v>2113</v>
      </c>
      <c r="D911" s="67">
        <v>3</v>
      </c>
      <c r="E911" s="68"/>
      <c r="F911" s="69">
        <v>40</v>
      </c>
      <c r="G911" s="66"/>
      <c r="H911" s="70"/>
      <c r="I911" s="71"/>
      <c r="J911" s="71"/>
      <c r="K911" s="35" t="s">
        <v>65</v>
      </c>
      <c r="L911" s="79">
        <v>911</v>
      </c>
      <c r="M911" s="79"/>
      <c r="N911" s="73"/>
      <c r="O911" s="81" t="s">
        <v>292</v>
      </c>
      <c r="P911">
        <v>1</v>
      </c>
      <c r="Q911" s="80" t="str">
        <f>REPLACE(INDEX(GroupVertices[Group],MATCH(Edges[[#This Row],[Vertex 1]],GroupVertices[Vertex],0)),1,1,"")</f>
        <v>1</v>
      </c>
      <c r="R911" s="80" t="str">
        <f>REPLACE(INDEX(GroupVertices[Group],MATCH(Edges[[#This Row],[Vertex 2]],GroupVertices[Vertex],0)),1,1,"")</f>
        <v>2</v>
      </c>
      <c r="S911" s="35"/>
      <c r="T911" s="35"/>
      <c r="U911" s="35"/>
      <c r="V911" s="35"/>
      <c r="W911" s="35"/>
      <c r="X911" s="35"/>
      <c r="Y911" s="35"/>
      <c r="Z911" s="35"/>
      <c r="AA911" s="35"/>
    </row>
    <row r="912" spans="1:27" ht="15">
      <c r="A912" s="65" t="s">
        <v>647</v>
      </c>
      <c r="B912" s="65" t="s">
        <v>641</v>
      </c>
      <c r="C912" s="66" t="s">
        <v>2113</v>
      </c>
      <c r="D912" s="67">
        <v>3</v>
      </c>
      <c r="E912" s="68"/>
      <c r="F912" s="69">
        <v>40</v>
      </c>
      <c r="G912" s="66"/>
      <c r="H912" s="70"/>
      <c r="I912" s="71"/>
      <c r="J912" s="71"/>
      <c r="K912" s="35" t="s">
        <v>65</v>
      </c>
      <c r="L912" s="79">
        <v>912</v>
      </c>
      <c r="M912" s="79"/>
      <c r="N912" s="73"/>
      <c r="O912" s="81" t="s">
        <v>293</v>
      </c>
      <c r="P912">
        <v>1</v>
      </c>
      <c r="Q912" s="80" t="str">
        <f>REPLACE(INDEX(GroupVertices[Group],MATCH(Edges[[#This Row],[Vertex 1]],GroupVertices[Vertex],0)),1,1,"")</f>
        <v>2</v>
      </c>
      <c r="R912" s="80" t="str">
        <f>REPLACE(INDEX(GroupVertices[Group],MATCH(Edges[[#This Row],[Vertex 2]],GroupVertices[Vertex],0)),1,1,"")</f>
        <v>2</v>
      </c>
      <c r="S912" s="35"/>
      <c r="T912" s="35"/>
      <c r="U912" s="35"/>
      <c r="V912" s="35"/>
      <c r="W912" s="35"/>
      <c r="X912" s="35"/>
      <c r="Y912" s="35"/>
      <c r="Z912" s="35"/>
      <c r="AA912" s="35"/>
    </row>
    <row r="913" spans="1:27" ht="15">
      <c r="A913" s="65" t="s">
        <v>648</v>
      </c>
      <c r="B913" s="65" t="s">
        <v>666</v>
      </c>
      <c r="C913" s="66" t="s">
        <v>2113</v>
      </c>
      <c r="D913" s="67">
        <v>3</v>
      </c>
      <c r="E913" s="68"/>
      <c r="F913" s="69">
        <v>40</v>
      </c>
      <c r="G913" s="66"/>
      <c r="H913" s="70"/>
      <c r="I913" s="71"/>
      <c r="J913" s="71"/>
      <c r="K913" s="35" t="s">
        <v>65</v>
      </c>
      <c r="L913" s="79">
        <v>913</v>
      </c>
      <c r="M913" s="79"/>
      <c r="N913" s="73"/>
      <c r="O913" s="81" t="s">
        <v>292</v>
      </c>
      <c r="P913">
        <v>1</v>
      </c>
      <c r="Q913" s="80" t="str">
        <f>REPLACE(INDEX(GroupVertices[Group],MATCH(Edges[[#This Row],[Vertex 1]],GroupVertices[Vertex],0)),1,1,"")</f>
        <v>2</v>
      </c>
      <c r="R913" s="80" t="str">
        <f>REPLACE(INDEX(GroupVertices[Group],MATCH(Edges[[#This Row],[Vertex 2]],GroupVertices[Vertex],0)),1,1,"")</f>
        <v>2</v>
      </c>
      <c r="S913" s="35"/>
      <c r="T913" s="35"/>
      <c r="U913" s="35"/>
      <c r="V913" s="35"/>
      <c r="W913" s="35"/>
      <c r="X913" s="35"/>
      <c r="Y913" s="35"/>
      <c r="Z913" s="35"/>
      <c r="AA913" s="35"/>
    </row>
    <row r="914" spans="1:27" ht="15">
      <c r="A914" s="65" t="s">
        <v>649</v>
      </c>
      <c r="B914" s="65" t="s">
        <v>666</v>
      </c>
      <c r="C914" s="66" t="s">
        <v>2113</v>
      </c>
      <c r="D914" s="67">
        <v>3</v>
      </c>
      <c r="E914" s="68"/>
      <c r="F914" s="69">
        <v>40</v>
      </c>
      <c r="G914" s="66"/>
      <c r="H914" s="70"/>
      <c r="I914" s="71"/>
      <c r="J914" s="71"/>
      <c r="K914" s="35" t="s">
        <v>65</v>
      </c>
      <c r="L914" s="79">
        <v>914</v>
      </c>
      <c r="M914" s="79"/>
      <c r="N914" s="73"/>
      <c r="O914" s="81" t="s">
        <v>292</v>
      </c>
      <c r="P914">
        <v>1</v>
      </c>
      <c r="Q914" s="80" t="str">
        <f>REPLACE(INDEX(GroupVertices[Group],MATCH(Edges[[#This Row],[Vertex 1]],GroupVertices[Vertex],0)),1,1,"")</f>
        <v>2</v>
      </c>
      <c r="R914" s="80" t="str">
        <f>REPLACE(INDEX(GroupVertices[Group],MATCH(Edges[[#This Row],[Vertex 2]],GroupVertices[Vertex],0)),1,1,"")</f>
        <v>2</v>
      </c>
      <c r="S914" s="35"/>
      <c r="T914" s="35"/>
      <c r="U914" s="35"/>
      <c r="V914" s="35"/>
      <c r="W914" s="35"/>
      <c r="X914" s="35"/>
      <c r="Y914" s="35"/>
      <c r="Z914" s="35"/>
      <c r="AA914" s="35"/>
    </row>
    <row r="915" spans="1:27" ht="15">
      <c r="A915" s="65" t="s">
        <v>647</v>
      </c>
      <c r="B915" s="65" t="s">
        <v>666</v>
      </c>
      <c r="C915" s="66" t="s">
        <v>2113</v>
      </c>
      <c r="D915" s="67">
        <v>3</v>
      </c>
      <c r="E915" s="68"/>
      <c r="F915" s="69">
        <v>40</v>
      </c>
      <c r="G915" s="66"/>
      <c r="H915" s="70"/>
      <c r="I915" s="71"/>
      <c r="J915" s="71"/>
      <c r="K915" s="35" t="s">
        <v>65</v>
      </c>
      <c r="L915" s="79">
        <v>915</v>
      </c>
      <c r="M915" s="79"/>
      <c r="N915" s="73"/>
      <c r="O915" s="81" t="s">
        <v>293</v>
      </c>
      <c r="P915">
        <v>1</v>
      </c>
      <c r="Q915" s="80" t="str">
        <f>REPLACE(INDEX(GroupVertices[Group],MATCH(Edges[[#This Row],[Vertex 1]],GroupVertices[Vertex],0)),1,1,"")</f>
        <v>2</v>
      </c>
      <c r="R915" s="80" t="str">
        <f>REPLACE(INDEX(GroupVertices[Group],MATCH(Edges[[#This Row],[Vertex 2]],GroupVertices[Vertex],0)),1,1,"")</f>
        <v>2</v>
      </c>
      <c r="S915" s="35"/>
      <c r="T915" s="35"/>
      <c r="U915" s="35"/>
      <c r="V915" s="35"/>
      <c r="W915" s="35"/>
      <c r="X915" s="35"/>
      <c r="Y915" s="35"/>
      <c r="Z915" s="35"/>
      <c r="AA915" s="35"/>
    </row>
    <row r="916" spans="1:27" ht="15">
      <c r="A916" s="65" t="s">
        <v>643</v>
      </c>
      <c r="B916" s="65" t="s">
        <v>642</v>
      </c>
      <c r="C916" s="66" t="s">
        <v>2113</v>
      </c>
      <c r="D916" s="67">
        <v>3</v>
      </c>
      <c r="E916" s="68"/>
      <c r="F916" s="69">
        <v>40</v>
      </c>
      <c r="G916" s="66"/>
      <c r="H916" s="70"/>
      <c r="I916" s="71"/>
      <c r="J916" s="71"/>
      <c r="K916" s="35" t="s">
        <v>65</v>
      </c>
      <c r="L916" s="79">
        <v>916</v>
      </c>
      <c r="M916" s="79"/>
      <c r="N916" s="73"/>
      <c r="O916" s="81" t="s">
        <v>292</v>
      </c>
      <c r="P916">
        <v>1</v>
      </c>
      <c r="Q916" s="80" t="str">
        <f>REPLACE(INDEX(GroupVertices[Group],MATCH(Edges[[#This Row],[Vertex 1]],GroupVertices[Vertex],0)),1,1,"")</f>
        <v>2</v>
      </c>
      <c r="R916" s="80" t="str">
        <f>REPLACE(INDEX(GroupVertices[Group],MATCH(Edges[[#This Row],[Vertex 2]],GroupVertices[Vertex],0)),1,1,"")</f>
        <v>2</v>
      </c>
      <c r="S916" s="35"/>
      <c r="T916" s="35"/>
      <c r="U916" s="35"/>
      <c r="V916" s="35"/>
      <c r="W916" s="35"/>
      <c r="X916" s="35"/>
      <c r="Y916" s="35"/>
      <c r="Z916" s="35"/>
      <c r="AA916" s="35"/>
    </row>
    <row r="917" spans="1:27" ht="15">
      <c r="A917" s="65" t="s">
        <v>226</v>
      </c>
      <c r="B917" s="65" t="s">
        <v>642</v>
      </c>
      <c r="C917" s="66" t="s">
        <v>2113</v>
      </c>
      <c r="D917" s="67">
        <v>3</v>
      </c>
      <c r="E917" s="68"/>
      <c r="F917" s="69">
        <v>40</v>
      </c>
      <c r="G917" s="66"/>
      <c r="H917" s="70"/>
      <c r="I917" s="71"/>
      <c r="J917" s="71"/>
      <c r="K917" s="35" t="s">
        <v>65</v>
      </c>
      <c r="L917" s="79">
        <v>917</v>
      </c>
      <c r="M917" s="79"/>
      <c r="N917" s="73"/>
      <c r="O917" s="81" t="s">
        <v>292</v>
      </c>
      <c r="P917">
        <v>1</v>
      </c>
      <c r="Q917" s="80" t="str">
        <f>REPLACE(INDEX(GroupVertices[Group],MATCH(Edges[[#This Row],[Vertex 1]],GroupVertices[Vertex],0)),1,1,"")</f>
        <v>1</v>
      </c>
      <c r="R917" s="80" t="str">
        <f>REPLACE(INDEX(GroupVertices[Group],MATCH(Edges[[#This Row],[Vertex 2]],GroupVertices[Vertex],0)),1,1,"")</f>
        <v>2</v>
      </c>
      <c r="S917" s="35"/>
      <c r="T917" s="35"/>
      <c r="U917" s="35"/>
      <c r="V917" s="35"/>
      <c r="W917" s="35"/>
      <c r="X917" s="35"/>
      <c r="Y917" s="35"/>
      <c r="Z917" s="35"/>
      <c r="AA917" s="35"/>
    </row>
    <row r="918" spans="1:27" ht="15">
      <c r="A918" s="65" t="s">
        <v>236</v>
      </c>
      <c r="B918" s="65" t="s">
        <v>642</v>
      </c>
      <c r="C918" s="66" t="s">
        <v>2113</v>
      </c>
      <c r="D918" s="67">
        <v>3</v>
      </c>
      <c r="E918" s="68"/>
      <c r="F918" s="69">
        <v>40</v>
      </c>
      <c r="G918" s="66"/>
      <c r="H918" s="70"/>
      <c r="I918" s="71"/>
      <c r="J918" s="71"/>
      <c r="K918" s="35" t="s">
        <v>65</v>
      </c>
      <c r="L918" s="79">
        <v>918</v>
      </c>
      <c r="M918" s="79"/>
      <c r="N918" s="73"/>
      <c r="O918" s="81" t="s">
        <v>292</v>
      </c>
      <c r="P918">
        <v>1</v>
      </c>
      <c r="Q918" s="80" t="str">
        <f>REPLACE(INDEX(GroupVertices[Group],MATCH(Edges[[#This Row],[Vertex 1]],GroupVertices[Vertex],0)),1,1,"")</f>
        <v>2</v>
      </c>
      <c r="R918" s="80" t="str">
        <f>REPLACE(INDEX(GroupVertices[Group],MATCH(Edges[[#This Row],[Vertex 2]],GroupVertices[Vertex],0)),1,1,"")</f>
        <v>2</v>
      </c>
      <c r="S918" s="35"/>
      <c r="T918" s="35"/>
      <c r="U918" s="35"/>
      <c r="V918" s="35"/>
      <c r="W918" s="35"/>
      <c r="X918" s="35"/>
      <c r="Y918" s="35"/>
      <c r="Z918" s="35"/>
      <c r="AA918" s="35"/>
    </row>
    <row r="919" spans="1:27" ht="15">
      <c r="A919" s="65" t="s">
        <v>232</v>
      </c>
      <c r="B919" s="65" t="s">
        <v>642</v>
      </c>
      <c r="C919" s="66" t="s">
        <v>2113</v>
      </c>
      <c r="D919" s="67">
        <v>3</v>
      </c>
      <c r="E919" s="68"/>
      <c r="F919" s="69">
        <v>40</v>
      </c>
      <c r="G919" s="66"/>
      <c r="H919" s="70"/>
      <c r="I919" s="71"/>
      <c r="J919" s="71"/>
      <c r="K919" s="35" t="s">
        <v>65</v>
      </c>
      <c r="L919" s="79">
        <v>919</v>
      </c>
      <c r="M919" s="79"/>
      <c r="N919" s="73"/>
      <c r="O919" s="81" t="s">
        <v>292</v>
      </c>
      <c r="P919">
        <v>1</v>
      </c>
      <c r="Q919" s="80" t="str">
        <f>REPLACE(INDEX(GroupVertices[Group],MATCH(Edges[[#This Row],[Vertex 1]],GroupVertices[Vertex],0)),1,1,"")</f>
        <v>2</v>
      </c>
      <c r="R919" s="80" t="str">
        <f>REPLACE(INDEX(GroupVertices[Group],MATCH(Edges[[#This Row],[Vertex 2]],GroupVertices[Vertex],0)),1,1,"")</f>
        <v>2</v>
      </c>
      <c r="S919" s="35"/>
      <c r="T919" s="35"/>
      <c r="U919" s="35"/>
      <c r="V919" s="35"/>
      <c r="W919" s="35"/>
      <c r="X919" s="35"/>
      <c r="Y919" s="35"/>
      <c r="Z919" s="35"/>
      <c r="AA919" s="35"/>
    </row>
    <row r="920" spans="1:27" ht="15">
      <c r="A920" s="65" t="s">
        <v>216</v>
      </c>
      <c r="B920" s="65" t="s">
        <v>642</v>
      </c>
      <c r="C920" s="66" t="s">
        <v>2113</v>
      </c>
      <c r="D920" s="67">
        <v>3</v>
      </c>
      <c r="E920" s="68"/>
      <c r="F920" s="69">
        <v>40</v>
      </c>
      <c r="G920" s="66"/>
      <c r="H920" s="70"/>
      <c r="I920" s="71"/>
      <c r="J920" s="71"/>
      <c r="K920" s="35" t="s">
        <v>65</v>
      </c>
      <c r="L920" s="79">
        <v>920</v>
      </c>
      <c r="M920" s="79"/>
      <c r="N920" s="73"/>
      <c r="O920" s="81" t="s">
        <v>292</v>
      </c>
      <c r="P920">
        <v>1</v>
      </c>
      <c r="Q920" s="80" t="str">
        <f>REPLACE(INDEX(GroupVertices[Group],MATCH(Edges[[#This Row],[Vertex 1]],GroupVertices[Vertex],0)),1,1,"")</f>
        <v>1</v>
      </c>
      <c r="R920" s="80" t="str">
        <f>REPLACE(INDEX(GroupVertices[Group],MATCH(Edges[[#This Row],[Vertex 2]],GroupVertices[Vertex],0)),1,1,"")</f>
        <v>2</v>
      </c>
      <c r="S920" s="35"/>
      <c r="T920" s="35"/>
      <c r="U920" s="35"/>
      <c r="V920" s="35"/>
      <c r="W920" s="35"/>
      <c r="X920" s="35"/>
      <c r="Y920" s="35"/>
      <c r="Z920" s="35"/>
      <c r="AA920" s="35"/>
    </row>
    <row r="921" spans="1:27" ht="15">
      <c r="A921" s="65" t="s">
        <v>647</v>
      </c>
      <c r="B921" s="65" t="s">
        <v>642</v>
      </c>
      <c r="C921" s="66" t="s">
        <v>2113</v>
      </c>
      <c r="D921" s="67">
        <v>3</v>
      </c>
      <c r="E921" s="68"/>
      <c r="F921" s="69">
        <v>40</v>
      </c>
      <c r="G921" s="66"/>
      <c r="H921" s="70"/>
      <c r="I921" s="71"/>
      <c r="J921" s="71"/>
      <c r="K921" s="35" t="s">
        <v>65</v>
      </c>
      <c r="L921" s="79">
        <v>921</v>
      </c>
      <c r="M921" s="79"/>
      <c r="N921" s="73"/>
      <c r="O921" s="81" t="s">
        <v>293</v>
      </c>
      <c r="P921">
        <v>1</v>
      </c>
      <c r="Q921" s="80" t="str">
        <f>REPLACE(INDEX(GroupVertices[Group],MATCH(Edges[[#This Row],[Vertex 1]],GroupVertices[Vertex],0)),1,1,"")</f>
        <v>2</v>
      </c>
      <c r="R921" s="80" t="str">
        <f>REPLACE(INDEX(GroupVertices[Group],MATCH(Edges[[#This Row],[Vertex 2]],GroupVertices[Vertex],0)),1,1,"")</f>
        <v>2</v>
      </c>
      <c r="S921" s="35"/>
      <c r="T921" s="35"/>
      <c r="U921" s="35"/>
      <c r="V921" s="35"/>
      <c r="W921" s="35"/>
      <c r="X921" s="35"/>
      <c r="Y921" s="35"/>
      <c r="Z921" s="35"/>
      <c r="AA921" s="35"/>
    </row>
    <row r="922" spans="1:27" ht="15">
      <c r="A922" s="65" t="s">
        <v>643</v>
      </c>
      <c r="B922" s="65" t="s">
        <v>214</v>
      </c>
      <c r="C922" s="66" t="s">
        <v>2113</v>
      </c>
      <c r="D922" s="67">
        <v>3</v>
      </c>
      <c r="E922" s="68"/>
      <c r="F922" s="69">
        <v>40</v>
      </c>
      <c r="G922" s="66"/>
      <c r="H922" s="70"/>
      <c r="I922" s="71"/>
      <c r="J922" s="71"/>
      <c r="K922" s="35" t="s">
        <v>65</v>
      </c>
      <c r="L922" s="79">
        <v>922</v>
      </c>
      <c r="M922" s="79"/>
      <c r="N922" s="73"/>
      <c r="O922" s="81" t="s">
        <v>292</v>
      </c>
      <c r="P922">
        <v>1</v>
      </c>
      <c r="Q922" s="80" t="str">
        <f>REPLACE(INDEX(GroupVertices[Group],MATCH(Edges[[#This Row],[Vertex 1]],GroupVertices[Vertex],0)),1,1,"")</f>
        <v>2</v>
      </c>
      <c r="R922" s="80" t="str">
        <f>REPLACE(INDEX(GroupVertices[Group],MATCH(Edges[[#This Row],[Vertex 2]],GroupVertices[Vertex],0)),1,1,"")</f>
        <v>1</v>
      </c>
      <c r="S922" s="35"/>
      <c r="T922" s="35"/>
      <c r="U922" s="35"/>
      <c r="V922" s="35"/>
      <c r="W922" s="35"/>
      <c r="X922" s="35"/>
      <c r="Y922" s="35"/>
      <c r="Z922" s="35"/>
      <c r="AA922" s="35"/>
    </row>
    <row r="923" spans="1:27" ht="15">
      <c r="A923" s="65" t="s">
        <v>226</v>
      </c>
      <c r="B923" s="65" t="s">
        <v>214</v>
      </c>
      <c r="C923" s="66" t="s">
        <v>2114</v>
      </c>
      <c r="D923" s="67">
        <v>3</v>
      </c>
      <c r="E923" s="68"/>
      <c r="F923" s="69">
        <v>40</v>
      </c>
      <c r="G923" s="66"/>
      <c r="H923" s="70"/>
      <c r="I923" s="71"/>
      <c r="J923" s="71"/>
      <c r="K923" s="35" t="s">
        <v>65</v>
      </c>
      <c r="L923" s="79">
        <v>923</v>
      </c>
      <c r="M923" s="79"/>
      <c r="N923" s="73"/>
      <c r="O923" s="81" t="s">
        <v>292</v>
      </c>
      <c r="P923">
        <v>2</v>
      </c>
      <c r="Q923" s="80" t="str">
        <f>REPLACE(INDEX(GroupVertices[Group],MATCH(Edges[[#This Row],[Vertex 1]],GroupVertices[Vertex],0)),1,1,"")</f>
        <v>1</v>
      </c>
      <c r="R923" s="80" t="str">
        <f>REPLACE(INDEX(GroupVertices[Group],MATCH(Edges[[#This Row],[Vertex 2]],GroupVertices[Vertex],0)),1,1,"")</f>
        <v>1</v>
      </c>
      <c r="S923" s="35"/>
      <c r="T923" s="35"/>
      <c r="U923" s="35"/>
      <c r="V923" s="35"/>
      <c r="W923" s="35"/>
      <c r="X923" s="35"/>
      <c r="Y923" s="35"/>
      <c r="Z923" s="35"/>
      <c r="AA923" s="35"/>
    </row>
    <row r="924" spans="1:27" ht="15">
      <c r="A924" s="65" t="s">
        <v>248</v>
      </c>
      <c r="B924" s="65" t="s">
        <v>214</v>
      </c>
      <c r="C924" s="66" t="s">
        <v>2114</v>
      </c>
      <c r="D924" s="67">
        <v>3</v>
      </c>
      <c r="E924" s="68"/>
      <c r="F924" s="69">
        <v>40</v>
      </c>
      <c r="G924" s="66"/>
      <c r="H924" s="70"/>
      <c r="I924" s="71"/>
      <c r="J924" s="71"/>
      <c r="K924" s="35" t="s">
        <v>65</v>
      </c>
      <c r="L924" s="79">
        <v>924</v>
      </c>
      <c r="M924" s="79"/>
      <c r="N924" s="73"/>
      <c r="O924" s="81" t="s">
        <v>292</v>
      </c>
      <c r="P924">
        <v>2</v>
      </c>
      <c r="Q924" s="80" t="str">
        <f>REPLACE(INDEX(GroupVertices[Group],MATCH(Edges[[#This Row],[Vertex 1]],GroupVertices[Vertex],0)),1,1,"")</f>
        <v>1</v>
      </c>
      <c r="R924" s="80" t="str">
        <f>REPLACE(INDEX(GroupVertices[Group],MATCH(Edges[[#This Row],[Vertex 2]],GroupVertices[Vertex],0)),1,1,"")</f>
        <v>1</v>
      </c>
      <c r="S924" s="35"/>
      <c r="T924" s="35"/>
      <c r="U924" s="35"/>
      <c r="V924" s="35"/>
      <c r="W924" s="35"/>
      <c r="X924" s="35"/>
      <c r="Y924" s="35"/>
      <c r="Z924" s="35"/>
      <c r="AA924" s="35"/>
    </row>
    <row r="925" spans="1:27" ht="15">
      <c r="A925" s="65" t="s">
        <v>236</v>
      </c>
      <c r="B925" s="65" t="s">
        <v>214</v>
      </c>
      <c r="C925" s="66" t="s">
        <v>2114</v>
      </c>
      <c r="D925" s="67">
        <v>3</v>
      </c>
      <c r="E925" s="68"/>
      <c r="F925" s="69">
        <v>40</v>
      </c>
      <c r="G925" s="66"/>
      <c r="H925" s="70"/>
      <c r="I925" s="71"/>
      <c r="J925" s="71"/>
      <c r="K925" s="35" t="s">
        <v>65</v>
      </c>
      <c r="L925" s="79">
        <v>925</v>
      </c>
      <c r="M925" s="79"/>
      <c r="N925" s="73"/>
      <c r="O925" s="81" t="s">
        <v>292</v>
      </c>
      <c r="P925">
        <v>2</v>
      </c>
      <c r="Q925" s="80" t="str">
        <f>REPLACE(INDEX(GroupVertices[Group],MATCH(Edges[[#This Row],[Vertex 1]],GroupVertices[Vertex],0)),1,1,"")</f>
        <v>2</v>
      </c>
      <c r="R925" s="80" t="str">
        <f>REPLACE(INDEX(GroupVertices[Group],MATCH(Edges[[#This Row],[Vertex 2]],GroupVertices[Vertex],0)),1,1,"")</f>
        <v>1</v>
      </c>
      <c r="S925" s="35"/>
      <c r="T925" s="35"/>
      <c r="U925" s="35"/>
      <c r="V925" s="35"/>
      <c r="W925" s="35"/>
      <c r="X925" s="35"/>
      <c r="Y925" s="35"/>
      <c r="Z925" s="35"/>
      <c r="AA925" s="35"/>
    </row>
    <row r="926" spans="1:27" ht="15">
      <c r="A926" s="65" t="s">
        <v>644</v>
      </c>
      <c r="B926" s="65" t="s">
        <v>214</v>
      </c>
      <c r="C926" s="66" t="s">
        <v>2113</v>
      </c>
      <c r="D926" s="67">
        <v>3</v>
      </c>
      <c r="E926" s="68"/>
      <c r="F926" s="69">
        <v>40</v>
      </c>
      <c r="G926" s="66"/>
      <c r="H926" s="70"/>
      <c r="I926" s="71"/>
      <c r="J926" s="71"/>
      <c r="K926" s="35" t="s">
        <v>65</v>
      </c>
      <c r="L926" s="79">
        <v>926</v>
      </c>
      <c r="M926" s="79"/>
      <c r="N926" s="73"/>
      <c r="O926" s="81" t="s">
        <v>292</v>
      </c>
      <c r="P926">
        <v>1</v>
      </c>
      <c r="Q926" s="80" t="str">
        <f>REPLACE(INDEX(GroupVertices[Group],MATCH(Edges[[#This Row],[Vertex 1]],GroupVertices[Vertex],0)),1,1,"")</f>
        <v>2</v>
      </c>
      <c r="R926" s="80" t="str">
        <f>REPLACE(INDEX(GroupVertices[Group],MATCH(Edges[[#This Row],[Vertex 2]],GroupVertices[Vertex],0)),1,1,"")</f>
        <v>1</v>
      </c>
      <c r="S926" s="35"/>
      <c r="T926" s="35"/>
      <c r="U926" s="35"/>
      <c r="V926" s="35"/>
      <c r="W926" s="35"/>
      <c r="X926" s="35"/>
      <c r="Y926" s="35"/>
      <c r="Z926" s="35"/>
      <c r="AA926" s="35"/>
    </row>
    <row r="927" spans="1:27" ht="15">
      <c r="A927" s="65" t="s">
        <v>232</v>
      </c>
      <c r="B927" s="65" t="s">
        <v>214</v>
      </c>
      <c r="C927" s="66" t="s">
        <v>2114</v>
      </c>
      <c r="D927" s="67">
        <v>3</v>
      </c>
      <c r="E927" s="68"/>
      <c r="F927" s="69">
        <v>40</v>
      </c>
      <c r="G927" s="66"/>
      <c r="H927" s="70"/>
      <c r="I927" s="71"/>
      <c r="J927" s="71"/>
      <c r="K927" s="35" t="s">
        <v>65</v>
      </c>
      <c r="L927" s="79">
        <v>927</v>
      </c>
      <c r="M927" s="79"/>
      <c r="N927" s="73"/>
      <c r="O927" s="81" t="s">
        <v>292</v>
      </c>
      <c r="P927">
        <v>2</v>
      </c>
      <c r="Q927" s="80" t="str">
        <f>REPLACE(INDEX(GroupVertices[Group],MATCH(Edges[[#This Row],[Vertex 1]],GroupVertices[Vertex],0)),1,1,"")</f>
        <v>2</v>
      </c>
      <c r="R927" s="80" t="str">
        <f>REPLACE(INDEX(GroupVertices[Group],MATCH(Edges[[#This Row],[Vertex 2]],GroupVertices[Vertex],0)),1,1,"")</f>
        <v>1</v>
      </c>
      <c r="S927" s="35"/>
      <c r="T927" s="35"/>
      <c r="U927" s="35"/>
      <c r="V927" s="35"/>
      <c r="W927" s="35"/>
      <c r="X927" s="35"/>
      <c r="Y927" s="35"/>
      <c r="Z927" s="35"/>
      <c r="AA927" s="35"/>
    </row>
    <row r="928" spans="1:27" ht="15">
      <c r="A928" s="65" t="s">
        <v>645</v>
      </c>
      <c r="B928" s="65" t="s">
        <v>214</v>
      </c>
      <c r="C928" s="66" t="s">
        <v>2113</v>
      </c>
      <c r="D928" s="67">
        <v>3</v>
      </c>
      <c r="E928" s="68"/>
      <c r="F928" s="69">
        <v>40</v>
      </c>
      <c r="G928" s="66"/>
      <c r="H928" s="70"/>
      <c r="I928" s="71"/>
      <c r="J928" s="71"/>
      <c r="K928" s="35" t="s">
        <v>65</v>
      </c>
      <c r="L928" s="79">
        <v>928</v>
      </c>
      <c r="M928" s="79"/>
      <c r="N928" s="73"/>
      <c r="O928" s="81" t="s">
        <v>292</v>
      </c>
      <c r="P928">
        <v>1</v>
      </c>
      <c r="Q928" s="80" t="str">
        <f>REPLACE(INDEX(GroupVertices[Group],MATCH(Edges[[#This Row],[Vertex 1]],GroupVertices[Vertex],0)),1,1,"")</f>
        <v>2</v>
      </c>
      <c r="R928" s="80" t="str">
        <f>REPLACE(INDEX(GroupVertices[Group],MATCH(Edges[[#This Row],[Vertex 2]],GroupVertices[Vertex],0)),1,1,"")</f>
        <v>1</v>
      </c>
      <c r="S928" s="35"/>
      <c r="T928" s="35"/>
      <c r="U928" s="35"/>
      <c r="V928" s="35"/>
      <c r="W928" s="35"/>
      <c r="X928" s="35"/>
      <c r="Y928" s="35"/>
      <c r="Z928" s="35"/>
      <c r="AA928" s="35"/>
    </row>
    <row r="929" spans="1:27" ht="15">
      <c r="A929" s="65" t="s">
        <v>216</v>
      </c>
      <c r="B929" s="65" t="s">
        <v>214</v>
      </c>
      <c r="C929" s="66" t="s">
        <v>2114</v>
      </c>
      <c r="D929" s="67">
        <v>3</v>
      </c>
      <c r="E929" s="68"/>
      <c r="F929" s="69">
        <v>40</v>
      </c>
      <c r="G929" s="66"/>
      <c r="H929" s="70"/>
      <c r="I929" s="71"/>
      <c r="J929" s="71"/>
      <c r="K929" s="35" t="s">
        <v>65</v>
      </c>
      <c r="L929" s="79">
        <v>929</v>
      </c>
      <c r="M929" s="79"/>
      <c r="N929" s="73"/>
      <c r="O929" s="81" t="s">
        <v>292</v>
      </c>
      <c r="P929">
        <v>2</v>
      </c>
      <c r="Q929" s="80" t="str">
        <f>REPLACE(INDEX(GroupVertices[Group],MATCH(Edges[[#This Row],[Vertex 1]],GroupVertices[Vertex],0)),1,1,"")</f>
        <v>1</v>
      </c>
      <c r="R929" s="80" t="str">
        <f>REPLACE(INDEX(GroupVertices[Group],MATCH(Edges[[#This Row],[Vertex 2]],GroupVertices[Vertex],0)),1,1,"")</f>
        <v>1</v>
      </c>
      <c r="S929" s="35"/>
      <c r="T929" s="35"/>
      <c r="U929" s="35"/>
      <c r="V929" s="35"/>
      <c r="W929" s="35"/>
      <c r="X929" s="35"/>
      <c r="Y929" s="35"/>
      <c r="Z929" s="35"/>
      <c r="AA929" s="35"/>
    </row>
    <row r="930" spans="1:27" ht="15">
      <c r="A930" s="65" t="s">
        <v>221</v>
      </c>
      <c r="B930" s="65" t="s">
        <v>214</v>
      </c>
      <c r="C930" s="66" t="s">
        <v>2114</v>
      </c>
      <c r="D930" s="67">
        <v>3</v>
      </c>
      <c r="E930" s="68"/>
      <c r="F930" s="69">
        <v>40</v>
      </c>
      <c r="G930" s="66"/>
      <c r="H930" s="70"/>
      <c r="I930" s="71"/>
      <c r="J930" s="71"/>
      <c r="K930" s="35" t="s">
        <v>65</v>
      </c>
      <c r="L930" s="79">
        <v>930</v>
      </c>
      <c r="M930" s="79"/>
      <c r="N930" s="73"/>
      <c r="O930" s="81" t="s">
        <v>292</v>
      </c>
      <c r="P930">
        <v>2</v>
      </c>
      <c r="Q930" s="80" t="str">
        <f>REPLACE(INDEX(GroupVertices[Group],MATCH(Edges[[#This Row],[Vertex 1]],GroupVertices[Vertex],0)),1,1,"")</f>
        <v>1</v>
      </c>
      <c r="R930" s="80" t="str">
        <f>REPLACE(INDEX(GroupVertices[Group],MATCH(Edges[[#This Row],[Vertex 2]],GroupVertices[Vertex],0)),1,1,"")</f>
        <v>1</v>
      </c>
      <c r="S930" s="35"/>
      <c r="T930" s="35"/>
      <c r="U930" s="35"/>
      <c r="V930" s="35"/>
      <c r="W930" s="35"/>
      <c r="X930" s="35"/>
      <c r="Y930" s="35"/>
      <c r="Z930" s="35"/>
      <c r="AA930" s="35"/>
    </row>
    <row r="931" spans="1:27" ht="15">
      <c r="A931" s="65" t="s">
        <v>647</v>
      </c>
      <c r="B931" s="65" t="s">
        <v>214</v>
      </c>
      <c r="C931" s="66" t="s">
        <v>2113</v>
      </c>
      <c r="D931" s="67">
        <v>3</v>
      </c>
      <c r="E931" s="68"/>
      <c r="F931" s="69">
        <v>40</v>
      </c>
      <c r="G931" s="66"/>
      <c r="H931" s="70"/>
      <c r="I931" s="71"/>
      <c r="J931" s="71"/>
      <c r="K931" s="35" t="s">
        <v>65</v>
      </c>
      <c r="L931" s="79">
        <v>931</v>
      </c>
      <c r="M931" s="79"/>
      <c r="N931" s="73"/>
      <c r="O931" s="81" t="s">
        <v>293</v>
      </c>
      <c r="P931">
        <v>1</v>
      </c>
      <c r="Q931" s="80" t="str">
        <f>REPLACE(INDEX(GroupVertices[Group],MATCH(Edges[[#This Row],[Vertex 1]],GroupVertices[Vertex],0)),1,1,"")</f>
        <v>2</v>
      </c>
      <c r="R931" s="80" t="str">
        <f>REPLACE(INDEX(GroupVertices[Group],MATCH(Edges[[#This Row],[Vertex 2]],GroupVertices[Vertex],0)),1,1,"")</f>
        <v>1</v>
      </c>
      <c r="S931" s="35"/>
      <c r="T931" s="35"/>
      <c r="U931" s="35"/>
      <c r="V931" s="35"/>
      <c r="W931" s="35"/>
      <c r="X931" s="35"/>
      <c r="Y931" s="35"/>
      <c r="Z931" s="35"/>
      <c r="AA931" s="35"/>
    </row>
    <row r="932" spans="1:27" ht="15">
      <c r="A932" s="65" t="s">
        <v>226</v>
      </c>
      <c r="B932" s="65" t="s">
        <v>643</v>
      </c>
      <c r="C932" s="66" t="s">
        <v>2113</v>
      </c>
      <c r="D932" s="67">
        <v>3</v>
      </c>
      <c r="E932" s="68"/>
      <c r="F932" s="69">
        <v>40</v>
      </c>
      <c r="G932" s="66"/>
      <c r="H932" s="70"/>
      <c r="I932" s="71"/>
      <c r="J932" s="71"/>
      <c r="K932" s="35" t="s">
        <v>65</v>
      </c>
      <c r="L932" s="79">
        <v>932</v>
      </c>
      <c r="M932" s="79"/>
      <c r="N932" s="73"/>
      <c r="O932" s="81" t="s">
        <v>292</v>
      </c>
      <c r="P932">
        <v>1</v>
      </c>
      <c r="Q932" s="80" t="str">
        <f>REPLACE(INDEX(GroupVertices[Group],MATCH(Edges[[#This Row],[Vertex 1]],GroupVertices[Vertex],0)),1,1,"")</f>
        <v>1</v>
      </c>
      <c r="R932" s="80" t="str">
        <f>REPLACE(INDEX(GroupVertices[Group],MATCH(Edges[[#This Row],[Vertex 2]],GroupVertices[Vertex],0)),1,1,"")</f>
        <v>2</v>
      </c>
      <c r="S932" s="35"/>
      <c r="T932" s="35"/>
      <c r="U932" s="35"/>
      <c r="V932" s="35"/>
      <c r="W932" s="35"/>
      <c r="X932" s="35"/>
      <c r="Y932" s="35"/>
      <c r="Z932" s="35"/>
      <c r="AA932" s="35"/>
    </row>
    <row r="933" spans="1:27" ht="15">
      <c r="A933" s="65" t="s">
        <v>236</v>
      </c>
      <c r="B933" s="65" t="s">
        <v>643</v>
      </c>
      <c r="C933" s="66" t="s">
        <v>2113</v>
      </c>
      <c r="D933" s="67">
        <v>3</v>
      </c>
      <c r="E933" s="68"/>
      <c r="F933" s="69">
        <v>40</v>
      </c>
      <c r="G933" s="66"/>
      <c r="H933" s="70"/>
      <c r="I933" s="71"/>
      <c r="J933" s="71"/>
      <c r="K933" s="35" t="s">
        <v>65</v>
      </c>
      <c r="L933" s="79">
        <v>933</v>
      </c>
      <c r="M933" s="79"/>
      <c r="N933" s="73"/>
      <c r="O933" s="81" t="s">
        <v>292</v>
      </c>
      <c r="P933">
        <v>1</v>
      </c>
      <c r="Q933" s="80" t="str">
        <f>REPLACE(INDEX(GroupVertices[Group],MATCH(Edges[[#This Row],[Vertex 1]],GroupVertices[Vertex],0)),1,1,"")</f>
        <v>2</v>
      </c>
      <c r="R933" s="80" t="str">
        <f>REPLACE(INDEX(GroupVertices[Group],MATCH(Edges[[#This Row],[Vertex 2]],GroupVertices[Vertex],0)),1,1,"")</f>
        <v>2</v>
      </c>
      <c r="S933" s="35"/>
      <c r="T933" s="35"/>
      <c r="U933" s="35"/>
      <c r="V933" s="35"/>
      <c r="W933" s="35"/>
      <c r="X933" s="35"/>
      <c r="Y933" s="35"/>
      <c r="Z933" s="35"/>
      <c r="AA933" s="35"/>
    </row>
    <row r="934" spans="1:27" ht="15">
      <c r="A934" s="65" t="s">
        <v>644</v>
      </c>
      <c r="B934" s="65" t="s">
        <v>643</v>
      </c>
      <c r="C934" s="66" t="s">
        <v>2113</v>
      </c>
      <c r="D934" s="67">
        <v>3</v>
      </c>
      <c r="E934" s="68"/>
      <c r="F934" s="69">
        <v>40</v>
      </c>
      <c r="G934" s="66"/>
      <c r="H934" s="70"/>
      <c r="I934" s="71"/>
      <c r="J934" s="71"/>
      <c r="K934" s="35" t="s">
        <v>65</v>
      </c>
      <c r="L934" s="79">
        <v>934</v>
      </c>
      <c r="M934" s="79"/>
      <c r="N934" s="73"/>
      <c r="O934" s="81" t="s">
        <v>292</v>
      </c>
      <c r="P934">
        <v>1</v>
      </c>
      <c r="Q934" s="80" t="str">
        <f>REPLACE(INDEX(GroupVertices[Group],MATCH(Edges[[#This Row],[Vertex 1]],GroupVertices[Vertex],0)),1,1,"")</f>
        <v>2</v>
      </c>
      <c r="R934" s="80" t="str">
        <f>REPLACE(INDEX(GroupVertices[Group],MATCH(Edges[[#This Row],[Vertex 2]],GroupVertices[Vertex],0)),1,1,"")</f>
        <v>2</v>
      </c>
      <c r="S934" s="35"/>
      <c r="T934" s="35"/>
      <c r="U934" s="35"/>
      <c r="V934" s="35"/>
      <c r="W934" s="35"/>
      <c r="X934" s="35"/>
      <c r="Y934" s="35"/>
      <c r="Z934" s="35"/>
      <c r="AA934" s="35"/>
    </row>
    <row r="935" spans="1:27" ht="15">
      <c r="A935" s="65" t="s">
        <v>232</v>
      </c>
      <c r="B935" s="65" t="s">
        <v>643</v>
      </c>
      <c r="C935" s="66" t="s">
        <v>2113</v>
      </c>
      <c r="D935" s="67">
        <v>3</v>
      </c>
      <c r="E935" s="68"/>
      <c r="F935" s="69">
        <v>40</v>
      </c>
      <c r="G935" s="66"/>
      <c r="H935" s="70"/>
      <c r="I935" s="71"/>
      <c r="J935" s="71"/>
      <c r="K935" s="35" t="s">
        <v>65</v>
      </c>
      <c r="L935" s="79">
        <v>935</v>
      </c>
      <c r="M935" s="79"/>
      <c r="N935" s="73"/>
      <c r="O935" s="81" t="s">
        <v>292</v>
      </c>
      <c r="P935">
        <v>1</v>
      </c>
      <c r="Q935" s="80" t="str">
        <f>REPLACE(INDEX(GroupVertices[Group],MATCH(Edges[[#This Row],[Vertex 1]],GroupVertices[Vertex],0)),1,1,"")</f>
        <v>2</v>
      </c>
      <c r="R935" s="80" t="str">
        <f>REPLACE(INDEX(GroupVertices[Group],MATCH(Edges[[#This Row],[Vertex 2]],GroupVertices[Vertex],0)),1,1,"")</f>
        <v>2</v>
      </c>
      <c r="S935" s="35"/>
      <c r="T935" s="35"/>
      <c r="U935" s="35"/>
      <c r="V935" s="35"/>
      <c r="W935" s="35"/>
      <c r="X935" s="35"/>
      <c r="Y935" s="35"/>
      <c r="Z935" s="35"/>
      <c r="AA935" s="35"/>
    </row>
    <row r="936" spans="1:27" ht="15">
      <c r="A936" s="65" t="s">
        <v>645</v>
      </c>
      <c r="B936" s="65" t="s">
        <v>643</v>
      </c>
      <c r="C936" s="66" t="s">
        <v>2113</v>
      </c>
      <c r="D936" s="67">
        <v>3</v>
      </c>
      <c r="E936" s="68"/>
      <c r="F936" s="69">
        <v>40</v>
      </c>
      <c r="G936" s="66"/>
      <c r="H936" s="70"/>
      <c r="I936" s="71"/>
      <c r="J936" s="71"/>
      <c r="K936" s="35" t="s">
        <v>65</v>
      </c>
      <c r="L936" s="79">
        <v>936</v>
      </c>
      <c r="M936" s="79"/>
      <c r="N936" s="73"/>
      <c r="O936" s="81" t="s">
        <v>292</v>
      </c>
      <c r="P936">
        <v>1</v>
      </c>
      <c r="Q936" s="80" t="str">
        <f>REPLACE(INDEX(GroupVertices[Group],MATCH(Edges[[#This Row],[Vertex 1]],GroupVertices[Vertex],0)),1,1,"")</f>
        <v>2</v>
      </c>
      <c r="R936" s="80" t="str">
        <f>REPLACE(INDEX(GroupVertices[Group],MATCH(Edges[[#This Row],[Vertex 2]],GroupVertices[Vertex],0)),1,1,"")</f>
        <v>2</v>
      </c>
      <c r="S936" s="35"/>
      <c r="T936" s="35"/>
      <c r="U936" s="35"/>
      <c r="V936" s="35"/>
      <c r="W936" s="35"/>
      <c r="X936" s="35"/>
      <c r="Y936" s="35"/>
      <c r="Z936" s="35"/>
      <c r="AA936" s="35"/>
    </row>
    <row r="937" spans="1:27" ht="15">
      <c r="A937" s="65" t="s">
        <v>216</v>
      </c>
      <c r="B937" s="65" t="s">
        <v>643</v>
      </c>
      <c r="C937" s="66" t="s">
        <v>2113</v>
      </c>
      <c r="D937" s="67">
        <v>3</v>
      </c>
      <c r="E937" s="68"/>
      <c r="F937" s="69">
        <v>40</v>
      </c>
      <c r="G937" s="66"/>
      <c r="H937" s="70"/>
      <c r="I937" s="71"/>
      <c r="J937" s="71"/>
      <c r="K937" s="35" t="s">
        <v>65</v>
      </c>
      <c r="L937" s="79">
        <v>937</v>
      </c>
      <c r="M937" s="79"/>
      <c r="N937" s="73"/>
      <c r="O937" s="81" t="s">
        <v>292</v>
      </c>
      <c r="P937">
        <v>1</v>
      </c>
      <c r="Q937" s="80" t="str">
        <f>REPLACE(INDEX(GroupVertices[Group],MATCH(Edges[[#This Row],[Vertex 1]],GroupVertices[Vertex],0)),1,1,"")</f>
        <v>1</v>
      </c>
      <c r="R937" s="80" t="str">
        <f>REPLACE(INDEX(GroupVertices[Group],MATCH(Edges[[#This Row],[Vertex 2]],GroupVertices[Vertex],0)),1,1,"")</f>
        <v>2</v>
      </c>
      <c r="S937" s="35"/>
      <c r="T937" s="35"/>
      <c r="U937" s="35"/>
      <c r="V937" s="35"/>
      <c r="W937" s="35"/>
      <c r="X937" s="35"/>
      <c r="Y937" s="35"/>
      <c r="Z937" s="35"/>
      <c r="AA937" s="35"/>
    </row>
    <row r="938" spans="1:27" ht="15">
      <c r="A938" s="65" t="s">
        <v>221</v>
      </c>
      <c r="B938" s="65" t="s">
        <v>643</v>
      </c>
      <c r="C938" s="66" t="s">
        <v>2113</v>
      </c>
      <c r="D938" s="67">
        <v>3</v>
      </c>
      <c r="E938" s="68"/>
      <c r="F938" s="69">
        <v>40</v>
      </c>
      <c r="G938" s="66"/>
      <c r="H938" s="70"/>
      <c r="I938" s="71"/>
      <c r="J938" s="71"/>
      <c r="K938" s="35" t="s">
        <v>65</v>
      </c>
      <c r="L938" s="79">
        <v>938</v>
      </c>
      <c r="M938" s="79"/>
      <c r="N938" s="73"/>
      <c r="O938" s="81" t="s">
        <v>292</v>
      </c>
      <c r="P938">
        <v>1</v>
      </c>
      <c r="Q938" s="80" t="str">
        <f>REPLACE(INDEX(GroupVertices[Group],MATCH(Edges[[#This Row],[Vertex 1]],GroupVertices[Vertex],0)),1,1,"")</f>
        <v>1</v>
      </c>
      <c r="R938" s="80" t="str">
        <f>REPLACE(INDEX(GroupVertices[Group],MATCH(Edges[[#This Row],[Vertex 2]],GroupVertices[Vertex],0)),1,1,"")</f>
        <v>2</v>
      </c>
      <c r="S938" s="35"/>
      <c r="T938" s="35"/>
      <c r="U938" s="35"/>
      <c r="V938" s="35"/>
      <c r="W938" s="35"/>
      <c r="X938" s="35"/>
      <c r="Y938" s="35"/>
      <c r="Z938" s="35"/>
      <c r="AA938" s="35"/>
    </row>
    <row r="939" spans="1:27" ht="15">
      <c r="A939" s="65" t="s">
        <v>647</v>
      </c>
      <c r="B939" s="65" t="s">
        <v>643</v>
      </c>
      <c r="C939" s="66" t="s">
        <v>2113</v>
      </c>
      <c r="D939" s="67">
        <v>3</v>
      </c>
      <c r="E939" s="68"/>
      <c r="F939" s="69">
        <v>40</v>
      </c>
      <c r="G939" s="66"/>
      <c r="H939" s="70"/>
      <c r="I939" s="71"/>
      <c r="J939" s="71"/>
      <c r="K939" s="35" t="s">
        <v>65</v>
      </c>
      <c r="L939" s="79">
        <v>939</v>
      </c>
      <c r="M939" s="79"/>
      <c r="N939" s="73"/>
      <c r="O939" s="81" t="s">
        <v>293</v>
      </c>
      <c r="P939">
        <v>1</v>
      </c>
      <c r="Q939" s="80" t="str">
        <f>REPLACE(INDEX(GroupVertices[Group],MATCH(Edges[[#This Row],[Vertex 1]],GroupVertices[Vertex],0)),1,1,"")</f>
        <v>2</v>
      </c>
      <c r="R939" s="80" t="str">
        <f>REPLACE(INDEX(GroupVertices[Group],MATCH(Edges[[#This Row],[Vertex 2]],GroupVertices[Vertex],0)),1,1,"")</f>
        <v>2</v>
      </c>
      <c r="S939" s="35"/>
      <c r="T939" s="35"/>
      <c r="U939" s="35"/>
      <c r="V939" s="35"/>
      <c r="W939" s="35"/>
      <c r="X939" s="35"/>
      <c r="Y939" s="35"/>
      <c r="Z939" s="35"/>
      <c r="AA939" s="35"/>
    </row>
    <row r="940" spans="1:27" ht="15">
      <c r="A940" s="65" t="s">
        <v>649</v>
      </c>
      <c r="B940" s="65" t="s">
        <v>648</v>
      </c>
      <c r="C940" s="66" t="s">
        <v>2113</v>
      </c>
      <c r="D940" s="67">
        <v>3</v>
      </c>
      <c r="E940" s="68"/>
      <c r="F940" s="69">
        <v>40</v>
      </c>
      <c r="G940" s="66"/>
      <c r="H940" s="70"/>
      <c r="I940" s="71"/>
      <c r="J940" s="71"/>
      <c r="K940" s="35" t="s">
        <v>65</v>
      </c>
      <c r="L940" s="79">
        <v>940</v>
      </c>
      <c r="M940" s="79"/>
      <c r="N940" s="73"/>
      <c r="O940" s="81" t="s">
        <v>292</v>
      </c>
      <c r="P940">
        <v>1</v>
      </c>
      <c r="Q940" s="80" t="str">
        <f>REPLACE(INDEX(GroupVertices[Group],MATCH(Edges[[#This Row],[Vertex 1]],GroupVertices[Vertex],0)),1,1,"")</f>
        <v>2</v>
      </c>
      <c r="R940" s="80" t="str">
        <f>REPLACE(INDEX(GroupVertices[Group],MATCH(Edges[[#This Row],[Vertex 2]],GroupVertices[Vertex],0)),1,1,"")</f>
        <v>2</v>
      </c>
      <c r="S940" s="35"/>
      <c r="T940" s="35"/>
      <c r="U940" s="35"/>
      <c r="V940" s="35"/>
      <c r="W940" s="35"/>
      <c r="X940" s="35"/>
      <c r="Y940" s="35"/>
      <c r="Z940" s="35"/>
      <c r="AA940" s="35"/>
    </row>
    <row r="941" spans="1:27" ht="15">
      <c r="A941" s="65" t="s">
        <v>647</v>
      </c>
      <c r="B941" s="65" t="s">
        <v>648</v>
      </c>
      <c r="C941" s="66" t="s">
        <v>2113</v>
      </c>
      <c r="D941" s="67">
        <v>3</v>
      </c>
      <c r="E941" s="68"/>
      <c r="F941" s="69">
        <v>40</v>
      </c>
      <c r="G941" s="66"/>
      <c r="H941" s="70"/>
      <c r="I941" s="71"/>
      <c r="J941" s="71"/>
      <c r="K941" s="35" t="s">
        <v>65</v>
      </c>
      <c r="L941" s="79">
        <v>941</v>
      </c>
      <c r="M941" s="79"/>
      <c r="N941" s="73"/>
      <c r="O941" s="81" t="s">
        <v>293</v>
      </c>
      <c r="P941">
        <v>1</v>
      </c>
      <c r="Q941" s="80" t="str">
        <f>REPLACE(INDEX(GroupVertices[Group],MATCH(Edges[[#This Row],[Vertex 1]],GroupVertices[Vertex],0)),1,1,"")</f>
        <v>2</v>
      </c>
      <c r="R941" s="80" t="str">
        <f>REPLACE(INDEX(GroupVertices[Group],MATCH(Edges[[#This Row],[Vertex 2]],GroupVertices[Vertex],0)),1,1,"")</f>
        <v>2</v>
      </c>
      <c r="S941" s="35"/>
      <c r="T941" s="35"/>
      <c r="U941" s="35"/>
      <c r="V941" s="35"/>
      <c r="W941" s="35"/>
      <c r="X941" s="35"/>
      <c r="Y941" s="35"/>
      <c r="Z941" s="35"/>
      <c r="AA941" s="35"/>
    </row>
    <row r="942" spans="1:27" ht="15">
      <c r="A942" s="65" t="s">
        <v>248</v>
      </c>
      <c r="B942" s="65" t="s">
        <v>226</v>
      </c>
      <c r="C942" s="66" t="s">
        <v>2113</v>
      </c>
      <c r="D942" s="67">
        <v>3</v>
      </c>
      <c r="E942" s="68"/>
      <c r="F942" s="69">
        <v>40</v>
      </c>
      <c r="G942" s="66"/>
      <c r="H942" s="70"/>
      <c r="I942" s="71"/>
      <c r="J942" s="71"/>
      <c r="K942" s="35" t="s">
        <v>66</v>
      </c>
      <c r="L942" s="79">
        <v>942</v>
      </c>
      <c r="M942" s="79"/>
      <c r="N942" s="73"/>
      <c r="O942" s="81" t="s">
        <v>292</v>
      </c>
      <c r="P942">
        <v>1</v>
      </c>
      <c r="Q942" s="80" t="str">
        <f>REPLACE(INDEX(GroupVertices[Group],MATCH(Edges[[#This Row],[Vertex 1]],GroupVertices[Vertex],0)),1,1,"")</f>
        <v>1</v>
      </c>
      <c r="R942" s="80" t="str">
        <f>REPLACE(INDEX(GroupVertices[Group],MATCH(Edges[[#This Row],[Vertex 2]],GroupVertices[Vertex],0)),1,1,"")</f>
        <v>1</v>
      </c>
      <c r="S942" s="35"/>
      <c r="T942" s="35"/>
      <c r="U942" s="35"/>
      <c r="V942" s="35"/>
      <c r="W942" s="35"/>
      <c r="X942" s="35"/>
      <c r="Y942" s="35"/>
      <c r="Z942" s="35"/>
      <c r="AA942" s="35"/>
    </row>
    <row r="943" spans="1:27" ht="15">
      <c r="A943" s="65" t="s">
        <v>236</v>
      </c>
      <c r="B943" s="65" t="s">
        <v>226</v>
      </c>
      <c r="C943" s="66" t="s">
        <v>2114</v>
      </c>
      <c r="D943" s="67">
        <v>3</v>
      </c>
      <c r="E943" s="68"/>
      <c r="F943" s="69">
        <v>40</v>
      </c>
      <c r="G943" s="66"/>
      <c r="H943" s="70"/>
      <c r="I943" s="71"/>
      <c r="J943" s="71"/>
      <c r="K943" s="35" t="s">
        <v>65</v>
      </c>
      <c r="L943" s="79">
        <v>943</v>
      </c>
      <c r="M943" s="79"/>
      <c r="N943" s="73"/>
      <c r="O943" s="81" t="s">
        <v>292</v>
      </c>
      <c r="P943">
        <v>2</v>
      </c>
      <c r="Q943" s="80" t="str">
        <f>REPLACE(INDEX(GroupVertices[Group],MATCH(Edges[[#This Row],[Vertex 1]],GroupVertices[Vertex],0)),1,1,"")</f>
        <v>2</v>
      </c>
      <c r="R943" s="80" t="str">
        <f>REPLACE(INDEX(GroupVertices[Group],MATCH(Edges[[#This Row],[Vertex 2]],GroupVertices[Vertex],0)),1,1,"")</f>
        <v>1</v>
      </c>
      <c r="S943" s="35"/>
      <c r="T943" s="35"/>
      <c r="U943" s="35"/>
      <c r="V943" s="35"/>
      <c r="W943" s="35"/>
      <c r="X943" s="35"/>
      <c r="Y943" s="35"/>
      <c r="Z943" s="35"/>
      <c r="AA943" s="35"/>
    </row>
    <row r="944" spans="1:27" ht="15">
      <c r="A944" s="65" t="s">
        <v>644</v>
      </c>
      <c r="B944" s="65" t="s">
        <v>226</v>
      </c>
      <c r="C944" s="66" t="s">
        <v>2113</v>
      </c>
      <c r="D944" s="67">
        <v>3</v>
      </c>
      <c r="E944" s="68"/>
      <c r="F944" s="69">
        <v>40</v>
      </c>
      <c r="G944" s="66"/>
      <c r="H944" s="70"/>
      <c r="I944" s="71"/>
      <c r="J944" s="71"/>
      <c r="K944" s="35" t="s">
        <v>65</v>
      </c>
      <c r="L944" s="79">
        <v>944</v>
      </c>
      <c r="M944" s="79"/>
      <c r="N944" s="73"/>
      <c r="O944" s="81" t="s">
        <v>292</v>
      </c>
      <c r="P944">
        <v>1</v>
      </c>
      <c r="Q944" s="80" t="str">
        <f>REPLACE(INDEX(GroupVertices[Group],MATCH(Edges[[#This Row],[Vertex 1]],GroupVertices[Vertex],0)),1,1,"")</f>
        <v>2</v>
      </c>
      <c r="R944" s="80" t="str">
        <f>REPLACE(INDEX(GroupVertices[Group],MATCH(Edges[[#This Row],[Vertex 2]],GroupVertices[Vertex],0)),1,1,"")</f>
        <v>1</v>
      </c>
      <c r="S944" s="35"/>
      <c r="T944" s="35"/>
      <c r="U944" s="35"/>
      <c r="V944" s="35"/>
      <c r="W944" s="35"/>
      <c r="X944" s="35"/>
      <c r="Y944" s="35"/>
      <c r="Z944" s="35"/>
      <c r="AA944" s="35"/>
    </row>
    <row r="945" spans="1:27" ht="15">
      <c r="A945" s="65" t="s">
        <v>232</v>
      </c>
      <c r="B945" s="65" t="s">
        <v>226</v>
      </c>
      <c r="C945" s="66" t="s">
        <v>2115</v>
      </c>
      <c r="D945" s="67">
        <v>3</v>
      </c>
      <c r="E945" s="68"/>
      <c r="F945" s="69">
        <v>40</v>
      </c>
      <c r="G945" s="66"/>
      <c r="H945" s="70"/>
      <c r="I945" s="71"/>
      <c r="J945" s="71"/>
      <c r="K945" s="35" t="s">
        <v>65</v>
      </c>
      <c r="L945" s="79">
        <v>945</v>
      </c>
      <c r="M945" s="79"/>
      <c r="N945" s="73"/>
      <c r="O945" s="81" t="s">
        <v>292</v>
      </c>
      <c r="P945">
        <v>3</v>
      </c>
      <c r="Q945" s="80" t="str">
        <f>REPLACE(INDEX(GroupVertices[Group],MATCH(Edges[[#This Row],[Vertex 1]],GroupVertices[Vertex],0)),1,1,"")</f>
        <v>2</v>
      </c>
      <c r="R945" s="80" t="str">
        <f>REPLACE(INDEX(GroupVertices[Group],MATCH(Edges[[#This Row],[Vertex 2]],GroupVertices[Vertex],0)),1,1,"")</f>
        <v>1</v>
      </c>
      <c r="S945" s="35"/>
      <c r="T945" s="35"/>
      <c r="U945" s="35"/>
      <c r="V945" s="35"/>
      <c r="W945" s="35"/>
      <c r="X945" s="35"/>
      <c r="Y945" s="35"/>
      <c r="Z945" s="35"/>
      <c r="AA945" s="35"/>
    </row>
    <row r="946" spans="1:27" ht="15">
      <c r="A946" s="65" t="s">
        <v>645</v>
      </c>
      <c r="B946" s="65" t="s">
        <v>226</v>
      </c>
      <c r="C946" s="66" t="s">
        <v>2113</v>
      </c>
      <c r="D946" s="67">
        <v>3</v>
      </c>
      <c r="E946" s="68"/>
      <c r="F946" s="69">
        <v>40</v>
      </c>
      <c r="G946" s="66"/>
      <c r="H946" s="70"/>
      <c r="I946" s="71"/>
      <c r="J946" s="71"/>
      <c r="K946" s="35" t="s">
        <v>65</v>
      </c>
      <c r="L946" s="79">
        <v>946</v>
      </c>
      <c r="M946" s="79"/>
      <c r="N946" s="73"/>
      <c r="O946" s="81" t="s">
        <v>292</v>
      </c>
      <c r="P946">
        <v>1</v>
      </c>
      <c r="Q946" s="80" t="str">
        <f>REPLACE(INDEX(GroupVertices[Group],MATCH(Edges[[#This Row],[Vertex 1]],GroupVertices[Vertex],0)),1,1,"")</f>
        <v>2</v>
      </c>
      <c r="R946" s="80" t="str">
        <f>REPLACE(INDEX(GroupVertices[Group],MATCH(Edges[[#This Row],[Vertex 2]],GroupVertices[Vertex],0)),1,1,"")</f>
        <v>1</v>
      </c>
      <c r="S946" s="35"/>
      <c r="T946" s="35"/>
      <c r="U946" s="35"/>
      <c r="V946" s="35"/>
      <c r="W946" s="35"/>
      <c r="X946" s="35"/>
      <c r="Y946" s="35"/>
      <c r="Z946" s="35"/>
      <c r="AA946" s="35"/>
    </row>
    <row r="947" spans="1:27" ht="15">
      <c r="A947" s="65" t="s">
        <v>216</v>
      </c>
      <c r="B947" s="65" t="s">
        <v>226</v>
      </c>
      <c r="C947" s="66" t="s">
        <v>2114</v>
      </c>
      <c r="D947" s="67">
        <v>3</v>
      </c>
      <c r="E947" s="68"/>
      <c r="F947" s="69">
        <v>40</v>
      </c>
      <c r="G947" s="66"/>
      <c r="H947" s="70"/>
      <c r="I947" s="71"/>
      <c r="J947" s="71"/>
      <c r="K947" s="35" t="s">
        <v>66</v>
      </c>
      <c r="L947" s="79">
        <v>947</v>
      </c>
      <c r="M947" s="79"/>
      <c r="N947" s="73"/>
      <c r="O947" s="81" t="s">
        <v>292</v>
      </c>
      <c r="P947">
        <v>2</v>
      </c>
      <c r="Q947" s="80" t="str">
        <f>REPLACE(INDEX(GroupVertices[Group],MATCH(Edges[[#This Row],[Vertex 1]],GroupVertices[Vertex],0)),1,1,"")</f>
        <v>1</v>
      </c>
      <c r="R947" s="80" t="str">
        <f>REPLACE(INDEX(GroupVertices[Group],MATCH(Edges[[#This Row],[Vertex 2]],GroupVertices[Vertex],0)),1,1,"")</f>
        <v>1</v>
      </c>
      <c r="S947" s="35"/>
      <c r="T947" s="35"/>
      <c r="U947" s="35"/>
      <c r="V947" s="35"/>
      <c r="W947" s="35"/>
      <c r="X947" s="35"/>
      <c r="Y947" s="35"/>
      <c r="Z947" s="35"/>
      <c r="AA947" s="35"/>
    </row>
    <row r="948" spans="1:27" ht="15">
      <c r="A948" s="65" t="s">
        <v>221</v>
      </c>
      <c r="B948" s="65" t="s">
        <v>226</v>
      </c>
      <c r="C948" s="66" t="s">
        <v>2113</v>
      </c>
      <c r="D948" s="67">
        <v>3</v>
      </c>
      <c r="E948" s="68"/>
      <c r="F948" s="69">
        <v>40</v>
      </c>
      <c r="G948" s="66"/>
      <c r="H948" s="70"/>
      <c r="I948" s="71"/>
      <c r="J948" s="71"/>
      <c r="K948" s="35" t="s">
        <v>66</v>
      </c>
      <c r="L948" s="79">
        <v>948</v>
      </c>
      <c r="M948" s="79"/>
      <c r="N948" s="73"/>
      <c r="O948" s="81" t="s">
        <v>292</v>
      </c>
      <c r="P948">
        <v>1</v>
      </c>
      <c r="Q948" s="80" t="str">
        <f>REPLACE(INDEX(GroupVertices[Group],MATCH(Edges[[#This Row],[Vertex 1]],GroupVertices[Vertex],0)),1,1,"")</f>
        <v>1</v>
      </c>
      <c r="R948" s="80" t="str">
        <f>REPLACE(INDEX(GroupVertices[Group],MATCH(Edges[[#This Row],[Vertex 2]],GroupVertices[Vertex],0)),1,1,"")</f>
        <v>1</v>
      </c>
      <c r="S948" s="35"/>
      <c r="T948" s="35"/>
      <c r="U948" s="35"/>
      <c r="V948" s="35"/>
      <c r="W948" s="35"/>
      <c r="X948" s="35"/>
      <c r="Y948" s="35"/>
      <c r="Z948" s="35"/>
      <c r="AA948" s="35"/>
    </row>
    <row r="949" spans="1:27" ht="15">
      <c r="A949" s="65" t="s">
        <v>232</v>
      </c>
      <c r="B949" s="65" t="s">
        <v>226</v>
      </c>
      <c r="C949" s="66" t="s">
        <v>2115</v>
      </c>
      <c r="D949" s="67">
        <v>3</v>
      </c>
      <c r="E949" s="68"/>
      <c r="F949" s="69">
        <v>40</v>
      </c>
      <c r="G949" s="66"/>
      <c r="H949" s="70"/>
      <c r="I949" s="71"/>
      <c r="J949" s="71"/>
      <c r="K949" s="35" t="s">
        <v>65</v>
      </c>
      <c r="L949" s="79">
        <v>949</v>
      </c>
      <c r="M949" s="79"/>
      <c r="N949" s="73"/>
      <c r="O949" s="81" t="s">
        <v>293</v>
      </c>
      <c r="P949">
        <v>3</v>
      </c>
      <c r="Q949" s="80" t="str">
        <f>REPLACE(INDEX(GroupVertices[Group],MATCH(Edges[[#This Row],[Vertex 1]],GroupVertices[Vertex],0)),1,1,"")</f>
        <v>2</v>
      </c>
      <c r="R949" s="80" t="str">
        <f>REPLACE(INDEX(GroupVertices[Group],MATCH(Edges[[#This Row],[Vertex 2]],GroupVertices[Vertex],0)),1,1,"")</f>
        <v>1</v>
      </c>
      <c r="S949" s="35"/>
      <c r="T949" s="35"/>
      <c r="U949" s="35"/>
      <c r="V949" s="35"/>
      <c r="W949" s="35"/>
      <c r="X949" s="35"/>
      <c r="Y949" s="35"/>
      <c r="Z949" s="35"/>
      <c r="AA949" s="35"/>
    </row>
    <row r="950" spans="1:27" ht="15">
      <c r="A950" s="65" t="s">
        <v>647</v>
      </c>
      <c r="B950" s="65" t="s">
        <v>226</v>
      </c>
      <c r="C950" s="66" t="s">
        <v>2113</v>
      </c>
      <c r="D950" s="67">
        <v>3</v>
      </c>
      <c r="E950" s="68"/>
      <c r="F950" s="69">
        <v>40</v>
      </c>
      <c r="G950" s="66"/>
      <c r="H950" s="70"/>
      <c r="I950" s="71"/>
      <c r="J950" s="71"/>
      <c r="K950" s="35" t="s">
        <v>65</v>
      </c>
      <c r="L950" s="79">
        <v>950</v>
      </c>
      <c r="M950" s="79"/>
      <c r="N950" s="73"/>
      <c r="O950" s="81" t="s">
        <v>293</v>
      </c>
      <c r="P950">
        <v>1</v>
      </c>
      <c r="Q950" s="80" t="str">
        <f>REPLACE(INDEX(GroupVertices[Group],MATCH(Edges[[#This Row],[Vertex 1]],GroupVertices[Vertex],0)),1,1,"")</f>
        <v>2</v>
      </c>
      <c r="R950" s="80" t="str">
        <f>REPLACE(INDEX(GroupVertices[Group],MATCH(Edges[[#This Row],[Vertex 2]],GroupVertices[Vertex],0)),1,1,"")</f>
        <v>1</v>
      </c>
      <c r="S950" s="35"/>
      <c r="T950" s="35"/>
      <c r="U950" s="35"/>
      <c r="V950" s="35"/>
      <c r="W950" s="35"/>
      <c r="X950" s="35"/>
      <c r="Y950" s="35"/>
      <c r="Z950" s="35"/>
      <c r="AA950" s="35"/>
    </row>
    <row r="951" spans="1:27" ht="15">
      <c r="A951" s="65" t="s">
        <v>236</v>
      </c>
      <c r="B951" s="65" t="s">
        <v>248</v>
      </c>
      <c r="C951" s="66" t="s">
        <v>2113</v>
      </c>
      <c r="D951" s="67">
        <v>3</v>
      </c>
      <c r="E951" s="68"/>
      <c r="F951" s="69">
        <v>40</v>
      </c>
      <c r="G951" s="66"/>
      <c r="H951" s="70"/>
      <c r="I951" s="71"/>
      <c r="J951" s="71"/>
      <c r="K951" s="35" t="s">
        <v>65</v>
      </c>
      <c r="L951" s="79">
        <v>951</v>
      </c>
      <c r="M951" s="79"/>
      <c r="N951" s="73"/>
      <c r="O951" s="81" t="s">
        <v>292</v>
      </c>
      <c r="P951">
        <v>1</v>
      </c>
      <c r="Q951" s="80" t="str">
        <f>REPLACE(INDEX(GroupVertices[Group],MATCH(Edges[[#This Row],[Vertex 1]],GroupVertices[Vertex],0)),1,1,"")</f>
        <v>2</v>
      </c>
      <c r="R951" s="80" t="str">
        <f>REPLACE(INDEX(GroupVertices[Group],MATCH(Edges[[#This Row],[Vertex 2]],GroupVertices[Vertex],0)),1,1,"")</f>
        <v>1</v>
      </c>
      <c r="S951" s="35"/>
      <c r="T951" s="35"/>
      <c r="U951" s="35"/>
      <c r="V951" s="35"/>
      <c r="W951" s="35"/>
      <c r="X951" s="35"/>
      <c r="Y951" s="35"/>
      <c r="Z951" s="35"/>
      <c r="AA951" s="35"/>
    </row>
    <row r="952" spans="1:27" ht="15">
      <c r="A952" s="65" t="s">
        <v>216</v>
      </c>
      <c r="B952" s="65" t="s">
        <v>248</v>
      </c>
      <c r="C952" s="66" t="s">
        <v>2113</v>
      </c>
      <c r="D952" s="67">
        <v>3</v>
      </c>
      <c r="E952" s="68"/>
      <c r="F952" s="69">
        <v>40</v>
      </c>
      <c r="G952" s="66"/>
      <c r="H952" s="70"/>
      <c r="I952" s="71"/>
      <c r="J952" s="71"/>
      <c r="K952" s="35" t="s">
        <v>66</v>
      </c>
      <c r="L952" s="79">
        <v>952</v>
      </c>
      <c r="M952" s="79"/>
      <c r="N952" s="73"/>
      <c r="O952" s="81" t="s">
        <v>292</v>
      </c>
      <c r="P952">
        <v>1</v>
      </c>
      <c r="Q952" s="80" t="str">
        <f>REPLACE(INDEX(GroupVertices[Group],MATCH(Edges[[#This Row],[Vertex 1]],GroupVertices[Vertex],0)),1,1,"")</f>
        <v>1</v>
      </c>
      <c r="R952" s="80" t="str">
        <f>REPLACE(INDEX(GroupVertices[Group],MATCH(Edges[[#This Row],[Vertex 2]],GroupVertices[Vertex],0)),1,1,"")</f>
        <v>1</v>
      </c>
      <c r="S952" s="35"/>
      <c r="T952" s="35"/>
      <c r="U952" s="35"/>
      <c r="V952" s="35"/>
      <c r="W952" s="35"/>
      <c r="X952" s="35"/>
      <c r="Y952" s="35"/>
      <c r="Z952" s="35"/>
      <c r="AA952" s="35"/>
    </row>
    <row r="953" spans="1:27" ht="15">
      <c r="A953" s="65" t="s">
        <v>221</v>
      </c>
      <c r="B953" s="65" t="s">
        <v>248</v>
      </c>
      <c r="C953" s="66" t="s">
        <v>2114</v>
      </c>
      <c r="D953" s="67">
        <v>3</v>
      </c>
      <c r="E953" s="68"/>
      <c r="F953" s="69">
        <v>40</v>
      </c>
      <c r="G953" s="66"/>
      <c r="H953" s="70"/>
      <c r="I953" s="71"/>
      <c r="J953" s="71"/>
      <c r="K953" s="35" t="s">
        <v>65</v>
      </c>
      <c r="L953" s="79">
        <v>953</v>
      </c>
      <c r="M953" s="79"/>
      <c r="N953" s="73"/>
      <c r="O953" s="81" t="s">
        <v>292</v>
      </c>
      <c r="P953">
        <v>2</v>
      </c>
      <c r="Q953" s="80" t="str">
        <f>REPLACE(INDEX(GroupVertices[Group],MATCH(Edges[[#This Row],[Vertex 1]],GroupVertices[Vertex],0)),1,1,"")</f>
        <v>1</v>
      </c>
      <c r="R953" s="80" t="str">
        <f>REPLACE(INDEX(GroupVertices[Group],MATCH(Edges[[#This Row],[Vertex 2]],GroupVertices[Vertex],0)),1,1,"")</f>
        <v>1</v>
      </c>
      <c r="S953" s="35"/>
      <c r="T953" s="35"/>
      <c r="U953" s="35"/>
      <c r="V953" s="35"/>
      <c r="W953" s="35"/>
      <c r="X953" s="35"/>
      <c r="Y953" s="35"/>
      <c r="Z953" s="35"/>
      <c r="AA953" s="35"/>
    </row>
    <row r="954" spans="1:27" ht="15">
      <c r="A954" s="65" t="s">
        <v>647</v>
      </c>
      <c r="B954" s="65" t="s">
        <v>248</v>
      </c>
      <c r="C954" s="66" t="s">
        <v>2113</v>
      </c>
      <c r="D954" s="67">
        <v>3</v>
      </c>
      <c r="E954" s="68"/>
      <c r="F954" s="69">
        <v>40</v>
      </c>
      <c r="G954" s="66"/>
      <c r="H954" s="70"/>
      <c r="I954" s="71"/>
      <c r="J954" s="71"/>
      <c r="K954" s="35" t="s">
        <v>65</v>
      </c>
      <c r="L954" s="79">
        <v>954</v>
      </c>
      <c r="M954" s="79"/>
      <c r="N954" s="73"/>
      <c r="O954" s="81" t="s">
        <v>293</v>
      </c>
      <c r="P954">
        <v>1</v>
      </c>
      <c r="Q954" s="80" t="str">
        <f>REPLACE(INDEX(GroupVertices[Group],MATCH(Edges[[#This Row],[Vertex 1]],GroupVertices[Vertex],0)),1,1,"")</f>
        <v>2</v>
      </c>
      <c r="R954" s="80" t="str">
        <f>REPLACE(INDEX(GroupVertices[Group],MATCH(Edges[[#This Row],[Vertex 2]],GroupVertices[Vertex],0)),1,1,"")</f>
        <v>1</v>
      </c>
      <c r="S954" s="35"/>
      <c r="T954" s="35"/>
      <c r="U954" s="35"/>
      <c r="V954" s="35"/>
      <c r="W954" s="35"/>
      <c r="X954" s="35"/>
      <c r="Y954" s="35"/>
      <c r="Z954" s="35"/>
      <c r="AA954" s="35"/>
    </row>
    <row r="955" spans="1:27" ht="15">
      <c r="A955" s="65" t="s">
        <v>644</v>
      </c>
      <c r="B955" s="65" t="s">
        <v>236</v>
      </c>
      <c r="C955" s="66" t="s">
        <v>2113</v>
      </c>
      <c r="D955" s="67">
        <v>3</v>
      </c>
      <c r="E955" s="68"/>
      <c r="F955" s="69">
        <v>40</v>
      </c>
      <c r="G955" s="66"/>
      <c r="H955" s="70"/>
      <c r="I955" s="71"/>
      <c r="J955" s="71"/>
      <c r="K955" s="35" t="s">
        <v>65</v>
      </c>
      <c r="L955" s="79">
        <v>955</v>
      </c>
      <c r="M955" s="79"/>
      <c r="N955" s="73"/>
      <c r="O955" s="81" t="s">
        <v>292</v>
      </c>
      <c r="P955">
        <v>1</v>
      </c>
      <c r="Q955" s="80" t="str">
        <f>REPLACE(INDEX(GroupVertices[Group],MATCH(Edges[[#This Row],[Vertex 1]],GroupVertices[Vertex],0)),1,1,"")</f>
        <v>2</v>
      </c>
      <c r="R955" s="80" t="str">
        <f>REPLACE(INDEX(GroupVertices[Group],MATCH(Edges[[#This Row],[Vertex 2]],GroupVertices[Vertex],0)),1,1,"")</f>
        <v>2</v>
      </c>
      <c r="S955" s="35"/>
      <c r="T955" s="35"/>
      <c r="U955" s="35"/>
      <c r="V955" s="35"/>
      <c r="W955" s="35"/>
      <c r="X955" s="35"/>
      <c r="Y955" s="35"/>
      <c r="Z955" s="35"/>
      <c r="AA955" s="35"/>
    </row>
    <row r="956" spans="1:27" ht="15">
      <c r="A956" s="65" t="s">
        <v>232</v>
      </c>
      <c r="B956" s="65" t="s">
        <v>236</v>
      </c>
      <c r="C956" s="66" t="s">
        <v>2113</v>
      </c>
      <c r="D956" s="67">
        <v>3</v>
      </c>
      <c r="E956" s="68"/>
      <c r="F956" s="69">
        <v>40</v>
      </c>
      <c r="G956" s="66"/>
      <c r="H956" s="70"/>
      <c r="I956" s="71"/>
      <c r="J956" s="71"/>
      <c r="K956" s="35" t="s">
        <v>66</v>
      </c>
      <c r="L956" s="79">
        <v>956</v>
      </c>
      <c r="M956" s="79"/>
      <c r="N956" s="73"/>
      <c r="O956" s="81" t="s">
        <v>292</v>
      </c>
      <c r="P956">
        <v>1</v>
      </c>
      <c r="Q956" s="80" t="str">
        <f>REPLACE(INDEX(GroupVertices[Group],MATCH(Edges[[#This Row],[Vertex 1]],GroupVertices[Vertex],0)),1,1,"")</f>
        <v>2</v>
      </c>
      <c r="R956" s="80" t="str">
        <f>REPLACE(INDEX(GroupVertices[Group],MATCH(Edges[[#This Row],[Vertex 2]],GroupVertices[Vertex],0)),1,1,"")</f>
        <v>2</v>
      </c>
      <c r="S956" s="35"/>
      <c r="T956" s="35"/>
      <c r="U956" s="35"/>
      <c r="V956" s="35"/>
      <c r="W956" s="35"/>
      <c r="X956" s="35"/>
      <c r="Y956" s="35"/>
      <c r="Z956" s="35"/>
      <c r="AA956" s="35"/>
    </row>
    <row r="957" spans="1:27" ht="15">
      <c r="A957" s="65" t="s">
        <v>645</v>
      </c>
      <c r="B957" s="65" t="s">
        <v>236</v>
      </c>
      <c r="C957" s="66" t="s">
        <v>2113</v>
      </c>
      <c r="D957" s="67">
        <v>3</v>
      </c>
      <c r="E957" s="68"/>
      <c r="F957" s="69">
        <v>40</v>
      </c>
      <c r="G957" s="66"/>
      <c r="H957" s="70"/>
      <c r="I957" s="71"/>
      <c r="J957" s="71"/>
      <c r="K957" s="35" t="s">
        <v>65</v>
      </c>
      <c r="L957" s="79">
        <v>957</v>
      </c>
      <c r="M957" s="79"/>
      <c r="N957" s="73"/>
      <c r="O957" s="81" t="s">
        <v>292</v>
      </c>
      <c r="P957">
        <v>1</v>
      </c>
      <c r="Q957" s="80" t="str">
        <f>REPLACE(INDEX(GroupVertices[Group],MATCH(Edges[[#This Row],[Vertex 1]],GroupVertices[Vertex],0)),1,1,"")</f>
        <v>2</v>
      </c>
      <c r="R957" s="80" t="str">
        <f>REPLACE(INDEX(GroupVertices[Group],MATCH(Edges[[#This Row],[Vertex 2]],GroupVertices[Vertex],0)),1,1,"")</f>
        <v>2</v>
      </c>
      <c r="S957" s="35"/>
      <c r="T957" s="35"/>
      <c r="U957" s="35"/>
      <c r="V957" s="35"/>
      <c r="W957" s="35"/>
      <c r="X957" s="35"/>
      <c r="Y957" s="35"/>
      <c r="Z957" s="35"/>
      <c r="AA957" s="35"/>
    </row>
    <row r="958" spans="1:27" ht="15">
      <c r="A958" s="65" t="s">
        <v>216</v>
      </c>
      <c r="B958" s="65" t="s">
        <v>236</v>
      </c>
      <c r="C958" s="66" t="s">
        <v>2113</v>
      </c>
      <c r="D958" s="67">
        <v>3</v>
      </c>
      <c r="E958" s="68"/>
      <c r="F958" s="69">
        <v>40</v>
      </c>
      <c r="G958" s="66"/>
      <c r="H958" s="70"/>
      <c r="I958" s="71"/>
      <c r="J958" s="71"/>
      <c r="K958" s="35" t="s">
        <v>66</v>
      </c>
      <c r="L958" s="79">
        <v>958</v>
      </c>
      <c r="M958" s="79"/>
      <c r="N958" s="73"/>
      <c r="O958" s="81" t="s">
        <v>292</v>
      </c>
      <c r="P958">
        <v>1</v>
      </c>
      <c r="Q958" s="80" t="str">
        <f>REPLACE(INDEX(GroupVertices[Group],MATCH(Edges[[#This Row],[Vertex 1]],GroupVertices[Vertex],0)),1,1,"")</f>
        <v>1</v>
      </c>
      <c r="R958" s="80" t="str">
        <f>REPLACE(INDEX(GroupVertices[Group],MATCH(Edges[[#This Row],[Vertex 2]],GroupVertices[Vertex],0)),1,1,"")</f>
        <v>2</v>
      </c>
      <c r="S958" s="35"/>
      <c r="T958" s="35"/>
      <c r="U958" s="35"/>
      <c r="V958" s="35"/>
      <c r="W958" s="35"/>
      <c r="X958" s="35"/>
      <c r="Y958" s="35"/>
      <c r="Z958" s="35"/>
      <c r="AA958" s="35"/>
    </row>
    <row r="959" spans="1:27" ht="15">
      <c r="A959" s="65" t="s">
        <v>221</v>
      </c>
      <c r="B959" s="65" t="s">
        <v>236</v>
      </c>
      <c r="C959" s="66" t="s">
        <v>2113</v>
      </c>
      <c r="D959" s="67">
        <v>3</v>
      </c>
      <c r="E959" s="68"/>
      <c r="F959" s="69">
        <v>40</v>
      </c>
      <c r="G959" s="66"/>
      <c r="H959" s="70"/>
      <c r="I959" s="71"/>
      <c r="J959" s="71"/>
      <c r="K959" s="35" t="s">
        <v>65</v>
      </c>
      <c r="L959" s="79">
        <v>959</v>
      </c>
      <c r="M959" s="79"/>
      <c r="N959" s="73"/>
      <c r="O959" s="81" t="s">
        <v>292</v>
      </c>
      <c r="P959">
        <v>1</v>
      </c>
      <c r="Q959" s="80" t="str">
        <f>REPLACE(INDEX(GroupVertices[Group],MATCH(Edges[[#This Row],[Vertex 1]],GroupVertices[Vertex],0)),1,1,"")</f>
        <v>1</v>
      </c>
      <c r="R959" s="80" t="str">
        <f>REPLACE(INDEX(GroupVertices[Group],MATCH(Edges[[#This Row],[Vertex 2]],GroupVertices[Vertex],0)),1,1,"")</f>
        <v>2</v>
      </c>
      <c r="S959" s="35"/>
      <c r="T959" s="35"/>
      <c r="U959" s="35"/>
      <c r="V959" s="35"/>
      <c r="W959" s="35"/>
      <c r="X959" s="35"/>
      <c r="Y959" s="35"/>
      <c r="Z959" s="35"/>
      <c r="AA959" s="35"/>
    </row>
    <row r="960" spans="1:27" ht="15">
      <c r="A960" s="65" t="s">
        <v>647</v>
      </c>
      <c r="B960" s="65" t="s">
        <v>236</v>
      </c>
      <c r="C960" s="66" t="s">
        <v>2113</v>
      </c>
      <c r="D960" s="67">
        <v>3</v>
      </c>
      <c r="E960" s="68"/>
      <c r="F960" s="69">
        <v>40</v>
      </c>
      <c r="G960" s="66"/>
      <c r="H960" s="70"/>
      <c r="I960" s="71"/>
      <c r="J960" s="71"/>
      <c r="K960" s="35" t="s">
        <v>65</v>
      </c>
      <c r="L960" s="79">
        <v>960</v>
      </c>
      <c r="M960" s="79"/>
      <c r="N960" s="73"/>
      <c r="O960" s="81" t="s">
        <v>293</v>
      </c>
      <c r="P960">
        <v>1</v>
      </c>
      <c r="Q960" s="80" t="str">
        <f>REPLACE(INDEX(GroupVertices[Group],MATCH(Edges[[#This Row],[Vertex 1]],GroupVertices[Vertex],0)),1,1,"")</f>
        <v>2</v>
      </c>
      <c r="R960" s="80" t="str">
        <f>REPLACE(INDEX(GroupVertices[Group],MATCH(Edges[[#This Row],[Vertex 2]],GroupVertices[Vertex],0)),1,1,"")</f>
        <v>2</v>
      </c>
      <c r="S960" s="35"/>
      <c r="T960" s="35"/>
      <c r="U960" s="35"/>
      <c r="V960" s="35"/>
      <c r="W960" s="35"/>
      <c r="X960" s="35"/>
      <c r="Y960" s="35"/>
      <c r="Z960" s="35"/>
      <c r="AA960" s="35"/>
    </row>
    <row r="961" spans="1:27" ht="15">
      <c r="A961" s="65" t="s">
        <v>232</v>
      </c>
      <c r="B961" s="65" t="s">
        <v>644</v>
      </c>
      <c r="C961" s="66" t="s">
        <v>2113</v>
      </c>
      <c r="D961" s="67">
        <v>3</v>
      </c>
      <c r="E961" s="68"/>
      <c r="F961" s="69">
        <v>40</v>
      </c>
      <c r="G961" s="66"/>
      <c r="H961" s="70"/>
      <c r="I961" s="71"/>
      <c r="J961" s="71"/>
      <c r="K961" s="35" t="s">
        <v>65</v>
      </c>
      <c r="L961" s="79">
        <v>961</v>
      </c>
      <c r="M961" s="79"/>
      <c r="N961" s="73"/>
      <c r="O961" s="81" t="s">
        <v>292</v>
      </c>
      <c r="P961">
        <v>1</v>
      </c>
      <c r="Q961" s="80" t="str">
        <f>REPLACE(INDEX(GroupVertices[Group],MATCH(Edges[[#This Row],[Vertex 1]],GroupVertices[Vertex],0)),1,1,"")</f>
        <v>2</v>
      </c>
      <c r="R961" s="80" t="str">
        <f>REPLACE(INDEX(GroupVertices[Group],MATCH(Edges[[#This Row],[Vertex 2]],GroupVertices[Vertex],0)),1,1,"")</f>
        <v>2</v>
      </c>
      <c r="S961" s="35"/>
      <c r="T961" s="35"/>
      <c r="U961" s="35"/>
      <c r="V961" s="35"/>
      <c r="W961" s="35"/>
      <c r="X961" s="35"/>
      <c r="Y961" s="35"/>
      <c r="Z961" s="35"/>
      <c r="AA961" s="35"/>
    </row>
    <row r="962" spans="1:27" ht="15">
      <c r="A962" s="65" t="s">
        <v>645</v>
      </c>
      <c r="B962" s="65" t="s">
        <v>644</v>
      </c>
      <c r="C962" s="66" t="s">
        <v>2113</v>
      </c>
      <c r="D962" s="67">
        <v>3</v>
      </c>
      <c r="E962" s="68"/>
      <c r="F962" s="69">
        <v>40</v>
      </c>
      <c r="G962" s="66"/>
      <c r="H962" s="70"/>
      <c r="I962" s="71"/>
      <c r="J962" s="71"/>
      <c r="K962" s="35" t="s">
        <v>65</v>
      </c>
      <c r="L962" s="79">
        <v>962</v>
      </c>
      <c r="M962" s="79"/>
      <c r="N962" s="73"/>
      <c r="O962" s="81" t="s">
        <v>292</v>
      </c>
      <c r="P962">
        <v>1</v>
      </c>
      <c r="Q962" s="80" t="str">
        <f>REPLACE(INDEX(GroupVertices[Group],MATCH(Edges[[#This Row],[Vertex 1]],GroupVertices[Vertex],0)),1,1,"")</f>
        <v>2</v>
      </c>
      <c r="R962" s="80" t="str">
        <f>REPLACE(INDEX(GroupVertices[Group],MATCH(Edges[[#This Row],[Vertex 2]],GroupVertices[Vertex],0)),1,1,"")</f>
        <v>2</v>
      </c>
      <c r="S962" s="35"/>
      <c r="T962" s="35"/>
      <c r="U962" s="35"/>
      <c r="V962" s="35"/>
      <c r="W962" s="35"/>
      <c r="X962" s="35"/>
      <c r="Y962" s="35"/>
      <c r="Z962" s="35"/>
      <c r="AA962" s="35"/>
    </row>
    <row r="963" spans="1:27" ht="15">
      <c r="A963" s="65" t="s">
        <v>216</v>
      </c>
      <c r="B963" s="65" t="s">
        <v>644</v>
      </c>
      <c r="C963" s="66" t="s">
        <v>2113</v>
      </c>
      <c r="D963" s="67">
        <v>3</v>
      </c>
      <c r="E963" s="68"/>
      <c r="F963" s="69">
        <v>40</v>
      </c>
      <c r="G963" s="66"/>
      <c r="H963" s="70"/>
      <c r="I963" s="71"/>
      <c r="J963" s="71"/>
      <c r="K963" s="35" t="s">
        <v>65</v>
      </c>
      <c r="L963" s="79">
        <v>963</v>
      </c>
      <c r="M963" s="79"/>
      <c r="N963" s="73"/>
      <c r="O963" s="81" t="s">
        <v>292</v>
      </c>
      <c r="P963">
        <v>1</v>
      </c>
      <c r="Q963" s="80" t="str">
        <f>REPLACE(INDEX(GroupVertices[Group],MATCH(Edges[[#This Row],[Vertex 1]],GroupVertices[Vertex],0)),1,1,"")</f>
        <v>1</v>
      </c>
      <c r="R963" s="80" t="str">
        <f>REPLACE(INDEX(GroupVertices[Group],MATCH(Edges[[#This Row],[Vertex 2]],GroupVertices[Vertex],0)),1,1,"")</f>
        <v>2</v>
      </c>
      <c r="S963" s="35"/>
      <c r="T963" s="35"/>
      <c r="U963" s="35"/>
      <c r="V963" s="35"/>
      <c r="W963" s="35"/>
      <c r="X963" s="35"/>
      <c r="Y963" s="35"/>
      <c r="Z963" s="35"/>
      <c r="AA963" s="35"/>
    </row>
    <row r="964" spans="1:27" ht="15">
      <c r="A964" s="65" t="s">
        <v>221</v>
      </c>
      <c r="B964" s="65" t="s">
        <v>644</v>
      </c>
      <c r="C964" s="66" t="s">
        <v>2113</v>
      </c>
      <c r="D964" s="67">
        <v>3</v>
      </c>
      <c r="E964" s="68"/>
      <c r="F964" s="69">
        <v>40</v>
      </c>
      <c r="G964" s="66"/>
      <c r="H964" s="70"/>
      <c r="I964" s="71"/>
      <c r="J964" s="71"/>
      <c r="K964" s="35" t="s">
        <v>65</v>
      </c>
      <c r="L964" s="79">
        <v>964</v>
      </c>
      <c r="M964" s="79"/>
      <c r="N964" s="73"/>
      <c r="O964" s="81" t="s">
        <v>292</v>
      </c>
      <c r="P964">
        <v>1</v>
      </c>
      <c r="Q964" s="80" t="str">
        <f>REPLACE(INDEX(GroupVertices[Group],MATCH(Edges[[#This Row],[Vertex 1]],GroupVertices[Vertex],0)),1,1,"")</f>
        <v>1</v>
      </c>
      <c r="R964" s="80" t="str">
        <f>REPLACE(INDEX(GroupVertices[Group],MATCH(Edges[[#This Row],[Vertex 2]],GroupVertices[Vertex],0)),1,1,"")</f>
        <v>2</v>
      </c>
      <c r="S964" s="35"/>
      <c r="T964" s="35"/>
      <c r="U964" s="35"/>
      <c r="V964" s="35"/>
      <c r="W964" s="35"/>
      <c r="X964" s="35"/>
      <c r="Y964" s="35"/>
      <c r="Z964" s="35"/>
      <c r="AA964" s="35"/>
    </row>
    <row r="965" spans="1:27" ht="15">
      <c r="A965" s="65" t="s">
        <v>647</v>
      </c>
      <c r="B965" s="65" t="s">
        <v>644</v>
      </c>
      <c r="C965" s="66" t="s">
        <v>2113</v>
      </c>
      <c r="D965" s="67">
        <v>3</v>
      </c>
      <c r="E965" s="68"/>
      <c r="F965" s="69">
        <v>40</v>
      </c>
      <c r="G965" s="66"/>
      <c r="H965" s="70"/>
      <c r="I965" s="71"/>
      <c r="J965" s="71"/>
      <c r="K965" s="35" t="s">
        <v>65</v>
      </c>
      <c r="L965" s="79">
        <v>965</v>
      </c>
      <c r="M965" s="79"/>
      <c r="N965" s="73"/>
      <c r="O965" s="81" t="s">
        <v>293</v>
      </c>
      <c r="P965">
        <v>1</v>
      </c>
      <c r="Q965" s="80" t="str">
        <f>REPLACE(INDEX(GroupVertices[Group],MATCH(Edges[[#This Row],[Vertex 1]],GroupVertices[Vertex],0)),1,1,"")</f>
        <v>2</v>
      </c>
      <c r="R965" s="80" t="str">
        <f>REPLACE(INDEX(GroupVertices[Group],MATCH(Edges[[#This Row],[Vertex 2]],GroupVertices[Vertex],0)),1,1,"")</f>
        <v>2</v>
      </c>
      <c r="S965" s="35"/>
      <c r="T965" s="35"/>
      <c r="U965" s="35"/>
      <c r="V965" s="35"/>
      <c r="W965" s="35"/>
      <c r="X965" s="35"/>
      <c r="Y965" s="35"/>
      <c r="Z965" s="35"/>
      <c r="AA965" s="35"/>
    </row>
    <row r="966" spans="1:27" ht="15">
      <c r="A966" s="65" t="s">
        <v>647</v>
      </c>
      <c r="B966" s="65" t="s">
        <v>667</v>
      </c>
      <c r="C966" s="66" t="s">
        <v>2113</v>
      </c>
      <c r="D966" s="67">
        <v>3</v>
      </c>
      <c r="E966" s="68"/>
      <c r="F966" s="69">
        <v>40</v>
      </c>
      <c r="G966" s="66"/>
      <c r="H966" s="70"/>
      <c r="I966" s="71"/>
      <c r="J966" s="71"/>
      <c r="K966" s="35" t="s">
        <v>65</v>
      </c>
      <c r="L966" s="79">
        <v>966</v>
      </c>
      <c r="M966" s="79"/>
      <c r="N966" s="73"/>
      <c r="O966" s="81" t="s">
        <v>293</v>
      </c>
      <c r="P966">
        <v>1</v>
      </c>
      <c r="Q966" s="80" t="str">
        <f>REPLACE(INDEX(GroupVertices[Group],MATCH(Edges[[#This Row],[Vertex 1]],GroupVertices[Vertex],0)),1,1,"")</f>
        <v>2</v>
      </c>
      <c r="R966" s="80" t="str">
        <f>REPLACE(INDEX(GroupVertices[Group],MATCH(Edges[[#This Row],[Vertex 2]],GroupVertices[Vertex],0)),1,1,"")</f>
        <v>2</v>
      </c>
      <c r="S966" s="35"/>
      <c r="T966" s="35"/>
      <c r="U966" s="35"/>
      <c r="V966" s="35"/>
      <c r="W966" s="35"/>
      <c r="X966" s="35"/>
      <c r="Y966" s="35"/>
      <c r="Z966" s="35"/>
      <c r="AA966" s="35"/>
    </row>
    <row r="967" spans="1:27" ht="15">
      <c r="A967" s="65" t="s">
        <v>647</v>
      </c>
      <c r="B967" s="65" t="s">
        <v>649</v>
      </c>
      <c r="C967" s="66" t="s">
        <v>2113</v>
      </c>
      <c r="D967" s="67">
        <v>3</v>
      </c>
      <c r="E967" s="68"/>
      <c r="F967" s="69">
        <v>40</v>
      </c>
      <c r="G967" s="66"/>
      <c r="H967" s="70"/>
      <c r="I967" s="71"/>
      <c r="J967" s="71"/>
      <c r="K967" s="35" t="s">
        <v>65</v>
      </c>
      <c r="L967" s="79">
        <v>967</v>
      </c>
      <c r="M967" s="79"/>
      <c r="N967" s="73"/>
      <c r="O967" s="81" t="s">
        <v>293</v>
      </c>
      <c r="P967">
        <v>1</v>
      </c>
      <c r="Q967" s="80" t="str">
        <f>REPLACE(INDEX(GroupVertices[Group],MATCH(Edges[[#This Row],[Vertex 1]],GroupVertices[Vertex],0)),1,1,"")</f>
        <v>2</v>
      </c>
      <c r="R967" s="80" t="str">
        <f>REPLACE(INDEX(GroupVertices[Group],MATCH(Edges[[#This Row],[Vertex 2]],GroupVertices[Vertex],0)),1,1,"")</f>
        <v>2</v>
      </c>
      <c r="S967" s="35"/>
      <c r="T967" s="35"/>
      <c r="U967" s="35"/>
      <c r="V967" s="35"/>
      <c r="W967" s="35"/>
      <c r="X967" s="35"/>
      <c r="Y967" s="35"/>
      <c r="Z967" s="35"/>
      <c r="AA967" s="35"/>
    </row>
    <row r="968" spans="1:27" ht="15">
      <c r="A968" s="65" t="s">
        <v>645</v>
      </c>
      <c r="B968" s="65" t="s">
        <v>232</v>
      </c>
      <c r="C968" s="66" t="s">
        <v>2113</v>
      </c>
      <c r="D968" s="67">
        <v>3</v>
      </c>
      <c r="E968" s="68"/>
      <c r="F968" s="69">
        <v>40</v>
      </c>
      <c r="G968" s="66"/>
      <c r="H968" s="70"/>
      <c r="I968" s="71"/>
      <c r="J968" s="71"/>
      <c r="K968" s="35" t="s">
        <v>65</v>
      </c>
      <c r="L968" s="79">
        <v>968</v>
      </c>
      <c r="M968" s="79"/>
      <c r="N968" s="73"/>
      <c r="O968" s="81" t="s">
        <v>292</v>
      </c>
      <c r="P968">
        <v>1</v>
      </c>
      <c r="Q968" s="80" t="str">
        <f>REPLACE(INDEX(GroupVertices[Group],MATCH(Edges[[#This Row],[Vertex 1]],GroupVertices[Vertex],0)),1,1,"")</f>
        <v>2</v>
      </c>
      <c r="R968" s="80" t="str">
        <f>REPLACE(INDEX(GroupVertices[Group],MATCH(Edges[[#This Row],[Vertex 2]],GroupVertices[Vertex],0)),1,1,"")</f>
        <v>2</v>
      </c>
      <c r="S968" s="35"/>
      <c r="T968" s="35"/>
      <c r="U968" s="35"/>
      <c r="V968" s="35"/>
      <c r="W968" s="35"/>
      <c r="X968" s="35"/>
      <c r="Y968" s="35"/>
      <c r="Z968" s="35"/>
      <c r="AA968" s="35"/>
    </row>
    <row r="969" spans="1:27" ht="15">
      <c r="A969" s="65" t="s">
        <v>216</v>
      </c>
      <c r="B969" s="65" t="s">
        <v>232</v>
      </c>
      <c r="C969" s="66" t="s">
        <v>2114</v>
      </c>
      <c r="D969" s="67">
        <v>3</v>
      </c>
      <c r="E969" s="68"/>
      <c r="F969" s="69">
        <v>40</v>
      </c>
      <c r="G969" s="66"/>
      <c r="H969" s="70"/>
      <c r="I969" s="71"/>
      <c r="J969" s="71"/>
      <c r="K969" s="35" t="s">
        <v>66</v>
      </c>
      <c r="L969" s="79">
        <v>969</v>
      </c>
      <c r="M969" s="79"/>
      <c r="N969" s="73"/>
      <c r="O969" s="81" t="s">
        <v>292</v>
      </c>
      <c r="P969">
        <v>2</v>
      </c>
      <c r="Q969" s="80" t="str">
        <f>REPLACE(INDEX(GroupVertices[Group],MATCH(Edges[[#This Row],[Vertex 1]],GroupVertices[Vertex],0)),1,1,"")</f>
        <v>1</v>
      </c>
      <c r="R969" s="80" t="str">
        <f>REPLACE(INDEX(GroupVertices[Group],MATCH(Edges[[#This Row],[Vertex 2]],GroupVertices[Vertex],0)),1,1,"")</f>
        <v>2</v>
      </c>
      <c r="S969" s="35"/>
      <c r="T969" s="35"/>
      <c r="U969" s="35"/>
      <c r="V969" s="35"/>
      <c r="W969" s="35"/>
      <c r="X969" s="35"/>
      <c r="Y969" s="35"/>
      <c r="Z969" s="35"/>
      <c r="AA969" s="35"/>
    </row>
    <row r="970" spans="1:27" ht="15">
      <c r="A970" s="65" t="s">
        <v>221</v>
      </c>
      <c r="B970" s="65" t="s">
        <v>232</v>
      </c>
      <c r="C970" s="66" t="s">
        <v>2113</v>
      </c>
      <c r="D970" s="67">
        <v>3</v>
      </c>
      <c r="E970" s="68"/>
      <c r="F970" s="69">
        <v>40</v>
      </c>
      <c r="G970" s="66"/>
      <c r="H970" s="70"/>
      <c r="I970" s="71"/>
      <c r="J970" s="71"/>
      <c r="K970" s="35" t="s">
        <v>66</v>
      </c>
      <c r="L970" s="79">
        <v>970</v>
      </c>
      <c r="M970" s="79"/>
      <c r="N970" s="73"/>
      <c r="O970" s="81" t="s">
        <v>292</v>
      </c>
      <c r="P970">
        <v>1</v>
      </c>
      <c r="Q970" s="80" t="str">
        <f>REPLACE(INDEX(GroupVertices[Group],MATCH(Edges[[#This Row],[Vertex 1]],GroupVertices[Vertex],0)),1,1,"")</f>
        <v>1</v>
      </c>
      <c r="R970" s="80" t="str">
        <f>REPLACE(INDEX(GroupVertices[Group],MATCH(Edges[[#This Row],[Vertex 2]],GroupVertices[Vertex],0)),1,1,"")</f>
        <v>2</v>
      </c>
      <c r="S970" s="35"/>
      <c r="T970" s="35"/>
      <c r="U970" s="35"/>
      <c r="V970" s="35"/>
      <c r="W970" s="35"/>
      <c r="X970" s="35"/>
      <c r="Y970" s="35"/>
      <c r="Z970" s="35"/>
      <c r="AA970" s="35"/>
    </row>
    <row r="971" spans="1:27" ht="15">
      <c r="A971" s="65" t="s">
        <v>243</v>
      </c>
      <c r="B971" s="65" t="s">
        <v>232</v>
      </c>
      <c r="C971" s="66" t="s">
        <v>2114</v>
      </c>
      <c r="D971" s="67">
        <v>3</v>
      </c>
      <c r="E971" s="68"/>
      <c r="F971" s="69">
        <v>40</v>
      </c>
      <c r="G971" s="66"/>
      <c r="H971" s="70"/>
      <c r="I971" s="71"/>
      <c r="J971" s="71"/>
      <c r="K971" s="35" t="s">
        <v>66</v>
      </c>
      <c r="L971" s="79">
        <v>971</v>
      </c>
      <c r="M971" s="79"/>
      <c r="N971" s="73"/>
      <c r="O971" s="81" t="s">
        <v>292</v>
      </c>
      <c r="P971">
        <v>2</v>
      </c>
      <c r="Q971" s="80" t="str">
        <f>REPLACE(INDEX(GroupVertices[Group],MATCH(Edges[[#This Row],[Vertex 1]],GroupVertices[Vertex],0)),1,1,"")</f>
        <v>1</v>
      </c>
      <c r="R971" s="80" t="str">
        <f>REPLACE(INDEX(GroupVertices[Group],MATCH(Edges[[#This Row],[Vertex 2]],GroupVertices[Vertex],0)),1,1,"")</f>
        <v>2</v>
      </c>
      <c r="S971" s="35"/>
      <c r="T971" s="35"/>
      <c r="U971" s="35"/>
      <c r="V971" s="35"/>
      <c r="W971" s="35"/>
      <c r="X971" s="35"/>
      <c r="Y971" s="35"/>
      <c r="Z971" s="35"/>
      <c r="AA971" s="35"/>
    </row>
    <row r="972" spans="1:27" ht="15">
      <c r="A972" s="65" t="s">
        <v>232</v>
      </c>
      <c r="B972" s="65" t="s">
        <v>216</v>
      </c>
      <c r="C972" s="66" t="s">
        <v>2114</v>
      </c>
      <c r="D972" s="67">
        <v>3</v>
      </c>
      <c r="E972" s="68"/>
      <c r="F972" s="69">
        <v>40</v>
      </c>
      <c r="G972" s="66"/>
      <c r="H972" s="70"/>
      <c r="I972" s="71"/>
      <c r="J972" s="71"/>
      <c r="K972" s="35" t="s">
        <v>66</v>
      </c>
      <c r="L972" s="79">
        <v>972</v>
      </c>
      <c r="M972" s="79"/>
      <c r="N972" s="73"/>
      <c r="O972" s="81" t="s">
        <v>293</v>
      </c>
      <c r="P972">
        <v>2</v>
      </c>
      <c r="Q972" s="80" t="str">
        <f>REPLACE(INDEX(GroupVertices[Group],MATCH(Edges[[#This Row],[Vertex 1]],GroupVertices[Vertex],0)),1,1,"")</f>
        <v>2</v>
      </c>
      <c r="R972" s="80" t="str">
        <f>REPLACE(INDEX(GroupVertices[Group],MATCH(Edges[[#This Row],[Vertex 2]],GroupVertices[Vertex],0)),1,1,"")</f>
        <v>1</v>
      </c>
      <c r="S972" s="35"/>
      <c r="T972" s="35"/>
      <c r="U972" s="35"/>
      <c r="V972" s="35"/>
      <c r="W972" s="35"/>
      <c r="X972" s="35"/>
      <c r="Y972" s="35"/>
      <c r="Z972" s="35"/>
      <c r="AA972" s="35"/>
    </row>
    <row r="973" spans="1:27" ht="15">
      <c r="A973" s="65" t="s">
        <v>232</v>
      </c>
      <c r="B973" s="65" t="s">
        <v>243</v>
      </c>
      <c r="C973" s="66" t="s">
        <v>2113</v>
      </c>
      <c r="D973" s="67">
        <v>3</v>
      </c>
      <c r="E973" s="68"/>
      <c r="F973" s="69">
        <v>40</v>
      </c>
      <c r="G973" s="66"/>
      <c r="H973" s="70"/>
      <c r="I973" s="71"/>
      <c r="J973" s="71"/>
      <c r="K973" s="35" t="s">
        <v>66</v>
      </c>
      <c r="L973" s="79">
        <v>973</v>
      </c>
      <c r="M973" s="79"/>
      <c r="N973" s="73"/>
      <c r="O973" s="81" t="s">
        <v>293</v>
      </c>
      <c r="P973">
        <v>1</v>
      </c>
      <c r="Q973" s="80" t="str">
        <f>REPLACE(INDEX(GroupVertices[Group],MATCH(Edges[[#This Row],[Vertex 1]],GroupVertices[Vertex],0)),1,1,"")</f>
        <v>2</v>
      </c>
      <c r="R973" s="80" t="str">
        <f>REPLACE(INDEX(GroupVertices[Group],MATCH(Edges[[#This Row],[Vertex 2]],GroupVertices[Vertex],0)),1,1,"")</f>
        <v>1</v>
      </c>
      <c r="S973" s="35"/>
      <c r="T973" s="35"/>
      <c r="U973" s="35"/>
      <c r="V973" s="35"/>
      <c r="W973" s="35"/>
      <c r="X973" s="35"/>
      <c r="Y973" s="35"/>
      <c r="Z973" s="35"/>
      <c r="AA973" s="35"/>
    </row>
    <row r="974" spans="1:27" ht="15">
      <c r="A974" s="65" t="s">
        <v>647</v>
      </c>
      <c r="B974" s="65" t="s">
        <v>232</v>
      </c>
      <c r="C974" s="66" t="s">
        <v>2113</v>
      </c>
      <c r="D974" s="67">
        <v>3</v>
      </c>
      <c r="E974" s="68"/>
      <c r="F974" s="69">
        <v>40</v>
      </c>
      <c r="G974" s="66"/>
      <c r="H974" s="70"/>
      <c r="I974" s="71"/>
      <c r="J974" s="71"/>
      <c r="K974" s="35" t="s">
        <v>65</v>
      </c>
      <c r="L974" s="79">
        <v>974</v>
      </c>
      <c r="M974" s="79"/>
      <c r="N974" s="73"/>
      <c r="O974" s="81" t="s">
        <v>293</v>
      </c>
      <c r="P974">
        <v>1</v>
      </c>
      <c r="Q974" s="80" t="str">
        <f>REPLACE(INDEX(GroupVertices[Group],MATCH(Edges[[#This Row],[Vertex 1]],GroupVertices[Vertex],0)),1,1,"")</f>
        <v>2</v>
      </c>
      <c r="R974" s="80" t="str">
        <f>REPLACE(INDEX(GroupVertices[Group],MATCH(Edges[[#This Row],[Vertex 2]],GroupVertices[Vertex],0)),1,1,"")</f>
        <v>2</v>
      </c>
      <c r="S974" s="35"/>
      <c r="T974" s="35"/>
      <c r="U974" s="35"/>
      <c r="V974" s="35"/>
      <c r="W974" s="35"/>
      <c r="X974" s="35"/>
      <c r="Y974" s="35"/>
      <c r="Z974" s="35"/>
      <c r="AA974" s="35"/>
    </row>
    <row r="975" spans="1:27" ht="15">
      <c r="A975" s="65" t="s">
        <v>216</v>
      </c>
      <c r="B975" s="65" t="s">
        <v>645</v>
      </c>
      <c r="C975" s="66" t="s">
        <v>2113</v>
      </c>
      <c r="D975" s="67">
        <v>3</v>
      </c>
      <c r="E975" s="68"/>
      <c r="F975" s="69">
        <v>40</v>
      </c>
      <c r="G975" s="66"/>
      <c r="H975" s="70"/>
      <c r="I975" s="71"/>
      <c r="J975" s="71"/>
      <c r="K975" s="35" t="s">
        <v>65</v>
      </c>
      <c r="L975" s="79">
        <v>975</v>
      </c>
      <c r="M975" s="79"/>
      <c r="N975" s="73"/>
      <c r="O975" s="81" t="s">
        <v>292</v>
      </c>
      <c r="P975">
        <v>1</v>
      </c>
      <c r="Q975" s="80" t="str">
        <f>REPLACE(INDEX(GroupVertices[Group],MATCH(Edges[[#This Row],[Vertex 1]],GroupVertices[Vertex],0)),1,1,"")</f>
        <v>1</v>
      </c>
      <c r="R975" s="80" t="str">
        <f>REPLACE(INDEX(GroupVertices[Group],MATCH(Edges[[#This Row],[Vertex 2]],GroupVertices[Vertex],0)),1,1,"")</f>
        <v>2</v>
      </c>
      <c r="S975" s="35"/>
      <c r="T975" s="35"/>
      <c r="U975" s="35"/>
      <c r="V975" s="35"/>
      <c r="W975" s="35"/>
      <c r="X975" s="35"/>
      <c r="Y975" s="35"/>
      <c r="Z975" s="35"/>
      <c r="AA975" s="35"/>
    </row>
    <row r="976" spans="1:27" ht="15">
      <c r="A976" s="65" t="s">
        <v>221</v>
      </c>
      <c r="B976" s="65" t="s">
        <v>645</v>
      </c>
      <c r="C976" s="66" t="s">
        <v>2113</v>
      </c>
      <c r="D976" s="67">
        <v>3</v>
      </c>
      <c r="E976" s="68"/>
      <c r="F976" s="69">
        <v>40</v>
      </c>
      <c r="G976" s="66"/>
      <c r="H976" s="70"/>
      <c r="I976" s="71"/>
      <c r="J976" s="71"/>
      <c r="K976" s="35" t="s">
        <v>65</v>
      </c>
      <c r="L976" s="79">
        <v>976</v>
      </c>
      <c r="M976" s="79"/>
      <c r="N976" s="73"/>
      <c r="O976" s="81" t="s">
        <v>292</v>
      </c>
      <c r="P976">
        <v>1</v>
      </c>
      <c r="Q976" s="80" t="str">
        <f>REPLACE(INDEX(GroupVertices[Group],MATCH(Edges[[#This Row],[Vertex 1]],GroupVertices[Vertex],0)),1,1,"")</f>
        <v>1</v>
      </c>
      <c r="R976" s="80" t="str">
        <f>REPLACE(INDEX(GroupVertices[Group],MATCH(Edges[[#This Row],[Vertex 2]],GroupVertices[Vertex],0)),1,1,"")</f>
        <v>2</v>
      </c>
      <c r="S976" s="35"/>
      <c r="T976" s="35"/>
      <c r="U976" s="35"/>
      <c r="V976" s="35"/>
      <c r="W976" s="35"/>
      <c r="X976" s="35"/>
      <c r="Y976" s="35"/>
      <c r="Z976" s="35"/>
      <c r="AA976" s="35"/>
    </row>
    <row r="977" spans="1:27" ht="15">
      <c r="A977" s="65" t="s">
        <v>647</v>
      </c>
      <c r="B977" s="65" t="s">
        <v>645</v>
      </c>
      <c r="C977" s="66" t="s">
        <v>2113</v>
      </c>
      <c r="D977" s="67">
        <v>3</v>
      </c>
      <c r="E977" s="68"/>
      <c r="F977" s="69">
        <v>40</v>
      </c>
      <c r="G977" s="66"/>
      <c r="H977" s="70"/>
      <c r="I977" s="71"/>
      <c r="J977" s="71"/>
      <c r="K977" s="35" t="s">
        <v>65</v>
      </c>
      <c r="L977" s="79">
        <v>977</v>
      </c>
      <c r="M977" s="79"/>
      <c r="N977" s="73"/>
      <c r="O977" s="81" t="s">
        <v>293</v>
      </c>
      <c r="P977">
        <v>1</v>
      </c>
      <c r="Q977" s="80" t="str">
        <f>REPLACE(INDEX(GroupVertices[Group],MATCH(Edges[[#This Row],[Vertex 1]],GroupVertices[Vertex],0)),1,1,"")</f>
        <v>2</v>
      </c>
      <c r="R977" s="80" t="str">
        <f>REPLACE(INDEX(GroupVertices[Group],MATCH(Edges[[#This Row],[Vertex 2]],GroupVertices[Vertex],0)),1,1,"")</f>
        <v>2</v>
      </c>
      <c r="S977" s="35"/>
      <c r="T977" s="35"/>
      <c r="U977" s="35"/>
      <c r="V977" s="35"/>
      <c r="W977" s="35"/>
      <c r="X977" s="35"/>
      <c r="Y977" s="35"/>
      <c r="Z977" s="35"/>
      <c r="AA977" s="35"/>
    </row>
    <row r="978" spans="1:27" ht="15">
      <c r="A978" s="65" t="s">
        <v>647</v>
      </c>
      <c r="B978" s="65" t="s">
        <v>668</v>
      </c>
      <c r="C978" s="66" t="s">
        <v>2113</v>
      </c>
      <c r="D978" s="67">
        <v>3</v>
      </c>
      <c r="E978" s="68"/>
      <c r="F978" s="69">
        <v>40</v>
      </c>
      <c r="G978" s="66"/>
      <c r="H978" s="70"/>
      <c r="I978" s="71"/>
      <c r="J978" s="71"/>
      <c r="K978" s="35" t="s">
        <v>65</v>
      </c>
      <c r="L978" s="79">
        <v>978</v>
      </c>
      <c r="M978" s="79"/>
      <c r="N978" s="73"/>
      <c r="O978" s="81" t="s">
        <v>293</v>
      </c>
      <c r="P978">
        <v>1</v>
      </c>
      <c r="Q978" s="80" t="str">
        <f>REPLACE(INDEX(GroupVertices[Group],MATCH(Edges[[#This Row],[Vertex 1]],GroupVertices[Vertex],0)),1,1,"")</f>
        <v>2</v>
      </c>
      <c r="R978" s="80" t="str">
        <f>REPLACE(INDEX(GroupVertices[Group],MATCH(Edges[[#This Row],[Vertex 2]],GroupVertices[Vertex],0)),1,1,"")</f>
        <v>2</v>
      </c>
      <c r="S978" s="35"/>
      <c r="T978" s="35"/>
      <c r="U978" s="35"/>
      <c r="V978" s="35"/>
      <c r="W978" s="35"/>
      <c r="X978" s="35"/>
      <c r="Y978" s="35"/>
      <c r="Z978" s="35"/>
      <c r="AA978" s="35"/>
    </row>
    <row r="979" spans="1:27" ht="15">
      <c r="A979" s="65" t="s">
        <v>221</v>
      </c>
      <c r="B979" s="65" t="s">
        <v>216</v>
      </c>
      <c r="C979" s="66" t="s">
        <v>2114</v>
      </c>
      <c r="D979" s="67">
        <v>3</v>
      </c>
      <c r="E979" s="68"/>
      <c r="F979" s="69">
        <v>40</v>
      </c>
      <c r="G979" s="66"/>
      <c r="H979" s="70"/>
      <c r="I979" s="71"/>
      <c r="J979" s="71"/>
      <c r="K979" s="35" t="s">
        <v>65</v>
      </c>
      <c r="L979" s="79">
        <v>979</v>
      </c>
      <c r="M979" s="79"/>
      <c r="N979" s="73"/>
      <c r="O979" s="81" t="s">
        <v>292</v>
      </c>
      <c r="P979">
        <v>2</v>
      </c>
      <c r="Q979" s="80" t="str">
        <f>REPLACE(INDEX(GroupVertices[Group],MATCH(Edges[[#This Row],[Vertex 1]],GroupVertices[Vertex],0)),1,1,"")</f>
        <v>1</v>
      </c>
      <c r="R979" s="80" t="str">
        <f>REPLACE(INDEX(GroupVertices[Group],MATCH(Edges[[#This Row],[Vertex 2]],GroupVertices[Vertex],0)),1,1,"")</f>
        <v>1</v>
      </c>
      <c r="S979" s="35"/>
      <c r="T979" s="35"/>
      <c r="U979" s="35"/>
      <c r="V979" s="35"/>
      <c r="W979" s="35"/>
      <c r="X979" s="35"/>
      <c r="Y979" s="35"/>
      <c r="Z979" s="35"/>
      <c r="AA979" s="35"/>
    </row>
    <row r="980" spans="1:27" ht="15">
      <c r="A980" s="65" t="s">
        <v>647</v>
      </c>
      <c r="B980" s="65" t="s">
        <v>216</v>
      </c>
      <c r="C980" s="66" t="s">
        <v>2113</v>
      </c>
      <c r="D980" s="67">
        <v>3</v>
      </c>
      <c r="E980" s="68"/>
      <c r="F980" s="69">
        <v>40</v>
      </c>
      <c r="G980" s="66"/>
      <c r="H980" s="70"/>
      <c r="I980" s="71"/>
      <c r="J980" s="71"/>
      <c r="K980" s="35" t="s">
        <v>65</v>
      </c>
      <c r="L980" s="79">
        <v>980</v>
      </c>
      <c r="M980" s="79"/>
      <c r="N980" s="73"/>
      <c r="O980" s="81" t="s">
        <v>293</v>
      </c>
      <c r="P980">
        <v>1</v>
      </c>
      <c r="Q980" s="80" t="str">
        <f>REPLACE(INDEX(GroupVertices[Group],MATCH(Edges[[#This Row],[Vertex 1]],GroupVertices[Vertex],0)),1,1,"")</f>
        <v>2</v>
      </c>
      <c r="R980" s="80" t="str">
        <f>REPLACE(INDEX(GroupVertices[Group],MATCH(Edges[[#This Row],[Vertex 2]],GroupVertices[Vertex],0)),1,1,"")</f>
        <v>1</v>
      </c>
      <c r="S980" s="35"/>
      <c r="T980" s="35"/>
      <c r="U980" s="35"/>
      <c r="V980" s="35"/>
      <c r="W980" s="35"/>
      <c r="X980" s="35"/>
      <c r="Y980" s="35"/>
      <c r="Z980" s="35"/>
      <c r="AA980" s="35"/>
    </row>
    <row r="981" spans="1:27" ht="15">
      <c r="A981" s="65" t="s">
        <v>647</v>
      </c>
      <c r="B981" s="65" t="s">
        <v>221</v>
      </c>
      <c r="C981" s="66" t="s">
        <v>2113</v>
      </c>
      <c r="D981" s="67">
        <v>3</v>
      </c>
      <c r="E981" s="68"/>
      <c r="F981" s="69">
        <v>40</v>
      </c>
      <c r="G981" s="66"/>
      <c r="H981" s="70"/>
      <c r="I981" s="71"/>
      <c r="J981" s="71"/>
      <c r="K981" s="35" t="s">
        <v>65</v>
      </c>
      <c r="L981" s="79">
        <v>981</v>
      </c>
      <c r="M981" s="79"/>
      <c r="N981" s="73"/>
      <c r="O981" s="81" t="s">
        <v>293</v>
      </c>
      <c r="P981">
        <v>1</v>
      </c>
      <c r="Q981" s="80" t="str">
        <f>REPLACE(INDEX(GroupVertices[Group],MATCH(Edges[[#This Row],[Vertex 1]],GroupVertices[Vertex],0)),1,1,"")</f>
        <v>2</v>
      </c>
      <c r="R981" s="80" t="str">
        <f>REPLACE(INDEX(GroupVertices[Group],MATCH(Edges[[#This Row],[Vertex 2]],GroupVertices[Vertex],0)),1,1,"")</f>
        <v>1</v>
      </c>
      <c r="S981" s="35"/>
      <c r="T981" s="35"/>
      <c r="U981" s="35"/>
      <c r="V981" s="35"/>
      <c r="W981" s="35"/>
      <c r="X981" s="35"/>
      <c r="Y981" s="35"/>
      <c r="Z981" s="35"/>
      <c r="AA981" s="35"/>
    </row>
    <row r="982" spans="1:27" ht="15">
      <c r="A982" s="83" t="s">
        <v>647</v>
      </c>
      <c r="B982" s="83" t="s">
        <v>243</v>
      </c>
      <c r="C982" s="84" t="s">
        <v>2113</v>
      </c>
      <c r="D982" s="85">
        <v>3</v>
      </c>
      <c r="E982" s="99"/>
      <c r="F982" s="86">
        <v>40</v>
      </c>
      <c r="G982" s="84"/>
      <c r="H982" s="87"/>
      <c r="I982" s="88"/>
      <c r="J982" s="88"/>
      <c r="K982" s="35" t="s">
        <v>65</v>
      </c>
      <c r="L982" s="100">
        <v>982</v>
      </c>
      <c r="M982" s="100"/>
      <c r="N982" s="95"/>
      <c r="O982" s="101" t="s">
        <v>293</v>
      </c>
      <c r="P982">
        <v>1</v>
      </c>
      <c r="Q982" s="80" t="str">
        <f>REPLACE(INDEX(GroupVertices[Group],MATCH(Edges[[#This Row],[Vertex 1]],GroupVertices[Vertex],0)),1,1,"")</f>
        <v>2</v>
      </c>
      <c r="R982" s="80" t="str">
        <f>REPLACE(INDEX(GroupVertices[Group],MATCH(Edges[[#This Row],[Vertex 2]],GroupVertices[Vertex],0)),1,1,"")</f>
        <v>1</v>
      </c>
      <c r="S982" s="35"/>
      <c r="T982" s="35"/>
      <c r="U982" s="35"/>
      <c r="V982" s="35"/>
      <c r="W982" s="35"/>
      <c r="X982" s="35"/>
      <c r="Y982" s="35"/>
      <c r="Z982" s="35"/>
      <c r="AA982"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2"/>
    <dataValidation allowBlank="1" showErrorMessage="1" sqref="N2:N9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2"/>
    <dataValidation allowBlank="1" showInputMessage="1" promptTitle="Edge Color" prompt="To select an optional edge color, right-click and select Select Color on the right-click menu." sqref="C3:C982"/>
    <dataValidation allowBlank="1" showInputMessage="1" promptTitle="Edge Width" prompt="Enter an optional edge width between 1 and 10." errorTitle="Invalid Edge Width" error="The optional edge width must be a whole number between 1 and 10." sqref="D3:D982"/>
    <dataValidation allowBlank="1" showInputMessage="1" promptTitle="Edge Opacity" prompt="Enter an optional edge opacity between 0 (transparent) and 100 (opaque)." errorTitle="Invalid Edge Opacity" error="The optional edge opacity must be a whole number between 0 and 10." sqref="F3:F9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2">
      <formula1>ValidEdgeVisibilities</formula1>
    </dataValidation>
    <dataValidation allowBlank="1" showInputMessage="1" showErrorMessage="1" promptTitle="Vertex 1 Name" prompt="Enter the name of the edge's first vertex." sqref="A3:A982"/>
    <dataValidation allowBlank="1" showInputMessage="1" showErrorMessage="1" promptTitle="Vertex 2 Name" prompt="Enter the name of the edge's second vertex." sqref="B3:B982"/>
    <dataValidation allowBlank="1" showInputMessage="1" showErrorMessage="1" promptTitle="Edge Label" prompt="Enter an optional edge label." errorTitle="Invalid Edge Visibility" error="You have entered an unrecognized edge visibility.  Try selecting from the drop-down list instead." sqref="H3:H9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FE017-9067-4A5E-B4EA-644038A5343F}">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2014</v>
      </c>
      <c r="B2" s="118" t="s">
        <v>2015</v>
      </c>
      <c r="C2" s="54" t="s">
        <v>2016</v>
      </c>
    </row>
    <row r="3" spans="1:3" ht="15">
      <c r="A3" s="117" t="s">
        <v>820</v>
      </c>
      <c r="B3" s="117" t="s">
        <v>820</v>
      </c>
      <c r="C3" s="35">
        <v>482</v>
      </c>
    </row>
    <row r="4" spans="1:3" ht="15">
      <c r="A4" s="117" t="s">
        <v>820</v>
      </c>
      <c r="B4" s="117" t="s">
        <v>821</v>
      </c>
      <c r="C4" s="35">
        <v>65</v>
      </c>
    </row>
    <row r="5" spans="1:3" ht="15">
      <c r="A5" s="117" t="s">
        <v>820</v>
      </c>
      <c r="B5" s="117" t="s">
        <v>823</v>
      </c>
      <c r="C5" s="35">
        <v>4</v>
      </c>
    </row>
    <row r="6" spans="1:3" ht="15">
      <c r="A6" s="117" t="s">
        <v>821</v>
      </c>
      <c r="B6" s="117" t="s">
        <v>820</v>
      </c>
      <c r="C6" s="35">
        <v>121</v>
      </c>
    </row>
    <row r="7" spans="1:3" ht="15">
      <c r="A7" s="117" t="s">
        <v>821</v>
      </c>
      <c r="B7" s="117" t="s">
        <v>821</v>
      </c>
      <c r="C7" s="35">
        <v>86</v>
      </c>
    </row>
    <row r="8" spans="1:3" ht="15">
      <c r="A8" s="117" t="s">
        <v>821</v>
      </c>
      <c r="B8" s="117" t="s">
        <v>823</v>
      </c>
      <c r="C8" s="35">
        <v>1</v>
      </c>
    </row>
    <row r="9" spans="1:3" ht="15">
      <c r="A9" s="117" t="s">
        <v>822</v>
      </c>
      <c r="B9" s="117" t="s">
        <v>820</v>
      </c>
      <c r="C9" s="35">
        <v>8</v>
      </c>
    </row>
    <row r="10" spans="1:3" ht="15">
      <c r="A10" s="117" t="s">
        <v>822</v>
      </c>
      <c r="B10" s="117" t="s">
        <v>822</v>
      </c>
      <c r="C10" s="35">
        <v>183</v>
      </c>
    </row>
    <row r="11" spans="1:3" ht="15">
      <c r="A11" s="117" t="s">
        <v>822</v>
      </c>
      <c r="B11" s="117" t="s">
        <v>823</v>
      </c>
      <c r="C11" s="35">
        <v>1</v>
      </c>
    </row>
    <row r="12" spans="1:3" ht="15">
      <c r="A12" s="117" t="s">
        <v>823</v>
      </c>
      <c r="B12" s="117" t="s">
        <v>820</v>
      </c>
      <c r="C12" s="35">
        <v>9</v>
      </c>
    </row>
    <row r="13" spans="1:3" ht="15">
      <c r="A13" s="117" t="s">
        <v>823</v>
      </c>
      <c r="B13" s="117" t="s">
        <v>822</v>
      </c>
      <c r="C13" s="35">
        <v>1</v>
      </c>
    </row>
    <row r="14" spans="1:3" ht="15">
      <c r="A14" s="117" t="s">
        <v>823</v>
      </c>
      <c r="B14" s="117" t="s">
        <v>823</v>
      </c>
      <c r="C14" s="35">
        <v>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BA1F-5893-42FC-8321-CF86E64DC0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2035</v>
      </c>
      <c r="B1" s="13" t="s">
        <v>17</v>
      </c>
    </row>
    <row r="2" spans="1:2" ht="15">
      <c r="A2" s="80" t="s">
        <v>2036</v>
      </c>
      <c r="B2" s="80" t="s">
        <v>2042</v>
      </c>
    </row>
    <row r="3" spans="1:2" ht="15">
      <c r="A3" s="81" t="s">
        <v>2037</v>
      </c>
      <c r="B3" s="80" t="s">
        <v>2043</v>
      </c>
    </row>
    <row r="4" spans="1:2" ht="15">
      <c r="A4" s="81" t="s">
        <v>2038</v>
      </c>
      <c r="B4" s="80" t="s">
        <v>2044</v>
      </c>
    </row>
    <row r="5" spans="1:2" ht="15">
      <c r="A5" s="81" t="s">
        <v>2039</v>
      </c>
      <c r="B5" s="80" t="s">
        <v>2045</v>
      </c>
    </row>
    <row r="6" spans="1:2" ht="15">
      <c r="A6" s="81" t="s">
        <v>2040</v>
      </c>
      <c r="B6" s="80" t="s">
        <v>2046</v>
      </c>
    </row>
    <row r="7" spans="1:2" ht="15">
      <c r="A7" s="81" t="s">
        <v>2041</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88DC-A6C3-4AA5-96DD-317D0D28636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2047</v>
      </c>
      <c r="B1" s="13" t="s">
        <v>34</v>
      </c>
    </row>
    <row r="2" spans="1:2" ht="15">
      <c r="A2" s="108" t="s">
        <v>250</v>
      </c>
      <c r="B2" s="80">
        <v>2575.923212</v>
      </c>
    </row>
    <row r="3" spans="1:2" ht="15">
      <c r="A3" s="112" t="s">
        <v>252</v>
      </c>
      <c r="B3" s="80">
        <v>2425.148661</v>
      </c>
    </row>
    <row r="4" spans="1:2" ht="15">
      <c r="A4" s="112" t="s">
        <v>232</v>
      </c>
      <c r="B4" s="80">
        <v>2094.172597</v>
      </c>
    </row>
    <row r="5" spans="1:2" ht="15">
      <c r="A5" s="112" t="s">
        <v>235</v>
      </c>
      <c r="B5" s="80">
        <v>1245.797952</v>
      </c>
    </row>
    <row r="6" spans="1:2" ht="15">
      <c r="A6" s="112" t="s">
        <v>243</v>
      </c>
      <c r="B6" s="80">
        <v>1178.974603</v>
      </c>
    </row>
    <row r="7" spans="1:2" ht="15">
      <c r="A7" s="112" t="s">
        <v>231</v>
      </c>
      <c r="B7" s="80">
        <v>1130.599641</v>
      </c>
    </row>
    <row r="8" spans="1:2" ht="15">
      <c r="A8" s="112" t="s">
        <v>647</v>
      </c>
      <c r="B8" s="80">
        <v>1110.634307</v>
      </c>
    </row>
    <row r="9" spans="1:2" ht="15">
      <c r="A9" s="112" t="s">
        <v>224</v>
      </c>
      <c r="B9" s="80">
        <v>911.697108</v>
      </c>
    </row>
    <row r="10" spans="1:2" ht="15">
      <c r="A10" s="112" t="s">
        <v>230</v>
      </c>
      <c r="B10" s="80">
        <v>744.338688</v>
      </c>
    </row>
    <row r="11" spans="1:2" ht="15">
      <c r="A11" s="112" t="s">
        <v>236</v>
      </c>
      <c r="B11" s="80">
        <v>715.645541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91071-5EF7-4556-8C99-DF65403B06EB}">
  <dimension ref="A1:J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s>
  <sheetData>
    <row r="1" spans="1:10" ht="15" customHeight="1">
      <c r="A1" s="13" t="s">
        <v>2048</v>
      </c>
      <c r="B1" s="13" t="s">
        <v>2049</v>
      </c>
      <c r="C1" s="13" t="s">
        <v>2050</v>
      </c>
      <c r="D1" s="13" t="s">
        <v>2052</v>
      </c>
      <c r="E1" s="13" t="s">
        <v>2051</v>
      </c>
      <c r="F1" s="13" t="s">
        <v>2055</v>
      </c>
      <c r="G1" s="13" t="s">
        <v>2054</v>
      </c>
      <c r="H1" s="13" t="s">
        <v>2058</v>
      </c>
      <c r="I1" s="13" t="s">
        <v>2057</v>
      </c>
      <c r="J1" s="13" t="s">
        <v>2060</v>
      </c>
    </row>
    <row r="2" spans="1:10" ht="15">
      <c r="A2" s="111" t="s">
        <v>840</v>
      </c>
      <c r="B2" s="111">
        <v>84</v>
      </c>
      <c r="C2" s="111" t="s">
        <v>845</v>
      </c>
      <c r="D2" s="111">
        <v>55</v>
      </c>
      <c r="E2" s="111" t="s">
        <v>844</v>
      </c>
      <c r="F2" s="111">
        <v>29</v>
      </c>
      <c r="G2" s="111" t="s">
        <v>891</v>
      </c>
      <c r="H2" s="111">
        <v>5</v>
      </c>
      <c r="I2" s="111" t="s">
        <v>840</v>
      </c>
      <c r="J2" s="111">
        <v>15</v>
      </c>
    </row>
    <row r="3" spans="1:10" ht="15">
      <c r="A3" s="113" t="s">
        <v>845</v>
      </c>
      <c r="B3" s="111">
        <v>76</v>
      </c>
      <c r="C3" s="111" t="s">
        <v>840</v>
      </c>
      <c r="D3" s="111">
        <v>53</v>
      </c>
      <c r="E3" s="111" t="s">
        <v>841</v>
      </c>
      <c r="F3" s="111">
        <v>27</v>
      </c>
      <c r="G3" s="111" t="s">
        <v>2056</v>
      </c>
      <c r="H3" s="111">
        <v>4</v>
      </c>
      <c r="I3" s="111" t="s">
        <v>2059</v>
      </c>
      <c r="J3" s="111">
        <v>7</v>
      </c>
    </row>
    <row r="4" spans="1:10" ht="15">
      <c r="A4" s="113" t="s">
        <v>841</v>
      </c>
      <c r="B4" s="111">
        <v>61</v>
      </c>
      <c r="C4" s="111" t="s">
        <v>841</v>
      </c>
      <c r="D4" s="111">
        <v>34</v>
      </c>
      <c r="E4" s="111" t="s">
        <v>840</v>
      </c>
      <c r="F4" s="111">
        <v>16</v>
      </c>
      <c r="G4" s="111" t="s">
        <v>974</v>
      </c>
      <c r="H4" s="111">
        <v>3</v>
      </c>
      <c r="I4" s="111" t="s">
        <v>1232</v>
      </c>
      <c r="J4" s="111">
        <v>7</v>
      </c>
    </row>
    <row r="5" spans="1:10" ht="15">
      <c r="A5" s="113" t="s">
        <v>844</v>
      </c>
      <c r="B5" s="111">
        <v>44</v>
      </c>
      <c r="C5" s="111" t="s">
        <v>890</v>
      </c>
      <c r="D5" s="111">
        <v>18</v>
      </c>
      <c r="E5" s="111" t="s">
        <v>845</v>
      </c>
      <c r="F5" s="111">
        <v>15</v>
      </c>
      <c r="G5" s="111" t="s">
        <v>937</v>
      </c>
      <c r="H5" s="111">
        <v>3</v>
      </c>
      <c r="I5" s="111" t="s">
        <v>845</v>
      </c>
      <c r="J5" s="111">
        <v>6</v>
      </c>
    </row>
    <row r="6" spans="1:10" ht="15">
      <c r="A6" s="113" t="s">
        <v>847</v>
      </c>
      <c r="B6" s="111">
        <v>28</v>
      </c>
      <c r="C6" s="111" t="s">
        <v>847</v>
      </c>
      <c r="D6" s="111">
        <v>16</v>
      </c>
      <c r="E6" s="111" t="s">
        <v>1016</v>
      </c>
      <c r="F6" s="111">
        <v>9</v>
      </c>
      <c r="G6" s="111" t="s">
        <v>842</v>
      </c>
      <c r="H6" s="111">
        <v>3</v>
      </c>
      <c r="I6" s="111" t="s">
        <v>1000</v>
      </c>
      <c r="J6" s="111">
        <v>6</v>
      </c>
    </row>
    <row r="7" spans="1:10" ht="15">
      <c r="A7" s="113" t="s">
        <v>890</v>
      </c>
      <c r="B7" s="111">
        <v>20</v>
      </c>
      <c r="C7" s="111" t="s">
        <v>844</v>
      </c>
      <c r="D7" s="111">
        <v>15</v>
      </c>
      <c r="E7" s="111" t="s">
        <v>2053</v>
      </c>
      <c r="F7" s="111">
        <v>9</v>
      </c>
      <c r="G7" s="111" t="s">
        <v>980</v>
      </c>
      <c r="H7" s="111">
        <v>2</v>
      </c>
      <c r="I7" s="111" t="s">
        <v>980</v>
      </c>
      <c r="J7" s="111">
        <v>4</v>
      </c>
    </row>
    <row r="8" spans="1:10" ht="15">
      <c r="A8" s="113" t="s">
        <v>862</v>
      </c>
      <c r="B8" s="111">
        <v>17</v>
      </c>
      <c r="C8" s="111" t="s">
        <v>970</v>
      </c>
      <c r="D8" s="111">
        <v>13</v>
      </c>
      <c r="E8" s="111" t="s">
        <v>847</v>
      </c>
      <c r="F8" s="111">
        <v>8</v>
      </c>
      <c r="G8" s="111" t="s">
        <v>1888</v>
      </c>
      <c r="H8" s="111">
        <v>2</v>
      </c>
      <c r="I8" s="111" t="s">
        <v>847</v>
      </c>
      <c r="J8" s="111">
        <v>4</v>
      </c>
    </row>
    <row r="9" spans="1:10" ht="15">
      <c r="A9" s="113" t="s">
        <v>970</v>
      </c>
      <c r="B9" s="111">
        <v>15</v>
      </c>
      <c r="C9" s="111" t="s">
        <v>862</v>
      </c>
      <c r="D9" s="111">
        <v>12</v>
      </c>
      <c r="E9" s="111" t="s">
        <v>1963</v>
      </c>
      <c r="F9" s="111">
        <v>6</v>
      </c>
      <c r="G9" s="111" t="s">
        <v>1880</v>
      </c>
      <c r="H9" s="111">
        <v>2</v>
      </c>
      <c r="I9" s="111" t="s">
        <v>1068</v>
      </c>
      <c r="J9" s="111">
        <v>4</v>
      </c>
    </row>
    <row r="10" spans="1:10" ht="15">
      <c r="A10" s="113" t="s">
        <v>875</v>
      </c>
      <c r="B10" s="111">
        <v>14</v>
      </c>
      <c r="C10" s="111" t="s">
        <v>1058</v>
      </c>
      <c r="D10" s="111">
        <v>10</v>
      </c>
      <c r="E10" s="111" t="s">
        <v>967</v>
      </c>
      <c r="F10" s="111">
        <v>5</v>
      </c>
      <c r="G10" s="111" t="s">
        <v>881</v>
      </c>
      <c r="H10" s="111">
        <v>2</v>
      </c>
      <c r="I10" s="111" t="s">
        <v>1754</v>
      </c>
      <c r="J10" s="111">
        <v>3</v>
      </c>
    </row>
    <row r="11" spans="1:10" ht="15">
      <c r="A11" s="113" t="s">
        <v>868</v>
      </c>
      <c r="B11" s="111">
        <v>14</v>
      </c>
      <c r="C11" s="111" t="s">
        <v>1359</v>
      </c>
      <c r="D11" s="111">
        <v>10</v>
      </c>
      <c r="E11" s="111" t="s">
        <v>897</v>
      </c>
      <c r="F11" s="111">
        <v>5</v>
      </c>
      <c r="G11" s="111" t="s">
        <v>888</v>
      </c>
      <c r="H11" s="111">
        <v>2</v>
      </c>
      <c r="I11" s="111" t="s">
        <v>973</v>
      </c>
      <c r="J11" s="111">
        <v>3</v>
      </c>
    </row>
    <row r="14" spans="1:10" ht="15" customHeight="1">
      <c r="A14" s="13" t="s">
        <v>2066</v>
      </c>
      <c r="B14" s="13" t="s">
        <v>2049</v>
      </c>
      <c r="C14" s="13" t="s">
        <v>2077</v>
      </c>
      <c r="D14" s="13" t="s">
        <v>2052</v>
      </c>
      <c r="E14" s="13" t="s">
        <v>2081</v>
      </c>
      <c r="F14" s="13" t="s">
        <v>2055</v>
      </c>
      <c r="G14" s="13" t="s">
        <v>2089</v>
      </c>
      <c r="H14" s="13" t="s">
        <v>2058</v>
      </c>
      <c r="I14" s="13" t="s">
        <v>2093</v>
      </c>
      <c r="J14" s="13" t="s">
        <v>2060</v>
      </c>
    </row>
    <row r="15" spans="1:10" ht="15">
      <c r="A15" s="111" t="s">
        <v>2067</v>
      </c>
      <c r="B15" s="111">
        <v>24</v>
      </c>
      <c r="C15" s="111" t="s">
        <v>2068</v>
      </c>
      <c r="D15" s="111">
        <v>8</v>
      </c>
      <c r="E15" s="111" t="s">
        <v>2067</v>
      </c>
      <c r="F15" s="111">
        <v>20</v>
      </c>
      <c r="G15" s="111" t="s">
        <v>2090</v>
      </c>
      <c r="H15" s="111">
        <v>3</v>
      </c>
      <c r="I15" s="111" t="s">
        <v>2094</v>
      </c>
      <c r="J15" s="111">
        <v>3</v>
      </c>
    </row>
    <row r="16" spans="1:10" ht="15">
      <c r="A16" s="113" t="s">
        <v>2068</v>
      </c>
      <c r="B16" s="111">
        <v>13</v>
      </c>
      <c r="C16" s="111" t="s">
        <v>2069</v>
      </c>
      <c r="D16" s="111">
        <v>8</v>
      </c>
      <c r="E16" s="111" t="s">
        <v>2075</v>
      </c>
      <c r="F16" s="111">
        <v>7</v>
      </c>
      <c r="G16" s="111" t="s">
        <v>2091</v>
      </c>
      <c r="H16" s="111">
        <v>2</v>
      </c>
      <c r="I16" s="111" t="s">
        <v>2095</v>
      </c>
      <c r="J16" s="111">
        <v>3</v>
      </c>
    </row>
    <row r="17" spans="1:10" ht="15">
      <c r="A17" s="113" t="s">
        <v>2069</v>
      </c>
      <c r="B17" s="111">
        <v>11</v>
      </c>
      <c r="C17" s="111" t="s">
        <v>2070</v>
      </c>
      <c r="D17" s="111">
        <v>8</v>
      </c>
      <c r="E17" s="111" t="s">
        <v>2082</v>
      </c>
      <c r="F17" s="111">
        <v>5</v>
      </c>
      <c r="G17" s="111" t="s">
        <v>2092</v>
      </c>
      <c r="H17" s="111">
        <v>2</v>
      </c>
      <c r="I17" s="111" t="s">
        <v>2096</v>
      </c>
      <c r="J17" s="111">
        <v>3</v>
      </c>
    </row>
    <row r="18" spans="1:10" ht="15">
      <c r="A18" s="113" t="s">
        <v>2070</v>
      </c>
      <c r="B18" s="111">
        <v>11</v>
      </c>
      <c r="C18" s="111" t="s">
        <v>2073</v>
      </c>
      <c r="D18" s="111">
        <v>7</v>
      </c>
      <c r="E18" s="111" t="s">
        <v>2068</v>
      </c>
      <c r="F18" s="111">
        <v>5</v>
      </c>
      <c r="G18" s="111"/>
      <c r="H18" s="111"/>
      <c r="I18" s="111" t="s">
        <v>2097</v>
      </c>
      <c r="J18" s="111">
        <v>2</v>
      </c>
    </row>
    <row r="19" spans="1:10" ht="15">
      <c r="A19" s="113" t="s">
        <v>2071</v>
      </c>
      <c r="B19" s="111">
        <v>8</v>
      </c>
      <c r="C19" s="111" t="s">
        <v>2074</v>
      </c>
      <c r="D19" s="111">
        <v>6</v>
      </c>
      <c r="E19" s="111" t="s">
        <v>2083</v>
      </c>
      <c r="F19" s="111">
        <v>4</v>
      </c>
      <c r="G19" s="111"/>
      <c r="H19" s="111"/>
      <c r="I19" s="111" t="s">
        <v>2098</v>
      </c>
      <c r="J19" s="111">
        <v>2</v>
      </c>
    </row>
    <row r="20" spans="1:10" ht="15">
      <c r="A20" s="113" t="s">
        <v>2072</v>
      </c>
      <c r="B20" s="111">
        <v>7</v>
      </c>
      <c r="C20" s="111" t="s">
        <v>2078</v>
      </c>
      <c r="D20" s="111">
        <v>6</v>
      </c>
      <c r="E20" s="111" t="s">
        <v>2084</v>
      </c>
      <c r="F20" s="111">
        <v>3</v>
      </c>
      <c r="G20" s="111"/>
      <c r="H20" s="111"/>
      <c r="I20" s="111" t="s">
        <v>2099</v>
      </c>
      <c r="J20" s="111">
        <v>2</v>
      </c>
    </row>
    <row r="21" spans="1:10" ht="15">
      <c r="A21" s="113" t="s">
        <v>2073</v>
      </c>
      <c r="B21" s="111">
        <v>7</v>
      </c>
      <c r="C21" s="111" t="s">
        <v>2071</v>
      </c>
      <c r="D21" s="111">
        <v>6</v>
      </c>
      <c r="E21" s="111" t="s">
        <v>2085</v>
      </c>
      <c r="F21" s="111">
        <v>3</v>
      </c>
      <c r="G21" s="111"/>
      <c r="H21" s="111"/>
      <c r="I21" s="111" t="s">
        <v>2100</v>
      </c>
      <c r="J21" s="111">
        <v>2</v>
      </c>
    </row>
    <row r="22" spans="1:10" ht="15">
      <c r="A22" s="113" t="s">
        <v>2074</v>
      </c>
      <c r="B22" s="111">
        <v>7</v>
      </c>
      <c r="C22" s="111" t="s">
        <v>2079</v>
      </c>
      <c r="D22" s="111">
        <v>5</v>
      </c>
      <c r="E22" s="111" t="s">
        <v>2086</v>
      </c>
      <c r="F22" s="111">
        <v>3</v>
      </c>
      <c r="G22" s="111"/>
      <c r="H22" s="111"/>
      <c r="I22" s="111" t="s">
        <v>2101</v>
      </c>
      <c r="J22" s="111">
        <v>2</v>
      </c>
    </row>
    <row r="23" spans="1:10" ht="15">
      <c r="A23" s="113" t="s">
        <v>2075</v>
      </c>
      <c r="B23" s="111">
        <v>7</v>
      </c>
      <c r="C23" s="111" t="s">
        <v>2072</v>
      </c>
      <c r="D23" s="111">
        <v>5</v>
      </c>
      <c r="E23" s="111" t="s">
        <v>2087</v>
      </c>
      <c r="F23" s="111">
        <v>3</v>
      </c>
      <c r="G23" s="111"/>
      <c r="H23" s="111"/>
      <c r="I23" s="111" t="s">
        <v>2102</v>
      </c>
      <c r="J23" s="111">
        <v>2</v>
      </c>
    </row>
    <row r="24" spans="1:10" ht="15">
      <c r="A24" s="113" t="s">
        <v>2076</v>
      </c>
      <c r="B24" s="111">
        <v>6</v>
      </c>
      <c r="C24" s="111" t="s">
        <v>2080</v>
      </c>
      <c r="D24" s="111">
        <v>5</v>
      </c>
      <c r="E24" s="111" t="s">
        <v>2088</v>
      </c>
      <c r="F24" s="111">
        <v>3</v>
      </c>
      <c r="G24" s="111"/>
      <c r="H24" s="111"/>
      <c r="I24" s="111" t="s">
        <v>2069</v>
      </c>
      <c r="J24" s="111">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1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828</v>
      </c>
      <c r="AP2" s="116" t="s">
        <v>2003</v>
      </c>
      <c r="AQ2" s="116" t="s">
        <v>2004</v>
      </c>
      <c r="AR2" s="116" t="s">
        <v>2005</v>
      </c>
      <c r="AS2" s="116" t="s">
        <v>2006</v>
      </c>
      <c r="AT2" s="116" t="s">
        <v>2007</v>
      </c>
      <c r="AU2" s="116" t="s">
        <v>2008</v>
      </c>
      <c r="AV2" s="116" t="s">
        <v>2009</v>
      </c>
      <c r="AW2" s="116" t="s">
        <v>2010</v>
      </c>
      <c r="AX2" s="116" t="s">
        <v>2012</v>
      </c>
      <c r="AY2" s="116" t="s">
        <v>2108</v>
      </c>
      <c r="AZ2" s="116" t="s">
        <v>2110</v>
      </c>
      <c r="BA2" s="116" t="s">
        <v>2111</v>
      </c>
      <c r="BB2" s="116" t="s">
        <v>2112</v>
      </c>
      <c r="BC2" s="3"/>
      <c r="BD2" s="3"/>
    </row>
    <row r="3" spans="1:56" ht="15" customHeight="1">
      <c r="A3" s="65" t="s">
        <v>236</v>
      </c>
      <c r="B3" s="66"/>
      <c r="C3" s="66"/>
      <c r="D3" s="67">
        <v>1000</v>
      </c>
      <c r="E3" s="69"/>
      <c r="F3" s="96" t="str">
        <f>HYPERLINK("https://i.ytimg.com/vi/lruYVSGcxHs/default.jpg")</f>
        <v>https://i.ytimg.com/vi/lruYVSGcxHs/default.jpg</v>
      </c>
      <c r="G3" s="66"/>
      <c r="H3" s="70" t="s">
        <v>384</v>
      </c>
      <c r="I3" s="71"/>
      <c r="J3" s="71" t="s">
        <v>75</v>
      </c>
      <c r="K3" s="70" t="s">
        <v>384</v>
      </c>
      <c r="L3" s="74">
        <v>2778.6542738487497</v>
      </c>
      <c r="M3" s="75">
        <v>6619.091796875</v>
      </c>
      <c r="N3" s="75">
        <v>7803.83935546875</v>
      </c>
      <c r="O3" s="76"/>
      <c r="P3" s="77"/>
      <c r="Q3" s="77"/>
      <c r="R3" s="49"/>
      <c r="S3" s="49">
        <v>8</v>
      </c>
      <c r="T3" s="49">
        <v>31</v>
      </c>
      <c r="U3" s="50">
        <v>715.645541</v>
      </c>
      <c r="V3" s="50">
        <v>0.004425</v>
      </c>
      <c r="W3" s="50">
        <v>0.022617</v>
      </c>
      <c r="X3" s="50">
        <v>2.310412</v>
      </c>
      <c r="Y3" s="50">
        <v>0.29747899159663865</v>
      </c>
      <c r="Z3" s="50">
        <v>0.11428571428571428</v>
      </c>
      <c r="AA3" s="72">
        <v>3</v>
      </c>
      <c r="AB3" s="72"/>
      <c r="AC3" s="73"/>
      <c r="AD3" s="80" t="s">
        <v>384</v>
      </c>
      <c r="AE3" s="80" t="s">
        <v>460</v>
      </c>
      <c r="AF3" s="80" t="s">
        <v>506</v>
      </c>
      <c r="AG3" s="80" t="s">
        <v>508</v>
      </c>
      <c r="AH3" s="80" t="s">
        <v>633</v>
      </c>
      <c r="AI3" s="80">
        <v>12041</v>
      </c>
      <c r="AJ3" s="80">
        <v>4</v>
      </c>
      <c r="AK3" s="80">
        <v>73</v>
      </c>
      <c r="AL3" s="80">
        <v>10</v>
      </c>
      <c r="AM3" s="80" t="s">
        <v>634</v>
      </c>
      <c r="AN3" s="98" t="str">
        <f>HYPERLINK("https://www.youtube.com/watch?v=lruYVSGcxHs")</f>
        <v>https://www.youtube.com/watch?v=lruYVSGcxHs</v>
      </c>
      <c r="AO3" s="80" t="str">
        <f>REPLACE(INDEX(GroupVertices[Group],MATCH(Vertices[[#This Row],[Vertex]],GroupVertices[Vertex],0)),1,1,"")</f>
        <v>2</v>
      </c>
      <c r="AP3" s="49">
        <v>0</v>
      </c>
      <c r="AQ3" s="50">
        <v>0</v>
      </c>
      <c r="AR3" s="49">
        <v>0</v>
      </c>
      <c r="AS3" s="50">
        <v>0</v>
      </c>
      <c r="AT3" s="49">
        <v>0</v>
      </c>
      <c r="AU3" s="50">
        <v>0</v>
      </c>
      <c r="AV3" s="49">
        <v>11</v>
      </c>
      <c r="AW3" s="50">
        <v>100</v>
      </c>
      <c r="AX3" s="49">
        <v>11</v>
      </c>
      <c r="AY3" s="120" t="s">
        <v>2109</v>
      </c>
      <c r="AZ3" s="120" t="s">
        <v>2109</v>
      </c>
      <c r="BA3" s="120" t="s">
        <v>2109</v>
      </c>
      <c r="BB3" s="120" t="s">
        <v>2109</v>
      </c>
      <c r="BC3" s="3"/>
      <c r="BD3" s="3"/>
    </row>
    <row r="4" spans="1:59" ht="15">
      <c r="A4" s="65" t="s">
        <v>291</v>
      </c>
      <c r="B4" s="66"/>
      <c r="C4" s="66"/>
      <c r="D4" s="67">
        <v>150</v>
      </c>
      <c r="E4" s="69"/>
      <c r="F4" s="96" t="str">
        <f>HYPERLINK("https://i.ytimg.com/vi/WJUcZPqgEXU/default.jpg")</f>
        <v>https://i.ytimg.com/vi/WJUcZPqgEXU/default.jpg</v>
      </c>
      <c r="G4" s="66"/>
      <c r="H4" s="70" t="s">
        <v>305</v>
      </c>
      <c r="I4" s="71"/>
      <c r="J4" s="71" t="s">
        <v>159</v>
      </c>
      <c r="K4" s="70" t="s">
        <v>305</v>
      </c>
      <c r="L4" s="74">
        <v>1</v>
      </c>
      <c r="M4" s="75">
        <v>5580.642578125</v>
      </c>
      <c r="N4" s="75">
        <v>9563.9033203125</v>
      </c>
      <c r="O4" s="76"/>
      <c r="P4" s="77"/>
      <c r="Q4" s="77"/>
      <c r="R4" s="82"/>
      <c r="S4" s="49">
        <v>1</v>
      </c>
      <c r="T4" s="49">
        <v>0</v>
      </c>
      <c r="U4" s="50">
        <v>0</v>
      </c>
      <c r="V4" s="50">
        <v>0.002959</v>
      </c>
      <c r="W4" s="50">
        <v>0.000773</v>
      </c>
      <c r="X4" s="50">
        <v>0.20611</v>
      </c>
      <c r="Y4" s="50">
        <v>0</v>
      </c>
      <c r="Z4" s="50">
        <v>0</v>
      </c>
      <c r="AA4" s="72">
        <v>4</v>
      </c>
      <c r="AB4" s="72"/>
      <c r="AC4" s="73"/>
      <c r="AD4" s="80" t="s">
        <v>305</v>
      </c>
      <c r="AE4" s="80" t="s">
        <v>385</v>
      </c>
      <c r="AF4" s="80" t="s">
        <v>461</v>
      </c>
      <c r="AG4" s="80" t="s">
        <v>507</v>
      </c>
      <c r="AH4" s="80" t="s">
        <v>554</v>
      </c>
      <c r="AI4" s="80">
        <v>200000</v>
      </c>
      <c r="AJ4" s="80">
        <v>166</v>
      </c>
      <c r="AK4" s="80">
        <v>845</v>
      </c>
      <c r="AL4" s="80">
        <v>52</v>
      </c>
      <c r="AM4" s="80" t="s">
        <v>634</v>
      </c>
      <c r="AN4" s="98" t="str">
        <f>HYPERLINK("https://www.youtube.com/watch?v=WJUcZPqgEXU")</f>
        <v>https://www.youtube.com/watch?v=WJUcZPqgEXU</v>
      </c>
      <c r="AO4" s="80" t="str">
        <f>REPLACE(INDEX(GroupVertices[Group],MATCH(Vertices[[#This Row],[Vertex]],GroupVertices[Vertex],0)),1,1,"")</f>
        <v>2</v>
      </c>
      <c r="AP4" s="49">
        <v>10</v>
      </c>
      <c r="AQ4" s="50">
        <v>4.016064257028113</v>
      </c>
      <c r="AR4" s="49">
        <v>3</v>
      </c>
      <c r="AS4" s="50">
        <v>1.2048192771084338</v>
      </c>
      <c r="AT4" s="49">
        <v>0</v>
      </c>
      <c r="AU4" s="50">
        <v>0</v>
      </c>
      <c r="AV4" s="49">
        <v>236</v>
      </c>
      <c r="AW4" s="50">
        <v>94.77911646586345</v>
      </c>
      <c r="AX4" s="49">
        <v>249</v>
      </c>
      <c r="AY4" s="49"/>
      <c r="AZ4" s="49"/>
      <c r="BA4" s="49"/>
      <c r="BB4" s="49"/>
      <c r="BC4" s="2"/>
      <c r="BD4" s="3"/>
      <c r="BE4" s="3"/>
      <c r="BF4" s="3"/>
      <c r="BG4" s="3"/>
    </row>
    <row r="5" spans="1:59" ht="15">
      <c r="A5" s="65" t="s">
        <v>212</v>
      </c>
      <c r="B5" s="66"/>
      <c r="C5" s="66"/>
      <c r="D5" s="67">
        <v>161.31568782898694</v>
      </c>
      <c r="E5" s="69"/>
      <c r="F5" s="96" t="str">
        <f>HYPERLINK("https://i.ytimg.com/vi/EgJcflR_Dic/default.jpg")</f>
        <v>https://i.ytimg.com/vi/EgJcflR_Dic/default.jpg</v>
      </c>
      <c r="G5" s="66"/>
      <c r="H5" s="70" t="s">
        <v>306</v>
      </c>
      <c r="I5" s="71"/>
      <c r="J5" s="71" t="s">
        <v>75</v>
      </c>
      <c r="K5" s="70" t="s">
        <v>306</v>
      </c>
      <c r="L5" s="74">
        <v>32.10114214227595</v>
      </c>
      <c r="M5" s="75">
        <v>1990.69677734375</v>
      </c>
      <c r="N5" s="75">
        <v>7540.6416015625</v>
      </c>
      <c r="O5" s="76"/>
      <c r="P5" s="77"/>
      <c r="Q5" s="77"/>
      <c r="R5" s="82"/>
      <c r="S5" s="49">
        <v>27</v>
      </c>
      <c r="T5" s="49">
        <v>1</v>
      </c>
      <c r="U5" s="50">
        <v>8.013018</v>
      </c>
      <c r="V5" s="50">
        <v>0.004149</v>
      </c>
      <c r="W5" s="50">
        <v>0.024356</v>
      </c>
      <c r="X5" s="50">
        <v>1.509236</v>
      </c>
      <c r="Y5" s="50">
        <v>0.5211640211640212</v>
      </c>
      <c r="Z5" s="50">
        <v>0</v>
      </c>
      <c r="AA5" s="72">
        <v>5</v>
      </c>
      <c r="AB5" s="72"/>
      <c r="AC5" s="73"/>
      <c r="AD5" s="80" t="s">
        <v>306</v>
      </c>
      <c r="AE5" s="80" t="s">
        <v>386</v>
      </c>
      <c r="AF5" s="80" t="s">
        <v>462</v>
      </c>
      <c r="AG5" s="80" t="s">
        <v>508</v>
      </c>
      <c r="AH5" s="80" t="s">
        <v>555</v>
      </c>
      <c r="AI5" s="80">
        <v>44217</v>
      </c>
      <c r="AJ5" s="80">
        <v>30</v>
      </c>
      <c r="AK5" s="80">
        <v>203</v>
      </c>
      <c r="AL5" s="80">
        <v>33</v>
      </c>
      <c r="AM5" s="80" t="s">
        <v>634</v>
      </c>
      <c r="AN5" s="98" t="str">
        <f>HYPERLINK("https://www.youtube.com/watch?v=EgJcflR_Dic")</f>
        <v>https://www.youtube.com/watch?v=EgJcflR_Dic</v>
      </c>
      <c r="AO5" s="80" t="str">
        <f>REPLACE(INDEX(GroupVertices[Group],MATCH(Vertices[[#This Row],[Vertex]],GroupVertices[Vertex],0)),1,1,"")</f>
        <v>1</v>
      </c>
      <c r="AP5" s="49">
        <v>1</v>
      </c>
      <c r="AQ5" s="50">
        <v>6.666666666666667</v>
      </c>
      <c r="AR5" s="49">
        <v>0</v>
      </c>
      <c r="AS5" s="50">
        <v>0</v>
      </c>
      <c r="AT5" s="49">
        <v>0</v>
      </c>
      <c r="AU5" s="50">
        <v>0</v>
      </c>
      <c r="AV5" s="49">
        <v>14</v>
      </c>
      <c r="AW5" s="50">
        <v>93.33333333333333</v>
      </c>
      <c r="AX5" s="49">
        <v>15</v>
      </c>
      <c r="AY5" s="120" t="s">
        <v>2109</v>
      </c>
      <c r="AZ5" s="120" t="s">
        <v>2109</v>
      </c>
      <c r="BA5" s="120" t="s">
        <v>2109</v>
      </c>
      <c r="BB5" s="120" t="s">
        <v>2109</v>
      </c>
      <c r="BC5" s="2"/>
      <c r="BD5" s="3"/>
      <c r="BE5" s="3"/>
      <c r="BF5" s="3"/>
      <c r="BG5" s="3"/>
    </row>
    <row r="6" spans="1:59" ht="15">
      <c r="A6" s="65" t="s">
        <v>275</v>
      </c>
      <c r="B6" s="66"/>
      <c r="C6" s="66"/>
      <c r="D6" s="67">
        <v>159.77197615717884</v>
      </c>
      <c r="E6" s="69"/>
      <c r="F6" s="96" t="str">
        <f>HYPERLINK("https://i.ytimg.com/vi/ZxUmspb1DmY/default.jpg")</f>
        <v>https://i.ytimg.com/vi/ZxUmspb1DmY/default.jpg</v>
      </c>
      <c r="G6" s="66"/>
      <c r="H6" s="70" t="s">
        <v>307</v>
      </c>
      <c r="I6" s="71"/>
      <c r="J6" s="71" t="s">
        <v>75</v>
      </c>
      <c r="K6" s="70" t="s">
        <v>307</v>
      </c>
      <c r="L6" s="74">
        <v>27.858254139603595</v>
      </c>
      <c r="M6" s="75">
        <v>1314.3402099609375</v>
      </c>
      <c r="N6" s="75">
        <v>6944.16552734375</v>
      </c>
      <c r="O6" s="76"/>
      <c r="P6" s="77"/>
      <c r="Q6" s="77"/>
      <c r="R6" s="82"/>
      <c r="S6" s="49">
        <v>25</v>
      </c>
      <c r="T6" s="49">
        <v>0</v>
      </c>
      <c r="U6" s="50">
        <v>6.919864</v>
      </c>
      <c r="V6" s="50">
        <v>0.004082</v>
      </c>
      <c r="W6" s="50">
        <v>0.021821</v>
      </c>
      <c r="X6" s="50">
        <v>1.371614</v>
      </c>
      <c r="Y6" s="50">
        <v>0.525</v>
      </c>
      <c r="Z6" s="50">
        <v>0</v>
      </c>
      <c r="AA6" s="72">
        <v>6</v>
      </c>
      <c r="AB6" s="72"/>
      <c r="AC6" s="73"/>
      <c r="AD6" s="80" t="s">
        <v>307</v>
      </c>
      <c r="AE6" s="80"/>
      <c r="AF6" s="80"/>
      <c r="AG6" s="80" t="s">
        <v>509</v>
      </c>
      <c r="AH6" s="80" t="s">
        <v>556</v>
      </c>
      <c r="AI6" s="80">
        <v>70</v>
      </c>
      <c r="AJ6" s="80">
        <v>0</v>
      </c>
      <c r="AK6" s="80">
        <v>1</v>
      </c>
      <c r="AL6" s="80">
        <v>0</v>
      </c>
      <c r="AM6" s="80" t="s">
        <v>634</v>
      </c>
      <c r="AN6" s="98" t="str">
        <f>HYPERLINK("https://www.youtube.com/watch?v=ZxUmspb1DmY")</f>
        <v>https://www.youtube.com/watch?v=ZxUmspb1DmY</v>
      </c>
      <c r="AO6" s="80" t="str">
        <f>REPLACE(INDEX(GroupVertices[Group],MATCH(Vertices[[#This Row],[Vertex]],GroupVertices[Vertex],0)),1,1,"")</f>
        <v>1</v>
      </c>
      <c r="AP6" s="49"/>
      <c r="AQ6" s="50"/>
      <c r="AR6" s="49"/>
      <c r="AS6" s="50"/>
      <c r="AT6" s="49"/>
      <c r="AU6" s="50"/>
      <c r="AV6" s="49"/>
      <c r="AW6" s="50"/>
      <c r="AX6" s="49"/>
      <c r="AY6" s="49"/>
      <c r="AZ6" s="49"/>
      <c r="BA6" s="49"/>
      <c r="BB6" s="49"/>
      <c r="BC6" s="2"/>
      <c r="BD6" s="3"/>
      <c r="BE6" s="3"/>
      <c r="BF6" s="3"/>
      <c r="BG6" s="3"/>
    </row>
    <row r="7" spans="1:59" ht="15">
      <c r="A7" s="65" t="s">
        <v>213</v>
      </c>
      <c r="B7" s="66"/>
      <c r="C7" s="66"/>
      <c r="D7" s="67">
        <v>183.9120164247254</v>
      </c>
      <c r="E7" s="69"/>
      <c r="F7" s="96" t="str">
        <f>HYPERLINK("https://i.ytimg.com/vi/lSClgMg6nrY/default.jpg")</f>
        <v>https://i.ytimg.com/vi/lSClgMg6nrY/default.jpg</v>
      </c>
      <c r="G7" s="66"/>
      <c r="H7" s="70" t="s">
        <v>308</v>
      </c>
      <c r="I7" s="71"/>
      <c r="J7" s="71" t="s">
        <v>75</v>
      </c>
      <c r="K7" s="70" t="s">
        <v>308</v>
      </c>
      <c r="L7" s="74">
        <v>94.2070996563542</v>
      </c>
      <c r="M7" s="75">
        <v>2262.18701171875</v>
      </c>
      <c r="N7" s="75">
        <v>4433.4951171875</v>
      </c>
      <c r="O7" s="76"/>
      <c r="P7" s="77"/>
      <c r="Q7" s="77"/>
      <c r="R7" s="82"/>
      <c r="S7" s="49">
        <v>25</v>
      </c>
      <c r="T7" s="49">
        <v>3</v>
      </c>
      <c r="U7" s="50">
        <v>24.014236</v>
      </c>
      <c r="V7" s="50">
        <v>0.004167</v>
      </c>
      <c r="W7" s="50">
        <v>0.02397</v>
      </c>
      <c r="X7" s="50">
        <v>1.516049</v>
      </c>
      <c r="Y7" s="50">
        <v>0.5079365079365079</v>
      </c>
      <c r="Z7" s="50">
        <v>0</v>
      </c>
      <c r="AA7" s="72">
        <v>7</v>
      </c>
      <c r="AB7" s="72"/>
      <c r="AC7" s="73"/>
      <c r="AD7" s="80" t="s">
        <v>308</v>
      </c>
      <c r="AE7" s="80" t="s">
        <v>387</v>
      </c>
      <c r="AF7" s="80"/>
      <c r="AG7" s="80" t="s">
        <v>510</v>
      </c>
      <c r="AH7" s="80" t="s">
        <v>557</v>
      </c>
      <c r="AI7" s="80">
        <v>6021</v>
      </c>
      <c r="AJ7" s="80">
        <v>0</v>
      </c>
      <c r="AK7" s="80">
        <v>24</v>
      </c>
      <c r="AL7" s="80">
        <v>2</v>
      </c>
      <c r="AM7" s="80" t="s">
        <v>634</v>
      </c>
      <c r="AN7" s="98" t="str">
        <f>HYPERLINK("https://www.youtube.com/watch?v=lSClgMg6nrY")</f>
        <v>https://www.youtube.com/watch?v=lSClgMg6nrY</v>
      </c>
      <c r="AO7" s="80" t="str">
        <f>REPLACE(INDEX(GroupVertices[Group],MATCH(Vertices[[#This Row],[Vertex]],GroupVertices[Vertex],0)),1,1,"")</f>
        <v>1</v>
      </c>
      <c r="AP7" s="49">
        <v>0</v>
      </c>
      <c r="AQ7" s="50">
        <v>0</v>
      </c>
      <c r="AR7" s="49">
        <v>0</v>
      </c>
      <c r="AS7" s="50">
        <v>0</v>
      </c>
      <c r="AT7" s="49">
        <v>0</v>
      </c>
      <c r="AU7" s="50">
        <v>0</v>
      </c>
      <c r="AV7" s="49">
        <v>13</v>
      </c>
      <c r="AW7" s="50">
        <v>100</v>
      </c>
      <c r="AX7" s="49">
        <v>13</v>
      </c>
      <c r="AY7" s="120" t="s">
        <v>2109</v>
      </c>
      <c r="AZ7" s="120" t="s">
        <v>2109</v>
      </c>
      <c r="BA7" s="120" t="s">
        <v>2109</v>
      </c>
      <c r="BB7" s="120" t="s">
        <v>2109</v>
      </c>
      <c r="BC7" s="2"/>
      <c r="BD7" s="3"/>
      <c r="BE7" s="3"/>
      <c r="BF7" s="3"/>
      <c r="BG7" s="3"/>
    </row>
    <row r="8" spans="1:59" ht="15">
      <c r="A8" s="65" t="s">
        <v>214</v>
      </c>
      <c r="B8" s="66"/>
      <c r="C8" s="66"/>
      <c r="D8" s="67">
        <v>344.2139393241025</v>
      </c>
      <c r="E8" s="69"/>
      <c r="F8" s="96" t="str">
        <f>HYPERLINK("https://i.ytimg.com/vi/wjrTq0dEvGI/default.jpg")</f>
        <v>https://i.ytimg.com/vi/wjrTq0dEvGI/default.jpg</v>
      </c>
      <c r="G8" s="66"/>
      <c r="H8" s="70" t="s">
        <v>309</v>
      </c>
      <c r="I8" s="71"/>
      <c r="J8" s="71" t="s">
        <v>75</v>
      </c>
      <c r="K8" s="70" t="s">
        <v>309</v>
      </c>
      <c r="L8" s="74">
        <v>534.7965684646348</v>
      </c>
      <c r="M8" s="75">
        <v>1967.6849365234375</v>
      </c>
      <c r="N8" s="75">
        <v>5325.56787109375</v>
      </c>
      <c r="O8" s="76"/>
      <c r="P8" s="77"/>
      <c r="Q8" s="77"/>
      <c r="R8" s="82"/>
      <c r="S8" s="49">
        <v>30</v>
      </c>
      <c r="T8" s="49">
        <v>15</v>
      </c>
      <c r="U8" s="50">
        <v>137.529403</v>
      </c>
      <c r="V8" s="50">
        <v>0.004525</v>
      </c>
      <c r="W8" s="50">
        <v>0.029706</v>
      </c>
      <c r="X8" s="50">
        <v>2.102303</v>
      </c>
      <c r="Y8" s="50">
        <v>0.3657219973009447</v>
      </c>
      <c r="Z8" s="50">
        <v>0.15384615384615385</v>
      </c>
      <c r="AA8" s="72">
        <v>8</v>
      </c>
      <c r="AB8" s="72"/>
      <c r="AC8" s="73"/>
      <c r="AD8" s="80" t="s">
        <v>309</v>
      </c>
      <c r="AE8" s="80" t="s">
        <v>388</v>
      </c>
      <c r="AF8" s="80" t="s">
        <v>463</v>
      </c>
      <c r="AG8" s="80" t="s">
        <v>511</v>
      </c>
      <c r="AH8" s="80" t="s">
        <v>558</v>
      </c>
      <c r="AI8" s="80">
        <v>6847</v>
      </c>
      <c r="AJ8" s="80">
        <v>0</v>
      </c>
      <c r="AK8" s="80">
        <v>23</v>
      </c>
      <c r="AL8" s="80">
        <v>2</v>
      </c>
      <c r="AM8" s="80" t="s">
        <v>634</v>
      </c>
      <c r="AN8" s="98" t="str">
        <f>HYPERLINK("https://www.youtube.com/watch?v=wjrTq0dEvGI")</f>
        <v>https://www.youtube.com/watch?v=wjrTq0dEvGI</v>
      </c>
      <c r="AO8" s="80" t="str">
        <f>REPLACE(INDEX(GroupVertices[Group],MATCH(Vertices[[#This Row],[Vertex]],GroupVertices[Vertex],0)),1,1,"")</f>
        <v>1</v>
      </c>
      <c r="AP8" s="49">
        <v>0</v>
      </c>
      <c r="AQ8" s="50">
        <v>0</v>
      </c>
      <c r="AR8" s="49">
        <v>1</v>
      </c>
      <c r="AS8" s="50">
        <v>4.3478260869565215</v>
      </c>
      <c r="AT8" s="49">
        <v>0</v>
      </c>
      <c r="AU8" s="50">
        <v>0</v>
      </c>
      <c r="AV8" s="49">
        <v>22</v>
      </c>
      <c r="AW8" s="50">
        <v>95.65217391304348</v>
      </c>
      <c r="AX8" s="49">
        <v>23</v>
      </c>
      <c r="AY8" s="120" t="s">
        <v>2109</v>
      </c>
      <c r="AZ8" s="120" t="s">
        <v>2109</v>
      </c>
      <c r="BA8" s="120" t="s">
        <v>2109</v>
      </c>
      <c r="BB8" s="120" t="s">
        <v>2109</v>
      </c>
      <c r="BC8" s="2"/>
      <c r="BD8" s="3"/>
      <c r="BE8" s="3"/>
      <c r="BF8" s="3"/>
      <c r="BG8" s="3"/>
    </row>
    <row r="9" spans="1:59" ht="15">
      <c r="A9" s="65" t="s">
        <v>215</v>
      </c>
      <c r="B9" s="66"/>
      <c r="C9" s="66"/>
      <c r="D9" s="67">
        <v>189.89275141747402</v>
      </c>
      <c r="E9" s="69"/>
      <c r="F9" s="96" t="str">
        <f>HYPERLINK("https://i.ytimg.com/vi/uGZbbC0Smi4/default.jpg")</f>
        <v>https://i.ytimg.com/vi/uGZbbC0Smi4/default.jpg</v>
      </c>
      <c r="G9" s="66"/>
      <c r="H9" s="70" t="s">
        <v>310</v>
      </c>
      <c r="I9" s="71"/>
      <c r="J9" s="71" t="s">
        <v>75</v>
      </c>
      <c r="K9" s="70" t="s">
        <v>310</v>
      </c>
      <c r="L9" s="74">
        <v>110.6451361182889</v>
      </c>
      <c r="M9" s="75">
        <v>1508.3316650390625</v>
      </c>
      <c r="N9" s="75">
        <v>5201.1484375</v>
      </c>
      <c r="O9" s="76"/>
      <c r="P9" s="77"/>
      <c r="Q9" s="77"/>
      <c r="R9" s="82"/>
      <c r="S9" s="49">
        <v>24</v>
      </c>
      <c r="T9" s="49">
        <v>5</v>
      </c>
      <c r="U9" s="50">
        <v>28.249395</v>
      </c>
      <c r="V9" s="50">
        <v>0.004237</v>
      </c>
      <c r="W9" s="50">
        <v>0.024492</v>
      </c>
      <c r="X9" s="50">
        <v>1.578702</v>
      </c>
      <c r="Y9" s="50">
        <v>0.48891625615763545</v>
      </c>
      <c r="Z9" s="50">
        <v>0</v>
      </c>
      <c r="AA9" s="72">
        <v>9</v>
      </c>
      <c r="AB9" s="72"/>
      <c r="AC9" s="73"/>
      <c r="AD9" s="80" t="s">
        <v>310</v>
      </c>
      <c r="AE9" s="80" t="s">
        <v>389</v>
      </c>
      <c r="AF9" s="80"/>
      <c r="AG9" s="80" t="s">
        <v>512</v>
      </c>
      <c r="AH9" s="80" t="s">
        <v>559</v>
      </c>
      <c r="AI9" s="80">
        <v>26823</v>
      </c>
      <c r="AJ9" s="80">
        <v>0</v>
      </c>
      <c r="AK9" s="80">
        <v>0</v>
      </c>
      <c r="AL9" s="80">
        <v>0</v>
      </c>
      <c r="AM9" s="80" t="s">
        <v>634</v>
      </c>
      <c r="AN9" s="98" t="str">
        <f>HYPERLINK("https://www.youtube.com/watch?v=uGZbbC0Smi4")</f>
        <v>https://www.youtube.com/watch?v=uGZbbC0Smi4</v>
      </c>
      <c r="AO9" s="80" t="str">
        <f>REPLACE(INDEX(GroupVertices[Group],MATCH(Vertices[[#This Row],[Vertex]],GroupVertices[Vertex],0)),1,1,"")</f>
        <v>1</v>
      </c>
      <c r="AP9" s="49">
        <v>3</v>
      </c>
      <c r="AQ9" s="50">
        <v>2.7777777777777777</v>
      </c>
      <c r="AR9" s="49">
        <v>4</v>
      </c>
      <c r="AS9" s="50">
        <v>3.7037037037037037</v>
      </c>
      <c r="AT9" s="49">
        <v>0</v>
      </c>
      <c r="AU9" s="50">
        <v>0</v>
      </c>
      <c r="AV9" s="49">
        <v>101</v>
      </c>
      <c r="AW9" s="50">
        <v>93.51851851851852</v>
      </c>
      <c r="AX9" s="49">
        <v>108</v>
      </c>
      <c r="AY9" s="120" t="s">
        <v>2109</v>
      </c>
      <c r="AZ9" s="120" t="s">
        <v>2109</v>
      </c>
      <c r="BA9" s="120" t="s">
        <v>2109</v>
      </c>
      <c r="BB9" s="120" t="s">
        <v>2109</v>
      </c>
      <c r="BC9" s="2"/>
      <c r="BD9" s="3"/>
      <c r="BE9" s="3"/>
      <c r="BF9" s="3"/>
      <c r="BG9" s="3"/>
    </row>
    <row r="10" spans="1:59" ht="15">
      <c r="A10" s="65" t="s">
        <v>216</v>
      </c>
      <c r="B10" s="66"/>
      <c r="C10" s="66"/>
      <c r="D10" s="67">
        <v>1000</v>
      </c>
      <c r="E10" s="69"/>
      <c r="F10" s="96" t="str">
        <f>HYPERLINK("https://i.ytimg.com/vi/fK1_SH3X2ek/default.jpg")</f>
        <v>https://i.ytimg.com/vi/fK1_SH3X2ek/default.jpg</v>
      </c>
      <c r="G10" s="66"/>
      <c r="H10" s="70" t="s">
        <v>311</v>
      </c>
      <c r="I10" s="71"/>
      <c r="J10" s="71" t="s">
        <v>75</v>
      </c>
      <c r="K10" s="70" t="s">
        <v>311</v>
      </c>
      <c r="L10" s="74">
        <v>2337.223057798976</v>
      </c>
      <c r="M10" s="75">
        <v>2189.444580078125</v>
      </c>
      <c r="N10" s="75">
        <v>5924.7783203125</v>
      </c>
      <c r="O10" s="76"/>
      <c r="P10" s="77"/>
      <c r="Q10" s="77"/>
      <c r="R10" s="82"/>
      <c r="S10" s="49">
        <v>25</v>
      </c>
      <c r="T10" s="49">
        <v>39</v>
      </c>
      <c r="U10" s="50">
        <v>601.913503</v>
      </c>
      <c r="V10" s="50">
        <v>0.004739</v>
      </c>
      <c r="W10" s="50">
        <v>0.031438</v>
      </c>
      <c r="X10" s="50">
        <v>2.672972</v>
      </c>
      <c r="Y10" s="50">
        <v>0.272895467160037</v>
      </c>
      <c r="Z10" s="50">
        <v>0.3617021276595745</v>
      </c>
      <c r="AA10" s="72">
        <v>10</v>
      </c>
      <c r="AB10" s="72"/>
      <c r="AC10" s="73"/>
      <c r="AD10" s="80" t="s">
        <v>311</v>
      </c>
      <c r="AE10" s="80" t="s">
        <v>390</v>
      </c>
      <c r="AF10" s="80"/>
      <c r="AG10" s="80" t="s">
        <v>513</v>
      </c>
      <c r="AH10" s="80" t="s">
        <v>560</v>
      </c>
      <c r="AI10" s="80">
        <v>215296</v>
      </c>
      <c r="AJ10" s="80">
        <v>124</v>
      </c>
      <c r="AK10" s="80">
        <v>1464</v>
      </c>
      <c r="AL10" s="80">
        <v>92</v>
      </c>
      <c r="AM10" s="80" t="s">
        <v>634</v>
      </c>
      <c r="AN10" s="98" t="str">
        <f>HYPERLINK("https://www.youtube.com/watch?v=fK1_SH3X2ek")</f>
        <v>https://www.youtube.com/watch?v=fK1_SH3X2ek</v>
      </c>
      <c r="AO10" s="80" t="str">
        <f>REPLACE(INDEX(GroupVertices[Group],MATCH(Vertices[[#This Row],[Vertex]],GroupVertices[Vertex],0)),1,1,"")</f>
        <v>1</v>
      </c>
      <c r="AP10" s="49">
        <v>7</v>
      </c>
      <c r="AQ10" s="50">
        <v>3.888888888888889</v>
      </c>
      <c r="AR10" s="49">
        <v>8</v>
      </c>
      <c r="AS10" s="50">
        <v>4.444444444444445</v>
      </c>
      <c r="AT10" s="49">
        <v>0</v>
      </c>
      <c r="AU10" s="50">
        <v>0</v>
      </c>
      <c r="AV10" s="49">
        <v>165</v>
      </c>
      <c r="AW10" s="50">
        <v>91.66666666666667</v>
      </c>
      <c r="AX10" s="49">
        <v>180</v>
      </c>
      <c r="AY10" s="120" t="s">
        <v>2109</v>
      </c>
      <c r="AZ10" s="120" t="s">
        <v>2109</v>
      </c>
      <c r="BA10" s="120" t="s">
        <v>2109</v>
      </c>
      <c r="BB10" s="120" t="s">
        <v>2109</v>
      </c>
      <c r="BC10" s="2"/>
      <c r="BD10" s="3"/>
      <c r="BE10" s="3"/>
      <c r="BF10" s="3"/>
      <c r="BG10" s="3"/>
    </row>
    <row r="11" spans="1:59" ht="15">
      <c r="A11" s="65" t="s">
        <v>217</v>
      </c>
      <c r="B11" s="66"/>
      <c r="C11" s="66"/>
      <c r="D11" s="67">
        <v>182.63419810670038</v>
      </c>
      <c r="E11" s="69"/>
      <c r="F11" s="96" t="str">
        <f>HYPERLINK("https://i.ytimg.com/vi/vktuZrWS5IQ/default.jpg")</f>
        <v>https://i.ytimg.com/vi/vktuZrWS5IQ/default.jpg</v>
      </c>
      <c r="G11" s="66"/>
      <c r="H11" s="70" t="s">
        <v>312</v>
      </c>
      <c r="I11" s="71"/>
      <c r="J11" s="71" t="s">
        <v>75</v>
      </c>
      <c r="K11" s="70" t="s">
        <v>312</v>
      </c>
      <c r="L11" s="74">
        <v>90.69501892900368</v>
      </c>
      <c r="M11" s="75">
        <v>2241.2626953125</v>
      </c>
      <c r="N11" s="75">
        <v>5877.02978515625</v>
      </c>
      <c r="O11" s="76"/>
      <c r="P11" s="77"/>
      <c r="Q11" s="77"/>
      <c r="R11" s="82"/>
      <c r="S11" s="49">
        <v>22</v>
      </c>
      <c r="T11" s="49">
        <v>7</v>
      </c>
      <c r="U11" s="50">
        <v>23.10937</v>
      </c>
      <c r="V11" s="50">
        <v>0.004184</v>
      </c>
      <c r="W11" s="50">
        <v>0.024651</v>
      </c>
      <c r="X11" s="50">
        <v>1.56486</v>
      </c>
      <c r="Y11" s="50">
        <v>0.4975369458128079</v>
      </c>
      <c r="Z11" s="50">
        <v>0</v>
      </c>
      <c r="AA11" s="72">
        <v>11</v>
      </c>
      <c r="AB11" s="72"/>
      <c r="AC11" s="73"/>
      <c r="AD11" s="80" t="s">
        <v>312</v>
      </c>
      <c r="AE11" s="80" t="s">
        <v>391</v>
      </c>
      <c r="AF11" s="80" t="s">
        <v>464</v>
      </c>
      <c r="AG11" s="80" t="s">
        <v>512</v>
      </c>
      <c r="AH11" s="80" t="s">
        <v>561</v>
      </c>
      <c r="AI11" s="80">
        <v>6157</v>
      </c>
      <c r="AJ11" s="80">
        <v>9</v>
      </c>
      <c r="AK11" s="80">
        <v>62</v>
      </c>
      <c r="AL11" s="80">
        <v>16</v>
      </c>
      <c r="AM11" s="80" t="s">
        <v>634</v>
      </c>
      <c r="AN11" s="98" t="str">
        <f>HYPERLINK("https://www.youtube.com/watch?v=vktuZrWS5IQ")</f>
        <v>https://www.youtube.com/watch?v=vktuZrWS5IQ</v>
      </c>
      <c r="AO11" s="80" t="str">
        <f>REPLACE(INDEX(GroupVertices[Group],MATCH(Vertices[[#This Row],[Vertex]],GroupVertices[Vertex],0)),1,1,"")</f>
        <v>1</v>
      </c>
      <c r="AP11" s="49">
        <v>3</v>
      </c>
      <c r="AQ11" s="50">
        <v>3.488372093023256</v>
      </c>
      <c r="AR11" s="49">
        <v>0</v>
      </c>
      <c r="AS11" s="50">
        <v>0</v>
      </c>
      <c r="AT11" s="49">
        <v>0</v>
      </c>
      <c r="AU11" s="50">
        <v>0</v>
      </c>
      <c r="AV11" s="49">
        <v>83</v>
      </c>
      <c r="AW11" s="50">
        <v>96.51162790697674</v>
      </c>
      <c r="AX11" s="49">
        <v>86</v>
      </c>
      <c r="AY11" s="120" t="s">
        <v>2109</v>
      </c>
      <c r="AZ11" s="120" t="s">
        <v>2109</v>
      </c>
      <c r="BA11" s="120" t="s">
        <v>2109</v>
      </c>
      <c r="BB11" s="120" t="s">
        <v>2109</v>
      </c>
      <c r="BC11" s="2"/>
      <c r="BD11" s="3"/>
      <c r="BE11" s="3"/>
      <c r="BF11" s="3"/>
      <c r="BG11" s="3"/>
    </row>
    <row r="12" spans="1:59" ht="15">
      <c r="A12" s="65" t="s">
        <v>218</v>
      </c>
      <c r="B12" s="66"/>
      <c r="C12" s="66"/>
      <c r="D12" s="67">
        <v>699.8712190379288</v>
      </c>
      <c r="E12" s="69"/>
      <c r="F12" s="96" t="str">
        <f>HYPERLINK("https://i.ytimg.com/vi/vawW1_p2p64/default.jpg")</f>
        <v>https://i.ytimg.com/vi/vawW1_p2p64/default.jpg</v>
      </c>
      <c r="G12" s="66"/>
      <c r="H12" s="70" t="s">
        <v>313</v>
      </c>
      <c r="I12" s="71"/>
      <c r="J12" s="71" t="s">
        <v>75</v>
      </c>
      <c r="K12" s="70" t="s">
        <v>313</v>
      </c>
      <c r="L12" s="74">
        <v>1512.3197891016946</v>
      </c>
      <c r="M12" s="75">
        <v>2358.5576171875</v>
      </c>
      <c r="N12" s="75">
        <v>5169.83837890625</v>
      </c>
      <c r="O12" s="76"/>
      <c r="P12" s="77"/>
      <c r="Q12" s="77"/>
      <c r="R12" s="82"/>
      <c r="S12" s="49">
        <v>21</v>
      </c>
      <c r="T12" s="49">
        <v>9</v>
      </c>
      <c r="U12" s="50">
        <v>389.382249</v>
      </c>
      <c r="V12" s="50">
        <v>0.004587</v>
      </c>
      <c r="W12" s="50">
        <v>0.02469</v>
      </c>
      <c r="X12" s="50">
        <v>1.619015</v>
      </c>
      <c r="Y12" s="50">
        <v>0.46551724137931033</v>
      </c>
      <c r="Z12" s="50">
        <v>0</v>
      </c>
      <c r="AA12" s="72">
        <v>12</v>
      </c>
      <c r="AB12" s="72"/>
      <c r="AC12" s="73"/>
      <c r="AD12" s="80" t="s">
        <v>313</v>
      </c>
      <c r="AE12" s="80" t="s">
        <v>392</v>
      </c>
      <c r="AF12" s="80" t="s">
        <v>465</v>
      </c>
      <c r="AG12" s="80" t="s">
        <v>514</v>
      </c>
      <c r="AH12" s="80" t="s">
        <v>562</v>
      </c>
      <c r="AI12" s="80">
        <v>4061</v>
      </c>
      <c r="AJ12" s="80">
        <v>0</v>
      </c>
      <c r="AK12" s="80">
        <v>23</v>
      </c>
      <c r="AL12" s="80">
        <v>1</v>
      </c>
      <c r="AM12" s="80" t="s">
        <v>634</v>
      </c>
      <c r="AN12" s="98" t="str">
        <f>HYPERLINK("https://www.youtube.com/watch?v=vawW1_p2p64")</f>
        <v>https://www.youtube.com/watch?v=vawW1_p2p64</v>
      </c>
      <c r="AO12" s="80" t="str">
        <f>REPLACE(INDEX(GroupVertices[Group],MATCH(Vertices[[#This Row],[Vertex]],GroupVertices[Vertex],0)),1,1,"")</f>
        <v>1</v>
      </c>
      <c r="AP12" s="49">
        <v>0</v>
      </c>
      <c r="AQ12" s="50">
        <v>0</v>
      </c>
      <c r="AR12" s="49">
        <v>0</v>
      </c>
      <c r="AS12" s="50">
        <v>0</v>
      </c>
      <c r="AT12" s="49">
        <v>0</v>
      </c>
      <c r="AU12" s="50">
        <v>0</v>
      </c>
      <c r="AV12" s="49">
        <v>8</v>
      </c>
      <c r="AW12" s="50">
        <v>100</v>
      </c>
      <c r="AX12" s="49">
        <v>8</v>
      </c>
      <c r="AY12" s="120" t="s">
        <v>2109</v>
      </c>
      <c r="AZ12" s="120" t="s">
        <v>2109</v>
      </c>
      <c r="BA12" s="120" t="s">
        <v>2109</v>
      </c>
      <c r="BB12" s="120" t="s">
        <v>2109</v>
      </c>
      <c r="BC12" s="2"/>
      <c r="BD12" s="3"/>
      <c r="BE12" s="3"/>
      <c r="BF12" s="3"/>
      <c r="BG12" s="3"/>
    </row>
    <row r="13" spans="1:59" ht="15">
      <c r="A13" s="65" t="s">
        <v>219</v>
      </c>
      <c r="B13" s="66"/>
      <c r="C13" s="66"/>
      <c r="D13" s="67">
        <v>244.88749208206417</v>
      </c>
      <c r="E13" s="69"/>
      <c r="F13" s="96" t="str">
        <f>HYPERLINK("https://i.ytimg.com/vi/UTSf09Huz70/default.jpg")</f>
        <v>https://i.ytimg.com/vi/UTSf09Huz70/default.jpg</v>
      </c>
      <c r="G13" s="66"/>
      <c r="H13" s="70" t="s">
        <v>314</v>
      </c>
      <c r="I13" s="71"/>
      <c r="J13" s="71" t="s">
        <v>75</v>
      </c>
      <c r="K13" s="70" t="s">
        <v>314</v>
      </c>
      <c r="L13" s="74">
        <v>261.7980551751012</v>
      </c>
      <c r="M13" s="75">
        <v>2355.037841796875</v>
      </c>
      <c r="N13" s="75">
        <v>4902.3779296875</v>
      </c>
      <c r="O13" s="76"/>
      <c r="P13" s="77"/>
      <c r="Q13" s="77"/>
      <c r="R13" s="82"/>
      <c r="S13" s="49">
        <v>19</v>
      </c>
      <c r="T13" s="49">
        <v>9</v>
      </c>
      <c r="U13" s="50">
        <v>67.193015</v>
      </c>
      <c r="V13" s="50">
        <v>0.004167</v>
      </c>
      <c r="W13" s="50">
        <v>0.023734</v>
      </c>
      <c r="X13" s="50">
        <v>1.543477</v>
      </c>
      <c r="Y13" s="50">
        <v>0.4947089947089947</v>
      </c>
      <c r="Z13" s="50">
        <v>0</v>
      </c>
      <c r="AA13" s="72">
        <v>13</v>
      </c>
      <c r="AB13" s="72"/>
      <c r="AC13" s="73"/>
      <c r="AD13" s="80" t="s">
        <v>314</v>
      </c>
      <c r="AE13" s="80" t="s">
        <v>393</v>
      </c>
      <c r="AF13" s="80" t="s">
        <v>466</v>
      </c>
      <c r="AG13" s="80" t="s">
        <v>512</v>
      </c>
      <c r="AH13" s="80" t="s">
        <v>563</v>
      </c>
      <c r="AI13" s="80">
        <v>6372</v>
      </c>
      <c r="AJ13" s="80">
        <v>0</v>
      </c>
      <c r="AK13" s="80">
        <v>35</v>
      </c>
      <c r="AL13" s="80">
        <v>3</v>
      </c>
      <c r="AM13" s="80" t="s">
        <v>634</v>
      </c>
      <c r="AN13" s="98" t="str">
        <f>HYPERLINK("https://www.youtube.com/watch?v=UTSf09Huz70")</f>
        <v>https://www.youtube.com/watch?v=UTSf09Huz70</v>
      </c>
      <c r="AO13" s="80" t="str">
        <f>REPLACE(INDEX(GroupVertices[Group],MATCH(Vertices[[#This Row],[Vertex]],GroupVertices[Vertex],0)),1,1,"")</f>
        <v>1</v>
      </c>
      <c r="AP13" s="49">
        <v>3</v>
      </c>
      <c r="AQ13" s="50">
        <v>3.1578947368421053</v>
      </c>
      <c r="AR13" s="49">
        <v>4</v>
      </c>
      <c r="AS13" s="50">
        <v>4.2105263157894735</v>
      </c>
      <c r="AT13" s="49">
        <v>0</v>
      </c>
      <c r="AU13" s="50">
        <v>0</v>
      </c>
      <c r="AV13" s="49">
        <v>88</v>
      </c>
      <c r="AW13" s="50">
        <v>92.63157894736842</v>
      </c>
      <c r="AX13" s="49">
        <v>95</v>
      </c>
      <c r="AY13" s="120" t="s">
        <v>2109</v>
      </c>
      <c r="AZ13" s="120" t="s">
        <v>2109</v>
      </c>
      <c r="BA13" s="120" t="s">
        <v>2109</v>
      </c>
      <c r="BB13" s="120" t="s">
        <v>2109</v>
      </c>
      <c r="BC13" s="2"/>
      <c r="BD13" s="3"/>
      <c r="BE13" s="3"/>
      <c r="BF13" s="3"/>
      <c r="BG13" s="3"/>
    </row>
    <row r="14" spans="1:59" ht="15">
      <c r="A14" s="65" t="s">
        <v>220</v>
      </c>
      <c r="B14" s="66"/>
      <c r="C14" s="66"/>
      <c r="D14" s="67">
        <v>395.3604326268122</v>
      </c>
      <c r="E14" s="69"/>
      <c r="F14" s="96" t="str">
        <f>HYPERLINK("https://i.ytimg.com/vi/jTe8gnsHQ-Q/default.jpg")</f>
        <v>https://i.ytimg.com/vi/jTe8gnsHQ-Q/default.jpg</v>
      </c>
      <c r="G14" s="66"/>
      <c r="H14" s="70" t="s">
        <v>315</v>
      </c>
      <c r="I14" s="71"/>
      <c r="J14" s="71" t="s">
        <v>75</v>
      </c>
      <c r="K14" s="70" t="s">
        <v>315</v>
      </c>
      <c r="L14" s="74">
        <v>675.372588440342</v>
      </c>
      <c r="M14" s="75">
        <v>1997.1551513671875</v>
      </c>
      <c r="N14" s="75">
        <v>8164.486328125</v>
      </c>
      <c r="O14" s="76"/>
      <c r="P14" s="77"/>
      <c r="Q14" s="77"/>
      <c r="R14" s="82"/>
      <c r="S14" s="49">
        <v>13</v>
      </c>
      <c r="T14" s="49">
        <v>7</v>
      </c>
      <c r="U14" s="50">
        <v>173.74795</v>
      </c>
      <c r="V14" s="50">
        <v>0.004184</v>
      </c>
      <c r="W14" s="50">
        <v>0.01704</v>
      </c>
      <c r="X14" s="50">
        <v>1.217745</v>
      </c>
      <c r="Y14" s="50">
        <v>0.5105263157894737</v>
      </c>
      <c r="Z14" s="50">
        <v>0</v>
      </c>
      <c r="AA14" s="72">
        <v>14</v>
      </c>
      <c r="AB14" s="72"/>
      <c r="AC14" s="73"/>
      <c r="AD14" s="80" t="s">
        <v>315</v>
      </c>
      <c r="AE14" s="80" t="s">
        <v>394</v>
      </c>
      <c r="AF14" s="80" t="s">
        <v>467</v>
      </c>
      <c r="AG14" s="80" t="s">
        <v>515</v>
      </c>
      <c r="AH14" s="80" t="s">
        <v>564</v>
      </c>
      <c r="AI14" s="80">
        <v>3422</v>
      </c>
      <c r="AJ14" s="80">
        <v>1</v>
      </c>
      <c r="AK14" s="80">
        <v>12</v>
      </c>
      <c r="AL14" s="80">
        <v>0</v>
      </c>
      <c r="AM14" s="80" t="s">
        <v>634</v>
      </c>
      <c r="AN14" s="98" t="str">
        <f>HYPERLINK("https://www.youtube.com/watch?v=jTe8gnsHQ-Q")</f>
        <v>https://www.youtube.com/watch?v=jTe8gnsHQ-Q</v>
      </c>
      <c r="AO14" s="80" t="str">
        <f>REPLACE(INDEX(GroupVertices[Group],MATCH(Vertices[[#This Row],[Vertex]],GroupVertices[Vertex],0)),1,1,"")</f>
        <v>1</v>
      </c>
      <c r="AP14" s="49">
        <v>0</v>
      </c>
      <c r="AQ14" s="50">
        <v>0</v>
      </c>
      <c r="AR14" s="49">
        <v>0</v>
      </c>
      <c r="AS14" s="50">
        <v>0</v>
      </c>
      <c r="AT14" s="49">
        <v>0</v>
      </c>
      <c r="AU14" s="50">
        <v>0</v>
      </c>
      <c r="AV14" s="49">
        <v>5</v>
      </c>
      <c r="AW14" s="50">
        <v>100</v>
      </c>
      <c r="AX14" s="49">
        <v>5</v>
      </c>
      <c r="AY14" s="120" t="s">
        <v>2109</v>
      </c>
      <c r="AZ14" s="120" t="s">
        <v>2109</v>
      </c>
      <c r="BA14" s="120" t="s">
        <v>2109</v>
      </c>
      <c r="BB14" s="120" t="s">
        <v>2109</v>
      </c>
      <c r="BC14" s="2"/>
      <c r="BD14" s="3"/>
      <c r="BE14" s="3"/>
      <c r="BF14" s="3"/>
      <c r="BG14" s="3"/>
    </row>
    <row r="15" spans="1:59" ht="15">
      <c r="A15" s="65" t="s">
        <v>221</v>
      </c>
      <c r="B15" s="66"/>
      <c r="C15" s="66"/>
      <c r="D15" s="67">
        <v>971.5582992993595</v>
      </c>
      <c r="E15" s="69"/>
      <c r="F15" s="96" t="str">
        <f>HYPERLINK("https://i.ytimg.com/vi/PG_9tDm705g/default.jpg")</f>
        <v>https://i.ytimg.com/vi/PG_9tDm705g/default.jpg</v>
      </c>
      <c r="G15" s="66"/>
      <c r="H15" s="70" t="s">
        <v>316</v>
      </c>
      <c r="I15" s="71"/>
      <c r="J15" s="71" t="s">
        <v>75</v>
      </c>
      <c r="K15" s="70" t="s">
        <v>316</v>
      </c>
      <c r="L15" s="74">
        <v>2259.051108410913</v>
      </c>
      <c r="M15" s="75">
        <v>1703.0628662109375</v>
      </c>
      <c r="N15" s="75">
        <v>4941.8935546875</v>
      </c>
      <c r="O15" s="76"/>
      <c r="P15" s="77"/>
      <c r="Q15" s="77"/>
      <c r="R15" s="82"/>
      <c r="S15" s="49">
        <v>19</v>
      </c>
      <c r="T15" s="49">
        <v>28</v>
      </c>
      <c r="U15" s="50">
        <v>581.772981</v>
      </c>
      <c r="V15" s="50">
        <v>0.004785</v>
      </c>
      <c r="W15" s="50">
        <v>0.029474</v>
      </c>
      <c r="X15" s="50">
        <v>2.18538</v>
      </c>
      <c r="Y15" s="50">
        <v>0.3582995951417004</v>
      </c>
      <c r="Z15" s="50">
        <v>0.20512820512820512</v>
      </c>
      <c r="AA15" s="72">
        <v>15</v>
      </c>
      <c r="AB15" s="72"/>
      <c r="AC15" s="73"/>
      <c r="AD15" s="80" t="s">
        <v>316</v>
      </c>
      <c r="AE15" s="80" t="s">
        <v>395</v>
      </c>
      <c r="AF15" s="80" t="s">
        <v>468</v>
      </c>
      <c r="AG15" s="80" t="s">
        <v>516</v>
      </c>
      <c r="AH15" s="80" t="s">
        <v>565</v>
      </c>
      <c r="AI15" s="80">
        <v>7699</v>
      </c>
      <c r="AJ15" s="80">
        <v>2</v>
      </c>
      <c r="AK15" s="80">
        <v>26</v>
      </c>
      <c r="AL15" s="80">
        <v>3</v>
      </c>
      <c r="AM15" s="80" t="s">
        <v>634</v>
      </c>
      <c r="AN15" s="98" t="str">
        <f>HYPERLINK("https://www.youtube.com/watch?v=PG_9tDm705g")</f>
        <v>https://www.youtube.com/watch?v=PG_9tDm705g</v>
      </c>
      <c r="AO15" s="80" t="str">
        <f>REPLACE(INDEX(GroupVertices[Group],MATCH(Vertices[[#This Row],[Vertex]],GroupVertices[Vertex],0)),1,1,"")</f>
        <v>1</v>
      </c>
      <c r="AP15" s="49">
        <v>0</v>
      </c>
      <c r="AQ15" s="50">
        <v>0</v>
      </c>
      <c r="AR15" s="49">
        <v>3</v>
      </c>
      <c r="AS15" s="50">
        <v>5.357142857142857</v>
      </c>
      <c r="AT15" s="49">
        <v>0</v>
      </c>
      <c r="AU15" s="50">
        <v>0</v>
      </c>
      <c r="AV15" s="49">
        <v>53</v>
      </c>
      <c r="AW15" s="50">
        <v>94.64285714285714</v>
      </c>
      <c r="AX15" s="49">
        <v>56</v>
      </c>
      <c r="AY15" s="120" t="s">
        <v>2109</v>
      </c>
      <c r="AZ15" s="120" t="s">
        <v>2109</v>
      </c>
      <c r="BA15" s="120" t="s">
        <v>2109</v>
      </c>
      <c r="BB15" s="120" t="s">
        <v>2109</v>
      </c>
      <c r="BC15" s="2"/>
      <c r="BD15" s="3"/>
      <c r="BE15" s="3"/>
      <c r="BF15" s="3"/>
      <c r="BG15" s="3"/>
    </row>
    <row r="16" spans="1:59" ht="15">
      <c r="A16" s="65" t="s">
        <v>222</v>
      </c>
      <c r="B16" s="66"/>
      <c r="C16" s="66"/>
      <c r="D16" s="67">
        <v>475.0338040680241</v>
      </c>
      <c r="E16" s="69"/>
      <c r="F16" s="96" t="str">
        <f>HYPERLINK("https://i.ytimg.com/vi/3HR8nhiLSLU/default.jpg")</f>
        <v>https://i.ytimg.com/vi/3HR8nhiLSLU/default.jpg</v>
      </c>
      <c r="G16" s="66"/>
      <c r="H16" s="70" t="s">
        <v>317</v>
      </c>
      <c r="I16" s="71"/>
      <c r="J16" s="71" t="s">
        <v>75</v>
      </c>
      <c r="K16" s="70" t="s">
        <v>317</v>
      </c>
      <c r="L16" s="74">
        <v>894.3546677974498</v>
      </c>
      <c r="M16" s="75">
        <v>1440.984130859375</v>
      </c>
      <c r="N16" s="75">
        <v>4269.8037109375</v>
      </c>
      <c r="O16" s="76"/>
      <c r="P16" s="77"/>
      <c r="Q16" s="77"/>
      <c r="R16" s="82"/>
      <c r="S16" s="49">
        <v>12</v>
      </c>
      <c r="T16" s="49">
        <v>11</v>
      </c>
      <c r="U16" s="50">
        <v>230.167336</v>
      </c>
      <c r="V16" s="50">
        <v>0.004348</v>
      </c>
      <c r="W16" s="50">
        <v>0.018861</v>
      </c>
      <c r="X16" s="50">
        <v>1.385173</v>
      </c>
      <c r="Y16" s="50">
        <v>0.4683794466403162</v>
      </c>
      <c r="Z16" s="50">
        <v>0</v>
      </c>
      <c r="AA16" s="72">
        <v>16</v>
      </c>
      <c r="AB16" s="72"/>
      <c r="AC16" s="73"/>
      <c r="AD16" s="80" t="s">
        <v>317</v>
      </c>
      <c r="AE16" s="80" t="s">
        <v>396</v>
      </c>
      <c r="AF16" s="80" t="s">
        <v>469</v>
      </c>
      <c r="AG16" s="80" t="s">
        <v>517</v>
      </c>
      <c r="AH16" s="80" t="s">
        <v>566</v>
      </c>
      <c r="AI16" s="80">
        <v>5346</v>
      </c>
      <c r="AJ16" s="80">
        <v>3</v>
      </c>
      <c r="AK16" s="80">
        <v>16</v>
      </c>
      <c r="AL16" s="80">
        <v>0</v>
      </c>
      <c r="AM16" s="80" t="s">
        <v>634</v>
      </c>
      <c r="AN16" s="98" t="str">
        <f>HYPERLINK("https://www.youtube.com/watch?v=3HR8nhiLSLU")</f>
        <v>https://www.youtube.com/watch?v=3HR8nhiLSLU</v>
      </c>
      <c r="AO16" s="80" t="str">
        <f>REPLACE(INDEX(GroupVertices[Group],MATCH(Vertices[[#This Row],[Vertex]],GroupVertices[Vertex],0)),1,1,"")</f>
        <v>1</v>
      </c>
      <c r="AP16" s="49">
        <v>1</v>
      </c>
      <c r="AQ16" s="50">
        <v>1.0101010101010102</v>
      </c>
      <c r="AR16" s="49">
        <v>1</v>
      </c>
      <c r="AS16" s="50">
        <v>1.0101010101010102</v>
      </c>
      <c r="AT16" s="49">
        <v>0</v>
      </c>
      <c r="AU16" s="50">
        <v>0</v>
      </c>
      <c r="AV16" s="49">
        <v>97</v>
      </c>
      <c r="AW16" s="50">
        <v>97.97979797979798</v>
      </c>
      <c r="AX16" s="49">
        <v>99</v>
      </c>
      <c r="AY16" s="120" t="s">
        <v>2109</v>
      </c>
      <c r="AZ16" s="120" t="s">
        <v>2109</v>
      </c>
      <c r="BA16" s="120" t="s">
        <v>2109</v>
      </c>
      <c r="BB16" s="120" t="s">
        <v>2109</v>
      </c>
      <c r="BC16" s="2"/>
      <c r="BD16" s="3"/>
      <c r="BE16" s="3"/>
      <c r="BF16" s="3"/>
      <c r="BG16" s="3"/>
    </row>
    <row r="17" spans="1:59" ht="15">
      <c r="A17" s="65" t="s">
        <v>223</v>
      </c>
      <c r="B17" s="66"/>
      <c r="C17" s="66"/>
      <c r="D17" s="67">
        <v>620.5894036904502</v>
      </c>
      <c r="E17" s="69"/>
      <c r="F17" s="96" t="str">
        <f>HYPERLINK("https://i.ytimg.com/vi/pfKPJasaDSY/default.jpg")</f>
        <v>https://i.ytimg.com/vi/pfKPJasaDSY/default.jpg</v>
      </c>
      <c r="G17" s="66"/>
      <c r="H17" s="70" t="s">
        <v>318</v>
      </c>
      <c r="I17" s="71"/>
      <c r="J17" s="71" t="s">
        <v>75</v>
      </c>
      <c r="K17" s="70" t="s">
        <v>318</v>
      </c>
      <c r="L17" s="74">
        <v>1294.4139007735296</v>
      </c>
      <c r="M17" s="75">
        <v>2046.176513671875</v>
      </c>
      <c r="N17" s="75">
        <v>7240.12353515625</v>
      </c>
      <c r="O17" s="76"/>
      <c r="P17" s="77"/>
      <c r="Q17" s="77"/>
      <c r="R17" s="82"/>
      <c r="S17" s="49">
        <v>17</v>
      </c>
      <c r="T17" s="49">
        <v>13</v>
      </c>
      <c r="U17" s="50">
        <v>333.240137</v>
      </c>
      <c r="V17" s="50">
        <v>0.004484</v>
      </c>
      <c r="W17" s="50">
        <v>0.024389</v>
      </c>
      <c r="X17" s="50">
        <v>1.555598</v>
      </c>
      <c r="Y17" s="50">
        <v>0.48645320197044334</v>
      </c>
      <c r="Z17" s="50">
        <v>0.034482758620689655</v>
      </c>
      <c r="AA17" s="72">
        <v>17</v>
      </c>
      <c r="AB17" s="72"/>
      <c r="AC17" s="73"/>
      <c r="AD17" s="80" t="s">
        <v>318</v>
      </c>
      <c r="AE17" s="80" t="s">
        <v>397</v>
      </c>
      <c r="AF17" s="80" t="s">
        <v>470</v>
      </c>
      <c r="AG17" s="80" t="s">
        <v>518</v>
      </c>
      <c r="AH17" s="80" t="s">
        <v>567</v>
      </c>
      <c r="AI17" s="80">
        <v>10750</v>
      </c>
      <c r="AJ17" s="80">
        <v>13</v>
      </c>
      <c r="AK17" s="80">
        <v>50</v>
      </c>
      <c r="AL17" s="80">
        <v>2</v>
      </c>
      <c r="AM17" s="80" t="s">
        <v>634</v>
      </c>
      <c r="AN17" s="98" t="str">
        <f>HYPERLINK("https://www.youtube.com/watch?v=pfKPJasaDSY")</f>
        <v>https://www.youtube.com/watch?v=pfKPJasaDSY</v>
      </c>
      <c r="AO17" s="80" t="str">
        <f>REPLACE(INDEX(GroupVertices[Group],MATCH(Vertices[[#This Row],[Vertex]],GroupVertices[Vertex],0)),1,1,"")</f>
        <v>1</v>
      </c>
      <c r="AP17" s="49">
        <v>0</v>
      </c>
      <c r="AQ17" s="50">
        <v>0</v>
      </c>
      <c r="AR17" s="49">
        <v>4</v>
      </c>
      <c r="AS17" s="50">
        <v>8.88888888888889</v>
      </c>
      <c r="AT17" s="49">
        <v>0</v>
      </c>
      <c r="AU17" s="50">
        <v>0</v>
      </c>
      <c r="AV17" s="49">
        <v>41</v>
      </c>
      <c r="AW17" s="50">
        <v>91.11111111111111</v>
      </c>
      <c r="AX17" s="49">
        <v>45</v>
      </c>
      <c r="AY17" s="120" t="s">
        <v>2109</v>
      </c>
      <c r="AZ17" s="120" t="s">
        <v>2109</v>
      </c>
      <c r="BA17" s="120" t="s">
        <v>2109</v>
      </c>
      <c r="BB17" s="120" t="s">
        <v>2109</v>
      </c>
      <c r="BC17" s="2"/>
      <c r="BD17" s="3"/>
      <c r="BE17" s="3"/>
      <c r="BF17" s="3"/>
      <c r="BG17" s="3"/>
    </row>
    <row r="18" spans="1:59" ht="15">
      <c r="A18" s="65" t="s">
        <v>224</v>
      </c>
      <c r="B18" s="66"/>
      <c r="C18" s="66"/>
      <c r="D18" s="67">
        <v>1000</v>
      </c>
      <c r="E18" s="69"/>
      <c r="F18" s="96" t="str">
        <f>HYPERLINK("https://i.ytimg.com/vi/uGHwpg-fJvc/default.jpg")</f>
        <v>https://i.ytimg.com/vi/uGHwpg-fJvc/default.jpg</v>
      </c>
      <c r="G18" s="66"/>
      <c r="H18" s="70" t="s">
        <v>319</v>
      </c>
      <c r="I18" s="71"/>
      <c r="J18" s="71" t="s">
        <v>75</v>
      </c>
      <c r="K18" s="70" t="s">
        <v>319</v>
      </c>
      <c r="L18" s="74">
        <v>3539.5944904416656</v>
      </c>
      <c r="M18" s="75">
        <v>1326.7242431640625</v>
      </c>
      <c r="N18" s="75">
        <v>6309.04931640625</v>
      </c>
      <c r="O18" s="76"/>
      <c r="P18" s="77"/>
      <c r="Q18" s="77"/>
      <c r="R18" s="82"/>
      <c r="S18" s="49">
        <v>29</v>
      </c>
      <c r="T18" s="49">
        <v>33</v>
      </c>
      <c r="U18" s="50">
        <v>911.697108</v>
      </c>
      <c r="V18" s="50">
        <v>0.004525</v>
      </c>
      <c r="W18" s="50">
        <v>0.03028</v>
      </c>
      <c r="X18" s="50">
        <v>2.821714</v>
      </c>
      <c r="Y18" s="50">
        <v>0.27575757575757576</v>
      </c>
      <c r="Z18" s="50">
        <v>0.37777777777777777</v>
      </c>
      <c r="AA18" s="72">
        <v>18</v>
      </c>
      <c r="AB18" s="72"/>
      <c r="AC18" s="73"/>
      <c r="AD18" s="80" t="s">
        <v>319</v>
      </c>
      <c r="AE18" s="80" t="s">
        <v>398</v>
      </c>
      <c r="AF18" s="80" t="s">
        <v>471</v>
      </c>
      <c r="AG18" s="80" t="s">
        <v>508</v>
      </c>
      <c r="AH18" s="80" t="s">
        <v>568</v>
      </c>
      <c r="AI18" s="80">
        <v>63782</v>
      </c>
      <c r="AJ18" s="80">
        <v>18</v>
      </c>
      <c r="AK18" s="80">
        <v>353</v>
      </c>
      <c r="AL18" s="80">
        <v>40</v>
      </c>
      <c r="AM18" s="80" t="s">
        <v>634</v>
      </c>
      <c r="AN18" s="98" t="str">
        <f>HYPERLINK("https://www.youtube.com/watch?v=uGHwpg-fJvc")</f>
        <v>https://www.youtube.com/watch?v=uGHwpg-fJvc</v>
      </c>
      <c r="AO18" s="80" t="str">
        <f>REPLACE(INDEX(GroupVertices[Group],MATCH(Vertices[[#This Row],[Vertex]],GroupVertices[Vertex],0)),1,1,"")</f>
        <v>1</v>
      </c>
      <c r="AP18" s="49">
        <v>0</v>
      </c>
      <c r="AQ18" s="50">
        <v>0</v>
      </c>
      <c r="AR18" s="49">
        <v>2</v>
      </c>
      <c r="AS18" s="50">
        <v>5.555555555555555</v>
      </c>
      <c r="AT18" s="49">
        <v>0</v>
      </c>
      <c r="AU18" s="50">
        <v>0</v>
      </c>
      <c r="AV18" s="49">
        <v>34</v>
      </c>
      <c r="AW18" s="50">
        <v>94.44444444444444</v>
      </c>
      <c r="AX18" s="49">
        <v>36</v>
      </c>
      <c r="AY18" s="120" t="s">
        <v>2109</v>
      </c>
      <c r="AZ18" s="120" t="s">
        <v>2109</v>
      </c>
      <c r="BA18" s="120" t="s">
        <v>2109</v>
      </c>
      <c r="BB18" s="120" t="s">
        <v>2109</v>
      </c>
      <c r="BC18" s="2"/>
      <c r="BD18" s="3"/>
      <c r="BE18" s="3"/>
      <c r="BF18" s="3"/>
      <c r="BG18" s="3"/>
    </row>
    <row r="19" spans="1:59" ht="15">
      <c r="A19" s="65" t="s">
        <v>225</v>
      </c>
      <c r="B19" s="66"/>
      <c r="C19" s="66"/>
      <c r="D19" s="67">
        <v>185.83303687739334</v>
      </c>
      <c r="E19" s="69"/>
      <c r="F19" s="96" t="str">
        <f>HYPERLINK("https://i.ytimg.com/vi/thiV4-BWHlU/default.jpg")</f>
        <v>https://i.ytimg.com/vi/thiV4-BWHlU/default.jpg</v>
      </c>
      <c r="G19" s="66"/>
      <c r="H19" s="70" t="s">
        <v>320</v>
      </c>
      <c r="I19" s="71"/>
      <c r="J19" s="71" t="s">
        <v>75</v>
      </c>
      <c r="K19" s="70" t="s">
        <v>320</v>
      </c>
      <c r="L19" s="74">
        <v>99.48701998109095</v>
      </c>
      <c r="M19" s="75">
        <v>2005.17529296875</v>
      </c>
      <c r="N19" s="75">
        <v>8632.5224609375</v>
      </c>
      <c r="O19" s="76"/>
      <c r="P19" s="77"/>
      <c r="Q19" s="77"/>
      <c r="R19" s="82"/>
      <c r="S19" s="49">
        <v>10</v>
      </c>
      <c r="T19" s="49">
        <v>7</v>
      </c>
      <c r="U19" s="50">
        <v>25.374575</v>
      </c>
      <c r="V19" s="50">
        <v>0.003906</v>
      </c>
      <c r="W19" s="50">
        <v>0.013492</v>
      </c>
      <c r="X19" s="50">
        <v>0.976908</v>
      </c>
      <c r="Y19" s="50">
        <v>0.5</v>
      </c>
      <c r="Z19" s="50">
        <v>0.0625</v>
      </c>
      <c r="AA19" s="72">
        <v>19</v>
      </c>
      <c r="AB19" s="72"/>
      <c r="AC19" s="73"/>
      <c r="AD19" s="80" t="s">
        <v>320</v>
      </c>
      <c r="AE19" s="80" t="s">
        <v>399</v>
      </c>
      <c r="AF19" s="80" t="s">
        <v>472</v>
      </c>
      <c r="AG19" s="80" t="s">
        <v>519</v>
      </c>
      <c r="AH19" s="80" t="s">
        <v>569</v>
      </c>
      <c r="AI19" s="80">
        <v>14032</v>
      </c>
      <c r="AJ19" s="80">
        <v>25</v>
      </c>
      <c r="AK19" s="80">
        <v>307</v>
      </c>
      <c r="AL19" s="80">
        <v>11</v>
      </c>
      <c r="AM19" s="80" t="s">
        <v>634</v>
      </c>
      <c r="AN19" s="98" t="str">
        <f>HYPERLINK("https://www.youtube.com/watch?v=thiV4-BWHlU")</f>
        <v>https://www.youtube.com/watch?v=thiV4-BWHlU</v>
      </c>
      <c r="AO19" s="80" t="str">
        <f>REPLACE(INDEX(GroupVertices[Group],MATCH(Vertices[[#This Row],[Vertex]],GroupVertices[Vertex],0)),1,1,"")</f>
        <v>1</v>
      </c>
      <c r="AP19" s="49">
        <v>0</v>
      </c>
      <c r="AQ19" s="50">
        <v>0</v>
      </c>
      <c r="AR19" s="49">
        <v>1</v>
      </c>
      <c r="AS19" s="50">
        <v>3.125</v>
      </c>
      <c r="AT19" s="49">
        <v>0</v>
      </c>
      <c r="AU19" s="50">
        <v>0</v>
      </c>
      <c r="AV19" s="49">
        <v>31</v>
      </c>
      <c r="AW19" s="50">
        <v>96.875</v>
      </c>
      <c r="AX19" s="49">
        <v>32</v>
      </c>
      <c r="AY19" s="120" t="s">
        <v>2109</v>
      </c>
      <c r="AZ19" s="120" t="s">
        <v>2109</v>
      </c>
      <c r="BA19" s="120" t="s">
        <v>2109</v>
      </c>
      <c r="BB19" s="120" t="s">
        <v>2109</v>
      </c>
      <c r="BC19" s="2"/>
      <c r="BD19" s="3"/>
      <c r="BE19" s="3"/>
      <c r="BF19" s="3"/>
      <c r="BG19" s="3"/>
    </row>
    <row r="20" spans="1:59" ht="15">
      <c r="A20" s="65" t="s">
        <v>226</v>
      </c>
      <c r="B20" s="66"/>
      <c r="C20" s="66"/>
      <c r="D20" s="67">
        <v>626.0244788859637</v>
      </c>
      <c r="E20" s="69"/>
      <c r="F20" s="96" t="str">
        <f>HYPERLINK("https://i.ytimg.com/vi/Uuk8iIhq-Do/default.jpg")</f>
        <v>https://i.ytimg.com/vi/Uuk8iIhq-Do/default.jpg</v>
      </c>
      <c r="G20" s="66"/>
      <c r="H20" s="70" t="s">
        <v>321</v>
      </c>
      <c r="I20" s="71"/>
      <c r="J20" s="71" t="s">
        <v>75</v>
      </c>
      <c r="K20" s="70" t="s">
        <v>321</v>
      </c>
      <c r="L20" s="74">
        <v>1309.3521925295652</v>
      </c>
      <c r="M20" s="75">
        <v>1913.5997314453125</v>
      </c>
      <c r="N20" s="75">
        <v>4701.0439453125</v>
      </c>
      <c r="O20" s="76"/>
      <c r="P20" s="77"/>
      <c r="Q20" s="77"/>
      <c r="R20" s="82"/>
      <c r="S20" s="49">
        <v>20</v>
      </c>
      <c r="T20" s="49">
        <v>32</v>
      </c>
      <c r="U20" s="50">
        <v>337.088896</v>
      </c>
      <c r="V20" s="50">
        <v>0.00463</v>
      </c>
      <c r="W20" s="50">
        <v>0.030849</v>
      </c>
      <c r="X20" s="50">
        <v>2.349095</v>
      </c>
      <c r="Y20" s="50">
        <v>0.32059800664451826</v>
      </c>
      <c r="Z20" s="50">
        <v>0.20930232558139536</v>
      </c>
      <c r="AA20" s="72">
        <v>20</v>
      </c>
      <c r="AB20" s="72"/>
      <c r="AC20" s="73"/>
      <c r="AD20" s="80" t="s">
        <v>321</v>
      </c>
      <c r="AE20" s="80" t="s">
        <v>400</v>
      </c>
      <c r="AF20" s="80" t="s">
        <v>473</v>
      </c>
      <c r="AG20" s="80" t="s">
        <v>520</v>
      </c>
      <c r="AH20" s="80" t="s">
        <v>570</v>
      </c>
      <c r="AI20" s="80">
        <v>9095</v>
      </c>
      <c r="AJ20" s="80">
        <v>1</v>
      </c>
      <c r="AK20" s="80">
        <v>87</v>
      </c>
      <c r="AL20" s="80">
        <v>3</v>
      </c>
      <c r="AM20" s="80" t="s">
        <v>634</v>
      </c>
      <c r="AN20" s="98" t="str">
        <f>HYPERLINK("https://www.youtube.com/watch?v=Uuk8iIhq-Do")</f>
        <v>https://www.youtube.com/watch?v=Uuk8iIhq-Do</v>
      </c>
      <c r="AO20" s="80" t="str">
        <f>REPLACE(INDEX(GroupVertices[Group],MATCH(Vertices[[#This Row],[Vertex]],GroupVertices[Vertex],0)),1,1,"")</f>
        <v>1</v>
      </c>
      <c r="AP20" s="49">
        <v>3</v>
      </c>
      <c r="AQ20" s="50">
        <v>3.5294117647058822</v>
      </c>
      <c r="AR20" s="49">
        <v>0</v>
      </c>
      <c r="AS20" s="50">
        <v>0</v>
      </c>
      <c r="AT20" s="49">
        <v>0</v>
      </c>
      <c r="AU20" s="50">
        <v>0</v>
      </c>
      <c r="AV20" s="49">
        <v>82</v>
      </c>
      <c r="AW20" s="50">
        <v>96.47058823529412</v>
      </c>
      <c r="AX20" s="49">
        <v>85</v>
      </c>
      <c r="AY20" s="120" t="s">
        <v>2109</v>
      </c>
      <c r="AZ20" s="120" t="s">
        <v>2109</v>
      </c>
      <c r="BA20" s="120" t="s">
        <v>2109</v>
      </c>
      <c r="BB20" s="120" t="s">
        <v>2109</v>
      </c>
      <c r="BC20" s="2"/>
      <c r="BD20" s="3"/>
      <c r="BE20" s="3"/>
      <c r="BF20" s="3"/>
      <c r="BG20" s="3"/>
    </row>
    <row r="21" spans="1:59" ht="15">
      <c r="A21" s="65" t="s">
        <v>227</v>
      </c>
      <c r="B21" s="66"/>
      <c r="C21" s="66"/>
      <c r="D21" s="67">
        <v>260.46850821354644</v>
      </c>
      <c r="E21" s="69"/>
      <c r="F21" s="96" t="str">
        <f>HYPERLINK("https://i.ytimg.com/vi/q0scBynXQL8/default.jpg")</f>
        <v>https://i.ytimg.com/vi/q0scBynXQL8/default.jpg</v>
      </c>
      <c r="G21" s="66"/>
      <c r="H21" s="70" t="s">
        <v>322</v>
      </c>
      <c r="I21" s="71"/>
      <c r="J21" s="71" t="s">
        <v>75</v>
      </c>
      <c r="K21" s="70" t="s">
        <v>322</v>
      </c>
      <c r="L21" s="74">
        <v>304.62244241075615</v>
      </c>
      <c r="M21" s="75">
        <v>2061.862548828125</v>
      </c>
      <c r="N21" s="75">
        <v>6523.53173828125</v>
      </c>
      <c r="O21" s="76"/>
      <c r="P21" s="77"/>
      <c r="Q21" s="77"/>
      <c r="R21" s="82"/>
      <c r="S21" s="49">
        <v>13</v>
      </c>
      <c r="T21" s="49">
        <v>19</v>
      </c>
      <c r="U21" s="50">
        <v>78.226455</v>
      </c>
      <c r="V21" s="50">
        <v>0.004202</v>
      </c>
      <c r="W21" s="50">
        <v>0.024941</v>
      </c>
      <c r="X21" s="50">
        <v>1.70771</v>
      </c>
      <c r="Y21" s="50">
        <v>0.44193548387096776</v>
      </c>
      <c r="Z21" s="50">
        <v>0.03225806451612903</v>
      </c>
      <c r="AA21" s="72">
        <v>21</v>
      </c>
      <c r="AB21" s="72"/>
      <c r="AC21" s="73"/>
      <c r="AD21" s="80" t="s">
        <v>322</v>
      </c>
      <c r="AE21" s="80" t="s">
        <v>401</v>
      </c>
      <c r="AF21" s="80" t="s">
        <v>474</v>
      </c>
      <c r="AG21" s="80" t="s">
        <v>521</v>
      </c>
      <c r="AH21" s="80" t="s">
        <v>571</v>
      </c>
      <c r="AI21" s="80">
        <v>40072</v>
      </c>
      <c r="AJ21" s="80">
        <v>3</v>
      </c>
      <c r="AK21" s="80">
        <v>101</v>
      </c>
      <c r="AL21" s="80">
        <v>12</v>
      </c>
      <c r="AM21" s="80" t="s">
        <v>634</v>
      </c>
      <c r="AN21" s="98" t="str">
        <f>HYPERLINK("https://www.youtube.com/watch?v=q0scBynXQL8")</f>
        <v>https://www.youtube.com/watch?v=q0scBynXQL8</v>
      </c>
      <c r="AO21" s="80" t="str">
        <f>REPLACE(INDEX(GroupVertices[Group],MATCH(Vertices[[#This Row],[Vertex]],GroupVertices[Vertex],0)),1,1,"")</f>
        <v>1</v>
      </c>
      <c r="AP21" s="49">
        <v>1</v>
      </c>
      <c r="AQ21" s="50">
        <v>7.142857142857143</v>
      </c>
      <c r="AR21" s="49">
        <v>0</v>
      </c>
      <c r="AS21" s="50">
        <v>0</v>
      </c>
      <c r="AT21" s="49">
        <v>0</v>
      </c>
      <c r="AU21" s="50">
        <v>0</v>
      </c>
      <c r="AV21" s="49">
        <v>13</v>
      </c>
      <c r="AW21" s="50">
        <v>92.85714285714286</v>
      </c>
      <c r="AX21" s="49">
        <v>14</v>
      </c>
      <c r="AY21" s="120" t="s">
        <v>2109</v>
      </c>
      <c r="AZ21" s="120" t="s">
        <v>2109</v>
      </c>
      <c r="BA21" s="120" t="s">
        <v>2109</v>
      </c>
      <c r="BB21" s="120" t="s">
        <v>2109</v>
      </c>
      <c r="BC21" s="2"/>
      <c r="BD21" s="3"/>
      <c r="BE21" s="3"/>
      <c r="BF21" s="3"/>
      <c r="BG21" s="3"/>
    </row>
    <row r="22" spans="1:59" ht="15">
      <c r="A22" s="65" t="s">
        <v>228</v>
      </c>
      <c r="B22" s="66"/>
      <c r="C22" s="66"/>
      <c r="D22" s="67">
        <v>155.93561073508596</v>
      </c>
      <c r="E22" s="69"/>
      <c r="F22" s="96" t="str">
        <f>HYPERLINK("https://i.ytimg.com/vi/LUaRo6u4AbE/default.jpg")</f>
        <v>https://i.ytimg.com/vi/LUaRo6u4AbE/default.jpg</v>
      </c>
      <c r="G22" s="66"/>
      <c r="H22" s="70" t="s">
        <v>323</v>
      </c>
      <c r="I22" s="71"/>
      <c r="J22" s="71" t="s">
        <v>75</v>
      </c>
      <c r="K22" s="70" t="s">
        <v>323</v>
      </c>
      <c r="L22" s="74">
        <v>17.314012542855256</v>
      </c>
      <c r="M22" s="75">
        <v>1687.79833984375</v>
      </c>
      <c r="N22" s="75">
        <v>7030.76220703125</v>
      </c>
      <c r="O22" s="76"/>
      <c r="P22" s="77"/>
      <c r="Q22" s="77"/>
      <c r="R22" s="82"/>
      <c r="S22" s="49">
        <v>9</v>
      </c>
      <c r="T22" s="49">
        <v>20</v>
      </c>
      <c r="U22" s="50">
        <v>4.203205</v>
      </c>
      <c r="V22" s="50">
        <v>0.004098</v>
      </c>
      <c r="W22" s="50">
        <v>0.024232</v>
      </c>
      <c r="X22" s="50">
        <v>1.504462</v>
      </c>
      <c r="Y22" s="50">
        <v>0.5171957671957672</v>
      </c>
      <c r="Z22" s="50">
        <v>0.03571428571428571</v>
      </c>
      <c r="AA22" s="72">
        <v>22</v>
      </c>
      <c r="AB22" s="72"/>
      <c r="AC22" s="73"/>
      <c r="AD22" s="80" t="s">
        <v>323</v>
      </c>
      <c r="AE22" s="80" t="s">
        <v>402</v>
      </c>
      <c r="AF22" s="80" t="s">
        <v>475</v>
      </c>
      <c r="AG22" s="80" t="s">
        <v>522</v>
      </c>
      <c r="AH22" s="80" t="s">
        <v>572</v>
      </c>
      <c r="AI22" s="80">
        <v>3090</v>
      </c>
      <c r="AJ22" s="80">
        <v>0</v>
      </c>
      <c r="AK22" s="80">
        <v>28</v>
      </c>
      <c r="AL22" s="80">
        <v>0</v>
      </c>
      <c r="AM22" s="80" t="s">
        <v>634</v>
      </c>
      <c r="AN22" s="98" t="str">
        <f>HYPERLINK("https://www.youtube.com/watch?v=LUaRo6u4AbE")</f>
        <v>https://www.youtube.com/watch?v=LUaRo6u4AbE</v>
      </c>
      <c r="AO22" s="80" t="str">
        <f>REPLACE(INDEX(GroupVertices[Group],MATCH(Vertices[[#This Row],[Vertex]],GroupVertices[Vertex],0)),1,1,"")</f>
        <v>1</v>
      </c>
      <c r="AP22" s="49">
        <v>1</v>
      </c>
      <c r="AQ22" s="50">
        <v>0.8130081300813008</v>
      </c>
      <c r="AR22" s="49">
        <v>11</v>
      </c>
      <c r="AS22" s="50">
        <v>8.94308943089431</v>
      </c>
      <c r="AT22" s="49">
        <v>0</v>
      </c>
      <c r="AU22" s="50">
        <v>0</v>
      </c>
      <c r="AV22" s="49">
        <v>111</v>
      </c>
      <c r="AW22" s="50">
        <v>90.2439024390244</v>
      </c>
      <c r="AX22" s="49">
        <v>123</v>
      </c>
      <c r="AY22" s="120" t="s">
        <v>2109</v>
      </c>
      <c r="AZ22" s="120" t="s">
        <v>2109</v>
      </c>
      <c r="BA22" s="120" t="s">
        <v>2109</v>
      </c>
      <c r="BB22" s="120" t="s">
        <v>2109</v>
      </c>
      <c r="BC22" s="2"/>
      <c r="BD22" s="3"/>
      <c r="BE22" s="3"/>
      <c r="BF22" s="3"/>
      <c r="BG22" s="3"/>
    </row>
    <row r="23" spans="1:59" ht="15">
      <c r="A23" s="65" t="s">
        <v>229</v>
      </c>
      <c r="B23" s="66"/>
      <c r="C23" s="66"/>
      <c r="D23" s="67">
        <v>155.54319039757445</v>
      </c>
      <c r="E23" s="69"/>
      <c r="F23" s="96" t="str">
        <f>HYPERLINK("https://i.ytimg.com/vi/OXo_D_scuDk/default.jpg")</f>
        <v>https://i.ytimg.com/vi/OXo_D_scuDk/default.jpg</v>
      </c>
      <c r="G23" s="66"/>
      <c r="H23" s="70" t="s">
        <v>324</v>
      </c>
      <c r="I23" s="71"/>
      <c r="J23" s="71" t="s">
        <v>75</v>
      </c>
      <c r="K23" s="70" t="s">
        <v>324</v>
      </c>
      <c r="L23" s="74">
        <v>16.23544614186271</v>
      </c>
      <c r="M23" s="75">
        <v>2780.3740234375</v>
      </c>
      <c r="N23" s="75">
        <v>6174.97900390625</v>
      </c>
      <c r="O23" s="76"/>
      <c r="P23" s="77"/>
      <c r="Q23" s="77"/>
      <c r="R23" s="82"/>
      <c r="S23" s="49">
        <v>9</v>
      </c>
      <c r="T23" s="49">
        <v>18</v>
      </c>
      <c r="U23" s="50">
        <v>3.925319</v>
      </c>
      <c r="V23" s="50">
        <v>0.004115</v>
      </c>
      <c r="W23" s="50">
        <v>0.023347</v>
      </c>
      <c r="X23" s="50">
        <v>1.405452</v>
      </c>
      <c r="Y23" s="50">
        <v>0.556923076923077</v>
      </c>
      <c r="Z23" s="50">
        <v>0.038461538461538464</v>
      </c>
      <c r="AA23" s="72">
        <v>23</v>
      </c>
      <c r="AB23" s="72"/>
      <c r="AC23" s="73"/>
      <c r="AD23" s="80" t="s">
        <v>324</v>
      </c>
      <c r="AE23" s="80" t="s">
        <v>403</v>
      </c>
      <c r="AF23" s="80"/>
      <c r="AG23" s="80" t="s">
        <v>523</v>
      </c>
      <c r="AH23" s="80" t="s">
        <v>573</v>
      </c>
      <c r="AI23" s="80">
        <v>10005</v>
      </c>
      <c r="AJ23" s="80">
        <v>0</v>
      </c>
      <c r="AK23" s="80">
        <v>61</v>
      </c>
      <c r="AL23" s="80">
        <v>15</v>
      </c>
      <c r="AM23" s="80" t="s">
        <v>634</v>
      </c>
      <c r="AN23" s="98" t="str">
        <f>HYPERLINK("https://www.youtube.com/watch?v=OXo_D_scuDk")</f>
        <v>https://www.youtube.com/watch?v=OXo_D_scuDk</v>
      </c>
      <c r="AO23" s="80" t="str">
        <f>REPLACE(INDEX(GroupVertices[Group],MATCH(Vertices[[#This Row],[Vertex]],GroupVertices[Vertex],0)),1,1,"")</f>
        <v>1</v>
      </c>
      <c r="AP23" s="49">
        <v>1</v>
      </c>
      <c r="AQ23" s="50">
        <v>7.6923076923076925</v>
      </c>
      <c r="AR23" s="49">
        <v>0</v>
      </c>
      <c r="AS23" s="50">
        <v>0</v>
      </c>
      <c r="AT23" s="49">
        <v>0</v>
      </c>
      <c r="AU23" s="50">
        <v>0</v>
      </c>
      <c r="AV23" s="49">
        <v>12</v>
      </c>
      <c r="AW23" s="50">
        <v>92.3076923076923</v>
      </c>
      <c r="AX23" s="49">
        <v>13</v>
      </c>
      <c r="AY23" s="120" t="s">
        <v>2109</v>
      </c>
      <c r="AZ23" s="120" t="s">
        <v>2109</v>
      </c>
      <c r="BA23" s="120" t="s">
        <v>2109</v>
      </c>
      <c r="BB23" s="120" t="s">
        <v>2109</v>
      </c>
      <c r="BC23" s="2"/>
      <c r="BD23" s="3"/>
      <c r="BE23" s="3"/>
      <c r="BF23" s="3"/>
      <c r="BG23" s="3"/>
    </row>
    <row r="24" spans="1:59" ht="15">
      <c r="A24" s="65" t="s">
        <v>230</v>
      </c>
      <c r="B24" s="66"/>
      <c r="C24" s="66"/>
      <c r="D24" s="67">
        <v>1000</v>
      </c>
      <c r="E24" s="69"/>
      <c r="F24" s="96" t="str">
        <f>HYPERLINK("https://i.ytimg.com/vi/TAO_rztPO80/default.jpg")</f>
        <v>https://i.ytimg.com/vi/TAO_rztPO80/default.jpg</v>
      </c>
      <c r="G24" s="66"/>
      <c r="H24" s="70" t="s">
        <v>325</v>
      </c>
      <c r="I24" s="71"/>
      <c r="J24" s="71" t="s">
        <v>75</v>
      </c>
      <c r="K24" s="70" t="s">
        <v>325</v>
      </c>
      <c r="L24" s="74">
        <v>2890.021756532081</v>
      </c>
      <c r="M24" s="75">
        <v>1724.277587890625</v>
      </c>
      <c r="N24" s="75">
        <v>5813.65478515625</v>
      </c>
      <c r="O24" s="76"/>
      <c r="P24" s="77"/>
      <c r="Q24" s="77"/>
      <c r="R24" s="82"/>
      <c r="S24" s="49">
        <v>11</v>
      </c>
      <c r="T24" s="49">
        <v>22</v>
      </c>
      <c r="U24" s="50">
        <v>744.338688</v>
      </c>
      <c r="V24" s="50">
        <v>0.004975</v>
      </c>
      <c r="W24" s="50">
        <v>0.025705</v>
      </c>
      <c r="X24" s="50">
        <v>1.807397</v>
      </c>
      <c r="Y24" s="50">
        <v>0.43548387096774194</v>
      </c>
      <c r="Z24" s="50">
        <v>0.03125</v>
      </c>
      <c r="AA24" s="72">
        <v>24</v>
      </c>
      <c r="AB24" s="72"/>
      <c r="AC24" s="73"/>
      <c r="AD24" s="80" t="s">
        <v>325</v>
      </c>
      <c r="AE24" s="80" t="s">
        <v>404</v>
      </c>
      <c r="AF24" s="80" t="s">
        <v>476</v>
      </c>
      <c r="AG24" s="80" t="s">
        <v>524</v>
      </c>
      <c r="AH24" s="80" t="s">
        <v>574</v>
      </c>
      <c r="AI24" s="80">
        <v>12902</v>
      </c>
      <c r="AJ24" s="80">
        <v>2</v>
      </c>
      <c r="AK24" s="80">
        <v>37</v>
      </c>
      <c r="AL24" s="80">
        <v>4</v>
      </c>
      <c r="AM24" s="80" t="s">
        <v>634</v>
      </c>
      <c r="AN24" s="98" t="str">
        <f>HYPERLINK("https://www.youtube.com/watch?v=TAO_rztPO80")</f>
        <v>https://www.youtube.com/watch?v=TAO_rztPO80</v>
      </c>
      <c r="AO24" s="80" t="str">
        <f>REPLACE(INDEX(GroupVertices[Group],MATCH(Vertices[[#This Row],[Vertex]],GroupVertices[Vertex],0)),1,1,"")</f>
        <v>1</v>
      </c>
      <c r="AP24" s="49">
        <v>2</v>
      </c>
      <c r="AQ24" s="50">
        <v>1.7699115044247788</v>
      </c>
      <c r="AR24" s="49">
        <v>2</v>
      </c>
      <c r="AS24" s="50">
        <v>1.7699115044247788</v>
      </c>
      <c r="AT24" s="49">
        <v>0</v>
      </c>
      <c r="AU24" s="50">
        <v>0</v>
      </c>
      <c r="AV24" s="49">
        <v>109</v>
      </c>
      <c r="AW24" s="50">
        <v>96.46017699115045</v>
      </c>
      <c r="AX24" s="49">
        <v>113</v>
      </c>
      <c r="AY24" s="120" t="s">
        <v>2109</v>
      </c>
      <c r="AZ24" s="120" t="s">
        <v>2109</v>
      </c>
      <c r="BA24" s="120" t="s">
        <v>2109</v>
      </c>
      <c r="BB24" s="120" t="s">
        <v>2109</v>
      </c>
      <c r="BC24" s="2"/>
      <c r="BD24" s="3"/>
      <c r="BE24" s="3"/>
      <c r="BF24" s="3"/>
      <c r="BG24" s="3"/>
    </row>
    <row r="25" spans="1:59" ht="15">
      <c r="A25" s="65" t="s">
        <v>231</v>
      </c>
      <c r="B25" s="66"/>
      <c r="C25" s="66"/>
      <c r="D25" s="67">
        <v>1000</v>
      </c>
      <c r="E25" s="69"/>
      <c r="F25" s="96" t="str">
        <f>HYPERLINK("https://i.ytimg.com/vi/Na5VOjJAjCI/default.jpg")</f>
        <v>https://i.ytimg.com/vi/Na5VOjJAjCI/default.jpg</v>
      </c>
      <c r="G25" s="66"/>
      <c r="H25" s="70" t="s">
        <v>326</v>
      </c>
      <c r="I25" s="71"/>
      <c r="J25" s="71" t="s">
        <v>75</v>
      </c>
      <c r="K25" s="70" t="s">
        <v>326</v>
      </c>
      <c r="L25" s="74">
        <v>4389.226775572843</v>
      </c>
      <c r="M25" s="75">
        <v>2410.320556640625</v>
      </c>
      <c r="N25" s="75">
        <v>4706.810546875</v>
      </c>
      <c r="O25" s="76"/>
      <c r="P25" s="77"/>
      <c r="Q25" s="77"/>
      <c r="R25" s="82"/>
      <c r="S25" s="49">
        <v>18</v>
      </c>
      <c r="T25" s="49">
        <v>27</v>
      </c>
      <c r="U25" s="50">
        <v>1130.599641</v>
      </c>
      <c r="V25" s="50">
        <v>0.005128</v>
      </c>
      <c r="W25" s="50">
        <v>0.028956</v>
      </c>
      <c r="X25" s="50">
        <v>2.106887</v>
      </c>
      <c r="Y25" s="50">
        <v>0.36415362731152207</v>
      </c>
      <c r="Z25" s="50">
        <v>0.18421052631578946</v>
      </c>
      <c r="AA25" s="72">
        <v>25</v>
      </c>
      <c r="AB25" s="72"/>
      <c r="AC25" s="73"/>
      <c r="AD25" s="80" t="s">
        <v>326</v>
      </c>
      <c r="AE25" s="80" t="s">
        <v>405</v>
      </c>
      <c r="AF25" s="80" t="s">
        <v>477</v>
      </c>
      <c r="AG25" s="80" t="s">
        <v>512</v>
      </c>
      <c r="AH25" s="80" t="s">
        <v>575</v>
      </c>
      <c r="AI25" s="80">
        <v>4048</v>
      </c>
      <c r="AJ25" s="80">
        <v>0</v>
      </c>
      <c r="AK25" s="80">
        <v>19</v>
      </c>
      <c r="AL25" s="80">
        <v>1</v>
      </c>
      <c r="AM25" s="80" t="s">
        <v>634</v>
      </c>
      <c r="AN25" s="98" t="str">
        <f>HYPERLINK("https://www.youtube.com/watch?v=Na5VOjJAjCI")</f>
        <v>https://www.youtube.com/watch?v=Na5VOjJAjCI</v>
      </c>
      <c r="AO25" s="80" t="str">
        <f>REPLACE(INDEX(GroupVertices[Group],MATCH(Vertices[[#This Row],[Vertex]],GroupVertices[Vertex],0)),1,1,"")</f>
        <v>1</v>
      </c>
      <c r="AP25" s="49">
        <v>2</v>
      </c>
      <c r="AQ25" s="50">
        <v>3.3333333333333335</v>
      </c>
      <c r="AR25" s="49">
        <v>1</v>
      </c>
      <c r="AS25" s="50">
        <v>1.6666666666666667</v>
      </c>
      <c r="AT25" s="49">
        <v>0</v>
      </c>
      <c r="AU25" s="50">
        <v>0</v>
      </c>
      <c r="AV25" s="49">
        <v>57</v>
      </c>
      <c r="AW25" s="50">
        <v>95</v>
      </c>
      <c r="AX25" s="49">
        <v>60</v>
      </c>
      <c r="AY25" s="120" t="s">
        <v>2109</v>
      </c>
      <c r="AZ25" s="120" t="s">
        <v>2109</v>
      </c>
      <c r="BA25" s="120" t="s">
        <v>2109</v>
      </c>
      <c r="BB25" s="120" t="s">
        <v>2109</v>
      </c>
      <c r="BC25" s="2"/>
      <c r="BD25" s="3"/>
      <c r="BE25" s="3"/>
      <c r="BF25" s="3"/>
      <c r="BG25" s="3"/>
    </row>
    <row r="26" spans="1:59" ht="15">
      <c r="A26" s="65" t="s">
        <v>232</v>
      </c>
      <c r="B26" s="66"/>
      <c r="C26" s="66"/>
      <c r="D26" s="67">
        <v>1000</v>
      </c>
      <c r="E26" s="69"/>
      <c r="F26" s="96" t="str">
        <f>HYPERLINK("https://i.ytimg.com/vi/eoRbJqpWwo0/default.jpg")</f>
        <v>https://i.ytimg.com/vi/eoRbJqpWwo0/default.jpg</v>
      </c>
      <c r="G26" s="66"/>
      <c r="H26" s="70" t="s">
        <v>327</v>
      </c>
      <c r="I26" s="71"/>
      <c r="J26" s="71" t="s">
        <v>75</v>
      </c>
      <c r="K26" s="70" t="s">
        <v>327</v>
      </c>
      <c r="L26" s="74">
        <v>8129.16838920818</v>
      </c>
      <c r="M26" s="75">
        <v>7874.61328125</v>
      </c>
      <c r="N26" s="75">
        <v>8276.734375</v>
      </c>
      <c r="O26" s="76"/>
      <c r="P26" s="77"/>
      <c r="Q26" s="77"/>
      <c r="R26" s="82"/>
      <c r="S26" s="49">
        <v>10</v>
      </c>
      <c r="T26" s="49">
        <v>48</v>
      </c>
      <c r="U26" s="50">
        <v>2094.172597</v>
      </c>
      <c r="V26" s="50">
        <v>0.004717</v>
      </c>
      <c r="W26" s="50">
        <v>0.030633</v>
      </c>
      <c r="X26" s="50">
        <v>3.846788</v>
      </c>
      <c r="Y26" s="50">
        <v>0.22938775510204082</v>
      </c>
      <c r="Z26" s="50">
        <v>0.16</v>
      </c>
      <c r="AA26" s="72">
        <v>26</v>
      </c>
      <c r="AB26" s="72"/>
      <c r="AC26" s="73"/>
      <c r="AD26" s="80" t="s">
        <v>327</v>
      </c>
      <c r="AE26" s="80" t="s">
        <v>406</v>
      </c>
      <c r="AF26" s="80" t="s">
        <v>478</v>
      </c>
      <c r="AG26" s="80" t="s">
        <v>525</v>
      </c>
      <c r="AH26" s="80" t="s">
        <v>576</v>
      </c>
      <c r="AI26" s="80">
        <v>2559</v>
      </c>
      <c r="AJ26" s="80">
        <v>0</v>
      </c>
      <c r="AK26" s="80">
        <v>30</v>
      </c>
      <c r="AL26" s="80">
        <v>3</v>
      </c>
      <c r="AM26" s="80" t="s">
        <v>634</v>
      </c>
      <c r="AN26" s="98" t="str">
        <f>HYPERLINK("https://www.youtube.com/watch?v=eoRbJqpWwo0")</f>
        <v>https://www.youtube.com/watch?v=eoRbJqpWwo0</v>
      </c>
      <c r="AO26" s="80" t="str">
        <f>REPLACE(INDEX(GroupVertices[Group],MATCH(Vertices[[#This Row],[Vertex]],GroupVertices[Vertex],0)),1,1,"")</f>
        <v>2</v>
      </c>
      <c r="AP26" s="49">
        <v>5</v>
      </c>
      <c r="AQ26" s="50">
        <v>2.183406113537118</v>
      </c>
      <c r="AR26" s="49">
        <v>6</v>
      </c>
      <c r="AS26" s="50">
        <v>2.6200873362445414</v>
      </c>
      <c r="AT26" s="49">
        <v>0</v>
      </c>
      <c r="AU26" s="50">
        <v>0</v>
      </c>
      <c r="AV26" s="49">
        <v>218</v>
      </c>
      <c r="AW26" s="50">
        <v>95.19650655021834</v>
      </c>
      <c r="AX26" s="49">
        <v>229</v>
      </c>
      <c r="AY26" s="120" t="s">
        <v>2109</v>
      </c>
      <c r="AZ26" s="120" t="s">
        <v>2109</v>
      </c>
      <c r="BA26" s="120" t="s">
        <v>2109</v>
      </c>
      <c r="BB26" s="120" t="s">
        <v>2109</v>
      </c>
      <c r="BC26" s="2"/>
      <c r="BD26" s="3"/>
      <c r="BE26" s="3"/>
      <c r="BF26" s="3"/>
      <c r="BG26" s="3"/>
    </row>
    <row r="27" spans="1:59" ht="15">
      <c r="A27" s="65" t="s">
        <v>233</v>
      </c>
      <c r="B27" s="66"/>
      <c r="C27" s="66"/>
      <c r="D27" s="67">
        <v>200.52618374304853</v>
      </c>
      <c r="E27" s="69"/>
      <c r="F27" s="96" t="str">
        <f>HYPERLINK("https://i.ytimg.com/vi/da8iw9hvQX4/default.jpg")</f>
        <v>https://i.ytimg.com/vi/da8iw9hvQX4/default.jpg</v>
      </c>
      <c r="G27" s="66"/>
      <c r="H27" s="70" t="s">
        <v>328</v>
      </c>
      <c r="I27" s="71"/>
      <c r="J27" s="71" t="s">
        <v>75</v>
      </c>
      <c r="K27" s="70" t="s">
        <v>328</v>
      </c>
      <c r="L27" s="74">
        <v>139.87110056835033</v>
      </c>
      <c r="M27" s="75">
        <v>1632.3311767578125</v>
      </c>
      <c r="N27" s="75">
        <v>6344.55078125</v>
      </c>
      <c r="O27" s="76"/>
      <c r="P27" s="77"/>
      <c r="Q27" s="77"/>
      <c r="R27" s="82"/>
      <c r="S27" s="49">
        <v>18</v>
      </c>
      <c r="T27" s="49">
        <v>24</v>
      </c>
      <c r="U27" s="50">
        <v>35.779285</v>
      </c>
      <c r="V27" s="50">
        <v>0.004292</v>
      </c>
      <c r="W27" s="50">
        <v>0.027332</v>
      </c>
      <c r="X27" s="50">
        <v>1.82249</v>
      </c>
      <c r="Y27" s="50">
        <v>0.41354723707664887</v>
      </c>
      <c r="Z27" s="50">
        <v>0.23529411764705882</v>
      </c>
      <c r="AA27" s="72">
        <v>27</v>
      </c>
      <c r="AB27" s="72"/>
      <c r="AC27" s="73"/>
      <c r="AD27" s="80" t="s">
        <v>328</v>
      </c>
      <c r="AE27" s="80" t="s">
        <v>407</v>
      </c>
      <c r="AF27" s="80" t="s">
        <v>479</v>
      </c>
      <c r="AG27" s="80" t="s">
        <v>526</v>
      </c>
      <c r="AH27" s="80" t="s">
        <v>577</v>
      </c>
      <c r="AI27" s="80">
        <v>55311</v>
      </c>
      <c r="AJ27" s="80">
        <v>15</v>
      </c>
      <c r="AK27" s="80">
        <v>205</v>
      </c>
      <c r="AL27" s="80">
        <v>13</v>
      </c>
      <c r="AM27" s="80" t="s">
        <v>634</v>
      </c>
      <c r="AN27" s="98" t="str">
        <f>HYPERLINK("https://www.youtube.com/watch?v=da8iw9hvQX4")</f>
        <v>https://www.youtube.com/watch?v=da8iw9hvQX4</v>
      </c>
      <c r="AO27" s="80" t="str">
        <f>REPLACE(INDEX(GroupVertices[Group],MATCH(Vertices[[#This Row],[Vertex]],GroupVertices[Vertex],0)),1,1,"")</f>
        <v>1</v>
      </c>
      <c r="AP27" s="49">
        <v>7</v>
      </c>
      <c r="AQ27" s="50">
        <v>6.306306306306307</v>
      </c>
      <c r="AR27" s="49">
        <v>7</v>
      </c>
      <c r="AS27" s="50">
        <v>6.306306306306307</v>
      </c>
      <c r="AT27" s="49">
        <v>0</v>
      </c>
      <c r="AU27" s="50">
        <v>0</v>
      </c>
      <c r="AV27" s="49">
        <v>97</v>
      </c>
      <c r="AW27" s="50">
        <v>87.38738738738739</v>
      </c>
      <c r="AX27" s="49">
        <v>111</v>
      </c>
      <c r="AY27" s="120" t="s">
        <v>2109</v>
      </c>
      <c r="AZ27" s="120" t="s">
        <v>2109</v>
      </c>
      <c r="BA27" s="120" t="s">
        <v>2109</v>
      </c>
      <c r="BB27" s="120" t="s">
        <v>2109</v>
      </c>
      <c r="BC27" s="2"/>
      <c r="BD27" s="3"/>
      <c r="BE27" s="3"/>
      <c r="BF27" s="3"/>
      <c r="BG27" s="3"/>
    </row>
    <row r="28" spans="1:59" ht="15">
      <c r="A28" s="65" t="s">
        <v>234</v>
      </c>
      <c r="B28" s="66"/>
      <c r="C28" s="66"/>
      <c r="D28" s="67">
        <v>275.3210812251873</v>
      </c>
      <c r="E28" s="69"/>
      <c r="F28" s="96" t="str">
        <f>HYPERLINK("https://i.ytimg.com/vi/LBkXQ_mBO3Q/default.jpg")</f>
        <v>https://i.ytimg.com/vi/LBkXQ_mBO3Q/default.jpg</v>
      </c>
      <c r="G28" s="66"/>
      <c r="H28" s="70" t="s">
        <v>329</v>
      </c>
      <c r="I28" s="71"/>
      <c r="J28" s="71" t="s">
        <v>75</v>
      </c>
      <c r="K28" s="70" t="s">
        <v>329</v>
      </c>
      <c r="L28" s="74">
        <v>345.4447053959775</v>
      </c>
      <c r="M28" s="75">
        <v>2648.31298828125</v>
      </c>
      <c r="N28" s="75">
        <v>6569.9580078125</v>
      </c>
      <c r="O28" s="76"/>
      <c r="P28" s="77"/>
      <c r="Q28" s="77"/>
      <c r="R28" s="82"/>
      <c r="S28" s="49">
        <v>14</v>
      </c>
      <c r="T28" s="49">
        <v>29</v>
      </c>
      <c r="U28" s="50">
        <v>88.74406</v>
      </c>
      <c r="V28" s="50">
        <v>0.004386</v>
      </c>
      <c r="W28" s="50">
        <v>0.028134</v>
      </c>
      <c r="X28" s="50">
        <v>1.938121</v>
      </c>
      <c r="Y28" s="50">
        <v>0.39126984126984127</v>
      </c>
      <c r="Z28" s="50">
        <v>0.19444444444444445</v>
      </c>
      <c r="AA28" s="72">
        <v>28</v>
      </c>
      <c r="AB28" s="72"/>
      <c r="AC28" s="73"/>
      <c r="AD28" s="80" t="s">
        <v>329</v>
      </c>
      <c r="AE28" s="80" t="s">
        <v>408</v>
      </c>
      <c r="AF28" s="80"/>
      <c r="AG28" s="80" t="s">
        <v>527</v>
      </c>
      <c r="AH28" s="80" t="s">
        <v>578</v>
      </c>
      <c r="AI28" s="80">
        <v>124323</v>
      </c>
      <c r="AJ28" s="80">
        <v>82</v>
      </c>
      <c r="AK28" s="80">
        <v>1434</v>
      </c>
      <c r="AL28" s="80">
        <v>125</v>
      </c>
      <c r="AM28" s="80" t="s">
        <v>634</v>
      </c>
      <c r="AN28" s="98" t="str">
        <f>HYPERLINK("https://www.youtube.com/watch?v=LBkXQ_mBO3Q")</f>
        <v>https://www.youtube.com/watch?v=LBkXQ_mBO3Q</v>
      </c>
      <c r="AO28" s="80" t="str">
        <f>REPLACE(INDEX(GroupVertices[Group],MATCH(Vertices[[#This Row],[Vertex]],GroupVertices[Vertex],0)),1,1,"")</f>
        <v>1</v>
      </c>
      <c r="AP28" s="49">
        <v>0</v>
      </c>
      <c r="AQ28" s="50">
        <v>0</v>
      </c>
      <c r="AR28" s="49">
        <v>0</v>
      </c>
      <c r="AS28" s="50">
        <v>0</v>
      </c>
      <c r="AT28" s="49">
        <v>0</v>
      </c>
      <c r="AU28" s="50">
        <v>0</v>
      </c>
      <c r="AV28" s="49">
        <v>49</v>
      </c>
      <c r="AW28" s="50">
        <v>100</v>
      </c>
      <c r="AX28" s="49">
        <v>49</v>
      </c>
      <c r="AY28" s="120" t="s">
        <v>2109</v>
      </c>
      <c r="AZ28" s="120" t="s">
        <v>2109</v>
      </c>
      <c r="BA28" s="120" t="s">
        <v>2109</v>
      </c>
      <c r="BB28" s="120" t="s">
        <v>2109</v>
      </c>
      <c r="BC28" s="2"/>
      <c r="BD28" s="3"/>
      <c r="BE28" s="3"/>
      <c r="BF28" s="3"/>
      <c r="BG28" s="3"/>
    </row>
    <row r="29" spans="1:59" ht="15">
      <c r="A29" s="65" t="s">
        <v>235</v>
      </c>
      <c r="B29" s="66"/>
      <c r="C29" s="66"/>
      <c r="D29" s="67">
        <v>1000</v>
      </c>
      <c r="E29" s="69"/>
      <c r="F29" s="96" t="str">
        <f>HYPERLINK("https://i.ytimg.com/vi/MWk8XJWEiO4/default.jpg")</f>
        <v>https://i.ytimg.com/vi/MWk8XJWEiO4/default.jpg</v>
      </c>
      <c r="G29" s="66"/>
      <c r="H29" s="70" t="s">
        <v>330</v>
      </c>
      <c r="I29" s="71"/>
      <c r="J29" s="71" t="s">
        <v>75</v>
      </c>
      <c r="K29" s="70" t="s">
        <v>330</v>
      </c>
      <c r="L29" s="74">
        <v>4836.349076428913</v>
      </c>
      <c r="M29" s="75">
        <v>2617.43994140625</v>
      </c>
      <c r="N29" s="75">
        <v>5420.751953125</v>
      </c>
      <c r="O29" s="76"/>
      <c r="P29" s="77"/>
      <c r="Q29" s="77"/>
      <c r="R29" s="82"/>
      <c r="S29" s="49">
        <v>19</v>
      </c>
      <c r="T29" s="49">
        <v>39</v>
      </c>
      <c r="U29" s="50">
        <v>1245.797952</v>
      </c>
      <c r="V29" s="50">
        <v>0.00463</v>
      </c>
      <c r="W29" s="50">
        <v>0.030897</v>
      </c>
      <c r="X29" s="50">
        <v>3.126188</v>
      </c>
      <c r="Y29" s="50">
        <v>0.2645698427382054</v>
      </c>
      <c r="Z29" s="50">
        <v>0.23404255319148937</v>
      </c>
      <c r="AA29" s="72">
        <v>29</v>
      </c>
      <c r="AB29" s="72"/>
      <c r="AC29" s="73"/>
      <c r="AD29" s="80" t="s">
        <v>330</v>
      </c>
      <c r="AE29" s="80" t="s">
        <v>409</v>
      </c>
      <c r="AF29" s="80" t="s">
        <v>480</v>
      </c>
      <c r="AG29" s="80" t="s">
        <v>512</v>
      </c>
      <c r="AH29" s="80" t="s">
        <v>579</v>
      </c>
      <c r="AI29" s="80">
        <v>42633</v>
      </c>
      <c r="AJ29" s="80">
        <v>11</v>
      </c>
      <c r="AK29" s="80">
        <v>271</v>
      </c>
      <c r="AL29" s="80">
        <v>7</v>
      </c>
      <c r="AM29" s="80" t="s">
        <v>634</v>
      </c>
      <c r="AN29" s="98" t="str">
        <f>HYPERLINK("https://www.youtube.com/watch?v=MWk8XJWEiO4")</f>
        <v>https://www.youtube.com/watch?v=MWk8XJWEiO4</v>
      </c>
      <c r="AO29" s="80" t="str">
        <f>REPLACE(INDEX(GroupVertices[Group],MATCH(Vertices[[#This Row],[Vertex]],GroupVertices[Vertex],0)),1,1,"")</f>
        <v>1</v>
      </c>
      <c r="AP29" s="49">
        <v>3</v>
      </c>
      <c r="AQ29" s="50">
        <v>2.7777777777777777</v>
      </c>
      <c r="AR29" s="49">
        <v>1</v>
      </c>
      <c r="AS29" s="50">
        <v>0.9259259259259259</v>
      </c>
      <c r="AT29" s="49">
        <v>0</v>
      </c>
      <c r="AU29" s="50">
        <v>0</v>
      </c>
      <c r="AV29" s="49">
        <v>104</v>
      </c>
      <c r="AW29" s="50">
        <v>96.29629629629629</v>
      </c>
      <c r="AX29" s="49">
        <v>108</v>
      </c>
      <c r="AY29" s="120" t="s">
        <v>2109</v>
      </c>
      <c r="AZ29" s="120" t="s">
        <v>2109</v>
      </c>
      <c r="BA29" s="120" t="s">
        <v>2109</v>
      </c>
      <c r="BB29" s="120" t="s">
        <v>2109</v>
      </c>
      <c r="BC29" s="2"/>
      <c r="BD29" s="3"/>
      <c r="BE29" s="3"/>
      <c r="BF29" s="3"/>
      <c r="BG29" s="3"/>
    </row>
    <row r="30" spans="1:59" ht="15">
      <c r="A30" s="65" t="s">
        <v>276</v>
      </c>
      <c r="B30" s="66"/>
      <c r="C30" s="66"/>
      <c r="D30" s="67">
        <v>150</v>
      </c>
      <c r="E30" s="69"/>
      <c r="F30" s="96" t="str">
        <f>HYPERLINK("https://i.ytimg.com/vi/keYtWNAJY64/default.jpg")</f>
        <v>https://i.ytimg.com/vi/keYtWNAJY64/default.jpg</v>
      </c>
      <c r="G30" s="66"/>
      <c r="H30" s="70" t="s">
        <v>331</v>
      </c>
      <c r="I30" s="71"/>
      <c r="J30" s="71" t="s">
        <v>159</v>
      </c>
      <c r="K30" s="70" t="s">
        <v>331</v>
      </c>
      <c r="L30" s="74">
        <v>1</v>
      </c>
      <c r="M30" s="75">
        <v>6736.03466796875</v>
      </c>
      <c r="N30" s="75">
        <v>5577.47705078125</v>
      </c>
      <c r="O30" s="76"/>
      <c r="P30" s="77"/>
      <c r="Q30" s="77"/>
      <c r="R30" s="82"/>
      <c r="S30" s="49">
        <v>1</v>
      </c>
      <c r="T30" s="49">
        <v>0</v>
      </c>
      <c r="U30" s="50">
        <v>0</v>
      </c>
      <c r="V30" s="50">
        <v>0.002959</v>
      </c>
      <c r="W30" s="50">
        <v>0.000773</v>
      </c>
      <c r="X30" s="50">
        <v>0.20611</v>
      </c>
      <c r="Y30" s="50">
        <v>0</v>
      </c>
      <c r="Z30" s="50">
        <v>0</v>
      </c>
      <c r="AA30" s="72">
        <v>30</v>
      </c>
      <c r="AB30" s="72"/>
      <c r="AC30" s="73"/>
      <c r="AD30" s="80" t="s">
        <v>331</v>
      </c>
      <c r="AE30" s="80"/>
      <c r="AF30" s="80"/>
      <c r="AG30" s="80" t="s">
        <v>528</v>
      </c>
      <c r="AH30" s="80" t="s">
        <v>580</v>
      </c>
      <c r="AI30" s="80">
        <v>42948</v>
      </c>
      <c r="AJ30" s="80">
        <v>60</v>
      </c>
      <c r="AK30" s="80">
        <v>1047</v>
      </c>
      <c r="AL30" s="80">
        <v>14</v>
      </c>
      <c r="AM30" s="80" t="s">
        <v>634</v>
      </c>
      <c r="AN30" s="98" t="str">
        <f>HYPERLINK("https://www.youtube.com/watch?v=keYtWNAJY64")</f>
        <v>https://www.youtube.com/watch?v=keYtWNAJY64</v>
      </c>
      <c r="AO30" s="80" t="str">
        <f>REPLACE(INDEX(GroupVertices[Group],MATCH(Vertices[[#This Row],[Vertex]],GroupVertices[Vertex],0)),1,1,"")</f>
        <v>2</v>
      </c>
      <c r="AP30" s="49"/>
      <c r="AQ30" s="50"/>
      <c r="AR30" s="49"/>
      <c r="AS30" s="50"/>
      <c r="AT30" s="49"/>
      <c r="AU30" s="50"/>
      <c r="AV30" s="49"/>
      <c r="AW30" s="50"/>
      <c r="AX30" s="49"/>
      <c r="AY30" s="49"/>
      <c r="AZ30" s="49"/>
      <c r="BA30" s="49"/>
      <c r="BB30" s="49"/>
      <c r="BC30" s="2"/>
      <c r="BD30" s="3"/>
      <c r="BE30" s="3"/>
      <c r="BF30" s="3"/>
      <c r="BG30" s="3"/>
    </row>
    <row r="31" spans="1:59" ht="15">
      <c r="A31" s="65" t="s">
        <v>237</v>
      </c>
      <c r="B31" s="66"/>
      <c r="C31" s="66"/>
      <c r="D31" s="67">
        <v>219.61377580193613</v>
      </c>
      <c r="E31" s="69"/>
      <c r="F31" s="96" t="str">
        <f>HYPERLINK("https://i.ytimg.com/vi/Q9L7ZQPc8EA/default.jpg")</f>
        <v>https://i.ytimg.com/vi/Q9L7ZQPc8EA/default.jpg</v>
      </c>
      <c r="G31" s="66"/>
      <c r="H31" s="70" t="s">
        <v>332</v>
      </c>
      <c r="I31" s="71"/>
      <c r="J31" s="71" t="s">
        <v>75</v>
      </c>
      <c r="K31" s="70" t="s">
        <v>332</v>
      </c>
      <c r="L31" s="74">
        <v>192.33330372815473</v>
      </c>
      <c r="M31" s="75">
        <v>8555.35546875</v>
      </c>
      <c r="N31" s="75">
        <v>1925.24169921875</v>
      </c>
      <c r="O31" s="76"/>
      <c r="P31" s="77"/>
      <c r="Q31" s="77"/>
      <c r="R31" s="82"/>
      <c r="S31" s="49">
        <v>2</v>
      </c>
      <c r="T31" s="49">
        <v>1</v>
      </c>
      <c r="U31" s="50">
        <v>49.295849</v>
      </c>
      <c r="V31" s="50">
        <v>0.003049</v>
      </c>
      <c r="W31" s="50">
        <v>0.000654</v>
      </c>
      <c r="X31" s="50">
        <v>0.447886</v>
      </c>
      <c r="Y31" s="50">
        <v>0</v>
      </c>
      <c r="Z31" s="50">
        <v>0</v>
      </c>
      <c r="AA31" s="72">
        <v>31</v>
      </c>
      <c r="AB31" s="72"/>
      <c r="AC31" s="73"/>
      <c r="AD31" s="80" t="s">
        <v>332</v>
      </c>
      <c r="AE31" s="80" t="s">
        <v>410</v>
      </c>
      <c r="AF31" s="80" t="s">
        <v>481</v>
      </c>
      <c r="AG31" s="80" t="s">
        <v>529</v>
      </c>
      <c r="AH31" s="80" t="s">
        <v>581</v>
      </c>
      <c r="AI31" s="80">
        <v>2393473</v>
      </c>
      <c r="AJ31" s="80">
        <v>946</v>
      </c>
      <c r="AK31" s="80">
        <v>20287</v>
      </c>
      <c r="AL31" s="80">
        <v>715</v>
      </c>
      <c r="AM31" s="80" t="s">
        <v>634</v>
      </c>
      <c r="AN31" s="98" t="str">
        <f>HYPERLINK("https://www.youtube.com/watch?v=Q9L7ZQPc8EA")</f>
        <v>https://www.youtube.com/watch?v=Q9L7ZQPc8EA</v>
      </c>
      <c r="AO31" s="80" t="str">
        <f>REPLACE(INDEX(GroupVertices[Group],MATCH(Vertices[[#This Row],[Vertex]],GroupVertices[Vertex],0)),1,1,"")</f>
        <v>4</v>
      </c>
      <c r="AP31" s="49">
        <v>3</v>
      </c>
      <c r="AQ31" s="50">
        <v>4.054054054054054</v>
      </c>
      <c r="AR31" s="49">
        <v>1</v>
      </c>
      <c r="AS31" s="50">
        <v>1.3513513513513513</v>
      </c>
      <c r="AT31" s="49">
        <v>0</v>
      </c>
      <c r="AU31" s="50">
        <v>0</v>
      </c>
      <c r="AV31" s="49">
        <v>70</v>
      </c>
      <c r="AW31" s="50">
        <v>94.5945945945946</v>
      </c>
      <c r="AX31" s="49">
        <v>74</v>
      </c>
      <c r="AY31" s="120" t="s">
        <v>2109</v>
      </c>
      <c r="AZ31" s="120" t="s">
        <v>2109</v>
      </c>
      <c r="BA31" s="120" t="s">
        <v>2109</v>
      </c>
      <c r="BB31" s="120" t="s">
        <v>2109</v>
      </c>
      <c r="BC31" s="2"/>
      <c r="BD31" s="3"/>
      <c r="BE31" s="3"/>
      <c r="BF31" s="3"/>
      <c r="BG31" s="3"/>
    </row>
    <row r="32" spans="1:59" ht="15">
      <c r="A32" s="65" t="s">
        <v>277</v>
      </c>
      <c r="B32" s="66"/>
      <c r="C32" s="66"/>
      <c r="D32" s="67">
        <v>200.039365955211</v>
      </c>
      <c r="E32" s="69"/>
      <c r="F32" s="96" t="str">
        <f>HYPERLINK("https://i.ytimg.com/vi/PzfLDi-sL3w/default.jpg")</f>
        <v>https://i.ytimg.com/vi/PzfLDi-sL3w/default.jpg</v>
      </c>
      <c r="G32" s="66"/>
      <c r="H32" s="70" t="s">
        <v>333</v>
      </c>
      <c r="I32" s="71"/>
      <c r="J32" s="71" t="s">
        <v>75</v>
      </c>
      <c r="K32" s="70" t="s">
        <v>333</v>
      </c>
      <c r="L32" s="74">
        <v>138.53308299082946</v>
      </c>
      <c r="M32" s="75">
        <v>8047.453125</v>
      </c>
      <c r="N32" s="75">
        <v>820.1986694335938</v>
      </c>
      <c r="O32" s="76"/>
      <c r="P32" s="77"/>
      <c r="Q32" s="77"/>
      <c r="R32" s="82"/>
      <c r="S32" s="49">
        <v>4</v>
      </c>
      <c r="T32" s="49">
        <v>0</v>
      </c>
      <c r="U32" s="50">
        <v>35.434553</v>
      </c>
      <c r="V32" s="50">
        <v>0.003322</v>
      </c>
      <c r="W32" s="50">
        <v>0.001927</v>
      </c>
      <c r="X32" s="50">
        <v>0.469568</v>
      </c>
      <c r="Y32" s="50">
        <v>0.16666666666666666</v>
      </c>
      <c r="Z32" s="50">
        <v>0</v>
      </c>
      <c r="AA32" s="72">
        <v>32</v>
      </c>
      <c r="AB32" s="72"/>
      <c r="AC32" s="73"/>
      <c r="AD32" s="80" t="s">
        <v>333</v>
      </c>
      <c r="AE32" s="80" t="s">
        <v>411</v>
      </c>
      <c r="AF32" s="80" t="s">
        <v>482</v>
      </c>
      <c r="AG32" s="80" t="s">
        <v>530</v>
      </c>
      <c r="AH32" s="80" t="s">
        <v>582</v>
      </c>
      <c r="AI32" s="80">
        <v>4292510</v>
      </c>
      <c r="AJ32" s="80">
        <v>11738</v>
      </c>
      <c r="AK32" s="80">
        <v>81134</v>
      </c>
      <c r="AL32" s="80">
        <v>1110</v>
      </c>
      <c r="AM32" s="80" t="s">
        <v>634</v>
      </c>
      <c r="AN32" s="98" t="str">
        <f>HYPERLINK("https://www.youtube.com/watch?v=PzfLDi-sL3w")</f>
        <v>https://www.youtube.com/watch?v=PzfLDi-sL3w</v>
      </c>
      <c r="AO32" s="80" t="str">
        <f>REPLACE(INDEX(GroupVertices[Group],MATCH(Vertices[[#This Row],[Vertex]],GroupVertices[Vertex],0)),1,1,"")</f>
        <v>4</v>
      </c>
      <c r="AP32" s="49">
        <v>0</v>
      </c>
      <c r="AQ32" s="50">
        <v>0</v>
      </c>
      <c r="AR32" s="49">
        <v>4</v>
      </c>
      <c r="AS32" s="50">
        <v>7.017543859649122</v>
      </c>
      <c r="AT32" s="49">
        <v>0</v>
      </c>
      <c r="AU32" s="50">
        <v>0</v>
      </c>
      <c r="AV32" s="49">
        <v>53</v>
      </c>
      <c r="AW32" s="50">
        <v>92.98245614035088</v>
      </c>
      <c r="AX32" s="49">
        <v>57</v>
      </c>
      <c r="AY32" s="49"/>
      <c r="AZ32" s="49"/>
      <c r="BA32" s="49"/>
      <c r="BB32" s="49"/>
      <c r="BC32" s="2"/>
      <c r="BD32" s="3"/>
      <c r="BE32" s="3"/>
      <c r="BF32" s="3"/>
      <c r="BG32" s="3"/>
    </row>
    <row r="33" spans="1:59" ht="15">
      <c r="A33" s="65" t="s">
        <v>238</v>
      </c>
      <c r="B33" s="66"/>
      <c r="C33" s="66"/>
      <c r="D33" s="67">
        <v>154.92415178464603</v>
      </c>
      <c r="E33" s="69"/>
      <c r="F33" s="96" t="str">
        <f>HYPERLINK("https://i.ytimg.com/vi/v-t1Z5-oPtU/default.jpg")</f>
        <v>https://i.ytimg.com/vi/v-t1Z5-oPtU/default.jpg</v>
      </c>
      <c r="G33" s="66"/>
      <c r="H33" s="70" t="s">
        <v>334</v>
      </c>
      <c r="I33" s="71"/>
      <c r="J33" s="71" t="s">
        <v>75</v>
      </c>
      <c r="K33" s="70" t="s">
        <v>334</v>
      </c>
      <c r="L33" s="74">
        <v>14.534019928696537</v>
      </c>
      <c r="M33" s="75">
        <v>7472.71337890625</v>
      </c>
      <c r="N33" s="75">
        <v>185.24168395996094</v>
      </c>
      <c r="O33" s="76"/>
      <c r="P33" s="77"/>
      <c r="Q33" s="77"/>
      <c r="R33" s="82"/>
      <c r="S33" s="49">
        <v>1</v>
      </c>
      <c r="T33" s="49">
        <v>3</v>
      </c>
      <c r="U33" s="50">
        <v>3.486957</v>
      </c>
      <c r="V33" s="50">
        <v>0.003145</v>
      </c>
      <c r="W33" s="50">
        <v>0.002805</v>
      </c>
      <c r="X33" s="50">
        <v>0.391804</v>
      </c>
      <c r="Y33" s="50">
        <v>0.3333333333333333</v>
      </c>
      <c r="Z33" s="50">
        <v>0</v>
      </c>
      <c r="AA33" s="72">
        <v>33</v>
      </c>
      <c r="AB33" s="72"/>
      <c r="AC33" s="73"/>
      <c r="AD33" s="80" t="s">
        <v>334</v>
      </c>
      <c r="AE33" s="80" t="s">
        <v>412</v>
      </c>
      <c r="AF33" s="80" t="s">
        <v>483</v>
      </c>
      <c r="AG33" s="80" t="s">
        <v>530</v>
      </c>
      <c r="AH33" s="80" t="s">
        <v>583</v>
      </c>
      <c r="AI33" s="80">
        <v>4304512</v>
      </c>
      <c r="AJ33" s="80">
        <v>2524</v>
      </c>
      <c r="AK33" s="80">
        <v>68097</v>
      </c>
      <c r="AL33" s="80">
        <v>872</v>
      </c>
      <c r="AM33" s="80" t="s">
        <v>634</v>
      </c>
      <c r="AN33" s="98" t="str">
        <f>HYPERLINK("https://www.youtube.com/watch?v=v-t1Z5-oPtU")</f>
        <v>https://www.youtube.com/watch?v=v-t1Z5-oPtU</v>
      </c>
      <c r="AO33" s="80" t="str">
        <f>REPLACE(INDEX(GroupVertices[Group],MATCH(Vertices[[#This Row],[Vertex]],GroupVertices[Vertex],0)),1,1,"")</f>
        <v>4</v>
      </c>
      <c r="AP33" s="49">
        <v>2</v>
      </c>
      <c r="AQ33" s="50">
        <v>2.6315789473684212</v>
      </c>
      <c r="AR33" s="49">
        <v>5</v>
      </c>
      <c r="AS33" s="50">
        <v>6.578947368421052</v>
      </c>
      <c r="AT33" s="49">
        <v>0</v>
      </c>
      <c r="AU33" s="50">
        <v>0</v>
      </c>
      <c r="AV33" s="49">
        <v>69</v>
      </c>
      <c r="AW33" s="50">
        <v>90.78947368421052</v>
      </c>
      <c r="AX33" s="49">
        <v>76</v>
      </c>
      <c r="AY33" s="120" t="s">
        <v>2109</v>
      </c>
      <c r="AZ33" s="120" t="s">
        <v>2109</v>
      </c>
      <c r="BA33" s="120" t="s">
        <v>2109</v>
      </c>
      <c r="BB33" s="120" t="s">
        <v>2109</v>
      </c>
      <c r="BC33" s="2"/>
      <c r="BD33" s="3"/>
      <c r="BE33" s="3"/>
      <c r="BF33" s="3"/>
      <c r="BG33" s="3"/>
    </row>
    <row r="34" spans="1:59" ht="15">
      <c r="A34" s="65" t="s">
        <v>239</v>
      </c>
      <c r="B34" s="66"/>
      <c r="C34" s="66"/>
      <c r="D34" s="67">
        <v>154.9491414217368</v>
      </c>
      <c r="E34" s="69"/>
      <c r="F34" s="96" t="str">
        <f>HYPERLINK("https://i.ytimg.com/vi/4NXL_diV-Dw/default.jpg")</f>
        <v>https://i.ytimg.com/vi/4NXL_diV-Dw/default.jpg</v>
      </c>
      <c r="G34" s="66"/>
      <c r="H34" s="70" t="s">
        <v>335</v>
      </c>
      <c r="I34" s="71"/>
      <c r="J34" s="71" t="s">
        <v>75</v>
      </c>
      <c r="K34" s="70" t="s">
        <v>335</v>
      </c>
      <c r="L34" s="74">
        <v>14.602703889140619</v>
      </c>
      <c r="M34" s="75">
        <v>2816.227294921875</v>
      </c>
      <c r="N34" s="75">
        <v>6672.0048828125</v>
      </c>
      <c r="O34" s="76"/>
      <c r="P34" s="77"/>
      <c r="Q34" s="77"/>
      <c r="R34" s="82"/>
      <c r="S34" s="49">
        <v>24</v>
      </c>
      <c r="T34" s="49">
        <v>1</v>
      </c>
      <c r="U34" s="50">
        <v>3.504653</v>
      </c>
      <c r="V34" s="50">
        <v>0.004098</v>
      </c>
      <c r="W34" s="50">
        <v>0.022626</v>
      </c>
      <c r="X34" s="50">
        <v>1.358573</v>
      </c>
      <c r="Y34" s="50">
        <v>0.57</v>
      </c>
      <c r="Z34" s="50">
        <v>0</v>
      </c>
      <c r="AA34" s="72">
        <v>34</v>
      </c>
      <c r="AB34" s="72"/>
      <c r="AC34" s="73"/>
      <c r="AD34" s="80" t="s">
        <v>335</v>
      </c>
      <c r="AE34" s="80" t="s">
        <v>413</v>
      </c>
      <c r="AF34" s="80"/>
      <c r="AG34" s="80" t="s">
        <v>531</v>
      </c>
      <c r="AH34" s="80" t="s">
        <v>584</v>
      </c>
      <c r="AI34" s="80">
        <v>289</v>
      </c>
      <c r="AJ34" s="80">
        <v>2</v>
      </c>
      <c r="AK34" s="80">
        <v>7</v>
      </c>
      <c r="AL34" s="80">
        <v>1</v>
      </c>
      <c r="AM34" s="80" t="s">
        <v>634</v>
      </c>
      <c r="AN34" s="98" t="str">
        <f>HYPERLINK("https://www.youtube.com/watch?v=4NXL_diV-Dw")</f>
        <v>https://www.youtube.com/watch?v=4NXL_diV-Dw</v>
      </c>
      <c r="AO34" s="80" t="str">
        <f>REPLACE(INDEX(GroupVertices[Group],MATCH(Vertices[[#This Row],[Vertex]],GroupVertices[Vertex],0)),1,1,"")</f>
        <v>1</v>
      </c>
      <c r="AP34" s="49">
        <v>1</v>
      </c>
      <c r="AQ34" s="50">
        <v>3.7037037037037037</v>
      </c>
      <c r="AR34" s="49">
        <v>0</v>
      </c>
      <c r="AS34" s="50">
        <v>0</v>
      </c>
      <c r="AT34" s="49">
        <v>0</v>
      </c>
      <c r="AU34" s="50">
        <v>0</v>
      </c>
      <c r="AV34" s="49">
        <v>26</v>
      </c>
      <c r="AW34" s="50">
        <v>96.29629629629629</v>
      </c>
      <c r="AX34" s="49">
        <v>27</v>
      </c>
      <c r="AY34" s="120" t="s">
        <v>2109</v>
      </c>
      <c r="AZ34" s="120" t="s">
        <v>2109</v>
      </c>
      <c r="BA34" s="120" t="s">
        <v>2109</v>
      </c>
      <c r="BB34" s="120" t="s">
        <v>2109</v>
      </c>
      <c r="BC34" s="2"/>
      <c r="BD34" s="3"/>
      <c r="BE34" s="3"/>
      <c r="BF34" s="3"/>
      <c r="BG34" s="3"/>
    </row>
    <row r="35" spans="1:59" ht="15">
      <c r="A35" s="65" t="s">
        <v>240</v>
      </c>
      <c r="B35" s="66"/>
      <c r="C35" s="66"/>
      <c r="D35" s="67">
        <v>1000</v>
      </c>
      <c r="E35" s="69"/>
      <c r="F35" s="96" t="str">
        <f>HYPERLINK("https://i.ytimg.com/vi/2JWku3Kjpq0/default.jpg")</f>
        <v>https://i.ytimg.com/vi/2JWku3Kjpq0/default.jpg</v>
      </c>
      <c r="G35" s="66"/>
      <c r="H35" s="70" t="s">
        <v>336</v>
      </c>
      <c r="I35" s="71"/>
      <c r="J35" s="71" t="s">
        <v>75</v>
      </c>
      <c r="K35" s="70" t="s">
        <v>336</v>
      </c>
      <c r="L35" s="74">
        <v>2643.3324836951697</v>
      </c>
      <c r="M35" s="75">
        <v>2479.945556640625</v>
      </c>
      <c r="N35" s="75">
        <v>7254.5166015625</v>
      </c>
      <c r="O35" s="76"/>
      <c r="P35" s="77"/>
      <c r="Q35" s="77"/>
      <c r="R35" s="82"/>
      <c r="S35" s="49">
        <v>17</v>
      </c>
      <c r="T35" s="49">
        <v>14</v>
      </c>
      <c r="U35" s="50">
        <v>680.780714</v>
      </c>
      <c r="V35" s="50">
        <v>0.004608</v>
      </c>
      <c r="W35" s="50">
        <v>0.023407</v>
      </c>
      <c r="X35" s="50">
        <v>1.763439</v>
      </c>
      <c r="Y35" s="50">
        <v>0.4160919540229885</v>
      </c>
      <c r="Z35" s="50">
        <v>0.03333333333333333</v>
      </c>
      <c r="AA35" s="72">
        <v>35</v>
      </c>
      <c r="AB35" s="72"/>
      <c r="AC35" s="73"/>
      <c r="AD35" s="80" t="s">
        <v>336</v>
      </c>
      <c r="AE35" s="80" t="s">
        <v>414</v>
      </c>
      <c r="AF35" s="80" t="s">
        <v>484</v>
      </c>
      <c r="AG35" s="80" t="s">
        <v>532</v>
      </c>
      <c r="AH35" s="80" t="s">
        <v>585</v>
      </c>
      <c r="AI35" s="80">
        <v>300279</v>
      </c>
      <c r="AJ35" s="80">
        <v>158</v>
      </c>
      <c r="AK35" s="80">
        <v>2495</v>
      </c>
      <c r="AL35" s="80">
        <v>143</v>
      </c>
      <c r="AM35" s="80" t="s">
        <v>634</v>
      </c>
      <c r="AN35" s="98" t="str">
        <f>HYPERLINK("https://www.youtube.com/watch?v=2JWku3Kjpq0")</f>
        <v>https://www.youtube.com/watch?v=2JWku3Kjpq0</v>
      </c>
      <c r="AO35" s="80" t="str">
        <f>REPLACE(INDEX(GroupVertices[Group],MATCH(Vertices[[#This Row],[Vertex]],GroupVertices[Vertex],0)),1,1,"")</f>
        <v>1</v>
      </c>
      <c r="AP35" s="49">
        <v>1</v>
      </c>
      <c r="AQ35" s="50">
        <v>0.625</v>
      </c>
      <c r="AR35" s="49">
        <v>4</v>
      </c>
      <c r="AS35" s="50">
        <v>2.5</v>
      </c>
      <c r="AT35" s="49">
        <v>0</v>
      </c>
      <c r="AU35" s="50">
        <v>0</v>
      </c>
      <c r="AV35" s="49">
        <v>155</v>
      </c>
      <c r="AW35" s="50">
        <v>96.875</v>
      </c>
      <c r="AX35" s="49">
        <v>160</v>
      </c>
      <c r="AY35" s="120" t="s">
        <v>2109</v>
      </c>
      <c r="AZ35" s="120" t="s">
        <v>2109</v>
      </c>
      <c r="BA35" s="120" t="s">
        <v>2109</v>
      </c>
      <c r="BB35" s="120" t="s">
        <v>2109</v>
      </c>
      <c r="BC35" s="2"/>
      <c r="BD35" s="3"/>
      <c r="BE35" s="3"/>
      <c r="BF35" s="3"/>
      <c r="BG35" s="3"/>
    </row>
    <row r="36" spans="1:59" ht="15">
      <c r="A36" s="65" t="s">
        <v>241</v>
      </c>
      <c r="B36" s="66"/>
      <c r="C36" s="66"/>
      <c r="D36" s="67">
        <v>269.99401673166983</v>
      </c>
      <c r="E36" s="69"/>
      <c r="F36" s="96" t="str">
        <f>HYPERLINK("https://i.ytimg.com/vi/5Q411ntL0jQ/default.jpg")</f>
        <v>https://i.ytimg.com/vi/5Q411ntL0jQ/default.jpg</v>
      </c>
      <c r="G36" s="66"/>
      <c r="H36" s="70" t="s">
        <v>337</v>
      </c>
      <c r="I36" s="71"/>
      <c r="J36" s="71" t="s">
        <v>75</v>
      </c>
      <c r="K36" s="70" t="s">
        <v>337</v>
      </c>
      <c r="L36" s="74">
        <v>330.8032808075802</v>
      </c>
      <c r="M36" s="75">
        <v>1545.1724853515625</v>
      </c>
      <c r="N36" s="75">
        <v>6743.4853515625</v>
      </c>
      <c r="O36" s="76"/>
      <c r="P36" s="77"/>
      <c r="Q36" s="77"/>
      <c r="R36" s="82"/>
      <c r="S36" s="49">
        <v>23</v>
      </c>
      <c r="T36" s="49">
        <v>19</v>
      </c>
      <c r="U36" s="50">
        <v>84.971787</v>
      </c>
      <c r="V36" s="50">
        <v>0.004292</v>
      </c>
      <c r="W36" s="50">
        <v>0.027651</v>
      </c>
      <c r="X36" s="50">
        <v>1.935846</v>
      </c>
      <c r="Y36" s="50">
        <v>0.38095238095238093</v>
      </c>
      <c r="Z36" s="50">
        <v>0.16666666666666666</v>
      </c>
      <c r="AA36" s="72">
        <v>36</v>
      </c>
      <c r="AB36" s="72"/>
      <c r="AC36" s="73"/>
      <c r="AD36" s="80" t="s">
        <v>337</v>
      </c>
      <c r="AE36" s="80" t="s">
        <v>415</v>
      </c>
      <c r="AF36" s="80" t="s">
        <v>485</v>
      </c>
      <c r="AG36" s="80" t="s">
        <v>533</v>
      </c>
      <c r="AH36" s="80" t="s">
        <v>586</v>
      </c>
      <c r="AI36" s="80">
        <v>32596</v>
      </c>
      <c r="AJ36" s="80">
        <v>20</v>
      </c>
      <c r="AK36" s="80">
        <v>1412</v>
      </c>
      <c r="AL36" s="80">
        <v>36</v>
      </c>
      <c r="AM36" s="80" t="s">
        <v>634</v>
      </c>
      <c r="AN36" s="98" t="str">
        <f>HYPERLINK("https://www.youtube.com/watch?v=5Q411ntL0jQ")</f>
        <v>https://www.youtube.com/watch?v=5Q411ntL0jQ</v>
      </c>
      <c r="AO36" s="80" t="str">
        <f>REPLACE(INDEX(GroupVertices[Group],MATCH(Vertices[[#This Row],[Vertex]],GroupVertices[Vertex],0)),1,1,"")</f>
        <v>1</v>
      </c>
      <c r="AP36" s="49">
        <v>12</v>
      </c>
      <c r="AQ36" s="50">
        <v>2.146690518783542</v>
      </c>
      <c r="AR36" s="49">
        <v>5</v>
      </c>
      <c r="AS36" s="50">
        <v>0.8944543828264758</v>
      </c>
      <c r="AT36" s="49">
        <v>0</v>
      </c>
      <c r="AU36" s="50">
        <v>0</v>
      </c>
      <c r="AV36" s="49">
        <v>542</v>
      </c>
      <c r="AW36" s="50">
        <v>96.95885509838998</v>
      </c>
      <c r="AX36" s="49">
        <v>559</v>
      </c>
      <c r="AY36" s="120" t="s">
        <v>2109</v>
      </c>
      <c r="AZ36" s="120" t="s">
        <v>2109</v>
      </c>
      <c r="BA36" s="120" t="s">
        <v>2109</v>
      </c>
      <c r="BB36" s="120" t="s">
        <v>2109</v>
      </c>
      <c r="BC36" s="2"/>
      <c r="BD36" s="3"/>
      <c r="BE36" s="3"/>
      <c r="BF36" s="3"/>
      <c r="BG36" s="3"/>
    </row>
    <row r="37" spans="1:59" ht="15">
      <c r="A37" s="65" t="s">
        <v>242</v>
      </c>
      <c r="B37" s="66"/>
      <c r="C37" s="66"/>
      <c r="D37" s="67">
        <v>150</v>
      </c>
      <c r="E37" s="69"/>
      <c r="F37" s="96" t="str">
        <f>HYPERLINK("https://i.ytimg.com/vi/8919Zm8Gi4U/default.jpg")</f>
        <v>https://i.ytimg.com/vi/8919Zm8Gi4U/default.jpg</v>
      </c>
      <c r="G37" s="66"/>
      <c r="H37" s="70" t="s">
        <v>338</v>
      </c>
      <c r="I37" s="71"/>
      <c r="J37" s="71" t="s">
        <v>159</v>
      </c>
      <c r="K37" s="70" t="s">
        <v>338</v>
      </c>
      <c r="L37" s="74">
        <v>1</v>
      </c>
      <c r="M37" s="75">
        <v>2640.31494140625</v>
      </c>
      <c r="N37" s="75">
        <v>7149.5888671875</v>
      </c>
      <c r="O37" s="76"/>
      <c r="P37" s="77"/>
      <c r="Q37" s="77"/>
      <c r="R37" s="82"/>
      <c r="S37" s="49">
        <v>5</v>
      </c>
      <c r="T37" s="49">
        <v>19</v>
      </c>
      <c r="U37" s="50">
        <v>0</v>
      </c>
      <c r="V37" s="50">
        <v>0.004032</v>
      </c>
      <c r="W37" s="50">
        <v>0.021878</v>
      </c>
      <c r="X37" s="50">
        <v>1.302524</v>
      </c>
      <c r="Y37" s="50">
        <v>0.5851449275362319</v>
      </c>
      <c r="Z37" s="50">
        <v>0</v>
      </c>
      <c r="AA37" s="72">
        <v>37</v>
      </c>
      <c r="AB37" s="72"/>
      <c r="AC37" s="73"/>
      <c r="AD37" s="80" t="s">
        <v>338</v>
      </c>
      <c r="AE37" s="80" t="s">
        <v>416</v>
      </c>
      <c r="AF37" s="80" t="s">
        <v>486</v>
      </c>
      <c r="AG37" s="80" t="s">
        <v>534</v>
      </c>
      <c r="AH37" s="80" t="s">
        <v>587</v>
      </c>
      <c r="AI37" s="80">
        <v>95551</v>
      </c>
      <c r="AJ37" s="80">
        <v>145</v>
      </c>
      <c r="AK37" s="80">
        <v>1333</v>
      </c>
      <c r="AL37" s="80">
        <v>81</v>
      </c>
      <c r="AM37" s="80" t="s">
        <v>634</v>
      </c>
      <c r="AN37" s="98" t="str">
        <f>HYPERLINK("https://www.youtube.com/watch?v=8919Zm8Gi4U")</f>
        <v>https://www.youtube.com/watch?v=8919Zm8Gi4U</v>
      </c>
      <c r="AO37" s="80" t="str">
        <f>REPLACE(INDEX(GroupVertices[Group],MATCH(Vertices[[#This Row],[Vertex]],GroupVertices[Vertex],0)),1,1,"")</f>
        <v>1</v>
      </c>
      <c r="AP37" s="49">
        <v>2</v>
      </c>
      <c r="AQ37" s="50">
        <v>1.9047619047619047</v>
      </c>
      <c r="AR37" s="49">
        <v>2</v>
      </c>
      <c r="AS37" s="50">
        <v>1.9047619047619047</v>
      </c>
      <c r="AT37" s="49">
        <v>0</v>
      </c>
      <c r="AU37" s="50">
        <v>0</v>
      </c>
      <c r="AV37" s="49">
        <v>101</v>
      </c>
      <c r="AW37" s="50">
        <v>96.19047619047619</v>
      </c>
      <c r="AX37" s="49">
        <v>105</v>
      </c>
      <c r="AY37" s="120" t="s">
        <v>2109</v>
      </c>
      <c r="AZ37" s="120" t="s">
        <v>2109</v>
      </c>
      <c r="BA37" s="120" t="s">
        <v>2109</v>
      </c>
      <c r="BB37" s="120" t="s">
        <v>2109</v>
      </c>
      <c r="BC37" s="2"/>
      <c r="BD37" s="3"/>
      <c r="BE37" s="3"/>
      <c r="BF37" s="3"/>
      <c r="BG37" s="3"/>
    </row>
    <row r="38" spans="1:59" ht="15">
      <c r="A38" s="65" t="s">
        <v>243</v>
      </c>
      <c r="B38" s="66"/>
      <c r="C38" s="66"/>
      <c r="D38" s="67">
        <v>1000</v>
      </c>
      <c r="E38" s="69"/>
      <c r="F38" s="96" t="str">
        <f>HYPERLINK("https://i.ytimg.com/vi/xS_txj05aTQ/default.jpg")</f>
        <v>https://i.ytimg.com/vi/xS_txj05aTQ/default.jpg</v>
      </c>
      <c r="G38" s="66"/>
      <c r="H38" s="70" t="s">
        <v>339</v>
      </c>
      <c r="I38" s="71"/>
      <c r="J38" s="71" t="s">
        <v>75</v>
      </c>
      <c r="K38" s="70" t="s">
        <v>339</v>
      </c>
      <c r="L38" s="74">
        <v>4576.985815835724</v>
      </c>
      <c r="M38" s="75">
        <v>1039.1571044921875</v>
      </c>
      <c r="N38" s="75">
        <v>3958.03759765625</v>
      </c>
      <c r="O38" s="76"/>
      <c r="P38" s="77"/>
      <c r="Q38" s="77"/>
      <c r="R38" s="82"/>
      <c r="S38" s="49">
        <v>9</v>
      </c>
      <c r="T38" s="49">
        <v>6</v>
      </c>
      <c r="U38" s="50">
        <v>1178.974603</v>
      </c>
      <c r="V38" s="50">
        <v>0.004695</v>
      </c>
      <c r="W38" s="50">
        <v>0.008688</v>
      </c>
      <c r="X38" s="50">
        <v>1.089462</v>
      </c>
      <c r="Y38" s="50">
        <v>0.26373626373626374</v>
      </c>
      <c r="Z38" s="50">
        <v>0.07142857142857142</v>
      </c>
      <c r="AA38" s="72">
        <v>38</v>
      </c>
      <c r="AB38" s="72"/>
      <c r="AC38" s="73"/>
      <c r="AD38" s="80" t="s">
        <v>339</v>
      </c>
      <c r="AE38" s="80" t="s">
        <v>417</v>
      </c>
      <c r="AF38" s="80" t="s">
        <v>487</v>
      </c>
      <c r="AG38" s="80" t="s">
        <v>535</v>
      </c>
      <c r="AH38" s="80" t="s">
        <v>588</v>
      </c>
      <c r="AI38" s="80">
        <v>18084</v>
      </c>
      <c r="AJ38" s="80">
        <v>23</v>
      </c>
      <c r="AK38" s="80">
        <v>256</v>
      </c>
      <c r="AL38" s="80">
        <v>6</v>
      </c>
      <c r="AM38" s="80" t="s">
        <v>634</v>
      </c>
      <c r="AN38" s="98" t="str">
        <f>HYPERLINK("https://www.youtube.com/watch?v=xS_txj05aTQ")</f>
        <v>https://www.youtube.com/watch?v=xS_txj05aTQ</v>
      </c>
      <c r="AO38" s="80" t="str">
        <f>REPLACE(INDEX(GroupVertices[Group],MATCH(Vertices[[#This Row],[Vertex]],GroupVertices[Vertex],0)),1,1,"")</f>
        <v>1</v>
      </c>
      <c r="AP38" s="49">
        <v>11</v>
      </c>
      <c r="AQ38" s="50">
        <v>3.4482758620689653</v>
      </c>
      <c r="AR38" s="49">
        <v>4</v>
      </c>
      <c r="AS38" s="50">
        <v>1.2539184952978057</v>
      </c>
      <c r="AT38" s="49">
        <v>0</v>
      </c>
      <c r="AU38" s="50">
        <v>0</v>
      </c>
      <c r="AV38" s="49">
        <v>304</v>
      </c>
      <c r="AW38" s="50">
        <v>95.29780564263324</v>
      </c>
      <c r="AX38" s="49">
        <v>319</v>
      </c>
      <c r="AY38" s="120" t="s">
        <v>2109</v>
      </c>
      <c r="AZ38" s="120" t="s">
        <v>2109</v>
      </c>
      <c r="BA38" s="120" t="s">
        <v>2109</v>
      </c>
      <c r="BB38" s="120" t="s">
        <v>2109</v>
      </c>
      <c r="BC38" s="2"/>
      <c r="BD38" s="3"/>
      <c r="BE38" s="3"/>
      <c r="BF38" s="3"/>
      <c r="BG38" s="3"/>
    </row>
    <row r="39" spans="1:59" ht="15">
      <c r="A39" s="65" t="s">
        <v>278</v>
      </c>
      <c r="B39" s="66"/>
      <c r="C39" s="66"/>
      <c r="D39" s="67">
        <v>150</v>
      </c>
      <c r="E39" s="69"/>
      <c r="F39" s="96" t="str">
        <f>HYPERLINK("https://i.ytimg.com/vi/bGBamfWasNQ/default.jpg")</f>
        <v>https://i.ytimg.com/vi/bGBamfWasNQ/default.jpg</v>
      </c>
      <c r="G39" s="66"/>
      <c r="H39" s="70" t="s">
        <v>340</v>
      </c>
      <c r="I39" s="71"/>
      <c r="J39" s="71" t="s">
        <v>159</v>
      </c>
      <c r="K39" s="70" t="s">
        <v>340</v>
      </c>
      <c r="L39" s="74">
        <v>1</v>
      </c>
      <c r="M39" s="75">
        <v>5096.74462890625</v>
      </c>
      <c r="N39" s="75">
        <v>9068.04296875</v>
      </c>
      <c r="O39" s="76"/>
      <c r="P39" s="77"/>
      <c r="Q39" s="77"/>
      <c r="R39" s="82"/>
      <c r="S39" s="49">
        <v>2</v>
      </c>
      <c r="T39" s="49">
        <v>0</v>
      </c>
      <c r="U39" s="50">
        <v>0</v>
      </c>
      <c r="V39" s="50">
        <v>0.003367</v>
      </c>
      <c r="W39" s="50">
        <v>0.00107</v>
      </c>
      <c r="X39" s="50">
        <v>0.272256</v>
      </c>
      <c r="Y39" s="50">
        <v>0.5</v>
      </c>
      <c r="Z39" s="50">
        <v>0</v>
      </c>
      <c r="AA39" s="72">
        <v>39</v>
      </c>
      <c r="AB39" s="72"/>
      <c r="AC39" s="73"/>
      <c r="AD39" s="80" t="s">
        <v>340</v>
      </c>
      <c r="AE39" s="80" t="s">
        <v>418</v>
      </c>
      <c r="AF39" s="80" t="s">
        <v>488</v>
      </c>
      <c r="AG39" s="80" t="s">
        <v>535</v>
      </c>
      <c r="AH39" s="80" t="s">
        <v>589</v>
      </c>
      <c r="AI39" s="80">
        <v>3705698</v>
      </c>
      <c r="AJ39" s="80">
        <v>1034</v>
      </c>
      <c r="AK39" s="80">
        <v>52493</v>
      </c>
      <c r="AL39" s="80">
        <v>2275</v>
      </c>
      <c r="AM39" s="80" t="s">
        <v>634</v>
      </c>
      <c r="AN39" s="98" t="str">
        <f>HYPERLINK("https://www.youtube.com/watch?v=bGBamfWasNQ")</f>
        <v>https://www.youtube.com/watch?v=bGBamfWasNQ</v>
      </c>
      <c r="AO39" s="80" t="str">
        <f>REPLACE(INDEX(GroupVertices[Group],MATCH(Vertices[[#This Row],[Vertex]],GroupVertices[Vertex],0)),1,1,"")</f>
        <v>2</v>
      </c>
      <c r="AP39" s="49">
        <v>13</v>
      </c>
      <c r="AQ39" s="50">
        <v>6.63265306122449</v>
      </c>
      <c r="AR39" s="49">
        <v>1</v>
      </c>
      <c r="AS39" s="50">
        <v>0.5102040816326531</v>
      </c>
      <c r="AT39" s="49">
        <v>0</v>
      </c>
      <c r="AU39" s="50">
        <v>0</v>
      </c>
      <c r="AV39" s="49">
        <v>182</v>
      </c>
      <c r="AW39" s="50">
        <v>92.85714285714286</v>
      </c>
      <c r="AX39" s="49">
        <v>196</v>
      </c>
      <c r="AY39" s="49"/>
      <c r="AZ39" s="49"/>
      <c r="BA39" s="49"/>
      <c r="BB39" s="49"/>
      <c r="BC39" s="2"/>
      <c r="BD39" s="3"/>
      <c r="BE39" s="3"/>
      <c r="BF39" s="3"/>
      <c r="BG39" s="3"/>
    </row>
    <row r="40" spans="1:59" ht="15">
      <c r="A40" s="65" t="s">
        <v>244</v>
      </c>
      <c r="B40" s="66"/>
      <c r="C40" s="66"/>
      <c r="D40" s="67">
        <v>150</v>
      </c>
      <c r="E40" s="69"/>
      <c r="F40" s="96" t="str">
        <f>HYPERLINK("https://i.ytimg.com/vi/XCrY7fd4L8Y/default.jpg")</f>
        <v>https://i.ytimg.com/vi/XCrY7fd4L8Y/default.jpg</v>
      </c>
      <c r="G40" s="66"/>
      <c r="H40" s="70" t="s">
        <v>341</v>
      </c>
      <c r="I40" s="71"/>
      <c r="J40" s="71" t="s">
        <v>159</v>
      </c>
      <c r="K40" s="70" t="s">
        <v>341</v>
      </c>
      <c r="L40" s="74">
        <v>1</v>
      </c>
      <c r="M40" s="75">
        <v>2257.25830078125</v>
      </c>
      <c r="N40" s="75">
        <v>228.3641815185547</v>
      </c>
      <c r="O40" s="76"/>
      <c r="P40" s="77"/>
      <c r="Q40" s="77"/>
      <c r="R40" s="82"/>
      <c r="S40" s="49">
        <v>3</v>
      </c>
      <c r="T40" s="49">
        <v>1</v>
      </c>
      <c r="U40" s="50">
        <v>0</v>
      </c>
      <c r="V40" s="50">
        <v>0.002915</v>
      </c>
      <c r="W40" s="50">
        <v>0.00054</v>
      </c>
      <c r="X40" s="50">
        <v>0.508295</v>
      </c>
      <c r="Y40" s="50">
        <v>0.5</v>
      </c>
      <c r="Z40" s="50">
        <v>0</v>
      </c>
      <c r="AA40" s="72">
        <v>40</v>
      </c>
      <c r="AB40" s="72"/>
      <c r="AC40" s="73"/>
      <c r="AD40" s="80" t="s">
        <v>341</v>
      </c>
      <c r="AE40" s="80" t="s">
        <v>419</v>
      </c>
      <c r="AF40" s="80"/>
      <c r="AG40" s="80" t="s">
        <v>536</v>
      </c>
      <c r="AH40" s="80" t="s">
        <v>590</v>
      </c>
      <c r="AI40" s="80">
        <v>63</v>
      </c>
      <c r="AJ40" s="80">
        <v>1</v>
      </c>
      <c r="AK40" s="80">
        <v>1</v>
      </c>
      <c r="AL40" s="80">
        <v>0</v>
      </c>
      <c r="AM40" s="80" t="s">
        <v>634</v>
      </c>
      <c r="AN40" s="98" t="str">
        <f>HYPERLINK("https://www.youtube.com/watch?v=XCrY7fd4L8Y")</f>
        <v>https://www.youtube.com/watch?v=XCrY7fd4L8Y</v>
      </c>
      <c r="AO40" s="80" t="str">
        <f>REPLACE(INDEX(GroupVertices[Group],MATCH(Vertices[[#This Row],[Vertex]],GroupVertices[Vertex],0)),1,1,"")</f>
        <v>1</v>
      </c>
      <c r="AP40" s="49">
        <v>1</v>
      </c>
      <c r="AQ40" s="50">
        <v>11.11111111111111</v>
      </c>
      <c r="AR40" s="49">
        <v>0</v>
      </c>
      <c r="AS40" s="50">
        <v>0</v>
      </c>
      <c r="AT40" s="49">
        <v>0</v>
      </c>
      <c r="AU40" s="50">
        <v>0</v>
      </c>
      <c r="AV40" s="49">
        <v>8</v>
      </c>
      <c r="AW40" s="50">
        <v>88.88888888888889</v>
      </c>
      <c r="AX40" s="49">
        <v>9</v>
      </c>
      <c r="AY40" s="120" t="s">
        <v>2109</v>
      </c>
      <c r="AZ40" s="120" t="s">
        <v>2109</v>
      </c>
      <c r="BA40" s="120" t="s">
        <v>2109</v>
      </c>
      <c r="BB40" s="120" t="s">
        <v>2109</v>
      </c>
      <c r="BC40" s="2"/>
      <c r="BD40" s="3"/>
      <c r="BE40" s="3"/>
      <c r="BF40" s="3"/>
      <c r="BG40" s="3"/>
    </row>
    <row r="41" spans="1:59" ht="15">
      <c r="A41" s="65" t="s">
        <v>279</v>
      </c>
      <c r="B41" s="66"/>
      <c r="C41" s="66"/>
      <c r="D41" s="67">
        <v>150</v>
      </c>
      <c r="E41" s="69"/>
      <c r="F41" s="96" t="str">
        <f>HYPERLINK("https://i.ytimg.com/vi/LTba_3QkwNw/default.jpg")</f>
        <v>https://i.ytimg.com/vi/LTba_3QkwNw/default.jpg</v>
      </c>
      <c r="G41" s="66"/>
      <c r="H41" s="70" t="s">
        <v>342</v>
      </c>
      <c r="I41" s="71"/>
      <c r="J41" s="71" t="s">
        <v>159</v>
      </c>
      <c r="K41" s="70" t="s">
        <v>342</v>
      </c>
      <c r="L41" s="74">
        <v>1</v>
      </c>
      <c r="M41" s="75">
        <v>1827.8563232421875</v>
      </c>
      <c r="N41" s="75">
        <v>182.78553771972656</v>
      </c>
      <c r="O41" s="76"/>
      <c r="P41" s="77"/>
      <c r="Q41" s="77"/>
      <c r="R41" s="82"/>
      <c r="S41" s="49">
        <v>4</v>
      </c>
      <c r="T41" s="49">
        <v>0</v>
      </c>
      <c r="U41" s="50">
        <v>0</v>
      </c>
      <c r="V41" s="50">
        <v>0.002915</v>
      </c>
      <c r="W41" s="50">
        <v>0.00054</v>
      </c>
      <c r="X41" s="50">
        <v>0.508295</v>
      </c>
      <c r="Y41" s="50">
        <v>0.5</v>
      </c>
      <c r="Z41" s="50">
        <v>0</v>
      </c>
      <c r="AA41" s="72">
        <v>41</v>
      </c>
      <c r="AB41" s="72"/>
      <c r="AC41" s="73"/>
      <c r="AD41" s="80" t="s">
        <v>342</v>
      </c>
      <c r="AE41" s="80" t="s">
        <v>420</v>
      </c>
      <c r="AF41" s="80"/>
      <c r="AG41" s="80" t="s">
        <v>536</v>
      </c>
      <c r="AH41" s="80" t="s">
        <v>591</v>
      </c>
      <c r="AI41" s="80">
        <v>24</v>
      </c>
      <c r="AJ41" s="80">
        <v>0</v>
      </c>
      <c r="AK41" s="80">
        <v>1</v>
      </c>
      <c r="AL41" s="80">
        <v>0</v>
      </c>
      <c r="AM41" s="80" t="s">
        <v>634</v>
      </c>
      <c r="AN41" s="98" t="str">
        <f>HYPERLINK("https://www.youtube.com/watch?v=LTba_3QkwNw")</f>
        <v>https://www.youtube.com/watch?v=LTba_3QkwNw</v>
      </c>
      <c r="AO41" s="80" t="str">
        <f>REPLACE(INDEX(GroupVertices[Group],MATCH(Vertices[[#This Row],[Vertex]],GroupVertices[Vertex],0)),1,1,"")</f>
        <v>1</v>
      </c>
      <c r="AP41" s="49">
        <v>1</v>
      </c>
      <c r="AQ41" s="50">
        <v>2.127659574468085</v>
      </c>
      <c r="AR41" s="49">
        <v>0</v>
      </c>
      <c r="AS41" s="50">
        <v>0</v>
      </c>
      <c r="AT41" s="49">
        <v>0</v>
      </c>
      <c r="AU41" s="50">
        <v>0</v>
      </c>
      <c r="AV41" s="49">
        <v>46</v>
      </c>
      <c r="AW41" s="50">
        <v>97.87234042553192</v>
      </c>
      <c r="AX41" s="49">
        <v>47</v>
      </c>
      <c r="AY41" s="49"/>
      <c r="AZ41" s="49"/>
      <c r="BA41" s="49"/>
      <c r="BB41" s="49"/>
      <c r="BC41" s="2"/>
      <c r="BD41" s="3"/>
      <c r="BE41" s="3"/>
      <c r="BF41" s="3"/>
      <c r="BG41" s="3"/>
    </row>
    <row r="42" spans="1:59" ht="15">
      <c r="A42" s="65" t="s">
        <v>245</v>
      </c>
      <c r="B42" s="66"/>
      <c r="C42" s="66"/>
      <c r="D42" s="67">
        <v>599.2828953863825</v>
      </c>
      <c r="E42" s="69"/>
      <c r="F42" s="96" t="str">
        <f>HYPERLINK("https://i.ytimg.com/vi/K8Vhl194ikA/default.jpg")</f>
        <v>https://i.ytimg.com/vi/K8Vhl194ikA/default.jpg</v>
      </c>
      <c r="G42" s="66"/>
      <c r="H42" s="70" t="s">
        <v>343</v>
      </c>
      <c r="I42" s="71"/>
      <c r="J42" s="71" t="s">
        <v>75</v>
      </c>
      <c r="K42" s="70" t="s">
        <v>343</v>
      </c>
      <c r="L42" s="74">
        <v>1235.8530113839433</v>
      </c>
      <c r="M42" s="75">
        <v>1595.8939208984375</v>
      </c>
      <c r="N42" s="75">
        <v>1745.726318359375</v>
      </c>
      <c r="O42" s="76"/>
      <c r="P42" s="77"/>
      <c r="Q42" s="77"/>
      <c r="R42" s="82"/>
      <c r="S42" s="49">
        <v>7</v>
      </c>
      <c r="T42" s="49">
        <v>2</v>
      </c>
      <c r="U42" s="50">
        <v>318.152284</v>
      </c>
      <c r="V42" s="50">
        <v>0.003876</v>
      </c>
      <c r="W42" s="50">
        <v>0.002059</v>
      </c>
      <c r="X42" s="50">
        <v>0.864802</v>
      </c>
      <c r="Y42" s="50">
        <v>0.1388888888888889</v>
      </c>
      <c r="Z42" s="50">
        <v>0</v>
      </c>
      <c r="AA42" s="72">
        <v>42</v>
      </c>
      <c r="AB42" s="72"/>
      <c r="AC42" s="73"/>
      <c r="AD42" s="80" t="s">
        <v>343</v>
      </c>
      <c r="AE42" s="80" t="s">
        <v>421</v>
      </c>
      <c r="AF42" s="80"/>
      <c r="AG42" s="80" t="s">
        <v>536</v>
      </c>
      <c r="AH42" s="80" t="s">
        <v>592</v>
      </c>
      <c r="AI42" s="80">
        <v>181</v>
      </c>
      <c r="AJ42" s="80">
        <v>0</v>
      </c>
      <c r="AK42" s="80">
        <v>2</v>
      </c>
      <c r="AL42" s="80">
        <v>0</v>
      </c>
      <c r="AM42" s="80" t="s">
        <v>634</v>
      </c>
      <c r="AN42" s="98" t="str">
        <f>HYPERLINK("https://www.youtube.com/watch?v=K8Vhl194ikA")</f>
        <v>https://www.youtube.com/watch?v=K8Vhl194ikA</v>
      </c>
      <c r="AO42" s="80" t="str">
        <f>REPLACE(INDEX(GroupVertices[Group],MATCH(Vertices[[#This Row],[Vertex]],GroupVertices[Vertex],0)),1,1,"")</f>
        <v>1</v>
      </c>
      <c r="AP42" s="49">
        <v>2</v>
      </c>
      <c r="AQ42" s="50">
        <v>1.7543859649122806</v>
      </c>
      <c r="AR42" s="49">
        <v>0</v>
      </c>
      <c r="AS42" s="50">
        <v>0</v>
      </c>
      <c r="AT42" s="49">
        <v>0</v>
      </c>
      <c r="AU42" s="50">
        <v>0</v>
      </c>
      <c r="AV42" s="49">
        <v>112</v>
      </c>
      <c r="AW42" s="50">
        <v>98.24561403508773</v>
      </c>
      <c r="AX42" s="49">
        <v>114</v>
      </c>
      <c r="AY42" s="120" t="s">
        <v>2109</v>
      </c>
      <c r="AZ42" s="120" t="s">
        <v>2109</v>
      </c>
      <c r="BA42" s="120" t="s">
        <v>2109</v>
      </c>
      <c r="BB42" s="120" t="s">
        <v>2109</v>
      </c>
      <c r="BC42" s="2"/>
      <c r="BD42" s="3"/>
      <c r="BE42" s="3"/>
      <c r="BF42" s="3"/>
      <c r="BG42" s="3"/>
    </row>
    <row r="43" spans="1:59" ht="15">
      <c r="A43" s="65" t="s">
        <v>246</v>
      </c>
      <c r="B43" s="66"/>
      <c r="C43" s="66"/>
      <c r="D43" s="67">
        <v>150</v>
      </c>
      <c r="E43" s="69"/>
      <c r="F43" s="96" t="str">
        <f>HYPERLINK("https://i.ytimg.com/vi/3jW6A2lt31E/default.jpg")</f>
        <v>https://i.ytimg.com/vi/3jW6A2lt31E/default.jpg</v>
      </c>
      <c r="G43" s="66"/>
      <c r="H43" s="70" t="s">
        <v>344</v>
      </c>
      <c r="I43" s="71"/>
      <c r="J43" s="71" t="s">
        <v>159</v>
      </c>
      <c r="K43" s="70" t="s">
        <v>344</v>
      </c>
      <c r="L43" s="74">
        <v>1</v>
      </c>
      <c r="M43" s="75">
        <v>2568.86181640625</v>
      </c>
      <c r="N43" s="75">
        <v>337.414794921875</v>
      </c>
      <c r="O43" s="76"/>
      <c r="P43" s="77"/>
      <c r="Q43" s="77"/>
      <c r="R43" s="82"/>
      <c r="S43" s="49">
        <v>1</v>
      </c>
      <c r="T43" s="49">
        <v>3</v>
      </c>
      <c r="U43" s="50">
        <v>0</v>
      </c>
      <c r="V43" s="50">
        <v>0.002915</v>
      </c>
      <c r="W43" s="50">
        <v>0.00054</v>
      </c>
      <c r="X43" s="50">
        <v>0.508295</v>
      </c>
      <c r="Y43" s="50">
        <v>0.5</v>
      </c>
      <c r="Z43" s="50">
        <v>0</v>
      </c>
      <c r="AA43" s="72">
        <v>43</v>
      </c>
      <c r="AB43" s="72"/>
      <c r="AC43" s="73"/>
      <c r="AD43" s="80" t="s">
        <v>344</v>
      </c>
      <c r="AE43" s="80" t="s">
        <v>422</v>
      </c>
      <c r="AF43" s="80"/>
      <c r="AG43" s="80" t="s">
        <v>536</v>
      </c>
      <c r="AH43" s="80" t="s">
        <v>593</v>
      </c>
      <c r="AI43" s="80">
        <v>77</v>
      </c>
      <c r="AJ43" s="80">
        <v>0</v>
      </c>
      <c r="AK43" s="80">
        <v>6</v>
      </c>
      <c r="AL43" s="80">
        <v>0</v>
      </c>
      <c r="AM43" s="80" t="s">
        <v>634</v>
      </c>
      <c r="AN43" s="98" t="str">
        <f>HYPERLINK("https://www.youtube.com/watch?v=3jW6A2lt31E")</f>
        <v>https://www.youtube.com/watch?v=3jW6A2lt31E</v>
      </c>
      <c r="AO43" s="80" t="str">
        <f>REPLACE(INDEX(GroupVertices[Group],MATCH(Vertices[[#This Row],[Vertex]],GroupVertices[Vertex],0)),1,1,"")</f>
        <v>1</v>
      </c>
      <c r="AP43" s="49">
        <v>0</v>
      </c>
      <c r="AQ43" s="50">
        <v>0</v>
      </c>
      <c r="AR43" s="49">
        <v>0</v>
      </c>
      <c r="AS43" s="50">
        <v>0</v>
      </c>
      <c r="AT43" s="49">
        <v>0</v>
      </c>
      <c r="AU43" s="50">
        <v>0</v>
      </c>
      <c r="AV43" s="49">
        <v>10</v>
      </c>
      <c r="AW43" s="50">
        <v>100</v>
      </c>
      <c r="AX43" s="49">
        <v>10</v>
      </c>
      <c r="AY43" s="120" t="s">
        <v>2109</v>
      </c>
      <c r="AZ43" s="120" t="s">
        <v>2109</v>
      </c>
      <c r="BA43" s="120" t="s">
        <v>2109</v>
      </c>
      <c r="BB43" s="120" t="s">
        <v>2109</v>
      </c>
      <c r="BC43" s="2"/>
      <c r="BD43" s="3"/>
      <c r="BE43" s="3"/>
      <c r="BF43" s="3"/>
      <c r="BG43" s="3"/>
    </row>
    <row r="44" spans="1:59" ht="15">
      <c r="A44" s="65" t="s">
        <v>247</v>
      </c>
      <c r="B44" s="66"/>
      <c r="C44" s="66"/>
      <c r="D44" s="67">
        <v>973.3102584176452</v>
      </c>
      <c r="E44" s="69"/>
      <c r="F44" s="96" t="str">
        <f>HYPERLINK("https://i.ytimg.com/vi/6bZVEf1OrTU/default.jpg")</f>
        <v>https://i.ytimg.com/vi/6bZVEf1OrTU/default.jpg</v>
      </c>
      <c r="G44" s="66"/>
      <c r="H44" s="70" t="s">
        <v>345</v>
      </c>
      <c r="I44" s="71"/>
      <c r="J44" s="71" t="s">
        <v>75</v>
      </c>
      <c r="K44" s="70" t="s">
        <v>345</v>
      </c>
      <c r="L44" s="74">
        <v>2263.866364044395</v>
      </c>
      <c r="M44" s="75">
        <v>2119.9501953125</v>
      </c>
      <c r="N44" s="75">
        <v>2881.89404296875</v>
      </c>
      <c r="O44" s="76"/>
      <c r="P44" s="77"/>
      <c r="Q44" s="77"/>
      <c r="R44" s="82"/>
      <c r="S44" s="49">
        <v>0</v>
      </c>
      <c r="T44" s="49">
        <v>20</v>
      </c>
      <c r="U44" s="50">
        <v>583.013602</v>
      </c>
      <c r="V44" s="50">
        <v>0.003906</v>
      </c>
      <c r="W44" s="50">
        <v>0.012663</v>
      </c>
      <c r="X44" s="50">
        <v>1.425738</v>
      </c>
      <c r="Y44" s="50">
        <v>0.29473684210526313</v>
      </c>
      <c r="Z44" s="50">
        <v>0</v>
      </c>
      <c r="AA44" s="72">
        <v>44</v>
      </c>
      <c r="AB44" s="72"/>
      <c r="AC44" s="73"/>
      <c r="AD44" s="80" t="s">
        <v>345</v>
      </c>
      <c r="AE44" s="80" t="s">
        <v>423</v>
      </c>
      <c r="AF44" s="80"/>
      <c r="AG44" s="80" t="s">
        <v>536</v>
      </c>
      <c r="AH44" s="80" t="s">
        <v>594</v>
      </c>
      <c r="AI44" s="80">
        <v>205</v>
      </c>
      <c r="AJ44" s="80">
        <v>0</v>
      </c>
      <c r="AK44" s="80">
        <v>1</v>
      </c>
      <c r="AL44" s="80">
        <v>0</v>
      </c>
      <c r="AM44" s="80" t="s">
        <v>634</v>
      </c>
      <c r="AN44" s="98" t="str">
        <f>HYPERLINK("https://www.youtube.com/watch?v=6bZVEf1OrTU")</f>
        <v>https://www.youtube.com/watch?v=6bZVEf1OrTU</v>
      </c>
      <c r="AO44" s="80" t="str">
        <f>REPLACE(INDEX(GroupVertices[Group],MATCH(Vertices[[#This Row],[Vertex]],GroupVertices[Vertex],0)),1,1,"")</f>
        <v>1</v>
      </c>
      <c r="AP44" s="49">
        <v>3</v>
      </c>
      <c r="AQ44" s="50">
        <v>2.3255813953488373</v>
      </c>
      <c r="AR44" s="49">
        <v>3</v>
      </c>
      <c r="AS44" s="50">
        <v>2.3255813953488373</v>
      </c>
      <c r="AT44" s="49">
        <v>0</v>
      </c>
      <c r="AU44" s="50">
        <v>0</v>
      </c>
      <c r="AV44" s="49">
        <v>123</v>
      </c>
      <c r="AW44" s="50">
        <v>95.34883720930233</v>
      </c>
      <c r="AX44" s="49">
        <v>129</v>
      </c>
      <c r="AY44" s="120" t="s">
        <v>2109</v>
      </c>
      <c r="AZ44" s="120" t="s">
        <v>2109</v>
      </c>
      <c r="BA44" s="120" t="s">
        <v>2109</v>
      </c>
      <c r="BB44" s="120" t="s">
        <v>2109</v>
      </c>
      <c r="BC44" s="2"/>
      <c r="BD44" s="3"/>
      <c r="BE44" s="3"/>
      <c r="BF44" s="3"/>
      <c r="BG44" s="3"/>
    </row>
    <row r="45" spans="1:59" ht="15">
      <c r="A45" s="65" t="s">
        <v>248</v>
      </c>
      <c r="B45" s="66"/>
      <c r="C45" s="66"/>
      <c r="D45" s="67">
        <v>182.93422908972354</v>
      </c>
      <c r="E45" s="69"/>
      <c r="F45" s="96" t="str">
        <f>HYPERLINK("https://i.ytimg.com/vi/nt3rLUSRgIo/default.jpg")</f>
        <v>https://i.ytimg.com/vi/nt3rLUSRgIo/default.jpg</v>
      </c>
      <c r="G45" s="66"/>
      <c r="H45" s="70" t="s">
        <v>346</v>
      </c>
      <c r="I45" s="71"/>
      <c r="J45" s="71" t="s">
        <v>75</v>
      </c>
      <c r="K45" s="70" t="s">
        <v>346</v>
      </c>
      <c r="L45" s="74">
        <v>91.51965340028931</v>
      </c>
      <c r="M45" s="75">
        <v>2651.89990234375</v>
      </c>
      <c r="N45" s="75">
        <v>3016.103759765625</v>
      </c>
      <c r="O45" s="76"/>
      <c r="P45" s="77"/>
      <c r="Q45" s="77"/>
      <c r="R45" s="82"/>
      <c r="S45" s="49">
        <v>10</v>
      </c>
      <c r="T45" s="49">
        <v>5</v>
      </c>
      <c r="U45" s="50">
        <v>23.321832</v>
      </c>
      <c r="V45" s="50">
        <v>0.003831</v>
      </c>
      <c r="W45" s="50">
        <v>0.009934</v>
      </c>
      <c r="X45" s="50">
        <v>0.776436</v>
      </c>
      <c r="Y45" s="50">
        <v>0.48484848484848486</v>
      </c>
      <c r="Z45" s="50">
        <v>0.25</v>
      </c>
      <c r="AA45" s="72">
        <v>45</v>
      </c>
      <c r="AB45" s="72"/>
      <c r="AC45" s="73"/>
      <c r="AD45" s="80" t="s">
        <v>346</v>
      </c>
      <c r="AE45" s="80" t="s">
        <v>424</v>
      </c>
      <c r="AF45" s="80"/>
      <c r="AG45" s="80" t="s">
        <v>537</v>
      </c>
      <c r="AH45" s="80" t="s">
        <v>595</v>
      </c>
      <c r="AI45" s="80">
        <v>368</v>
      </c>
      <c r="AJ45" s="80">
        <v>0</v>
      </c>
      <c r="AK45" s="80">
        <v>0</v>
      </c>
      <c r="AL45" s="80">
        <v>0</v>
      </c>
      <c r="AM45" s="80" t="s">
        <v>634</v>
      </c>
      <c r="AN45" s="98" t="str">
        <f>HYPERLINK("https://www.youtube.com/watch?v=nt3rLUSRgIo")</f>
        <v>https://www.youtube.com/watch?v=nt3rLUSRgIo</v>
      </c>
      <c r="AO45" s="80" t="str">
        <f>REPLACE(INDEX(GroupVertices[Group],MATCH(Vertices[[#This Row],[Vertex]],GroupVertices[Vertex],0)),1,1,"")</f>
        <v>1</v>
      </c>
      <c r="AP45" s="49">
        <v>2</v>
      </c>
      <c r="AQ45" s="50">
        <v>2.7777777777777777</v>
      </c>
      <c r="AR45" s="49">
        <v>3</v>
      </c>
      <c r="AS45" s="50">
        <v>4.166666666666667</v>
      </c>
      <c r="AT45" s="49">
        <v>0</v>
      </c>
      <c r="AU45" s="50">
        <v>0</v>
      </c>
      <c r="AV45" s="49">
        <v>67</v>
      </c>
      <c r="AW45" s="50">
        <v>93.05555555555556</v>
      </c>
      <c r="AX45" s="49">
        <v>72</v>
      </c>
      <c r="AY45" s="120" t="s">
        <v>2109</v>
      </c>
      <c r="AZ45" s="120" t="s">
        <v>2109</v>
      </c>
      <c r="BA45" s="120" t="s">
        <v>2109</v>
      </c>
      <c r="BB45" s="120" t="s">
        <v>2109</v>
      </c>
      <c r="BC45" s="2"/>
      <c r="BD45" s="3"/>
      <c r="BE45" s="3"/>
      <c r="BF45" s="3"/>
      <c r="BG45" s="3"/>
    </row>
    <row r="46" spans="1:59" ht="15">
      <c r="A46" s="65" t="s">
        <v>249</v>
      </c>
      <c r="B46" s="66"/>
      <c r="C46" s="66"/>
      <c r="D46" s="67">
        <v>482.7265720935322</v>
      </c>
      <c r="E46" s="69"/>
      <c r="F46" s="96" t="str">
        <f>HYPERLINK("https://i.ytimg.com/vi/fNaAisFiPdU/default.jpg")</f>
        <v>https://i.ytimg.com/vi/fNaAisFiPdU/default.jpg</v>
      </c>
      <c r="G46" s="66"/>
      <c r="H46" s="70" t="s">
        <v>347</v>
      </c>
      <c r="I46" s="71"/>
      <c r="J46" s="71" t="s">
        <v>75</v>
      </c>
      <c r="K46" s="70" t="s">
        <v>347</v>
      </c>
      <c r="L46" s="74">
        <v>915.4982231380274</v>
      </c>
      <c r="M46" s="75">
        <v>9649.482421875</v>
      </c>
      <c r="N46" s="75">
        <v>4574.9853515625</v>
      </c>
      <c r="O46" s="76"/>
      <c r="P46" s="77"/>
      <c r="Q46" s="77"/>
      <c r="R46" s="82"/>
      <c r="S46" s="49">
        <v>5</v>
      </c>
      <c r="T46" s="49">
        <v>1</v>
      </c>
      <c r="U46" s="50">
        <v>235.614843</v>
      </c>
      <c r="V46" s="50">
        <v>0.003731</v>
      </c>
      <c r="W46" s="50">
        <v>0.001201</v>
      </c>
      <c r="X46" s="50">
        <v>0.81242</v>
      </c>
      <c r="Y46" s="50">
        <v>0.13333333333333333</v>
      </c>
      <c r="Z46" s="50">
        <v>0</v>
      </c>
      <c r="AA46" s="72">
        <v>46</v>
      </c>
      <c r="AB46" s="72"/>
      <c r="AC46" s="73"/>
      <c r="AD46" s="80" t="s">
        <v>347</v>
      </c>
      <c r="AE46" s="80" t="s">
        <v>425</v>
      </c>
      <c r="AF46" s="80" t="s">
        <v>489</v>
      </c>
      <c r="AG46" s="80" t="s">
        <v>538</v>
      </c>
      <c r="AH46" s="80" t="s">
        <v>596</v>
      </c>
      <c r="AI46" s="80">
        <v>143349</v>
      </c>
      <c r="AJ46" s="80">
        <v>69</v>
      </c>
      <c r="AK46" s="80">
        <v>797</v>
      </c>
      <c r="AL46" s="80">
        <v>40</v>
      </c>
      <c r="AM46" s="80" t="s">
        <v>634</v>
      </c>
      <c r="AN46" s="98" t="str">
        <f>HYPERLINK("https://www.youtube.com/watch?v=fNaAisFiPdU")</f>
        <v>https://www.youtube.com/watch?v=fNaAisFiPdU</v>
      </c>
      <c r="AO46" s="80" t="str">
        <f>REPLACE(INDEX(GroupVertices[Group],MATCH(Vertices[[#This Row],[Vertex]],GroupVertices[Vertex],0)),1,1,"")</f>
        <v>4</v>
      </c>
      <c r="AP46" s="49">
        <v>0</v>
      </c>
      <c r="AQ46" s="50">
        <v>0</v>
      </c>
      <c r="AR46" s="49">
        <v>1</v>
      </c>
      <c r="AS46" s="50">
        <v>1.8181818181818181</v>
      </c>
      <c r="AT46" s="49">
        <v>0</v>
      </c>
      <c r="AU46" s="50">
        <v>0</v>
      </c>
      <c r="AV46" s="49">
        <v>54</v>
      </c>
      <c r="AW46" s="50">
        <v>98.18181818181819</v>
      </c>
      <c r="AX46" s="49">
        <v>55</v>
      </c>
      <c r="AY46" s="120" t="s">
        <v>2109</v>
      </c>
      <c r="AZ46" s="120" t="s">
        <v>2109</v>
      </c>
      <c r="BA46" s="120" t="s">
        <v>2109</v>
      </c>
      <c r="BB46" s="120" t="s">
        <v>2109</v>
      </c>
      <c r="BC46" s="2"/>
      <c r="BD46" s="3"/>
      <c r="BE46" s="3"/>
      <c r="BF46" s="3"/>
      <c r="BG46" s="3"/>
    </row>
    <row r="47" spans="1:59" ht="15">
      <c r="A47" s="65" t="s">
        <v>250</v>
      </c>
      <c r="B47" s="66"/>
      <c r="C47" s="66"/>
      <c r="D47" s="67">
        <v>1000</v>
      </c>
      <c r="E47" s="69"/>
      <c r="F47" s="96" t="str">
        <f>HYPERLINK("https://i.ytimg.com/vi/9At0j07G7-o/default.jpg")</f>
        <v>https://i.ytimg.com/vi/9At0j07G7-o/default.jpg</v>
      </c>
      <c r="G47" s="66"/>
      <c r="H47" s="70" t="s">
        <v>348</v>
      </c>
      <c r="I47" s="71"/>
      <c r="J47" s="71" t="s">
        <v>75</v>
      </c>
      <c r="K47" s="70" t="s">
        <v>348</v>
      </c>
      <c r="L47" s="74">
        <v>9999</v>
      </c>
      <c r="M47" s="75">
        <v>5292.5751953125</v>
      </c>
      <c r="N47" s="75">
        <v>5143.72119140625</v>
      </c>
      <c r="O47" s="76"/>
      <c r="P47" s="77"/>
      <c r="Q47" s="77"/>
      <c r="R47" s="82"/>
      <c r="S47" s="49">
        <v>16</v>
      </c>
      <c r="T47" s="49">
        <v>9</v>
      </c>
      <c r="U47" s="50">
        <v>2575.923212</v>
      </c>
      <c r="V47" s="50">
        <v>0.004032</v>
      </c>
      <c r="W47" s="50">
        <v>0.004728</v>
      </c>
      <c r="X47" s="50">
        <v>1.501781</v>
      </c>
      <c r="Y47" s="50">
        <v>0.2733333333333333</v>
      </c>
      <c r="Z47" s="50">
        <v>0</v>
      </c>
      <c r="AA47" s="72">
        <v>47</v>
      </c>
      <c r="AB47" s="72"/>
      <c r="AC47" s="73"/>
      <c r="AD47" s="80" t="s">
        <v>348</v>
      </c>
      <c r="AE47" s="80" t="s">
        <v>426</v>
      </c>
      <c r="AF47" s="80"/>
      <c r="AG47" s="80" t="s">
        <v>539</v>
      </c>
      <c r="AH47" s="80" t="s">
        <v>597</v>
      </c>
      <c r="AI47" s="80">
        <v>1200</v>
      </c>
      <c r="AJ47" s="80">
        <v>0</v>
      </c>
      <c r="AK47" s="80">
        <v>17</v>
      </c>
      <c r="AL47" s="80">
        <v>0</v>
      </c>
      <c r="AM47" s="80" t="s">
        <v>634</v>
      </c>
      <c r="AN47" s="98" t="str">
        <f>HYPERLINK("https://www.youtube.com/watch?v=9At0j07G7-o")</f>
        <v>https://www.youtube.com/watch?v=9At0j07G7-o</v>
      </c>
      <c r="AO47" s="80" t="str">
        <f>REPLACE(INDEX(GroupVertices[Group],MATCH(Vertices[[#This Row],[Vertex]],GroupVertices[Vertex],0)),1,1,"")</f>
        <v>3</v>
      </c>
      <c r="AP47" s="49">
        <v>4</v>
      </c>
      <c r="AQ47" s="50">
        <v>3.252032520325203</v>
      </c>
      <c r="AR47" s="49">
        <v>1</v>
      </c>
      <c r="AS47" s="50">
        <v>0.8130081300813008</v>
      </c>
      <c r="AT47" s="49">
        <v>0</v>
      </c>
      <c r="AU47" s="50">
        <v>0</v>
      </c>
      <c r="AV47" s="49">
        <v>118</v>
      </c>
      <c r="AW47" s="50">
        <v>95.9349593495935</v>
      </c>
      <c r="AX47" s="49">
        <v>123</v>
      </c>
      <c r="AY47" s="120" t="s">
        <v>2109</v>
      </c>
      <c r="AZ47" s="120" t="s">
        <v>2109</v>
      </c>
      <c r="BA47" s="120" t="s">
        <v>2109</v>
      </c>
      <c r="BB47" s="120" t="s">
        <v>2109</v>
      </c>
      <c r="BC47" s="2"/>
      <c r="BD47" s="3"/>
      <c r="BE47" s="3"/>
      <c r="BF47" s="3"/>
      <c r="BG47" s="3"/>
    </row>
    <row r="48" spans="1:59" ht="15">
      <c r="A48" s="65" t="s">
        <v>251</v>
      </c>
      <c r="B48" s="66"/>
      <c r="C48" s="66"/>
      <c r="D48" s="67">
        <v>279.2334422010798</v>
      </c>
      <c r="E48" s="69"/>
      <c r="F48" s="96" t="str">
        <f>HYPERLINK("https://i.ytimg.com/vi/9H2SvxvaA04/default.jpg")</f>
        <v>https://i.ytimg.com/vi/9H2SvxvaA04/default.jpg</v>
      </c>
      <c r="G48" s="66"/>
      <c r="H48" s="70" t="s">
        <v>349</v>
      </c>
      <c r="I48" s="71"/>
      <c r="J48" s="71" t="s">
        <v>75</v>
      </c>
      <c r="K48" s="70" t="s">
        <v>349</v>
      </c>
      <c r="L48" s="74">
        <v>356.19782059869874</v>
      </c>
      <c r="M48" s="75">
        <v>6116.0771484375</v>
      </c>
      <c r="N48" s="75">
        <v>4417.9912109375</v>
      </c>
      <c r="O48" s="76"/>
      <c r="P48" s="77"/>
      <c r="Q48" s="77"/>
      <c r="R48" s="82"/>
      <c r="S48" s="49">
        <v>14</v>
      </c>
      <c r="T48" s="49">
        <v>5</v>
      </c>
      <c r="U48" s="50">
        <v>91.514534</v>
      </c>
      <c r="V48" s="50">
        <v>0.003106</v>
      </c>
      <c r="W48" s="50">
        <v>0.000485</v>
      </c>
      <c r="X48" s="50">
        <v>1.149745</v>
      </c>
      <c r="Y48" s="50">
        <v>0.4444444444444444</v>
      </c>
      <c r="Z48" s="50">
        <v>0</v>
      </c>
      <c r="AA48" s="72">
        <v>48</v>
      </c>
      <c r="AB48" s="72"/>
      <c r="AC48" s="73"/>
      <c r="AD48" s="80" t="s">
        <v>349</v>
      </c>
      <c r="AE48" s="80" t="s">
        <v>427</v>
      </c>
      <c r="AF48" s="80"/>
      <c r="AG48" s="80" t="s">
        <v>539</v>
      </c>
      <c r="AH48" s="80" t="s">
        <v>598</v>
      </c>
      <c r="AI48" s="80">
        <v>606</v>
      </c>
      <c r="AJ48" s="80">
        <v>2</v>
      </c>
      <c r="AK48" s="80">
        <v>11</v>
      </c>
      <c r="AL48" s="80">
        <v>1</v>
      </c>
      <c r="AM48" s="80" t="s">
        <v>634</v>
      </c>
      <c r="AN48" s="98" t="str">
        <f>HYPERLINK("https://www.youtube.com/watch?v=9H2SvxvaA04")</f>
        <v>https://www.youtube.com/watch?v=9H2SvxvaA04</v>
      </c>
      <c r="AO48" s="80" t="str">
        <f>REPLACE(INDEX(GroupVertices[Group],MATCH(Vertices[[#This Row],[Vertex]],GroupVertices[Vertex],0)),1,1,"")</f>
        <v>3</v>
      </c>
      <c r="AP48" s="49">
        <v>3</v>
      </c>
      <c r="AQ48" s="50">
        <v>2.5</v>
      </c>
      <c r="AR48" s="49">
        <v>3</v>
      </c>
      <c r="AS48" s="50">
        <v>2.5</v>
      </c>
      <c r="AT48" s="49">
        <v>0</v>
      </c>
      <c r="AU48" s="50">
        <v>0</v>
      </c>
      <c r="AV48" s="49">
        <v>114</v>
      </c>
      <c r="AW48" s="50">
        <v>95</v>
      </c>
      <c r="AX48" s="49">
        <v>120</v>
      </c>
      <c r="AY48" s="120" t="s">
        <v>2109</v>
      </c>
      <c r="AZ48" s="120" t="s">
        <v>2109</v>
      </c>
      <c r="BA48" s="120" t="s">
        <v>2109</v>
      </c>
      <c r="BB48" s="120" t="s">
        <v>2109</v>
      </c>
      <c r="BC48" s="2"/>
      <c r="BD48" s="3"/>
      <c r="BE48" s="3"/>
      <c r="BF48" s="3"/>
      <c r="BG48" s="3"/>
    </row>
    <row r="49" spans="1:59" ht="15">
      <c r="A49" s="65" t="s">
        <v>252</v>
      </c>
      <c r="B49" s="66"/>
      <c r="C49" s="66"/>
      <c r="D49" s="67">
        <v>1000</v>
      </c>
      <c r="E49" s="69"/>
      <c r="F49" s="96" t="str">
        <f>HYPERLINK("https://i.ytimg.com/vi/voM51OT9XVs/default.jpg")</f>
        <v>https://i.ytimg.com/vi/voM51OT9XVs/default.jpg</v>
      </c>
      <c r="G49" s="66"/>
      <c r="H49" s="70" t="s">
        <v>350</v>
      </c>
      <c r="I49" s="71"/>
      <c r="J49" s="71" t="s">
        <v>75</v>
      </c>
      <c r="K49" s="70" t="s">
        <v>350</v>
      </c>
      <c r="L49" s="74">
        <v>9413.79468259165</v>
      </c>
      <c r="M49" s="75">
        <v>9180.615234375</v>
      </c>
      <c r="N49" s="75">
        <v>3334.771240234375</v>
      </c>
      <c r="O49" s="76"/>
      <c r="P49" s="77"/>
      <c r="Q49" s="77"/>
      <c r="R49" s="82"/>
      <c r="S49" s="49">
        <v>0</v>
      </c>
      <c r="T49" s="49">
        <v>20</v>
      </c>
      <c r="U49" s="50">
        <v>2425.148661</v>
      </c>
      <c r="V49" s="50">
        <v>0.003876</v>
      </c>
      <c r="W49" s="50">
        <v>0.004533</v>
      </c>
      <c r="X49" s="50">
        <v>3.235501</v>
      </c>
      <c r="Y49" s="50">
        <v>0.039473684210526314</v>
      </c>
      <c r="Z49" s="50">
        <v>0</v>
      </c>
      <c r="AA49" s="72">
        <v>49</v>
      </c>
      <c r="AB49" s="72"/>
      <c r="AC49" s="73"/>
      <c r="AD49" s="80" t="s">
        <v>350</v>
      </c>
      <c r="AE49" s="80" t="s">
        <v>428</v>
      </c>
      <c r="AF49" s="80" t="s">
        <v>490</v>
      </c>
      <c r="AG49" s="80" t="s">
        <v>540</v>
      </c>
      <c r="AH49" s="80" t="s">
        <v>599</v>
      </c>
      <c r="AI49" s="80">
        <v>239</v>
      </c>
      <c r="AJ49" s="80">
        <v>0</v>
      </c>
      <c r="AK49" s="80">
        <v>1</v>
      </c>
      <c r="AL49" s="80">
        <v>0</v>
      </c>
      <c r="AM49" s="80" t="s">
        <v>634</v>
      </c>
      <c r="AN49" s="98" t="str">
        <f>HYPERLINK("https://www.youtube.com/watch?v=voM51OT9XVs")</f>
        <v>https://www.youtube.com/watch?v=voM51OT9XVs</v>
      </c>
      <c r="AO49" s="80" t="str">
        <f>REPLACE(INDEX(GroupVertices[Group],MATCH(Vertices[[#This Row],[Vertex]],GroupVertices[Vertex],0)),1,1,"")</f>
        <v>4</v>
      </c>
      <c r="AP49" s="49">
        <v>2</v>
      </c>
      <c r="AQ49" s="50">
        <v>1.4388489208633093</v>
      </c>
      <c r="AR49" s="49">
        <v>4</v>
      </c>
      <c r="AS49" s="50">
        <v>2.8776978417266186</v>
      </c>
      <c r="AT49" s="49">
        <v>0</v>
      </c>
      <c r="AU49" s="50">
        <v>0</v>
      </c>
      <c r="AV49" s="49">
        <v>133</v>
      </c>
      <c r="AW49" s="50">
        <v>95.68345323741008</v>
      </c>
      <c r="AX49" s="49">
        <v>139</v>
      </c>
      <c r="AY49" s="120" t="s">
        <v>2109</v>
      </c>
      <c r="AZ49" s="120" t="s">
        <v>2109</v>
      </c>
      <c r="BA49" s="120" t="s">
        <v>2109</v>
      </c>
      <c r="BB49" s="120" t="s">
        <v>2109</v>
      </c>
      <c r="BC49" s="2"/>
      <c r="BD49" s="3"/>
      <c r="BE49" s="3"/>
      <c r="BF49" s="3"/>
      <c r="BG49" s="3"/>
    </row>
    <row r="50" spans="1:59" ht="15">
      <c r="A50" s="65" t="s">
        <v>280</v>
      </c>
      <c r="B50" s="66"/>
      <c r="C50" s="66"/>
      <c r="D50" s="67">
        <v>150</v>
      </c>
      <c r="E50" s="69"/>
      <c r="F50" s="96" t="str">
        <f>HYPERLINK("https://i.ytimg.com/vi/pvcV7kixo1Y/default.jpg")</f>
        <v>https://i.ytimg.com/vi/pvcV7kixo1Y/default.jpg</v>
      </c>
      <c r="G50" s="66"/>
      <c r="H50" s="70" t="s">
        <v>351</v>
      </c>
      <c r="I50" s="71"/>
      <c r="J50" s="71" t="s">
        <v>159</v>
      </c>
      <c r="K50" s="70" t="s">
        <v>351</v>
      </c>
      <c r="L50" s="74">
        <v>1</v>
      </c>
      <c r="M50" s="75">
        <v>9148.12109375</v>
      </c>
      <c r="N50" s="75">
        <v>1569.217529296875</v>
      </c>
      <c r="O50" s="76"/>
      <c r="P50" s="77"/>
      <c r="Q50" s="77"/>
      <c r="R50" s="82"/>
      <c r="S50" s="49">
        <v>1</v>
      </c>
      <c r="T50" s="49">
        <v>0</v>
      </c>
      <c r="U50" s="50">
        <v>0</v>
      </c>
      <c r="V50" s="50">
        <v>0.002703</v>
      </c>
      <c r="W50" s="50">
        <v>0.000155</v>
      </c>
      <c r="X50" s="50">
        <v>0.287509</v>
      </c>
      <c r="Y50" s="50">
        <v>0</v>
      </c>
      <c r="Z50" s="50">
        <v>0</v>
      </c>
      <c r="AA50" s="72">
        <v>50</v>
      </c>
      <c r="AB50" s="72"/>
      <c r="AC50" s="73"/>
      <c r="AD50" s="80" t="s">
        <v>351</v>
      </c>
      <c r="AE50" s="80" t="s">
        <v>429</v>
      </c>
      <c r="AF50" s="80" t="s">
        <v>491</v>
      </c>
      <c r="AG50" s="80" t="s">
        <v>541</v>
      </c>
      <c r="AH50" s="80" t="s">
        <v>600</v>
      </c>
      <c r="AI50" s="80">
        <v>2161816</v>
      </c>
      <c r="AJ50" s="80">
        <v>2437</v>
      </c>
      <c r="AK50" s="80">
        <v>39964</v>
      </c>
      <c r="AL50" s="80">
        <v>1532</v>
      </c>
      <c r="AM50" s="80" t="s">
        <v>634</v>
      </c>
      <c r="AN50" s="98" t="str">
        <f>HYPERLINK("https://www.youtube.com/watch?v=pvcV7kixo1Y")</f>
        <v>https://www.youtube.com/watch?v=pvcV7kixo1Y</v>
      </c>
      <c r="AO50" s="80" t="str">
        <f>REPLACE(INDEX(GroupVertices[Group],MATCH(Vertices[[#This Row],[Vertex]],GroupVertices[Vertex],0)),1,1,"")</f>
        <v>4</v>
      </c>
      <c r="AP50" s="49">
        <v>7</v>
      </c>
      <c r="AQ50" s="50">
        <v>5.932203389830509</v>
      </c>
      <c r="AR50" s="49">
        <v>2</v>
      </c>
      <c r="AS50" s="50">
        <v>1.694915254237288</v>
      </c>
      <c r="AT50" s="49">
        <v>0</v>
      </c>
      <c r="AU50" s="50">
        <v>0</v>
      </c>
      <c r="AV50" s="49">
        <v>109</v>
      </c>
      <c r="AW50" s="50">
        <v>92.37288135593221</v>
      </c>
      <c r="AX50" s="49">
        <v>118</v>
      </c>
      <c r="AY50" s="49"/>
      <c r="AZ50" s="49"/>
      <c r="BA50" s="49"/>
      <c r="BB50" s="49"/>
      <c r="BC50" s="2"/>
      <c r="BD50" s="3"/>
      <c r="BE50" s="3"/>
      <c r="BF50" s="3"/>
      <c r="BG50" s="3"/>
    </row>
    <row r="51" spans="1:59" ht="15">
      <c r="A51" s="65" t="s">
        <v>281</v>
      </c>
      <c r="B51" s="66"/>
      <c r="C51" s="66"/>
      <c r="D51" s="67">
        <v>150</v>
      </c>
      <c r="E51" s="69"/>
      <c r="F51" s="96" t="str">
        <f>HYPERLINK("https://i.ytimg.com/vi/fYFD0GFFlpM/default.jpg")</f>
        <v>https://i.ytimg.com/vi/fYFD0GFFlpM/default.jpg</v>
      </c>
      <c r="G51" s="66"/>
      <c r="H51" s="70" t="s">
        <v>352</v>
      </c>
      <c r="I51" s="71"/>
      <c r="J51" s="71" t="s">
        <v>159</v>
      </c>
      <c r="K51" s="70" t="s">
        <v>352</v>
      </c>
      <c r="L51" s="74">
        <v>1</v>
      </c>
      <c r="M51" s="75">
        <v>9049.173828125</v>
      </c>
      <c r="N51" s="75">
        <v>5432.982421875</v>
      </c>
      <c r="O51" s="76"/>
      <c r="P51" s="77"/>
      <c r="Q51" s="77"/>
      <c r="R51" s="82"/>
      <c r="S51" s="49">
        <v>1</v>
      </c>
      <c r="T51" s="49">
        <v>0</v>
      </c>
      <c r="U51" s="50">
        <v>0</v>
      </c>
      <c r="V51" s="50">
        <v>0.002703</v>
      </c>
      <c r="W51" s="50">
        <v>0.000155</v>
      </c>
      <c r="X51" s="50">
        <v>0.287509</v>
      </c>
      <c r="Y51" s="50">
        <v>0</v>
      </c>
      <c r="Z51" s="50">
        <v>0</v>
      </c>
      <c r="AA51" s="72">
        <v>51</v>
      </c>
      <c r="AB51" s="72"/>
      <c r="AC51" s="73"/>
      <c r="AD51" s="80" t="s">
        <v>352</v>
      </c>
      <c r="AE51" s="80" t="s">
        <v>430</v>
      </c>
      <c r="AF51" s="80" t="s">
        <v>492</v>
      </c>
      <c r="AG51" s="80" t="s">
        <v>542</v>
      </c>
      <c r="AH51" s="80" t="s">
        <v>601</v>
      </c>
      <c r="AI51" s="80">
        <v>53017</v>
      </c>
      <c r="AJ51" s="80">
        <v>38</v>
      </c>
      <c r="AK51" s="80">
        <v>296</v>
      </c>
      <c r="AL51" s="80">
        <v>18</v>
      </c>
      <c r="AM51" s="80" t="s">
        <v>634</v>
      </c>
      <c r="AN51" s="98" t="str">
        <f>HYPERLINK("https://www.youtube.com/watch?v=fYFD0GFFlpM")</f>
        <v>https://www.youtube.com/watch?v=fYFD0GFFlpM</v>
      </c>
      <c r="AO51" s="80" t="str">
        <f>REPLACE(INDEX(GroupVertices[Group],MATCH(Vertices[[#This Row],[Vertex]],GroupVertices[Vertex],0)),1,1,"")</f>
        <v>4</v>
      </c>
      <c r="AP51" s="49">
        <v>2</v>
      </c>
      <c r="AQ51" s="50">
        <v>0.56657223796034</v>
      </c>
      <c r="AR51" s="49">
        <v>13</v>
      </c>
      <c r="AS51" s="50">
        <v>3.68271954674221</v>
      </c>
      <c r="AT51" s="49">
        <v>0</v>
      </c>
      <c r="AU51" s="50">
        <v>0</v>
      </c>
      <c r="AV51" s="49">
        <v>338</v>
      </c>
      <c r="AW51" s="50">
        <v>95.75070821529745</v>
      </c>
      <c r="AX51" s="49">
        <v>353</v>
      </c>
      <c r="AY51" s="49"/>
      <c r="AZ51" s="49"/>
      <c r="BA51" s="49"/>
      <c r="BB51" s="49"/>
      <c r="BC51" s="2"/>
      <c r="BD51" s="3"/>
      <c r="BE51" s="3"/>
      <c r="BF51" s="3"/>
      <c r="BG51" s="3"/>
    </row>
    <row r="52" spans="1:59" ht="15">
      <c r="A52" s="65" t="s">
        <v>282</v>
      </c>
      <c r="B52" s="66"/>
      <c r="C52" s="66"/>
      <c r="D52" s="67">
        <v>150</v>
      </c>
      <c r="E52" s="69"/>
      <c r="F52" s="96" t="str">
        <f>HYPERLINK("https://i.ytimg.com/vi/R-AP27BfRJs/default.jpg")</f>
        <v>https://i.ytimg.com/vi/R-AP27BfRJs/default.jpg</v>
      </c>
      <c r="G52" s="66"/>
      <c r="H52" s="70" t="s">
        <v>353</v>
      </c>
      <c r="I52" s="71"/>
      <c r="J52" s="71" t="s">
        <v>159</v>
      </c>
      <c r="K52" s="70" t="s">
        <v>353</v>
      </c>
      <c r="L52" s="74">
        <v>1</v>
      </c>
      <c r="M52" s="75">
        <v>9835.8525390625</v>
      </c>
      <c r="N52" s="75">
        <v>2991.41796875</v>
      </c>
      <c r="O52" s="76"/>
      <c r="P52" s="77"/>
      <c r="Q52" s="77"/>
      <c r="R52" s="82"/>
      <c r="S52" s="49">
        <v>1</v>
      </c>
      <c r="T52" s="49">
        <v>0</v>
      </c>
      <c r="U52" s="50">
        <v>0</v>
      </c>
      <c r="V52" s="50">
        <v>0.002703</v>
      </c>
      <c r="W52" s="50">
        <v>0.000155</v>
      </c>
      <c r="X52" s="50">
        <v>0.287509</v>
      </c>
      <c r="Y52" s="50">
        <v>0</v>
      </c>
      <c r="Z52" s="50">
        <v>0</v>
      </c>
      <c r="AA52" s="72">
        <v>52</v>
      </c>
      <c r="AB52" s="72"/>
      <c r="AC52" s="73"/>
      <c r="AD52" s="80" t="s">
        <v>353</v>
      </c>
      <c r="AE52" s="80"/>
      <c r="AF52" s="80"/>
      <c r="AG52" s="80" t="s">
        <v>543</v>
      </c>
      <c r="AH52" s="80" t="s">
        <v>602</v>
      </c>
      <c r="AI52" s="80">
        <v>11554</v>
      </c>
      <c r="AJ52" s="80">
        <v>6</v>
      </c>
      <c r="AK52" s="80">
        <v>159</v>
      </c>
      <c r="AL52" s="80">
        <v>3</v>
      </c>
      <c r="AM52" s="80" t="s">
        <v>634</v>
      </c>
      <c r="AN52" s="98" t="str">
        <f>HYPERLINK("https://www.youtube.com/watch?v=R-AP27BfRJs")</f>
        <v>https://www.youtube.com/watch?v=R-AP27BfRJs</v>
      </c>
      <c r="AO52" s="80" t="str">
        <f>REPLACE(INDEX(GroupVertices[Group],MATCH(Vertices[[#This Row],[Vertex]],GroupVertices[Vertex],0)),1,1,"")</f>
        <v>4</v>
      </c>
      <c r="AP52" s="49"/>
      <c r="AQ52" s="50"/>
      <c r="AR52" s="49"/>
      <c r="AS52" s="50"/>
      <c r="AT52" s="49"/>
      <c r="AU52" s="50"/>
      <c r="AV52" s="49"/>
      <c r="AW52" s="50"/>
      <c r="AX52" s="49"/>
      <c r="AY52" s="49"/>
      <c r="AZ52" s="49"/>
      <c r="BA52" s="49"/>
      <c r="BB52" s="49"/>
      <c r="BC52" s="2"/>
      <c r="BD52" s="3"/>
      <c r="BE52" s="3"/>
      <c r="BF52" s="3"/>
      <c r="BG52" s="3"/>
    </row>
    <row r="53" spans="1:59" ht="15">
      <c r="A53" s="65" t="s">
        <v>253</v>
      </c>
      <c r="B53" s="66"/>
      <c r="C53" s="66"/>
      <c r="D53" s="67">
        <v>151.4121630363225</v>
      </c>
      <c r="E53" s="69"/>
      <c r="F53" s="96" t="str">
        <f>HYPERLINK("https://i.ytimg.com/vi/y5JHiT-wVTs/default.jpg")</f>
        <v>https://i.ytimg.com/vi/y5JHiT-wVTs/default.jpg</v>
      </c>
      <c r="G53" s="66"/>
      <c r="H53" s="70" t="s">
        <v>354</v>
      </c>
      <c r="I53" s="71"/>
      <c r="J53" s="71" t="s">
        <v>75</v>
      </c>
      <c r="K53" s="70" t="s">
        <v>354</v>
      </c>
      <c r="L53" s="74">
        <v>4.881326878621255</v>
      </c>
      <c r="M53" s="75">
        <v>8799.0634765625</v>
      </c>
      <c r="N53" s="75">
        <v>4090.5732421875</v>
      </c>
      <c r="O53" s="76"/>
      <c r="P53" s="77"/>
      <c r="Q53" s="77"/>
      <c r="R53" s="82"/>
      <c r="S53" s="49">
        <v>1</v>
      </c>
      <c r="T53" s="49">
        <v>2</v>
      </c>
      <c r="U53" s="50">
        <v>1</v>
      </c>
      <c r="V53" s="50">
        <v>0.002717</v>
      </c>
      <c r="W53" s="50">
        <v>0.000166</v>
      </c>
      <c r="X53" s="50">
        <v>0.700625</v>
      </c>
      <c r="Y53" s="50">
        <v>0.3333333333333333</v>
      </c>
      <c r="Z53" s="50">
        <v>0</v>
      </c>
      <c r="AA53" s="72">
        <v>53</v>
      </c>
      <c r="AB53" s="72"/>
      <c r="AC53" s="73"/>
      <c r="AD53" s="80" t="s">
        <v>354</v>
      </c>
      <c r="AE53" s="80" t="s">
        <v>431</v>
      </c>
      <c r="AF53" s="80" t="s">
        <v>493</v>
      </c>
      <c r="AG53" s="80" t="s">
        <v>544</v>
      </c>
      <c r="AH53" s="80" t="s">
        <v>603</v>
      </c>
      <c r="AI53" s="80">
        <v>195397</v>
      </c>
      <c r="AJ53" s="80">
        <v>0</v>
      </c>
      <c r="AK53" s="80">
        <v>1525</v>
      </c>
      <c r="AL53" s="80">
        <v>99</v>
      </c>
      <c r="AM53" s="80" t="s">
        <v>634</v>
      </c>
      <c r="AN53" s="98" t="str">
        <f>HYPERLINK("https://www.youtube.com/watch?v=y5JHiT-wVTs")</f>
        <v>https://www.youtube.com/watch?v=y5JHiT-wVTs</v>
      </c>
      <c r="AO53" s="80" t="str">
        <f>REPLACE(INDEX(GroupVertices[Group],MATCH(Vertices[[#This Row],[Vertex]],GroupVertices[Vertex],0)),1,1,"")</f>
        <v>4</v>
      </c>
      <c r="AP53" s="49">
        <v>0</v>
      </c>
      <c r="AQ53" s="50">
        <v>0</v>
      </c>
      <c r="AR53" s="49">
        <v>5</v>
      </c>
      <c r="AS53" s="50">
        <v>11.904761904761905</v>
      </c>
      <c r="AT53" s="49">
        <v>0</v>
      </c>
      <c r="AU53" s="50">
        <v>0</v>
      </c>
      <c r="AV53" s="49">
        <v>37</v>
      </c>
      <c r="AW53" s="50">
        <v>88.0952380952381</v>
      </c>
      <c r="AX53" s="49">
        <v>42</v>
      </c>
      <c r="AY53" s="120" t="s">
        <v>2109</v>
      </c>
      <c r="AZ53" s="120" t="s">
        <v>2109</v>
      </c>
      <c r="BA53" s="120" t="s">
        <v>2109</v>
      </c>
      <c r="BB53" s="120" t="s">
        <v>2109</v>
      </c>
      <c r="BC53" s="2"/>
      <c r="BD53" s="3"/>
      <c r="BE53" s="3"/>
      <c r="BF53" s="3"/>
      <c r="BG53" s="3"/>
    </row>
    <row r="54" spans="1:59" ht="15">
      <c r="A54" s="65" t="s">
        <v>283</v>
      </c>
      <c r="B54" s="66"/>
      <c r="C54" s="66"/>
      <c r="D54" s="67">
        <v>150</v>
      </c>
      <c r="E54" s="69"/>
      <c r="F54" s="96" t="str">
        <f>HYPERLINK("https://i.ytimg.com/vi/3Bous2-OQtc/default.jpg")</f>
        <v>https://i.ytimg.com/vi/3Bous2-OQtc/default.jpg</v>
      </c>
      <c r="G54" s="66"/>
      <c r="H54" s="70" t="s">
        <v>355</v>
      </c>
      <c r="I54" s="71"/>
      <c r="J54" s="71" t="s">
        <v>159</v>
      </c>
      <c r="K54" s="70" t="s">
        <v>355</v>
      </c>
      <c r="L54" s="74">
        <v>1</v>
      </c>
      <c r="M54" s="75">
        <v>8662.0087890625</v>
      </c>
      <c r="N54" s="75">
        <v>4936.533203125</v>
      </c>
      <c r="O54" s="76"/>
      <c r="P54" s="77"/>
      <c r="Q54" s="77"/>
      <c r="R54" s="82"/>
      <c r="S54" s="49">
        <v>2</v>
      </c>
      <c r="T54" s="49">
        <v>0</v>
      </c>
      <c r="U54" s="50">
        <v>0</v>
      </c>
      <c r="V54" s="50">
        <v>0.00271</v>
      </c>
      <c r="W54" s="50">
        <v>0.000161</v>
      </c>
      <c r="X54" s="50">
        <v>0.486019</v>
      </c>
      <c r="Y54" s="50">
        <v>0.5</v>
      </c>
      <c r="Z54" s="50">
        <v>0</v>
      </c>
      <c r="AA54" s="72">
        <v>54</v>
      </c>
      <c r="AB54" s="72"/>
      <c r="AC54" s="73"/>
      <c r="AD54" s="80" t="s">
        <v>355</v>
      </c>
      <c r="AE54" s="80" t="s">
        <v>432</v>
      </c>
      <c r="AF54" s="80" t="s">
        <v>494</v>
      </c>
      <c r="AG54" s="80" t="s">
        <v>544</v>
      </c>
      <c r="AH54" s="80" t="s">
        <v>604</v>
      </c>
      <c r="AI54" s="80">
        <v>950930</v>
      </c>
      <c r="AJ54" s="80">
        <v>0</v>
      </c>
      <c r="AK54" s="80">
        <v>7797</v>
      </c>
      <c r="AL54" s="80">
        <v>638</v>
      </c>
      <c r="AM54" s="80" t="s">
        <v>634</v>
      </c>
      <c r="AN54" s="98" t="str">
        <f>HYPERLINK("https://www.youtube.com/watch?v=3Bous2-OQtc")</f>
        <v>https://www.youtube.com/watch?v=3Bous2-OQtc</v>
      </c>
      <c r="AO54" s="80" t="str">
        <f>REPLACE(INDEX(GroupVertices[Group],MATCH(Vertices[[#This Row],[Vertex]],GroupVertices[Vertex],0)),1,1,"")</f>
        <v>4</v>
      </c>
      <c r="AP54" s="49">
        <v>0</v>
      </c>
      <c r="AQ54" s="50">
        <v>0</v>
      </c>
      <c r="AR54" s="49">
        <v>2</v>
      </c>
      <c r="AS54" s="50">
        <v>3.6363636363636362</v>
      </c>
      <c r="AT54" s="49">
        <v>0</v>
      </c>
      <c r="AU54" s="50">
        <v>0</v>
      </c>
      <c r="AV54" s="49">
        <v>53</v>
      </c>
      <c r="AW54" s="50">
        <v>96.36363636363636</v>
      </c>
      <c r="AX54" s="49">
        <v>55</v>
      </c>
      <c r="AY54" s="49"/>
      <c r="AZ54" s="49"/>
      <c r="BA54" s="49"/>
      <c r="BB54" s="49"/>
      <c r="BC54" s="2"/>
      <c r="BD54" s="3"/>
      <c r="BE54" s="3"/>
      <c r="BF54" s="3"/>
      <c r="BG54" s="3"/>
    </row>
    <row r="55" spans="1:59" ht="15">
      <c r="A55" s="65" t="s">
        <v>284</v>
      </c>
      <c r="B55" s="66"/>
      <c r="C55" s="66"/>
      <c r="D55" s="67">
        <v>150</v>
      </c>
      <c r="E55" s="69"/>
      <c r="F55" s="96" t="str">
        <f>HYPERLINK("https://i.ytimg.com/vi/nwxy9FLBMjk/default.jpg")</f>
        <v>https://i.ytimg.com/vi/nwxy9FLBMjk/default.jpg</v>
      </c>
      <c r="G55" s="66"/>
      <c r="H55" s="70" t="s">
        <v>356</v>
      </c>
      <c r="I55" s="71"/>
      <c r="J55" s="71" t="s">
        <v>159</v>
      </c>
      <c r="K55" s="70" t="s">
        <v>356</v>
      </c>
      <c r="L55" s="74">
        <v>1</v>
      </c>
      <c r="M55" s="75">
        <v>8399.4228515625</v>
      </c>
      <c r="N55" s="75">
        <v>3905.392822265625</v>
      </c>
      <c r="O55" s="76"/>
      <c r="P55" s="77"/>
      <c r="Q55" s="77"/>
      <c r="R55" s="82"/>
      <c r="S55" s="49">
        <v>1</v>
      </c>
      <c r="T55" s="49">
        <v>0</v>
      </c>
      <c r="U55" s="50">
        <v>0</v>
      </c>
      <c r="V55" s="50">
        <v>0.002703</v>
      </c>
      <c r="W55" s="50">
        <v>0.000155</v>
      </c>
      <c r="X55" s="50">
        <v>0.287509</v>
      </c>
      <c r="Y55" s="50">
        <v>0</v>
      </c>
      <c r="Z55" s="50">
        <v>0</v>
      </c>
      <c r="AA55" s="72">
        <v>55</v>
      </c>
      <c r="AB55" s="72"/>
      <c r="AC55" s="73"/>
      <c r="AD55" s="80" t="s">
        <v>356</v>
      </c>
      <c r="AE55" s="80" t="s">
        <v>433</v>
      </c>
      <c r="AF55" s="80" t="s">
        <v>495</v>
      </c>
      <c r="AG55" s="80" t="s">
        <v>545</v>
      </c>
      <c r="AH55" s="80" t="s">
        <v>605</v>
      </c>
      <c r="AI55" s="80">
        <v>424540</v>
      </c>
      <c r="AJ55" s="80">
        <v>0</v>
      </c>
      <c r="AK55" s="80">
        <v>0</v>
      </c>
      <c r="AL55" s="80">
        <v>0</v>
      </c>
      <c r="AM55" s="80" t="s">
        <v>634</v>
      </c>
      <c r="AN55" s="98" t="str">
        <f>HYPERLINK("https://www.youtube.com/watch?v=nwxy9FLBMjk")</f>
        <v>https://www.youtube.com/watch?v=nwxy9FLBMjk</v>
      </c>
      <c r="AO55" s="80" t="str">
        <f>REPLACE(INDEX(GroupVertices[Group],MATCH(Vertices[[#This Row],[Vertex]],GroupVertices[Vertex],0)),1,1,"")</f>
        <v>4</v>
      </c>
      <c r="AP55" s="49">
        <v>6</v>
      </c>
      <c r="AQ55" s="50">
        <v>4</v>
      </c>
      <c r="AR55" s="49">
        <v>6</v>
      </c>
      <c r="AS55" s="50">
        <v>4</v>
      </c>
      <c r="AT55" s="49">
        <v>0</v>
      </c>
      <c r="AU55" s="50">
        <v>0</v>
      </c>
      <c r="AV55" s="49">
        <v>138</v>
      </c>
      <c r="AW55" s="50">
        <v>92</v>
      </c>
      <c r="AX55" s="49">
        <v>150</v>
      </c>
      <c r="AY55" s="49"/>
      <c r="AZ55" s="49"/>
      <c r="BA55" s="49"/>
      <c r="BB55" s="49"/>
      <c r="BC55" s="2"/>
      <c r="BD55" s="3"/>
      <c r="BE55" s="3"/>
      <c r="BF55" s="3"/>
      <c r="BG55" s="3"/>
    </row>
    <row r="56" spans="1:59" ht="15">
      <c r="A56" s="65" t="s">
        <v>254</v>
      </c>
      <c r="B56" s="66"/>
      <c r="C56" s="66"/>
      <c r="D56" s="67">
        <v>150</v>
      </c>
      <c r="E56" s="69"/>
      <c r="F56" s="96" t="str">
        <f>HYPERLINK("https://i.ytimg.com/vi/xDDFV7Sovvs/default.jpg")</f>
        <v>https://i.ytimg.com/vi/xDDFV7Sovvs/default.jpg</v>
      </c>
      <c r="G56" s="66"/>
      <c r="H56" s="70" t="s">
        <v>357</v>
      </c>
      <c r="I56" s="71"/>
      <c r="J56" s="71" t="s">
        <v>159</v>
      </c>
      <c r="K56" s="70" t="s">
        <v>357</v>
      </c>
      <c r="L56" s="74">
        <v>1</v>
      </c>
      <c r="M56" s="75">
        <v>9827.0869140625</v>
      </c>
      <c r="N56" s="75">
        <v>3979.15380859375</v>
      </c>
      <c r="O56" s="76"/>
      <c r="P56" s="77"/>
      <c r="Q56" s="77"/>
      <c r="R56" s="82"/>
      <c r="S56" s="49">
        <v>1</v>
      </c>
      <c r="T56" s="49">
        <v>1</v>
      </c>
      <c r="U56" s="50">
        <v>0</v>
      </c>
      <c r="V56" s="50">
        <v>0.002899</v>
      </c>
      <c r="W56" s="50">
        <v>0.000196</v>
      </c>
      <c r="X56" s="50">
        <v>0.402602</v>
      </c>
      <c r="Y56" s="50">
        <v>0.5</v>
      </c>
      <c r="Z56" s="50">
        <v>0</v>
      </c>
      <c r="AA56" s="72">
        <v>56</v>
      </c>
      <c r="AB56" s="72"/>
      <c r="AC56" s="73"/>
      <c r="AD56" s="80" t="s">
        <v>357</v>
      </c>
      <c r="AE56" s="80" t="s">
        <v>434</v>
      </c>
      <c r="AF56" s="80" t="s">
        <v>496</v>
      </c>
      <c r="AG56" s="80" t="s">
        <v>546</v>
      </c>
      <c r="AH56" s="80" t="s">
        <v>606</v>
      </c>
      <c r="AI56" s="80">
        <v>45979</v>
      </c>
      <c r="AJ56" s="80">
        <v>0</v>
      </c>
      <c r="AK56" s="80">
        <v>549</v>
      </c>
      <c r="AL56" s="80">
        <v>23</v>
      </c>
      <c r="AM56" s="80" t="s">
        <v>634</v>
      </c>
      <c r="AN56" s="98" t="str">
        <f>HYPERLINK("https://www.youtube.com/watch?v=xDDFV7Sovvs")</f>
        <v>https://www.youtube.com/watch?v=xDDFV7Sovvs</v>
      </c>
      <c r="AO56" s="80" t="str">
        <f>REPLACE(INDEX(GroupVertices[Group],MATCH(Vertices[[#This Row],[Vertex]],GroupVertices[Vertex],0)),1,1,"")</f>
        <v>4</v>
      </c>
      <c r="AP56" s="49">
        <v>5</v>
      </c>
      <c r="AQ56" s="50">
        <v>1.5384615384615385</v>
      </c>
      <c r="AR56" s="49">
        <v>7</v>
      </c>
      <c r="AS56" s="50">
        <v>2.1538461538461537</v>
      </c>
      <c r="AT56" s="49">
        <v>0</v>
      </c>
      <c r="AU56" s="50">
        <v>0</v>
      </c>
      <c r="AV56" s="49">
        <v>313</v>
      </c>
      <c r="AW56" s="50">
        <v>96.3076923076923</v>
      </c>
      <c r="AX56" s="49">
        <v>325</v>
      </c>
      <c r="AY56" s="120" t="s">
        <v>2109</v>
      </c>
      <c r="AZ56" s="120" t="s">
        <v>2109</v>
      </c>
      <c r="BA56" s="120" t="s">
        <v>2109</v>
      </c>
      <c r="BB56" s="120" t="s">
        <v>2109</v>
      </c>
      <c r="BC56" s="2"/>
      <c r="BD56" s="3"/>
      <c r="BE56" s="3"/>
      <c r="BF56" s="3"/>
      <c r="BG56" s="3"/>
    </row>
    <row r="57" spans="1:59" ht="15">
      <c r="A57" s="65" t="s">
        <v>255</v>
      </c>
      <c r="B57" s="66"/>
      <c r="C57" s="66"/>
      <c r="D57" s="67">
        <v>150</v>
      </c>
      <c r="E57" s="69"/>
      <c r="F57" s="96" t="str">
        <f>HYPERLINK("https://i.ytimg.com/vi/YciV60j-PXQ/default.jpg")</f>
        <v>https://i.ytimg.com/vi/YciV60j-PXQ/default.jpg</v>
      </c>
      <c r="G57" s="66"/>
      <c r="H57" s="70" t="s">
        <v>358</v>
      </c>
      <c r="I57" s="71"/>
      <c r="J57" s="71" t="s">
        <v>159</v>
      </c>
      <c r="K57" s="70" t="s">
        <v>358</v>
      </c>
      <c r="L57" s="74">
        <v>1</v>
      </c>
      <c r="M57" s="75">
        <v>9430.9580078125</v>
      </c>
      <c r="N57" s="75">
        <v>5109.0244140625</v>
      </c>
      <c r="O57" s="76"/>
      <c r="P57" s="77"/>
      <c r="Q57" s="77"/>
      <c r="R57" s="82"/>
      <c r="S57" s="49">
        <v>1</v>
      </c>
      <c r="T57" s="49">
        <v>1</v>
      </c>
      <c r="U57" s="50">
        <v>0</v>
      </c>
      <c r="V57" s="50">
        <v>0.002899</v>
      </c>
      <c r="W57" s="50">
        <v>0.000196</v>
      </c>
      <c r="X57" s="50">
        <v>0.402602</v>
      </c>
      <c r="Y57" s="50">
        <v>0.5</v>
      </c>
      <c r="Z57" s="50">
        <v>0</v>
      </c>
      <c r="AA57" s="72">
        <v>57</v>
      </c>
      <c r="AB57" s="72"/>
      <c r="AC57" s="73"/>
      <c r="AD57" s="80" t="s">
        <v>358</v>
      </c>
      <c r="AE57" s="80" t="s">
        <v>435</v>
      </c>
      <c r="AF57" s="80"/>
      <c r="AG57" s="80" t="s">
        <v>547</v>
      </c>
      <c r="AH57" s="80" t="s">
        <v>607</v>
      </c>
      <c r="AI57" s="80">
        <v>110928</v>
      </c>
      <c r="AJ57" s="80">
        <v>128</v>
      </c>
      <c r="AK57" s="80">
        <v>1441</v>
      </c>
      <c r="AL57" s="80">
        <v>93</v>
      </c>
      <c r="AM57" s="80" t="s">
        <v>634</v>
      </c>
      <c r="AN57" s="98" t="str">
        <f>HYPERLINK("https://www.youtube.com/watch?v=YciV60j-PXQ")</f>
        <v>https://www.youtube.com/watch?v=YciV60j-PXQ</v>
      </c>
      <c r="AO57" s="80" t="str">
        <f>REPLACE(INDEX(GroupVertices[Group],MATCH(Vertices[[#This Row],[Vertex]],GroupVertices[Vertex],0)),1,1,"")</f>
        <v>4</v>
      </c>
      <c r="AP57" s="49">
        <v>9</v>
      </c>
      <c r="AQ57" s="50">
        <v>2.608695652173913</v>
      </c>
      <c r="AR57" s="49">
        <v>1</v>
      </c>
      <c r="AS57" s="50">
        <v>0.2898550724637681</v>
      </c>
      <c r="AT57" s="49">
        <v>0</v>
      </c>
      <c r="AU57" s="50">
        <v>0</v>
      </c>
      <c r="AV57" s="49">
        <v>335</v>
      </c>
      <c r="AW57" s="50">
        <v>97.10144927536231</v>
      </c>
      <c r="AX57" s="49">
        <v>345</v>
      </c>
      <c r="AY57" s="120" t="s">
        <v>2109</v>
      </c>
      <c r="AZ57" s="120" t="s">
        <v>2109</v>
      </c>
      <c r="BA57" s="120" t="s">
        <v>2109</v>
      </c>
      <c r="BB57" s="120" t="s">
        <v>2109</v>
      </c>
      <c r="BC57" s="2"/>
      <c r="BD57" s="3"/>
      <c r="BE57" s="3"/>
      <c r="BF57" s="3"/>
      <c r="BG57" s="3"/>
    </row>
    <row r="58" spans="1:59" ht="15">
      <c r="A58" s="65" t="s">
        <v>256</v>
      </c>
      <c r="B58" s="66"/>
      <c r="C58" s="66"/>
      <c r="D58" s="67">
        <v>252.21370494823407</v>
      </c>
      <c r="E58" s="69"/>
      <c r="F58" s="96" t="str">
        <f>HYPERLINK("https://i.ytimg.com/vi/Iq_LtZ2lE6k/default.jpg")</f>
        <v>https://i.ytimg.com/vi/Iq_LtZ2lE6k/default.jpg</v>
      </c>
      <c r="G58" s="66"/>
      <c r="H58" s="70" t="s">
        <v>359</v>
      </c>
      <c r="I58" s="71"/>
      <c r="J58" s="71" t="s">
        <v>75</v>
      </c>
      <c r="K58" s="70" t="s">
        <v>359</v>
      </c>
      <c r="L58" s="74">
        <v>281.9341344977949</v>
      </c>
      <c r="M58" s="75">
        <v>4863.556640625</v>
      </c>
      <c r="N58" s="75">
        <v>3456.7666015625</v>
      </c>
      <c r="O58" s="76"/>
      <c r="P58" s="77"/>
      <c r="Q58" s="77"/>
      <c r="R58" s="82"/>
      <c r="S58" s="49">
        <v>14</v>
      </c>
      <c r="T58" s="49">
        <v>4</v>
      </c>
      <c r="U58" s="50">
        <v>72.380952</v>
      </c>
      <c r="V58" s="50">
        <v>0.003115</v>
      </c>
      <c r="W58" s="50">
        <v>0.00041</v>
      </c>
      <c r="X58" s="50">
        <v>1.126695</v>
      </c>
      <c r="Y58" s="50">
        <v>0.4477124183006536</v>
      </c>
      <c r="Z58" s="50">
        <v>0</v>
      </c>
      <c r="AA58" s="72">
        <v>58</v>
      </c>
      <c r="AB58" s="72"/>
      <c r="AC58" s="73"/>
      <c r="AD58" s="80" t="s">
        <v>359</v>
      </c>
      <c r="AE58" s="80" t="s">
        <v>436</v>
      </c>
      <c r="AF58" s="80"/>
      <c r="AG58" s="80" t="s">
        <v>539</v>
      </c>
      <c r="AH58" s="80" t="s">
        <v>608</v>
      </c>
      <c r="AI58" s="80">
        <v>244</v>
      </c>
      <c r="AJ58" s="80">
        <v>0</v>
      </c>
      <c r="AK58" s="80">
        <v>0</v>
      </c>
      <c r="AL58" s="80">
        <v>0</v>
      </c>
      <c r="AM58" s="80" t="s">
        <v>634</v>
      </c>
      <c r="AN58" s="98" t="str">
        <f>HYPERLINK("https://www.youtube.com/watch?v=Iq_LtZ2lE6k")</f>
        <v>https://www.youtube.com/watch?v=Iq_LtZ2lE6k</v>
      </c>
      <c r="AO58" s="80" t="str">
        <f>REPLACE(INDEX(GroupVertices[Group],MATCH(Vertices[[#This Row],[Vertex]],GroupVertices[Vertex],0)),1,1,"")</f>
        <v>3</v>
      </c>
      <c r="AP58" s="49">
        <v>2</v>
      </c>
      <c r="AQ58" s="50">
        <v>6.451612903225806</v>
      </c>
      <c r="AR58" s="49">
        <v>0</v>
      </c>
      <c r="AS58" s="50">
        <v>0</v>
      </c>
      <c r="AT58" s="49">
        <v>0</v>
      </c>
      <c r="AU58" s="50">
        <v>0</v>
      </c>
      <c r="AV58" s="49">
        <v>29</v>
      </c>
      <c r="AW58" s="50">
        <v>93.54838709677419</v>
      </c>
      <c r="AX58" s="49">
        <v>31</v>
      </c>
      <c r="AY58" s="120" t="s">
        <v>2109</v>
      </c>
      <c r="AZ58" s="120" t="s">
        <v>2109</v>
      </c>
      <c r="BA58" s="120" t="s">
        <v>2109</v>
      </c>
      <c r="BB58" s="120" t="s">
        <v>2109</v>
      </c>
      <c r="BC58" s="2"/>
      <c r="BD58" s="3"/>
      <c r="BE58" s="3"/>
      <c r="BF58" s="3"/>
      <c r="BG58" s="3"/>
    </row>
    <row r="59" spans="1:59" ht="15">
      <c r="A59" s="65" t="s">
        <v>285</v>
      </c>
      <c r="B59" s="66"/>
      <c r="C59" s="66"/>
      <c r="D59" s="67">
        <v>382.59738924647456</v>
      </c>
      <c r="E59" s="69"/>
      <c r="F59" s="96" t="str">
        <f>HYPERLINK("https://i.ytimg.com/vi/lGzyZyQoN8Y/default.jpg")</f>
        <v>https://i.ytimg.com/vi/lGzyZyQoN8Y/default.jpg</v>
      </c>
      <c r="G59" s="66"/>
      <c r="H59" s="70" t="s">
        <v>360</v>
      </c>
      <c r="I59" s="71"/>
      <c r="J59" s="71" t="s">
        <v>75</v>
      </c>
      <c r="K59" s="70" t="s">
        <v>360</v>
      </c>
      <c r="L59" s="74">
        <v>640.2933928723027</v>
      </c>
      <c r="M59" s="75">
        <v>4012.337646484375</v>
      </c>
      <c r="N59" s="75">
        <v>1582.9613037109375</v>
      </c>
      <c r="O59" s="76"/>
      <c r="P59" s="77"/>
      <c r="Q59" s="77"/>
      <c r="R59" s="82"/>
      <c r="S59" s="49">
        <v>3</v>
      </c>
      <c r="T59" s="49">
        <v>0</v>
      </c>
      <c r="U59" s="50">
        <v>164.710011</v>
      </c>
      <c r="V59" s="50">
        <v>0.003021</v>
      </c>
      <c r="W59" s="50">
        <v>0.000183</v>
      </c>
      <c r="X59" s="50">
        <v>0.39359</v>
      </c>
      <c r="Y59" s="50">
        <v>0.16666666666666666</v>
      </c>
      <c r="Z59" s="50">
        <v>0</v>
      </c>
      <c r="AA59" s="72">
        <v>59</v>
      </c>
      <c r="AB59" s="72"/>
      <c r="AC59" s="73"/>
      <c r="AD59" s="80" t="s">
        <v>360</v>
      </c>
      <c r="AE59" s="80" t="s">
        <v>437</v>
      </c>
      <c r="AF59" s="80" t="s">
        <v>497</v>
      </c>
      <c r="AG59" s="80" t="s">
        <v>548</v>
      </c>
      <c r="AH59" s="80" t="s">
        <v>609</v>
      </c>
      <c r="AI59" s="80">
        <v>17060</v>
      </c>
      <c r="AJ59" s="80">
        <v>11</v>
      </c>
      <c r="AK59" s="80">
        <v>190</v>
      </c>
      <c r="AL59" s="80">
        <v>11</v>
      </c>
      <c r="AM59" s="80" t="s">
        <v>634</v>
      </c>
      <c r="AN59" s="98" t="str">
        <f>HYPERLINK("https://www.youtube.com/watch?v=lGzyZyQoN8Y")</f>
        <v>https://www.youtube.com/watch?v=lGzyZyQoN8Y</v>
      </c>
      <c r="AO59" s="80" t="str">
        <f>REPLACE(INDEX(GroupVertices[Group],MATCH(Vertices[[#This Row],[Vertex]],GroupVertices[Vertex],0)),1,1,"")</f>
        <v>3</v>
      </c>
      <c r="AP59" s="49">
        <v>4</v>
      </c>
      <c r="AQ59" s="50">
        <v>3.5398230088495577</v>
      </c>
      <c r="AR59" s="49">
        <v>1</v>
      </c>
      <c r="AS59" s="50">
        <v>0.8849557522123894</v>
      </c>
      <c r="AT59" s="49">
        <v>0</v>
      </c>
      <c r="AU59" s="50">
        <v>0</v>
      </c>
      <c r="AV59" s="49">
        <v>108</v>
      </c>
      <c r="AW59" s="50">
        <v>95.57522123893806</v>
      </c>
      <c r="AX59" s="49">
        <v>113</v>
      </c>
      <c r="AY59" s="49"/>
      <c r="AZ59" s="49"/>
      <c r="BA59" s="49"/>
      <c r="BB59" s="49"/>
      <c r="BC59" s="2"/>
      <c r="BD59" s="3"/>
      <c r="BE59" s="3"/>
      <c r="BF59" s="3"/>
      <c r="BG59" s="3"/>
    </row>
    <row r="60" spans="1:59" ht="15">
      <c r="A60" s="65" t="s">
        <v>257</v>
      </c>
      <c r="B60" s="66"/>
      <c r="C60" s="66"/>
      <c r="D60" s="67">
        <v>280.93594878199633</v>
      </c>
      <c r="E60" s="69"/>
      <c r="F60" s="96" t="str">
        <f>HYPERLINK("https://i.ytimg.com/vi/ZAS6V_YJCWE/default.jpg")</f>
        <v>https://i.ytimg.com/vi/ZAS6V_YJCWE/default.jpg</v>
      </c>
      <c r="G60" s="66"/>
      <c r="H60" s="70" t="s">
        <v>361</v>
      </c>
      <c r="I60" s="71"/>
      <c r="J60" s="71" t="s">
        <v>75</v>
      </c>
      <c r="K60" s="70" t="s">
        <v>361</v>
      </c>
      <c r="L60" s="74">
        <v>360.8771560462183</v>
      </c>
      <c r="M60" s="75">
        <v>5041.9326171875</v>
      </c>
      <c r="N60" s="75">
        <v>2136.3203125</v>
      </c>
      <c r="O60" s="76"/>
      <c r="P60" s="77"/>
      <c r="Q60" s="77"/>
      <c r="R60" s="82"/>
      <c r="S60" s="49">
        <v>1</v>
      </c>
      <c r="T60" s="49">
        <v>18</v>
      </c>
      <c r="U60" s="50">
        <v>92.720136</v>
      </c>
      <c r="V60" s="50">
        <v>0.003125</v>
      </c>
      <c r="W60" s="50">
        <v>0.000415</v>
      </c>
      <c r="X60" s="50">
        <v>1.181946</v>
      </c>
      <c r="Y60" s="50">
        <v>0.4298245614035088</v>
      </c>
      <c r="Z60" s="50">
        <v>0</v>
      </c>
      <c r="AA60" s="72">
        <v>60</v>
      </c>
      <c r="AB60" s="72"/>
      <c r="AC60" s="73"/>
      <c r="AD60" s="80" t="s">
        <v>361</v>
      </c>
      <c r="AE60" s="80" t="s">
        <v>438</v>
      </c>
      <c r="AF60" s="80"/>
      <c r="AG60" s="80" t="s">
        <v>539</v>
      </c>
      <c r="AH60" s="80" t="s">
        <v>610</v>
      </c>
      <c r="AI60" s="80">
        <v>661</v>
      </c>
      <c r="AJ60" s="80">
        <v>1</v>
      </c>
      <c r="AK60" s="80">
        <v>9</v>
      </c>
      <c r="AL60" s="80">
        <v>0</v>
      </c>
      <c r="AM60" s="80" t="s">
        <v>634</v>
      </c>
      <c r="AN60" s="98" t="str">
        <f>HYPERLINK("https://www.youtube.com/watch?v=ZAS6V_YJCWE")</f>
        <v>https://www.youtube.com/watch?v=ZAS6V_YJCWE</v>
      </c>
      <c r="AO60" s="80" t="str">
        <f>REPLACE(INDEX(GroupVertices[Group],MATCH(Vertices[[#This Row],[Vertex]],GroupVertices[Vertex],0)),1,1,"")</f>
        <v>3</v>
      </c>
      <c r="AP60" s="49">
        <v>7</v>
      </c>
      <c r="AQ60" s="50">
        <v>6.140350877192983</v>
      </c>
      <c r="AR60" s="49">
        <v>3</v>
      </c>
      <c r="AS60" s="50">
        <v>2.6315789473684212</v>
      </c>
      <c r="AT60" s="49">
        <v>0</v>
      </c>
      <c r="AU60" s="50">
        <v>0</v>
      </c>
      <c r="AV60" s="49">
        <v>104</v>
      </c>
      <c r="AW60" s="50">
        <v>91.2280701754386</v>
      </c>
      <c r="AX60" s="49">
        <v>114</v>
      </c>
      <c r="AY60" s="120" t="s">
        <v>2109</v>
      </c>
      <c r="AZ60" s="120" t="s">
        <v>2109</v>
      </c>
      <c r="BA60" s="120" t="s">
        <v>2109</v>
      </c>
      <c r="BB60" s="120" t="s">
        <v>2109</v>
      </c>
      <c r="BC60" s="2"/>
      <c r="BD60" s="3"/>
      <c r="BE60" s="3"/>
      <c r="BF60" s="3"/>
      <c r="BG60" s="3"/>
    </row>
    <row r="61" spans="1:59" ht="15">
      <c r="A61" s="65" t="s">
        <v>286</v>
      </c>
      <c r="B61" s="66"/>
      <c r="C61" s="66"/>
      <c r="D61" s="67">
        <v>150</v>
      </c>
      <c r="E61" s="69"/>
      <c r="F61" s="96" t="str">
        <f>HYPERLINK("https://i.ytimg.com/vi/HtTGz65uvNw/default.jpg")</f>
        <v>https://i.ytimg.com/vi/HtTGz65uvNw/default.jpg</v>
      </c>
      <c r="G61" s="66"/>
      <c r="H61" s="70" t="s">
        <v>362</v>
      </c>
      <c r="I61" s="71"/>
      <c r="J61" s="71" t="s">
        <v>159</v>
      </c>
      <c r="K61" s="70" t="s">
        <v>362</v>
      </c>
      <c r="L61" s="74">
        <v>1</v>
      </c>
      <c r="M61" s="75">
        <v>9734.369140625</v>
      </c>
      <c r="N61" s="75">
        <v>2178.55908203125</v>
      </c>
      <c r="O61" s="76"/>
      <c r="P61" s="77"/>
      <c r="Q61" s="77"/>
      <c r="R61" s="82"/>
      <c r="S61" s="49">
        <v>1</v>
      </c>
      <c r="T61" s="49">
        <v>0</v>
      </c>
      <c r="U61" s="50">
        <v>0</v>
      </c>
      <c r="V61" s="50">
        <v>0.002703</v>
      </c>
      <c r="W61" s="50">
        <v>0.000155</v>
      </c>
      <c r="X61" s="50">
        <v>0.287509</v>
      </c>
      <c r="Y61" s="50">
        <v>0</v>
      </c>
      <c r="Z61" s="50">
        <v>0</v>
      </c>
      <c r="AA61" s="72">
        <v>61</v>
      </c>
      <c r="AB61" s="72"/>
      <c r="AC61" s="73"/>
      <c r="AD61" s="80" t="s">
        <v>362</v>
      </c>
      <c r="AE61" s="80" t="s">
        <v>439</v>
      </c>
      <c r="AF61" s="80" t="s">
        <v>498</v>
      </c>
      <c r="AG61" s="80" t="s">
        <v>549</v>
      </c>
      <c r="AH61" s="80" t="s">
        <v>611</v>
      </c>
      <c r="AI61" s="80">
        <v>332983</v>
      </c>
      <c r="AJ61" s="80">
        <v>340</v>
      </c>
      <c r="AK61" s="80">
        <v>7217</v>
      </c>
      <c r="AL61" s="80">
        <v>51</v>
      </c>
      <c r="AM61" s="80" t="s">
        <v>634</v>
      </c>
      <c r="AN61" s="98" t="str">
        <f>HYPERLINK("https://www.youtube.com/watch?v=HtTGz65uvNw")</f>
        <v>https://www.youtube.com/watch?v=HtTGz65uvNw</v>
      </c>
      <c r="AO61" s="80" t="str">
        <f>REPLACE(INDEX(GroupVertices[Group],MATCH(Vertices[[#This Row],[Vertex]],GroupVertices[Vertex],0)),1,1,"")</f>
        <v>4</v>
      </c>
      <c r="AP61" s="49">
        <v>3</v>
      </c>
      <c r="AQ61" s="50">
        <v>3.896103896103896</v>
      </c>
      <c r="AR61" s="49">
        <v>1</v>
      </c>
      <c r="AS61" s="50">
        <v>1.2987012987012987</v>
      </c>
      <c r="AT61" s="49">
        <v>0</v>
      </c>
      <c r="AU61" s="50">
        <v>0</v>
      </c>
      <c r="AV61" s="49">
        <v>73</v>
      </c>
      <c r="AW61" s="50">
        <v>94.8051948051948</v>
      </c>
      <c r="AX61" s="49">
        <v>77</v>
      </c>
      <c r="AY61" s="49"/>
      <c r="AZ61" s="49"/>
      <c r="BA61" s="49"/>
      <c r="BB61" s="49"/>
      <c r="BC61" s="2"/>
      <c r="BD61" s="3"/>
      <c r="BE61" s="3"/>
      <c r="BF61" s="3"/>
      <c r="BG61" s="3"/>
    </row>
    <row r="62" spans="1:59" ht="15">
      <c r="A62" s="65" t="s">
        <v>287</v>
      </c>
      <c r="B62" s="66"/>
      <c r="C62" s="66"/>
      <c r="D62" s="67">
        <v>150</v>
      </c>
      <c r="E62" s="69"/>
      <c r="F62" s="96" t="str">
        <f>HYPERLINK("https://i.ytimg.com/vi/Qf92l7FPyKo/default.jpg")</f>
        <v>https://i.ytimg.com/vi/Qf92l7FPyKo/default.jpg</v>
      </c>
      <c r="G62" s="66"/>
      <c r="H62" s="70" t="s">
        <v>363</v>
      </c>
      <c r="I62" s="71"/>
      <c r="J62" s="71" t="s">
        <v>159</v>
      </c>
      <c r="K62" s="70" t="s">
        <v>363</v>
      </c>
      <c r="L62" s="74">
        <v>1</v>
      </c>
      <c r="M62" s="75">
        <v>9497.3974609375</v>
      </c>
      <c r="N62" s="75">
        <v>1534.1134033203125</v>
      </c>
      <c r="O62" s="76"/>
      <c r="P62" s="77"/>
      <c r="Q62" s="77"/>
      <c r="R62" s="82"/>
      <c r="S62" s="49">
        <v>1</v>
      </c>
      <c r="T62" s="49">
        <v>0</v>
      </c>
      <c r="U62" s="50">
        <v>0</v>
      </c>
      <c r="V62" s="50">
        <v>0.002703</v>
      </c>
      <c r="W62" s="50">
        <v>0.000155</v>
      </c>
      <c r="X62" s="50">
        <v>0.287509</v>
      </c>
      <c r="Y62" s="50">
        <v>0</v>
      </c>
      <c r="Z62" s="50">
        <v>0</v>
      </c>
      <c r="AA62" s="72">
        <v>62</v>
      </c>
      <c r="AB62" s="72"/>
      <c r="AC62" s="73"/>
      <c r="AD62" s="80" t="s">
        <v>363</v>
      </c>
      <c r="AE62" s="80" t="s">
        <v>440</v>
      </c>
      <c r="AF62" s="80" t="s">
        <v>499</v>
      </c>
      <c r="AG62" s="80" t="s">
        <v>550</v>
      </c>
      <c r="AH62" s="80" t="s">
        <v>612</v>
      </c>
      <c r="AI62" s="80">
        <v>220863</v>
      </c>
      <c r="AJ62" s="80">
        <v>225</v>
      </c>
      <c r="AK62" s="80">
        <v>3713</v>
      </c>
      <c r="AL62" s="80">
        <v>88</v>
      </c>
      <c r="AM62" s="80" t="s">
        <v>634</v>
      </c>
      <c r="AN62" s="98" t="str">
        <f>HYPERLINK("https://www.youtube.com/watch?v=Qf92l7FPyKo")</f>
        <v>https://www.youtube.com/watch?v=Qf92l7FPyKo</v>
      </c>
      <c r="AO62" s="80" t="str">
        <f>REPLACE(INDEX(GroupVertices[Group],MATCH(Vertices[[#This Row],[Vertex]],GroupVertices[Vertex],0)),1,1,"")</f>
        <v>4</v>
      </c>
      <c r="AP62" s="49">
        <v>1</v>
      </c>
      <c r="AQ62" s="50">
        <v>4</v>
      </c>
      <c r="AR62" s="49">
        <v>2</v>
      </c>
      <c r="AS62" s="50">
        <v>8</v>
      </c>
      <c r="AT62" s="49">
        <v>0</v>
      </c>
      <c r="AU62" s="50">
        <v>0</v>
      </c>
      <c r="AV62" s="49">
        <v>22</v>
      </c>
      <c r="AW62" s="50">
        <v>88</v>
      </c>
      <c r="AX62" s="49">
        <v>25</v>
      </c>
      <c r="AY62" s="49"/>
      <c r="AZ62" s="49"/>
      <c r="BA62" s="49"/>
      <c r="BB62" s="49"/>
      <c r="BC62" s="2"/>
      <c r="BD62" s="3"/>
      <c r="BE62" s="3"/>
      <c r="BF62" s="3"/>
      <c r="BG62" s="3"/>
    </row>
    <row r="63" spans="1:59" ht="15">
      <c r="A63" s="65" t="s">
        <v>288</v>
      </c>
      <c r="B63" s="66"/>
      <c r="C63" s="66"/>
      <c r="D63" s="67">
        <v>150</v>
      </c>
      <c r="E63" s="69"/>
      <c r="F63" s="96" t="str">
        <f>HYPERLINK("https://i.ytimg.com/vi/iUH01HObtsE/default.jpg")</f>
        <v>https://i.ytimg.com/vi/iUH01HObtsE/default.jpg</v>
      </c>
      <c r="G63" s="66"/>
      <c r="H63" s="70" t="s">
        <v>364</v>
      </c>
      <c r="I63" s="71"/>
      <c r="J63" s="71" t="s">
        <v>159</v>
      </c>
      <c r="K63" s="70" t="s">
        <v>364</v>
      </c>
      <c r="L63" s="74">
        <v>1</v>
      </c>
      <c r="M63" s="75">
        <v>8796.3759765625</v>
      </c>
      <c r="N63" s="75">
        <v>3042.768310546875</v>
      </c>
      <c r="O63" s="76"/>
      <c r="P63" s="77"/>
      <c r="Q63" s="77"/>
      <c r="R63" s="82"/>
      <c r="S63" s="49">
        <v>2</v>
      </c>
      <c r="T63" s="49">
        <v>0</v>
      </c>
      <c r="U63" s="50">
        <v>0</v>
      </c>
      <c r="V63" s="50">
        <v>0.00271</v>
      </c>
      <c r="W63" s="50">
        <v>0.000161</v>
      </c>
      <c r="X63" s="50">
        <v>0.486019</v>
      </c>
      <c r="Y63" s="50">
        <v>0.5</v>
      </c>
      <c r="Z63" s="50">
        <v>0</v>
      </c>
      <c r="AA63" s="72">
        <v>63</v>
      </c>
      <c r="AB63" s="72"/>
      <c r="AC63" s="73"/>
      <c r="AD63" s="80" t="s">
        <v>364</v>
      </c>
      <c r="AE63" s="80" t="s">
        <v>441</v>
      </c>
      <c r="AF63" s="80" t="s">
        <v>500</v>
      </c>
      <c r="AG63" s="80" t="s">
        <v>551</v>
      </c>
      <c r="AH63" s="80" t="s">
        <v>613</v>
      </c>
      <c r="AI63" s="80">
        <v>16432</v>
      </c>
      <c r="AJ63" s="80">
        <v>8</v>
      </c>
      <c r="AK63" s="80">
        <v>101</v>
      </c>
      <c r="AL63" s="80">
        <v>7</v>
      </c>
      <c r="AM63" s="80" t="s">
        <v>634</v>
      </c>
      <c r="AN63" s="98" t="str">
        <f>HYPERLINK("https://www.youtube.com/watch?v=iUH01HObtsE")</f>
        <v>https://www.youtube.com/watch?v=iUH01HObtsE</v>
      </c>
      <c r="AO63" s="80" t="str">
        <f>REPLACE(INDEX(GroupVertices[Group],MATCH(Vertices[[#This Row],[Vertex]],GroupVertices[Vertex],0)),1,1,"")</f>
        <v>4</v>
      </c>
      <c r="AP63" s="49">
        <v>3</v>
      </c>
      <c r="AQ63" s="50">
        <v>3.1578947368421053</v>
      </c>
      <c r="AR63" s="49">
        <v>0</v>
      </c>
      <c r="AS63" s="50">
        <v>0</v>
      </c>
      <c r="AT63" s="49">
        <v>0</v>
      </c>
      <c r="AU63" s="50">
        <v>0</v>
      </c>
      <c r="AV63" s="49">
        <v>92</v>
      </c>
      <c r="AW63" s="50">
        <v>96.84210526315789</v>
      </c>
      <c r="AX63" s="49">
        <v>95</v>
      </c>
      <c r="AY63" s="49"/>
      <c r="AZ63" s="49"/>
      <c r="BA63" s="49"/>
      <c r="BB63" s="49"/>
      <c r="BC63" s="2"/>
      <c r="BD63" s="3"/>
      <c r="BE63" s="3"/>
      <c r="BF63" s="3"/>
      <c r="BG63" s="3"/>
    </row>
    <row r="64" spans="1:59" ht="15">
      <c r="A64" s="65" t="s">
        <v>258</v>
      </c>
      <c r="B64" s="66"/>
      <c r="C64" s="66"/>
      <c r="D64" s="67">
        <v>150</v>
      </c>
      <c r="E64" s="69"/>
      <c r="F64" s="96" t="str">
        <f>HYPERLINK("https://i.ytimg.com/vi/8PH4JYfF4Ns/default.jpg")</f>
        <v>https://i.ytimg.com/vi/8PH4JYfF4Ns/default.jpg</v>
      </c>
      <c r="G64" s="66"/>
      <c r="H64" s="70" t="s">
        <v>365</v>
      </c>
      <c r="I64" s="71"/>
      <c r="J64" s="71" t="s">
        <v>159</v>
      </c>
      <c r="K64" s="70" t="s">
        <v>365</v>
      </c>
      <c r="L64" s="74">
        <v>1</v>
      </c>
      <c r="M64" s="75">
        <v>2255.9423828125</v>
      </c>
      <c r="N64" s="75">
        <v>9816.21484375</v>
      </c>
      <c r="O64" s="76"/>
      <c r="P64" s="77"/>
      <c r="Q64" s="77"/>
      <c r="R64" s="82"/>
      <c r="S64" s="49">
        <v>1</v>
      </c>
      <c r="T64" s="49">
        <v>2</v>
      </c>
      <c r="U64" s="50">
        <v>0</v>
      </c>
      <c r="V64" s="50">
        <v>0.003344</v>
      </c>
      <c r="W64" s="50">
        <v>0.002336</v>
      </c>
      <c r="X64" s="50">
        <v>0.300203</v>
      </c>
      <c r="Y64" s="50">
        <v>0.8333333333333334</v>
      </c>
      <c r="Z64" s="50">
        <v>0</v>
      </c>
      <c r="AA64" s="72">
        <v>64</v>
      </c>
      <c r="AB64" s="72"/>
      <c r="AC64" s="73"/>
      <c r="AD64" s="80" t="s">
        <v>365</v>
      </c>
      <c r="AE64" s="80" t="s">
        <v>442</v>
      </c>
      <c r="AF64" s="80" t="s">
        <v>501</v>
      </c>
      <c r="AG64" s="80" t="s">
        <v>532</v>
      </c>
      <c r="AH64" s="80" t="s">
        <v>614</v>
      </c>
      <c r="AI64" s="80">
        <v>649200</v>
      </c>
      <c r="AJ64" s="80">
        <v>139</v>
      </c>
      <c r="AK64" s="80">
        <v>8278</v>
      </c>
      <c r="AL64" s="80">
        <v>145</v>
      </c>
      <c r="AM64" s="80" t="s">
        <v>634</v>
      </c>
      <c r="AN64" s="98" t="str">
        <f>HYPERLINK("https://www.youtube.com/watch?v=8PH4JYfF4Ns")</f>
        <v>https://www.youtube.com/watch?v=8PH4JYfF4Ns</v>
      </c>
      <c r="AO64" s="80" t="str">
        <f>REPLACE(INDEX(GroupVertices[Group],MATCH(Vertices[[#This Row],[Vertex]],GroupVertices[Vertex],0)),1,1,"")</f>
        <v>1</v>
      </c>
      <c r="AP64" s="49">
        <v>2</v>
      </c>
      <c r="AQ64" s="50">
        <v>1.1299435028248588</v>
      </c>
      <c r="AR64" s="49">
        <v>4</v>
      </c>
      <c r="AS64" s="50">
        <v>2.2598870056497176</v>
      </c>
      <c r="AT64" s="49">
        <v>0</v>
      </c>
      <c r="AU64" s="50">
        <v>0</v>
      </c>
      <c r="AV64" s="49">
        <v>171</v>
      </c>
      <c r="AW64" s="50">
        <v>96.61016949152543</v>
      </c>
      <c r="AX64" s="49">
        <v>177</v>
      </c>
      <c r="AY64" s="120" t="s">
        <v>2109</v>
      </c>
      <c r="AZ64" s="120" t="s">
        <v>2109</v>
      </c>
      <c r="BA64" s="120" t="s">
        <v>2109</v>
      </c>
      <c r="BB64" s="120" t="s">
        <v>2109</v>
      </c>
      <c r="BC64" s="2"/>
      <c r="BD64" s="3"/>
      <c r="BE64" s="3"/>
      <c r="BF64" s="3"/>
      <c r="BG64" s="3"/>
    </row>
    <row r="65" spans="1:59" ht="15">
      <c r="A65" s="65" t="s">
        <v>259</v>
      </c>
      <c r="B65" s="66"/>
      <c r="C65" s="66"/>
      <c r="D65" s="67">
        <v>150</v>
      </c>
      <c r="E65" s="69"/>
      <c r="F65" s="96" t="str">
        <f>HYPERLINK("https://i.ytimg.com/vi/fSEFXl2XQpc/default.jpg")</f>
        <v>https://i.ytimg.com/vi/fSEFXl2XQpc/default.jpg</v>
      </c>
      <c r="G65" s="66"/>
      <c r="H65" s="70" t="s">
        <v>366</v>
      </c>
      <c r="I65" s="71"/>
      <c r="J65" s="71" t="s">
        <v>159</v>
      </c>
      <c r="K65" s="70" t="s">
        <v>366</v>
      </c>
      <c r="L65" s="74">
        <v>1</v>
      </c>
      <c r="M65" s="75">
        <v>3585.091064453125</v>
      </c>
      <c r="N65" s="75">
        <v>3742.0205078125</v>
      </c>
      <c r="O65" s="76"/>
      <c r="P65" s="77"/>
      <c r="Q65" s="77"/>
      <c r="R65" s="82"/>
      <c r="S65" s="49">
        <v>1</v>
      </c>
      <c r="T65" s="49">
        <v>1</v>
      </c>
      <c r="U65" s="50">
        <v>0</v>
      </c>
      <c r="V65" s="50">
        <v>0.003333</v>
      </c>
      <c r="W65" s="50">
        <v>0.001875</v>
      </c>
      <c r="X65" s="50">
        <v>0.248305</v>
      </c>
      <c r="Y65" s="50">
        <v>1</v>
      </c>
      <c r="Z65" s="50">
        <v>0</v>
      </c>
      <c r="AA65" s="72">
        <v>65</v>
      </c>
      <c r="AB65" s="72"/>
      <c r="AC65" s="73"/>
      <c r="AD65" s="80" t="s">
        <v>366</v>
      </c>
      <c r="AE65" s="80" t="s">
        <v>443</v>
      </c>
      <c r="AF65" s="80" t="s">
        <v>502</v>
      </c>
      <c r="AG65" s="80" t="s">
        <v>552</v>
      </c>
      <c r="AH65" s="80" t="s">
        <v>615</v>
      </c>
      <c r="AI65" s="80">
        <v>973197</v>
      </c>
      <c r="AJ65" s="80">
        <v>752</v>
      </c>
      <c r="AK65" s="80">
        <v>15692</v>
      </c>
      <c r="AL65" s="80">
        <v>464</v>
      </c>
      <c r="AM65" s="80" t="s">
        <v>634</v>
      </c>
      <c r="AN65" s="98" t="str">
        <f>HYPERLINK("https://www.youtube.com/watch?v=fSEFXl2XQpc")</f>
        <v>https://www.youtube.com/watch?v=fSEFXl2XQpc</v>
      </c>
      <c r="AO65" s="80" t="str">
        <f>REPLACE(INDEX(GroupVertices[Group],MATCH(Vertices[[#This Row],[Vertex]],GroupVertices[Vertex],0)),1,1,"")</f>
        <v>1</v>
      </c>
      <c r="AP65" s="49">
        <v>12</v>
      </c>
      <c r="AQ65" s="50">
        <v>3.389830508474576</v>
      </c>
      <c r="AR65" s="49">
        <v>2</v>
      </c>
      <c r="AS65" s="50">
        <v>0.5649717514124294</v>
      </c>
      <c r="AT65" s="49">
        <v>0</v>
      </c>
      <c r="AU65" s="50">
        <v>0</v>
      </c>
      <c r="AV65" s="49">
        <v>340</v>
      </c>
      <c r="AW65" s="50">
        <v>96.045197740113</v>
      </c>
      <c r="AX65" s="49">
        <v>354</v>
      </c>
      <c r="AY65" s="120" t="s">
        <v>2109</v>
      </c>
      <c r="AZ65" s="120" t="s">
        <v>2109</v>
      </c>
      <c r="BA65" s="120" t="s">
        <v>2109</v>
      </c>
      <c r="BB65" s="120" t="s">
        <v>2109</v>
      </c>
      <c r="BC65" s="2"/>
      <c r="BD65" s="3"/>
      <c r="BE65" s="3"/>
      <c r="BF65" s="3"/>
      <c r="BG65" s="3"/>
    </row>
    <row r="66" spans="1:59" ht="15">
      <c r="A66" s="65" t="s">
        <v>260</v>
      </c>
      <c r="B66" s="66"/>
      <c r="C66" s="66"/>
      <c r="D66" s="67">
        <v>1000</v>
      </c>
      <c r="E66" s="69"/>
      <c r="F66" s="96" t="str">
        <f>HYPERLINK("https://i.ytimg.com/vi/fV9GhfbBec4/default.jpg")</f>
        <v>https://i.ytimg.com/vi/fV9GhfbBec4/default.jpg</v>
      </c>
      <c r="G66" s="66"/>
      <c r="H66" s="70" t="s">
        <v>367</v>
      </c>
      <c r="I66" s="71"/>
      <c r="J66" s="71" t="s">
        <v>75</v>
      </c>
      <c r="K66" s="70" t="s">
        <v>367</v>
      </c>
      <c r="L66" s="74">
        <v>2543.7256155204054</v>
      </c>
      <c r="M66" s="75">
        <v>5217.83203125</v>
      </c>
      <c r="N66" s="75">
        <v>3533.343994140625</v>
      </c>
      <c r="O66" s="76"/>
      <c r="P66" s="77"/>
      <c r="Q66" s="77"/>
      <c r="R66" s="82"/>
      <c r="S66" s="49">
        <v>9</v>
      </c>
      <c r="T66" s="49">
        <v>11</v>
      </c>
      <c r="U66" s="50">
        <v>655.117617</v>
      </c>
      <c r="V66" s="50">
        <v>0.003597</v>
      </c>
      <c r="W66" s="50">
        <v>0.00071</v>
      </c>
      <c r="X66" s="50">
        <v>1.189998</v>
      </c>
      <c r="Y66" s="50">
        <v>0.4236842105263158</v>
      </c>
      <c r="Z66" s="50">
        <v>0</v>
      </c>
      <c r="AA66" s="72">
        <v>66</v>
      </c>
      <c r="AB66" s="72"/>
      <c r="AC66" s="73"/>
      <c r="AD66" s="80" t="s">
        <v>367</v>
      </c>
      <c r="AE66" s="80" t="s">
        <v>444</v>
      </c>
      <c r="AF66" s="80" t="s">
        <v>503</v>
      </c>
      <c r="AG66" s="80" t="s">
        <v>539</v>
      </c>
      <c r="AH66" s="80" t="s">
        <v>616</v>
      </c>
      <c r="AI66" s="80">
        <v>372</v>
      </c>
      <c r="AJ66" s="80">
        <v>0</v>
      </c>
      <c r="AK66" s="80">
        <v>11</v>
      </c>
      <c r="AL66" s="80">
        <v>1</v>
      </c>
      <c r="AM66" s="80" t="s">
        <v>634</v>
      </c>
      <c r="AN66" s="98" t="str">
        <f>HYPERLINK("https://www.youtube.com/watch?v=fV9GhfbBec4")</f>
        <v>https://www.youtube.com/watch?v=fV9GhfbBec4</v>
      </c>
      <c r="AO66" s="80" t="str">
        <f>REPLACE(INDEX(GroupVertices[Group],MATCH(Vertices[[#This Row],[Vertex]],GroupVertices[Vertex],0)),1,1,"")</f>
        <v>3</v>
      </c>
      <c r="AP66" s="49">
        <v>3</v>
      </c>
      <c r="AQ66" s="50">
        <v>3.3333333333333335</v>
      </c>
      <c r="AR66" s="49">
        <v>3</v>
      </c>
      <c r="AS66" s="50">
        <v>3.3333333333333335</v>
      </c>
      <c r="AT66" s="49">
        <v>0</v>
      </c>
      <c r="AU66" s="50">
        <v>0</v>
      </c>
      <c r="AV66" s="49">
        <v>84</v>
      </c>
      <c r="AW66" s="50">
        <v>93.33333333333333</v>
      </c>
      <c r="AX66" s="49">
        <v>90</v>
      </c>
      <c r="AY66" s="120" t="s">
        <v>2109</v>
      </c>
      <c r="AZ66" s="120" t="s">
        <v>2109</v>
      </c>
      <c r="BA66" s="120" t="s">
        <v>2109</v>
      </c>
      <c r="BB66" s="120" t="s">
        <v>2109</v>
      </c>
      <c r="BC66" s="2"/>
      <c r="BD66" s="3"/>
      <c r="BE66" s="3"/>
      <c r="BF66" s="3"/>
      <c r="BG66" s="3"/>
    </row>
    <row r="67" spans="1:59" ht="15">
      <c r="A67" s="65" t="s">
        <v>261</v>
      </c>
      <c r="B67" s="66"/>
      <c r="C67" s="66"/>
      <c r="D67" s="67">
        <v>150.52956113862095</v>
      </c>
      <c r="E67" s="69"/>
      <c r="F67" s="96" t="str">
        <f>HYPERLINK("https://i.ytimg.com/vi/iv6pTx_QUVM/default.jpg")</f>
        <v>https://i.ytimg.com/vi/iv6pTx_QUVM/default.jpg</v>
      </c>
      <c r="G67" s="66"/>
      <c r="H67" s="70" t="s">
        <v>368</v>
      </c>
      <c r="I67" s="71"/>
      <c r="J67" s="71" t="s">
        <v>75</v>
      </c>
      <c r="K67" s="70" t="s">
        <v>368</v>
      </c>
      <c r="L67" s="74">
        <v>2.455497579482971</v>
      </c>
      <c r="M67" s="75">
        <v>5118.04296875</v>
      </c>
      <c r="N67" s="75">
        <v>4567.64306640625</v>
      </c>
      <c r="O67" s="76"/>
      <c r="P67" s="77"/>
      <c r="Q67" s="77"/>
      <c r="R67" s="82"/>
      <c r="S67" s="49">
        <v>17</v>
      </c>
      <c r="T67" s="49">
        <v>1</v>
      </c>
      <c r="U67" s="50">
        <v>0.375</v>
      </c>
      <c r="V67" s="50">
        <v>0.003012</v>
      </c>
      <c r="W67" s="50">
        <v>0.000417</v>
      </c>
      <c r="X67" s="50">
        <v>1.069024</v>
      </c>
      <c r="Y67" s="50">
        <v>0.4934640522875817</v>
      </c>
      <c r="Z67" s="50">
        <v>0</v>
      </c>
      <c r="AA67" s="72">
        <v>67</v>
      </c>
      <c r="AB67" s="72"/>
      <c r="AC67" s="73"/>
      <c r="AD67" s="80" t="s">
        <v>368</v>
      </c>
      <c r="AE67" s="80" t="s">
        <v>445</v>
      </c>
      <c r="AF67" s="80"/>
      <c r="AG67" s="80" t="s">
        <v>539</v>
      </c>
      <c r="AH67" s="80" t="s">
        <v>617</v>
      </c>
      <c r="AI67" s="80">
        <v>145</v>
      </c>
      <c r="AJ67" s="80">
        <v>0</v>
      </c>
      <c r="AK67" s="80">
        <v>2</v>
      </c>
      <c r="AL67" s="80">
        <v>0</v>
      </c>
      <c r="AM67" s="80" t="s">
        <v>634</v>
      </c>
      <c r="AN67" s="98" t="str">
        <f>HYPERLINK("https://www.youtube.com/watch?v=iv6pTx_QUVM")</f>
        <v>https://www.youtube.com/watch?v=iv6pTx_QUVM</v>
      </c>
      <c r="AO67" s="80" t="str">
        <f>REPLACE(INDEX(GroupVertices[Group],MATCH(Vertices[[#This Row],[Vertex]],GroupVertices[Vertex],0)),1,1,"")</f>
        <v>3</v>
      </c>
      <c r="AP67" s="49">
        <v>0</v>
      </c>
      <c r="AQ67" s="50">
        <v>0</v>
      </c>
      <c r="AR67" s="49">
        <v>0</v>
      </c>
      <c r="AS67" s="50">
        <v>0</v>
      </c>
      <c r="AT67" s="49">
        <v>0</v>
      </c>
      <c r="AU67" s="50">
        <v>0</v>
      </c>
      <c r="AV67" s="49">
        <v>22</v>
      </c>
      <c r="AW67" s="50">
        <v>100</v>
      </c>
      <c r="AX67" s="49">
        <v>22</v>
      </c>
      <c r="AY67" s="120" t="s">
        <v>2109</v>
      </c>
      <c r="AZ67" s="120" t="s">
        <v>2109</v>
      </c>
      <c r="BA67" s="120" t="s">
        <v>2109</v>
      </c>
      <c r="BB67" s="120" t="s">
        <v>2109</v>
      </c>
      <c r="BC67" s="2"/>
      <c r="BD67" s="3"/>
      <c r="BE67" s="3"/>
      <c r="BF67" s="3"/>
      <c r="BG67" s="3"/>
    </row>
    <row r="68" spans="1:59" ht="15">
      <c r="A68" s="65" t="s">
        <v>289</v>
      </c>
      <c r="B68" s="66"/>
      <c r="C68" s="66"/>
      <c r="D68" s="67">
        <v>150.52956113862095</v>
      </c>
      <c r="E68" s="69"/>
      <c r="F68" s="96" t="str">
        <f>HYPERLINK("https://i.ytimg.com/vi/4zeZEw8RBq8/default.jpg")</f>
        <v>https://i.ytimg.com/vi/4zeZEw8RBq8/default.jpg</v>
      </c>
      <c r="G68" s="66"/>
      <c r="H68" s="70" t="s">
        <v>369</v>
      </c>
      <c r="I68" s="71"/>
      <c r="J68" s="71" t="s">
        <v>75</v>
      </c>
      <c r="K68" s="70" t="s">
        <v>369</v>
      </c>
      <c r="L68" s="74">
        <v>2.455497579482971</v>
      </c>
      <c r="M68" s="75">
        <v>5949.69921875</v>
      </c>
      <c r="N68" s="75">
        <v>4998.78564453125</v>
      </c>
      <c r="O68" s="76"/>
      <c r="P68" s="77"/>
      <c r="Q68" s="77"/>
      <c r="R68" s="82"/>
      <c r="S68" s="49">
        <v>18</v>
      </c>
      <c r="T68" s="49">
        <v>0</v>
      </c>
      <c r="U68" s="50">
        <v>0.375</v>
      </c>
      <c r="V68" s="50">
        <v>0.003012</v>
      </c>
      <c r="W68" s="50">
        <v>0.000417</v>
      </c>
      <c r="X68" s="50">
        <v>1.069024</v>
      </c>
      <c r="Y68" s="50">
        <v>0.4934640522875817</v>
      </c>
      <c r="Z68" s="50">
        <v>0</v>
      </c>
      <c r="AA68" s="72">
        <v>68</v>
      </c>
      <c r="AB68" s="72"/>
      <c r="AC68" s="73"/>
      <c r="AD68" s="80" t="s">
        <v>369</v>
      </c>
      <c r="AE68" s="80" t="s">
        <v>446</v>
      </c>
      <c r="AF68" s="80"/>
      <c r="AG68" s="80" t="s">
        <v>539</v>
      </c>
      <c r="AH68" s="80" t="s">
        <v>618</v>
      </c>
      <c r="AI68" s="80">
        <v>211</v>
      </c>
      <c r="AJ68" s="80">
        <v>0</v>
      </c>
      <c r="AK68" s="80">
        <v>1</v>
      </c>
      <c r="AL68" s="80">
        <v>0</v>
      </c>
      <c r="AM68" s="80" t="s">
        <v>634</v>
      </c>
      <c r="AN68" s="98" t="str">
        <f>HYPERLINK("https://www.youtube.com/watch?v=4zeZEw8RBq8")</f>
        <v>https://www.youtube.com/watch?v=4zeZEw8RBq8</v>
      </c>
      <c r="AO68" s="80" t="str">
        <f>REPLACE(INDEX(GroupVertices[Group],MATCH(Vertices[[#This Row],[Vertex]],GroupVertices[Vertex],0)),1,1,"")</f>
        <v>3</v>
      </c>
      <c r="AP68" s="49">
        <v>6</v>
      </c>
      <c r="AQ68" s="50">
        <v>2.3715415019762847</v>
      </c>
      <c r="AR68" s="49">
        <v>5</v>
      </c>
      <c r="AS68" s="50">
        <v>1.976284584980237</v>
      </c>
      <c r="AT68" s="49">
        <v>0</v>
      </c>
      <c r="AU68" s="50">
        <v>0</v>
      </c>
      <c r="AV68" s="49">
        <v>242</v>
      </c>
      <c r="AW68" s="50">
        <v>95.65217391304348</v>
      </c>
      <c r="AX68" s="49">
        <v>253</v>
      </c>
      <c r="AY68" s="49"/>
      <c r="AZ68" s="49"/>
      <c r="BA68" s="49"/>
      <c r="BB68" s="49"/>
      <c r="BC68" s="2"/>
      <c r="BD68" s="3"/>
      <c r="BE68" s="3"/>
      <c r="BF68" s="3"/>
      <c r="BG68" s="3"/>
    </row>
    <row r="69" spans="1:59" ht="15">
      <c r="A69" s="65" t="s">
        <v>262</v>
      </c>
      <c r="B69" s="66"/>
      <c r="C69" s="66"/>
      <c r="D69" s="67">
        <v>150</v>
      </c>
      <c r="E69" s="69"/>
      <c r="F69" s="96" t="str">
        <f>HYPERLINK("https://i.ytimg.com/vi/5Vwe--IDdso/default.jpg")</f>
        <v>https://i.ytimg.com/vi/5Vwe--IDdso/default.jpg</v>
      </c>
      <c r="G69" s="66"/>
      <c r="H69" s="70" t="s">
        <v>370</v>
      </c>
      <c r="I69" s="71"/>
      <c r="J69" s="71" t="s">
        <v>159</v>
      </c>
      <c r="K69" s="70" t="s">
        <v>370</v>
      </c>
      <c r="L69" s="74">
        <v>1</v>
      </c>
      <c r="M69" s="75">
        <v>6432.64697265625</v>
      </c>
      <c r="N69" s="75">
        <v>4793.1787109375</v>
      </c>
      <c r="O69" s="76"/>
      <c r="P69" s="77"/>
      <c r="Q69" s="77"/>
      <c r="R69" s="82"/>
      <c r="S69" s="49">
        <v>12</v>
      </c>
      <c r="T69" s="49">
        <v>4</v>
      </c>
      <c r="U69" s="50">
        <v>0</v>
      </c>
      <c r="V69" s="50">
        <v>0.002985</v>
      </c>
      <c r="W69" s="50">
        <v>0.000389</v>
      </c>
      <c r="X69" s="50">
        <v>0.962301</v>
      </c>
      <c r="Y69" s="50">
        <v>0.5</v>
      </c>
      <c r="Z69" s="50">
        <v>0</v>
      </c>
      <c r="AA69" s="72">
        <v>69</v>
      </c>
      <c r="AB69" s="72"/>
      <c r="AC69" s="73"/>
      <c r="AD69" s="80" t="s">
        <v>370</v>
      </c>
      <c r="AE69" s="80" t="s">
        <v>447</v>
      </c>
      <c r="AF69" s="80"/>
      <c r="AG69" s="80" t="s">
        <v>539</v>
      </c>
      <c r="AH69" s="80" t="s">
        <v>619</v>
      </c>
      <c r="AI69" s="80">
        <v>366</v>
      </c>
      <c r="AJ69" s="80">
        <v>0</v>
      </c>
      <c r="AK69" s="80">
        <v>3</v>
      </c>
      <c r="AL69" s="80">
        <v>0</v>
      </c>
      <c r="AM69" s="80" t="s">
        <v>634</v>
      </c>
      <c r="AN69" s="98" t="str">
        <f>HYPERLINK("https://www.youtube.com/watch?v=5Vwe--IDdso")</f>
        <v>https://www.youtube.com/watch?v=5Vwe--IDdso</v>
      </c>
      <c r="AO69" s="80" t="str">
        <f>REPLACE(INDEX(GroupVertices[Group],MATCH(Vertices[[#This Row],[Vertex]],GroupVertices[Vertex],0)),1,1,"")</f>
        <v>3</v>
      </c>
      <c r="AP69" s="49">
        <v>7</v>
      </c>
      <c r="AQ69" s="50">
        <v>3.7837837837837838</v>
      </c>
      <c r="AR69" s="49">
        <v>1</v>
      </c>
      <c r="AS69" s="50">
        <v>0.5405405405405406</v>
      </c>
      <c r="AT69" s="49">
        <v>0</v>
      </c>
      <c r="AU69" s="50">
        <v>0</v>
      </c>
      <c r="AV69" s="49">
        <v>177</v>
      </c>
      <c r="AW69" s="50">
        <v>95.67567567567568</v>
      </c>
      <c r="AX69" s="49">
        <v>185</v>
      </c>
      <c r="AY69" s="120" t="s">
        <v>2109</v>
      </c>
      <c r="AZ69" s="120" t="s">
        <v>2109</v>
      </c>
      <c r="BA69" s="120" t="s">
        <v>2109</v>
      </c>
      <c r="BB69" s="120" t="s">
        <v>2109</v>
      </c>
      <c r="BC69" s="2"/>
      <c r="BD69" s="3"/>
      <c r="BE69" s="3"/>
      <c r="BF69" s="3"/>
      <c r="BG69" s="3"/>
    </row>
    <row r="70" spans="1:59" ht="15">
      <c r="A70" s="65" t="s">
        <v>263</v>
      </c>
      <c r="B70" s="66"/>
      <c r="C70" s="66"/>
      <c r="D70" s="67">
        <v>150.52956113862095</v>
      </c>
      <c r="E70" s="69"/>
      <c r="F70" s="96" t="str">
        <f>HYPERLINK("https://i.ytimg.com/vi/oC9M1dquXA8/default.jpg")</f>
        <v>https://i.ytimg.com/vi/oC9M1dquXA8/default.jpg</v>
      </c>
      <c r="G70" s="66"/>
      <c r="H70" s="70" t="s">
        <v>371</v>
      </c>
      <c r="I70" s="71"/>
      <c r="J70" s="71" t="s">
        <v>75</v>
      </c>
      <c r="K70" s="70" t="s">
        <v>371</v>
      </c>
      <c r="L70" s="74">
        <v>2.455497579482971</v>
      </c>
      <c r="M70" s="75">
        <v>5731.6669921875</v>
      </c>
      <c r="N70" s="75">
        <v>5432.982421875</v>
      </c>
      <c r="O70" s="76"/>
      <c r="P70" s="77"/>
      <c r="Q70" s="77"/>
      <c r="R70" s="82"/>
      <c r="S70" s="49">
        <v>12</v>
      </c>
      <c r="T70" s="49">
        <v>6</v>
      </c>
      <c r="U70" s="50">
        <v>0.375</v>
      </c>
      <c r="V70" s="50">
        <v>0.003012</v>
      </c>
      <c r="W70" s="50">
        <v>0.000417</v>
      </c>
      <c r="X70" s="50">
        <v>1.069024</v>
      </c>
      <c r="Y70" s="50">
        <v>0.4934640522875817</v>
      </c>
      <c r="Z70" s="50">
        <v>0</v>
      </c>
      <c r="AA70" s="72">
        <v>70</v>
      </c>
      <c r="AB70" s="72"/>
      <c r="AC70" s="73"/>
      <c r="AD70" s="80" t="s">
        <v>371</v>
      </c>
      <c r="AE70" s="80" t="s">
        <v>448</v>
      </c>
      <c r="AF70" s="80"/>
      <c r="AG70" s="80" t="s">
        <v>539</v>
      </c>
      <c r="AH70" s="80" t="s">
        <v>620</v>
      </c>
      <c r="AI70" s="80">
        <v>156</v>
      </c>
      <c r="AJ70" s="80">
        <v>1</v>
      </c>
      <c r="AK70" s="80">
        <v>5</v>
      </c>
      <c r="AL70" s="80">
        <v>0</v>
      </c>
      <c r="AM70" s="80" t="s">
        <v>634</v>
      </c>
      <c r="AN70" s="98" t="str">
        <f>HYPERLINK("https://www.youtube.com/watch?v=oC9M1dquXA8")</f>
        <v>https://www.youtube.com/watch?v=oC9M1dquXA8</v>
      </c>
      <c r="AO70" s="80" t="str">
        <f>REPLACE(INDEX(GroupVertices[Group],MATCH(Vertices[[#This Row],[Vertex]],GroupVertices[Vertex],0)),1,1,"")</f>
        <v>3</v>
      </c>
      <c r="AP70" s="49">
        <v>5</v>
      </c>
      <c r="AQ70" s="50">
        <v>2.336448598130841</v>
      </c>
      <c r="AR70" s="49">
        <v>1</v>
      </c>
      <c r="AS70" s="50">
        <v>0.4672897196261682</v>
      </c>
      <c r="AT70" s="49">
        <v>0</v>
      </c>
      <c r="AU70" s="50">
        <v>0</v>
      </c>
      <c r="AV70" s="49">
        <v>208</v>
      </c>
      <c r="AW70" s="50">
        <v>97.19626168224299</v>
      </c>
      <c r="AX70" s="49">
        <v>214</v>
      </c>
      <c r="AY70" s="120" t="s">
        <v>2109</v>
      </c>
      <c r="AZ70" s="120" t="s">
        <v>2109</v>
      </c>
      <c r="BA70" s="120" t="s">
        <v>2109</v>
      </c>
      <c r="BB70" s="120" t="s">
        <v>2109</v>
      </c>
      <c r="BC70" s="2"/>
      <c r="BD70" s="3"/>
      <c r="BE70" s="3"/>
      <c r="BF70" s="3"/>
      <c r="BG70" s="3"/>
    </row>
    <row r="71" spans="1:59" ht="15">
      <c r="A71" s="65" t="s">
        <v>264</v>
      </c>
      <c r="B71" s="66"/>
      <c r="C71" s="66"/>
      <c r="D71" s="67">
        <v>161.06355600399283</v>
      </c>
      <c r="E71" s="69"/>
      <c r="F71" s="96" t="str">
        <f>HYPERLINK("https://i.ytimg.com/vi/cdwfQtEvyac/default.jpg")</f>
        <v>https://i.ytimg.com/vi/cdwfQtEvyac/default.jpg</v>
      </c>
      <c r="G71" s="66"/>
      <c r="H71" s="70" t="s">
        <v>372</v>
      </c>
      <c r="I71" s="71"/>
      <c r="J71" s="71" t="s">
        <v>75</v>
      </c>
      <c r="K71" s="70" t="s">
        <v>372</v>
      </c>
      <c r="L71" s="74">
        <v>31.408158397386266</v>
      </c>
      <c r="M71" s="75">
        <v>5762.41845703125</v>
      </c>
      <c r="N71" s="75">
        <v>1820.8477783203125</v>
      </c>
      <c r="O71" s="76"/>
      <c r="P71" s="77"/>
      <c r="Q71" s="77"/>
      <c r="R71" s="82"/>
      <c r="S71" s="49">
        <v>12</v>
      </c>
      <c r="T71" s="49">
        <v>7</v>
      </c>
      <c r="U71" s="50">
        <v>7.834475</v>
      </c>
      <c r="V71" s="50">
        <v>0.003021</v>
      </c>
      <c r="W71" s="50">
        <v>0.000422</v>
      </c>
      <c r="X71" s="50">
        <v>1.124137</v>
      </c>
      <c r="Y71" s="50">
        <v>0.47076023391812866</v>
      </c>
      <c r="Z71" s="50">
        <v>0</v>
      </c>
      <c r="AA71" s="72">
        <v>71</v>
      </c>
      <c r="AB71" s="72"/>
      <c r="AC71" s="73"/>
      <c r="AD71" s="80" t="s">
        <v>372</v>
      </c>
      <c r="AE71" s="80" t="s">
        <v>449</v>
      </c>
      <c r="AF71" s="80"/>
      <c r="AG71" s="80" t="s">
        <v>539</v>
      </c>
      <c r="AH71" s="80" t="s">
        <v>621</v>
      </c>
      <c r="AI71" s="80">
        <v>298</v>
      </c>
      <c r="AJ71" s="80">
        <v>1</v>
      </c>
      <c r="AK71" s="80">
        <v>10</v>
      </c>
      <c r="AL71" s="80">
        <v>0</v>
      </c>
      <c r="AM71" s="80" t="s">
        <v>634</v>
      </c>
      <c r="AN71" s="98" t="str">
        <f>HYPERLINK("https://www.youtube.com/watch?v=cdwfQtEvyac")</f>
        <v>https://www.youtube.com/watch?v=cdwfQtEvyac</v>
      </c>
      <c r="AO71" s="80" t="str">
        <f>REPLACE(INDEX(GroupVertices[Group],MATCH(Vertices[[#This Row],[Vertex]],GroupVertices[Vertex],0)),1,1,"")</f>
        <v>3</v>
      </c>
      <c r="AP71" s="49">
        <v>3</v>
      </c>
      <c r="AQ71" s="50">
        <v>3.061224489795918</v>
      </c>
      <c r="AR71" s="49">
        <v>2</v>
      </c>
      <c r="AS71" s="50">
        <v>2.0408163265306123</v>
      </c>
      <c r="AT71" s="49">
        <v>0</v>
      </c>
      <c r="AU71" s="50">
        <v>0</v>
      </c>
      <c r="AV71" s="49">
        <v>93</v>
      </c>
      <c r="AW71" s="50">
        <v>94.89795918367346</v>
      </c>
      <c r="AX71" s="49">
        <v>98</v>
      </c>
      <c r="AY71" s="120" t="s">
        <v>2109</v>
      </c>
      <c r="AZ71" s="120" t="s">
        <v>2109</v>
      </c>
      <c r="BA71" s="120" t="s">
        <v>2109</v>
      </c>
      <c r="BB71" s="120" t="s">
        <v>2109</v>
      </c>
      <c r="BC71" s="2"/>
      <c r="BD71" s="3"/>
      <c r="BE71" s="3"/>
      <c r="BF71" s="3"/>
      <c r="BG71" s="3"/>
    </row>
    <row r="72" spans="1:59" ht="15">
      <c r="A72" s="65" t="s">
        <v>265</v>
      </c>
      <c r="B72" s="66"/>
      <c r="C72" s="66"/>
      <c r="D72" s="67">
        <v>161.06355600399283</v>
      </c>
      <c r="E72" s="69"/>
      <c r="F72" s="96" t="str">
        <f>HYPERLINK("https://i.ytimg.com/vi/3U4QU2WwUXU/default.jpg")</f>
        <v>https://i.ytimg.com/vi/3U4QU2WwUXU/default.jpg</v>
      </c>
      <c r="G72" s="66"/>
      <c r="H72" s="70" t="s">
        <v>373</v>
      </c>
      <c r="I72" s="71"/>
      <c r="J72" s="71" t="s">
        <v>75</v>
      </c>
      <c r="K72" s="70" t="s">
        <v>373</v>
      </c>
      <c r="L72" s="74">
        <v>31.408158397386266</v>
      </c>
      <c r="M72" s="75">
        <v>5668.07275390625</v>
      </c>
      <c r="N72" s="75">
        <v>2829.8779296875</v>
      </c>
      <c r="O72" s="76"/>
      <c r="P72" s="77"/>
      <c r="Q72" s="77"/>
      <c r="R72" s="82"/>
      <c r="S72" s="49">
        <v>11</v>
      </c>
      <c r="T72" s="49">
        <v>8</v>
      </c>
      <c r="U72" s="50">
        <v>7.834475</v>
      </c>
      <c r="V72" s="50">
        <v>0.003021</v>
      </c>
      <c r="W72" s="50">
        <v>0.000422</v>
      </c>
      <c r="X72" s="50">
        <v>1.124137</v>
      </c>
      <c r="Y72" s="50">
        <v>0.47076023391812866</v>
      </c>
      <c r="Z72" s="50">
        <v>0</v>
      </c>
      <c r="AA72" s="72">
        <v>72</v>
      </c>
      <c r="AB72" s="72"/>
      <c r="AC72" s="73"/>
      <c r="AD72" s="80" t="s">
        <v>373</v>
      </c>
      <c r="AE72" s="80" t="s">
        <v>450</v>
      </c>
      <c r="AF72" s="80"/>
      <c r="AG72" s="80" t="s">
        <v>539</v>
      </c>
      <c r="AH72" s="80" t="s">
        <v>622</v>
      </c>
      <c r="AI72" s="80">
        <v>216</v>
      </c>
      <c r="AJ72" s="80">
        <v>0</v>
      </c>
      <c r="AK72" s="80">
        <v>2</v>
      </c>
      <c r="AL72" s="80">
        <v>0</v>
      </c>
      <c r="AM72" s="80" t="s">
        <v>634</v>
      </c>
      <c r="AN72" s="98" t="str">
        <f>HYPERLINK("https://www.youtube.com/watch?v=3U4QU2WwUXU")</f>
        <v>https://www.youtube.com/watch?v=3U4QU2WwUXU</v>
      </c>
      <c r="AO72" s="80" t="str">
        <f>REPLACE(INDEX(GroupVertices[Group],MATCH(Vertices[[#This Row],[Vertex]],GroupVertices[Vertex],0)),1,1,"")</f>
        <v>3</v>
      </c>
      <c r="AP72" s="49">
        <v>0</v>
      </c>
      <c r="AQ72" s="50">
        <v>0</v>
      </c>
      <c r="AR72" s="49">
        <v>1</v>
      </c>
      <c r="AS72" s="50">
        <v>1.7857142857142858</v>
      </c>
      <c r="AT72" s="49">
        <v>0</v>
      </c>
      <c r="AU72" s="50">
        <v>0</v>
      </c>
      <c r="AV72" s="49">
        <v>55</v>
      </c>
      <c r="AW72" s="50">
        <v>98.21428571428571</v>
      </c>
      <c r="AX72" s="49">
        <v>56</v>
      </c>
      <c r="AY72" s="120" t="s">
        <v>2109</v>
      </c>
      <c r="AZ72" s="120" t="s">
        <v>2109</v>
      </c>
      <c r="BA72" s="120" t="s">
        <v>2109</v>
      </c>
      <c r="BB72" s="120" t="s">
        <v>2109</v>
      </c>
      <c r="BC72" s="2"/>
      <c r="BD72" s="3"/>
      <c r="BE72" s="3"/>
      <c r="BF72" s="3"/>
      <c r="BG72" s="3"/>
    </row>
    <row r="73" spans="1:59" ht="15">
      <c r="A73" s="65" t="s">
        <v>266</v>
      </c>
      <c r="B73" s="66"/>
      <c r="C73" s="66"/>
      <c r="D73" s="67">
        <v>161.06355600399283</v>
      </c>
      <c r="E73" s="69"/>
      <c r="F73" s="96" t="str">
        <f>HYPERLINK("https://i.ytimg.com/vi/LseJ60oNa_k/default.jpg")</f>
        <v>https://i.ytimg.com/vi/LseJ60oNa_k/default.jpg</v>
      </c>
      <c r="G73" s="66"/>
      <c r="H73" s="70" t="s">
        <v>374</v>
      </c>
      <c r="I73" s="71"/>
      <c r="J73" s="71" t="s">
        <v>75</v>
      </c>
      <c r="K73" s="70" t="s">
        <v>374</v>
      </c>
      <c r="L73" s="74">
        <v>31.408158397386266</v>
      </c>
      <c r="M73" s="75">
        <v>5577.98388671875</v>
      </c>
      <c r="N73" s="75">
        <v>3791.152099609375</v>
      </c>
      <c r="O73" s="76"/>
      <c r="P73" s="77"/>
      <c r="Q73" s="77"/>
      <c r="R73" s="82"/>
      <c r="S73" s="49">
        <v>10</v>
      </c>
      <c r="T73" s="49">
        <v>9</v>
      </c>
      <c r="U73" s="50">
        <v>7.834475</v>
      </c>
      <c r="V73" s="50">
        <v>0.003021</v>
      </c>
      <c r="W73" s="50">
        <v>0.000422</v>
      </c>
      <c r="X73" s="50">
        <v>1.124137</v>
      </c>
      <c r="Y73" s="50">
        <v>0.47076023391812866</v>
      </c>
      <c r="Z73" s="50">
        <v>0</v>
      </c>
      <c r="AA73" s="72">
        <v>73</v>
      </c>
      <c r="AB73" s="72"/>
      <c r="AC73" s="73"/>
      <c r="AD73" s="80" t="s">
        <v>374</v>
      </c>
      <c r="AE73" s="80" t="s">
        <v>451</v>
      </c>
      <c r="AF73" s="80"/>
      <c r="AG73" s="80" t="s">
        <v>539</v>
      </c>
      <c r="AH73" s="80" t="s">
        <v>623</v>
      </c>
      <c r="AI73" s="80">
        <v>396</v>
      </c>
      <c r="AJ73" s="80">
        <v>2</v>
      </c>
      <c r="AK73" s="80">
        <v>10</v>
      </c>
      <c r="AL73" s="80">
        <v>1</v>
      </c>
      <c r="AM73" s="80" t="s">
        <v>634</v>
      </c>
      <c r="AN73" s="98" t="str">
        <f>HYPERLINK("https://www.youtube.com/watch?v=LseJ60oNa_k")</f>
        <v>https://www.youtube.com/watch?v=LseJ60oNa_k</v>
      </c>
      <c r="AO73" s="80" t="str">
        <f>REPLACE(INDEX(GroupVertices[Group],MATCH(Vertices[[#This Row],[Vertex]],GroupVertices[Vertex],0)),1,1,"")</f>
        <v>3</v>
      </c>
      <c r="AP73" s="49">
        <v>3</v>
      </c>
      <c r="AQ73" s="50">
        <v>1.5957446808510638</v>
      </c>
      <c r="AR73" s="49">
        <v>0</v>
      </c>
      <c r="AS73" s="50">
        <v>0</v>
      </c>
      <c r="AT73" s="49">
        <v>0</v>
      </c>
      <c r="AU73" s="50">
        <v>0</v>
      </c>
      <c r="AV73" s="49">
        <v>185</v>
      </c>
      <c r="AW73" s="50">
        <v>98.40425531914893</v>
      </c>
      <c r="AX73" s="49">
        <v>188</v>
      </c>
      <c r="AY73" s="120" t="s">
        <v>2109</v>
      </c>
      <c r="AZ73" s="120" t="s">
        <v>2109</v>
      </c>
      <c r="BA73" s="120" t="s">
        <v>2109</v>
      </c>
      <c r="BB73" s="120" t="s">
        <v>2109</v>
      </c>
      <c r="BC73" s="2"/>
      <c r="BD73" s="3"/>
      <c r="BE73" s="3"/>
      <c r="BF73" s="3"/>
      <c r="BG73" s="3"/>
    </row>
    <row r="74" spans="1:59" ht="15">
      <c r="A74" s="65" t="s">
        <v>267</v>
      </c>
      <c r="B74" s="66"/>
      <c r="C74" s="66"/>
      <c r="D74" s="67">
        <v>161.06355600399283</v>
      </c>
      <c r="E74" s="69"/>
      <c r="F74" s="96" t="str">
        <f>HYPERLINK("https://i.ytimg.com/vi/3FmQaLFgep8/default.jpg")</f>
        <v>https://i.ytimg.com/vi/3FmQaLFgep8/default.jpg</v>
      </c>
      <c r="G74" s="66"/>
      <c r="H74" s="70" t="s">
        <v>375</v>
      </c>
      <c r="I74" s="71"/>
      <c r="J74" s="71" t="s">
        <v>75</v>
      </c>
      <c r="K74" s="70" t="s">
        <v>375</v>
      </c>
      <c r="L74" s="74">
        <v>31.408158397386266</v>
      </c>
      <c r="M74" s="75">
        <v>5298.7177734375</v>
      </c>
      <c r="N74" s="75">
        <v>2640.115478515625</v>
      </c>
      <c r="O74" s="76"/>
      <c r="P74" s="77"/>
      <c r="Q74" s="77"/>
      <c r="R74" s="82"/>
      <c r="S74" s="49">
        <v>8</v>
      </c>
      <c r="T74" s="49">
        <v>11</v>
      </c>
      <c r="U74" s="50">
        <v>7.834475</v>
      </c>
      <c r="V74" s="50">
        <v>0.003021</v>
      </c>
      <c r="W74" s="50">
        <v>0.000422</v>
      </c>
      <c r="X74" s="50">
        <v>1.124137</v>
      </c>
      <c r="Y74" s="50">
        <v>0.47076023391812866</v>
      </c>
      <c r="Z74" s="50">
        <v>0</v>
      </c>
      <c r="AA74" s="72">
        <v>74</v>
      </c>
      <c r="AB74" s="72"/>
      <c r="AC74" s="73"/>
      <c r="AD74" s="80" t="s">
        <v>375</v>
      </c>
      <c r="AE74" s="80" t="s">
        <v>452</v>
      </c>
      <c r="AF74" s="80"/>
      <c r="AG74" s="80" t="s">
        <v>539</v>
      </c>
      <c r="AH74" s="80" t="s">
        <v>624</v>
      </c>
      <c r="AI74" s="80">
        <v>377</v>
      </c>
      <c r="AJ74" s="80">
        <v>0</v>
      </c>
      <c r="AK74" s="80">
        <v>4</v>
      </c>
      <c r="AL74" s="80">
        <v>0</v>
      </c>
      <c r="AM74" s="80" t="s">
        <v>634</v>
      </c>
      <c r="AN74" s="98" t="str">
        <f>HYPERLINK("https://www.youtube.com/watch?v=3FmQaLFgep8")</f>
        <v>https://www.youtube.com/watch?v=3FmQaLFgep8</v>
      </c>
      <c r="AO74" s="80" t="str">
        <f>REPLACE(INDEX(GroupVertices[Group],MATCH(Vertices[[#This Row],[Vertex]],GroupVertices[Vertex],0)),1,1,"")</f>
        <v>3</v>
      </c>
      <c r="AP74" s="49">
        <v>0</v>
      </c>
      <c r="AQ74" s="50">
        <v>0</v>
      </c>
      <c r="AR74" s="49">
        <v>0</v>
      </c>
      <c r="AS74" s="50">
        <v>0</v>
      </c>
      <c r="AT74" s="49">
        <v>0</v>
      </c>
      <c r="AU74" s="50">
        <v>0</v>
      </c>
      <c r="AV74" s="49">
        <v>10</v>
      </c>
      <c r="AW74" s="50">
        <v>100</v>
      </c>
      <c r="AX74" s="49">
        <v>10</v>
      </c>
      <c r="AY74" s="120" t="s">
        <v>2109</v>
      </c>
      <c r="AZ74" s="120" t="s">
        <v>2109</v>
      </c>
      <c r="BA74" s="120" t="s">
        <v>2109</v>
      </c>
      <c r="BB74" s="120" t="s">
        <v>2109</v>
      </c>
      <c r="BC74" s="2"/>
      <c r="BD74" s="3"/>
      <c r="BE74" s="3"/>
      <c r="BF74" s="3"/>
      <c r="BG74" s="3"/>
    </row>
    <row r="75" spans="1:59" ht="15">
      <c r="A75" s="65" t="s">
        <v>268</v>
      </c>
      <c r="B75" s="66"/>
      <c r="C75" s="66"/>
      <c r="D75" s="67">
        <v>161.06355600399283</v>
      </c>
      <c r="E75" s="69"/>
      <c r="F75" s="96" t="str">
        <f>HYPERLINK("https://i.ytimg.com/vi/2GOnF26Zlcs/default.jpg")</f>
        <v>https://i.ytimg.com/vi/2GOnF26Zlcs/default.jpg</v>
      </c>
      <c r="G75" s="66"/>
      <c r="H75" s="70" t="s">
        <v>376</v>
      </c>
      <c r="I75" s="71"/>
      <c r="J75" s="71" t="s">
        <v>75</v>
      </c>
      <c r="K75" s="70" t="s">
        <v>376</v>
      </c>
      <c r="L75" s="74">
        <v>31.408158397386266</v>
      </c>
      <c r="M75" s="75">
        <v>6003.22216796875</v>
      </c>
      <c r="N75" s="75">
        <v>3553.524169921875</v>
      </c>
      <c r="O75" s="76"/>
      <c r="P75" s="77"/>
      <c r="Q75" s="77"/>
      <c r="R75" s="82"/>
      <c r="S75" s="49">
        <v>7</v>
      </c>
      <c r="T75" s="49">
        <v>12</v>
      </c>
      <c r="U75" s="50">
        <v>7.834475</v>
      </c>
      <c r="V75" s="50">
        <v>0.003021</v>
      </c>
      <c r="W75" s="50">
        <v>0.000422</v>
      </c>
      <c r="X75" s="50">
        <v>1.124137</v>
      </c>
      <c r="Y75" s="50">
        <v>0.47076023391812866</v>
      </c>
      <c r="Z75" s="50">
        <v>0</v>
      </c>
      <c r="AA75" s="72">
        <v>75</v>
      </c>
      <c r="AB75" s="72"/>
      <c r="AC75" s="73"/>
      <c r="AD75" s="80" t="s">
        <v>376</v>
      </c>
      <c r="AE75" s="80" t="s">
        <v>453</v>
      </c>
      <c r="AF75" s="80"/>
      <c r="AG75" s="80" t="s">
        <v>539</v>
      </c>
      <c r="AH75" s="80" t="s">
        <v>625</v>
      </c>
      <c r="AI75" s="80">
        <v>86</v>
      </c>
      <c r="AJ75" s="80">
        <v>0</v>
      </c>
      <c r="AK75" s="80">
        <v>2</v>
      </c>
      <c r="AL75" s="80">
        <v>0</v>
      </c>
      <c r="AM75" s="80" t="s">
        <v>634</v>
      </c>
      <c r="AN75" s="98" t="str">
        <f>HYPERLINK("https://www.youtube.com/watch?v=2GOnF26Zlcs")</f>
        <v>https://www.youtube.com/watch?v=2GOnF26Zlcs</v>
      </c>
      <c r="AO75" s="80" t="str">
        <f>REPLACE(INDEX(GroupVertices[Group],MATCH(Vertices[[#This Row],[Vertex]],GroupVertices[Vertex],0)),1,1,"")</f>
        <v>3</v>
      </c>
      <c r="AP75" s="49">
        <v>0</v>
      </c>
      <c r="AQ75" s="50">
        <v>0</v>
      </c>
      <c r="AR75" s="49">
        <v>1</v>
      </c>
      <c r="AS75" s="50">
        <v>1.7857142857142858</v>
      </c>
      <c r="AT75" s="49">
        <v>0</v>
      </c>
      <c r="AU75" s="50">
        <v>0</v>
      </c>
      <c r="AV75" s="49">
        <v>55</v>
      </c>
      <c r="AW75" s="50">
        <v>98.21428571428571</v>
      </c>
      <c r="AX75" s="49">
        <v>56</v>
      </c>
      <c r="AY75" s="120" t="s">
        <v>2109</v>
      </c>
      <c r="AZ75" s="120" t="s">
        <v>2109</v>
      </c>
      <c r="BA75" s="120" t="s">
        <v>2109</v>
      </c>
      <c r="BB75" s="120" t="s">
        <v>2109</v>
      </c>
      <c r="BC75" s="2"/>
      <c r="BD75" s="3"/>
      <c r="BE75" s="3"/>
      <c r="BF75" s="3"/>
      <c r="BG75" s="3"/>
    </row>
    <row r="76" spans="1:59" ht="15">
      <c r="A76" s="65" t="s">
        <v>269</v>
      </c>
      <c r="B76" s="66"/>
      <c r="C76" s="66"/>
      <c r="D76" s="67">
        <v>161.06355600399283</v>
      </c>
      <c r="E76" s="69"/>
      <c r="F76" s="96" t="str">
        <f>HYPERLINK("https://i.ytimg.com/vi/rDmarJf_gio/default.jpg")</f>
        <v>https://i.ytimg.com/vi/rDmarJf_gio/default.jpg</v>
      </c>
      <c r="G76" s="66"/>
      <c r="H76" s="70" t="s">
        <v>377</v>
      </c>
      <c r="I76" s="71"/>
      <c r="J76" s="71" t="s">
        <v>75</v>
      </c>
      <c r="K76" s="70" t="s">
        <v>377</v>
      </c>
      <c r="L76" s="74">
        <v>31.408158397386266</v>
      </c>
      <c r="M76" s="75">
        <v>6044.7275390625</v>
      </c>
      <c r="N76" s="75">
        <v>2002.4161376953125</v>
      </c>
      <c r="O76" s="76"/>
      <c r="P76" s="77"/>
      <c r="Q76" s="77"/>
      <c r="R76" s="82"/>
      <c r="S76" s="49">
        <v>6</v>
      </c>
      <c r="T76" s="49">
        <v>13</v>
      </c>
      <c r="U76" s="50">
        <v>7.834475</v>
      </c>
      <c r="V76" s="50">
        <v>0.003021</v>
      </c>
      <c r="W76" s="50">
        <v>0.000422</v>
      </c>
      <c r="X76" s="50">
        <v>1.124137</v>
      </c>
      <c r="Y76" s="50">
        <v>0.47076023391812866</v>
      </c>
      <c r="Z76" s="50">
        <v>0</v>
      </c>
      <c r="AA76" s="72">
        <v>76</v>
      </c>
      <c r="AB76" s="72"/>
      <c r="AC76" s="73"/>
      <c r="AD76" s="80" t="s">
        <v>377</v>
      </c>
      <c r="AE76" s="80" t="s">
        <v>454</v>
      </c>
      <c r="AF76" s="80" t="s">
        <v>504</v>
      </c>
      <c r="AG76" s="80" t="s">
        <v>539</v>
      </c>
      <c r="AH76" s="80" t="s">
        <v>626</v>
      </c>
      <c r="AI76" s="80">
        <v>210</v>
      </c>
      <c r="AJ76" s="80">
        <v>1</v>
      </c>
      <c r="AK76" s="80">
        <v>10</v>
      </c>
      <c r="AL76" s="80">
        <v>0</v>
      </c>
      <c r="AM76" s="80" t="s">
        <v>634</v>
      </c>
      <c r="AN76" s="98" t="str">
        <f>HYPERLINK("https://www.youtube.com/watch?v=rDmarJf_gio")</f>
        <v>https://www.youtube.com/watch?v=rDmarJf_gio</v>
      </c>
      <c r="AO76" s="80" t="str">
        <f>REPLACE(INDEX(GroupVertices[Group],MATCH(Vertices[[#This Row],[Vertex]],GroupVertices[Vertex],0)),1,1,"")</f>
        <v>3</v>
      </c>
      <c r="AP76" s="49">
        <v>5</v>
      </c>
      <c r="AQ76" s="50">
        <v>6.024096385542169</v>
      </c>
      <c r="AR76" s="49">
        <v>0</v>
      </c>
      <c r="AS76" s="50">
        <v>0</v>
      </c>
      <c r="AT76" s="49">
        <v>0</v>
      </c>
      <c r="AU76" s="50">
        <v>0</v>
      </c>
      <c r="AV76" s="49">
        <v>78</v>
      </c>
      <c r="AW76" s="50">
        <v>93.97590361445783</v>
      </c>
      <c r="AX76" s="49">
        <v>83</v>
      </c>
      <c r="AY76" s="120" t="s">
        <v>2109</v>
      </c>
      <c r="AZ76" s="120" t="s">
        <v>2109</v>
      </c>
      <c r="BA76" s="120" t="s">
        <v>2109</v>
      </c>
      <c r="BB76" s="120" t="s">
        <v>2109</v>
      </c>
      <c r="BC76" s="2"/>
      <c r="BD76" s="3"/>
      <c r="BE76" s="3"/>
      <c r="BF76" s="3"/>
      <c r="BG76" s="3"/>
    </row>
    <row r="77" spans="1:59" ht="15">
      <c r="A77" s="65" t="s">
        <v>270</v>
      </c>
      <c r="B77" s="66"/>
      <c r="C77" s="66"/>
      <c r="D77" s="67">
        <v>161.06355600399283</v>
      </c>
      <c r="E77" s="69"/>
      <c r="F77" s="96" t="str">
        <f>HYPERLINK("https://i.ytimg.com/vi/11XcwRA_Lv8/default.jpg")</f>
        <v>https://i.ytimg.com/vi/11XcwRA_Lv8/default.jpg</v>
      </c>
      <c r="G77" s="66"/>
      <c r="H77" s="70" t="s">
        <v>378</v>
      </c>
      <c r="I77" s="71"/>
      <c r="J77" s="71" t="s">
        <v>75</v>
      </c>
      <c r="K77" s="70" t="s">
        <v>378</v>
      </c>
      <c r="L77" s="74">
        <v>31.408158397386266</v>
      </c>
      <c r="M77" s="75">
        <v>6080.14794921875</v>
      </c>
      <c r="N77" s="75">
        <v>2734.64404296875</v>
      </c>
      <c r="O77" s="76"/>
      <c r="P77" s="77"/>
      <c r="Q77" s="77"/>
      <c r="R77" s="82"/>
      <c r="S77" s="49">
        <v>4</v>
      </c>
      <c r="T77" s="49">
        <v>15</v>
      </c>
      <c r="U77" s="50">
        <v>7.834475</v>
      </c>
      <c r="V77" s="50">
        <v>0.003021</v>
      </c>
      <c r="W77" s="50">
        <v>0.000422</v>
      </c>
      <c r="X77" s="50">
        <v>1.124137</v>
      </c>
      <c r="Y77" s="50">
        <v>0.47076023391812866</v>
      </c>
      <c r="Z77" s="50">
        <v>0</v>
      </c>
      <c r="AA77" s="72">
        <v>77</v>
      </c>
      <c r="AB77" s="72"/>
      <c r="AC77" s="73"/>
      <c r="AD77" s="80" t="s">
        <v>378</v>
      </c>
      <c r="AE77" s="80" t="s">
        <v>455</v>
      </c>
      <c r="AF77" s="80"/>
      <c r="AG77" s="80" t="s">
        <v>539</v>
      </c>
      <c r="AH77" s="80" t="s">
        <v>627</v>
      </c>
      <c r="AI77" s="80">
        <v>190</v>
      </c>
      <c r="AJ77" s="80">
        <v>1</v>
      </c>
      <c r="AK77" s="80">
        <v>3</v>
      </c>
      <c r="AL77" s="80">
        <v>1</v>
      </c>
      <c r="AM77" s="80" t="s">
        <v>634</v>
      </c>
      <c r="AN77" s="98" t="str">
        <f>HYPERLINK("https://www.youtube.com/watch?v=11XcwRA_Lv8")</f>
        <v>https://www.youtube.com/watch?v=11XcwRA_Lv8</v>
      </c>
      <c r="AO77" s="80" t="str">
        <f>REPLACE(INDEX(GroupVertices[Group],MATCH(Vertices[[#This Row],[Vertex]],GroupVertices[Vertex],0)),1,1,"")</f>
        <v>3</v>
      </c>
      <c r="AP77" s="49">
        <v>5</v>
      </c>
      <c r="AQ77" s="50">
        <v>4.065040650406504</v>
      </c>
      <c r="AR77" s="49">
        <v>1</v>
      </c>
      <c r="AS77" s="50">
        <v>0.8130081300813008</v>
      </c>
      <c r="AT77" s="49">
        <v>0</v>
      </c>
      <c r="AU77" s="50">
        <v>0</v>
      </c>
      <c r="AV77" s="49">
        <v>117</v>
      </c>
      <c r="AW77" s="50">
        <v>95.1219512195122</v>
      </c>
      <c r="AX77" s="49">
        <v>123</v>
      </c>
      <c r="AY77" s="120" t="s">
        <v>2109</v>
      </c>
      <c r="AZ77" s="120" t="s">
        <v>2109</v>
      </c>
      <c r="BA77" s="120" t="s">
        <v>2109</v>
      </c>
      <c r="BB77" s="120" t="s">
        <v>2109</v>
      </c>
      <c r="BC77" s="2"/>
      <c r="BD77" s="3"/>
      <c r="BE77" s="3"/>
      <c r="BF77" s="3"/>
      <c r="BG77" s="3"/>
    </row>
    <row r="78" spans="1:59" ht="15">
      <c r="A78" s="65" t="s">
        <v>271</v>
      </c>
      <c r="B78" s="66"/>
      <c r="C78" s="66"/>
      <c r="D78" s="67">
        <v>150.52956113862095</v>
      </c>
      <c r="E78" s="69"/>
      <c r="F78" s="96" t="str">
        <f>HYPERLINK("https://i.ytimg.com/vi/V8LnNXsUaUQ/default.jpg")</f>
        <v>https://i.ytimg.com/vi/V8LnNXsUaUQ/default.jpg</v>
      </c>
      <c r="G78" s="66"/>
      <c r="H78" s="70" t="s">
        <v>379</v>
      </c>
      <c r="I78" s="71"/>
      <c r="J78" s="71" t="s">
        <v>75</v>
      </c>
      <c r="K78" s="70" t="s">
        <v>379</v>
      </c>
      <c r="L78" s="74">
        <v>2.455497579482971</v>
      </c>
      <c r="M78" s="75">
        <v>5532.2705078125</v>
      </c>
      <c r="N78" s="75">
        <v>4975.57421875</v>
      </c>
      <c r="O78" s="76"/>
      <c r="P78" s="77"/>
      <c r="Q78" s="77"/>
      <c r="R78" s="82"/>
      <c r="S78" s="49">
        <v>3</v>
      </c>
      <c r="T78" s="49">
        <v>15</v>
      </c>
      <c r="U78" s="50">
        <v>0.375</v>
      </c>
      <c r="V78" s="50">
        <v>0.003012</v>
      </c>
      <c r="W78" s="50">
        <v>0.000417</v>
      </c>
      <c r="X78" s="50">
        <v>1.069024</v>
      </c>
      <c r="Y78" s="50">
        <v>0.4934640522875817</v>
      </c>
      <c r="Z78" s="50">
        <v>0</v>
      </c>
      <c r="AA78" s="72">
        <v>78</v>
      </c>
      <c r="AB78" s="72"/>
      <c r="AC78" s="73"/>
      <c r="AD78" s="80" t="s">
        <v>379</v>
      </c>
      <c r="AE78" s="80" t="s">
        <v>456</v>
      </c>
      <c r="AF78" s="80"/>
      <c r="AG78" s="80" t="s">
        <v>539</v>
      </c>
      <c r="AH78" s="80" t="s">
        <v>628</v>
      </c>
      <c r="AI78" s="80">
        <v>277</v>
      </c>
      <c r="AJ78" s="80">
        <v>0</v>
      </c>
      <c r="AK78" s="80">
        <v>11</v>
      </c>
      <c r="AL78" s="80">
        <v>0</v>
      </c>
      <c r="AM78" s="80" t="s">
        <v>634</v>
      </c>
      <c r="AN78" s="98" t="str">
        <f>HYPERLINK("https://www.youtube.com/watch?v=V8LnNXsUaUQ")</f>
        <v>https://www.youtube.com/watch?v=V8LnNXsUaUQ</v>
      </c>
      <c r="AO78" s="80" t="str">
        <f>REPLACE(INDEX(GroupVertices[Group],MATCH(Vertices[[#This Row],[Vertex]],GroupVertices[Vertex],0)),1,1,"")</f>
        <v>3</v>
      </c>
      <c r="AP78" s="49">
        <v>0</v>
      </c>
      <c r="AQ78" s="50">
        <v>0</v>
      </c>
      <c r="AR78" s="49">
        <v>1</v>
      </c>
      <c r="AS78" s="50">
        <v>1.7857142857142858</v>
      </c>
      <c r="AT78" s="49">
        <v>0</v>
      </c>
      <c r="AU78" s="50">
        <v>0</v>
      </c>
      <c r="AV78" s="49">
        <v>55</v>
      </c>
      <c r="AW78" s="50">
        <v>98.21428571428571</v>
      </c>
      <c r="AX78" s="49">
        <v>56</v>
      </c>
      <c r="AY78" s="120" t="s">
        <v>2109</v>
      </c>
      <c r="AZ78" s="120" t="s">
        <v>2109</v>
      </c>
      <c r="BA78" s="120" t="s">
        <v>2109</v>
      </c>
      <c r="BB78" s="120" t="s">
        <v>2109</v>
      </c>
      <c r="BC78" s="2"/>
      <c r="BD78" s="3"/>
      <c r="BE78" s="3"/>
      <c r="BF78" s="3"/>
      <c r="BG78" s="3"/>
    </row>
    <row r="79" spans="1:59" ht="15">
      <c r="A79" s="65" t="s">
        <v>272</v>
      </c>
      <c r="B79" s="66"/>
      <c r="C79" s="66"/>
      <c r="D79" s="67">
        <v>161.06355600399283</v>
      </c>
      <c r="E79" s="69"/>
      <c r="F79" s="96" t="str">
        <f>HYPERLINK("https://i.ytimg.com/vi/HFPwIhMOvbQ/default.jpg")</f>
        <v>https://i.ytimg.com/vi/HFPwIhMOvbQ/default.jpg</v>
      </c>
      <c r="G79" s="66"/>
      <c r="H79" s="70" t="s">
        <v>380</v>
      </c>
      <c r="I79" s="71"/>
      <c r="J79" s="71" t="s">
        <v>75</v>
      </c>
      <c r="K79" s="70" t="s">
        <v>380</v>
      </c>
      <c r="L79" s="74">
        <v>31.408158397386266</v>
      </c>
      <c r="M79" s="75">
        <v>5471.1923828125</v>
      </c>
      <c r="N79" s="75">
        <v>1847.3856201171875</v>
      </c>
      <c r="O79" s="76"/>
      <c r="P79" s="77"/>
      <c r="Q79" s="77"/>
      <c r="R79" s="82"/>
      <c r="S79" s="49">
        <v>2</v>
      </c>
      <c r="T79" s="49">
        <v>17</v>
      </c>
      <c r="U79" s="50">
        <v>7.834475</v>
      </c>
      <c r="V79" s="50">
        <v>0.003021</v>
      </c>
      <c r="W79" s="50">
        <v>0.000422</v>
      </c>
      <c r="X79" s="50">
        <v>1.124137</v>
      </c>
      <c r="Y79" s="50">
        <v>0.47076023391812866</v>
      </c>
      <c r="Z79" s="50">
        <v>0</v>
      </c>
      <c r="AA79" s="72">
        <v>79</v>
      </c>
      <c r="AB79" s="72"/>
      <c r="AC79" s="73"/>
      <c r="AD79" s="80" t="s">
        <v>380</v>
      </c>
      <c r="AE79" s="80"/>
      <c r="AF79" s="80"/>
      <c r="AG79" s="80" t="s">
        <v>539</v>
      </c>
      <c r="AH79" s="80" t="s">
        <v>629</v>
      </c>
      <c r="AI79" s="80">
        <v>198</v>
      </c>
      <c r="AJ79" s="80">
        <v>0</v>
      </c>
      <c r="AK79" s="80">
        <v>11</v>
      </c>
      <c r="AL79" s="80">
        <v>0</v>
      </c>
      <c r="AM79" s="80" t="s">
        <v>634</v>
      </c>
      <c r="AN79" s="98" t="str">
        <f>HYPERLINK("https://www.youtube.com/watch?v=HFPwIhMOvbQ")</f>
        <v>https://www.youtube.com/watch?v=HFPwIhMOvbQ</v>
      </c>
      <c r="AO79" s="80" t="str">
        <f>REPLACE(INDEX(GroupVertices[Group],MATCH(Vertices[[#This Row],[Vertex]],GroupVertices[Vertex],0)),1,1,"")</f>
        <v>3</v>
      </c>
      <c r="AP79" s="49"/>
      <c r="AQ79" s="50"/>
      <c r="AR79" s="49"/>
      <c r="AS79" s="50"/>
      <c r="AT79" s="49"/>
      <c r="AU79" s="50"/>
      <c r="AV79" s="49"/>
      <c r="AW79" s="50"/>
      <c r="AX79" s="49"/>
      <c r="AY79" s="120" t="s">
        <v>2109</v>
      </c>
      <c r="AZ79" s="120" t="s">
        <v>2109</v>
      </c>
      <c r="BA79" s="120" t="s">
        <v>2109</v>
      </c>
      <c r="BB79" s="120" t="s">
        <v>2109</v>
      </c>
      <c r="BC79" s="2"/>
      <c r="BD79" s="3"/>
      <c r="BE79" s="3"/>
      <c r="BF79" s="3"/>
      <c r="BG79" s="3"/>
    </row>
    <row r="80" spans="1:59" ht="15">
      <c r="A80" s="65" t="s">
        <v>273</v>
      </c>
      <c r="B80" s="66"/>
      <c r="C80" s="66"/>
      <c r="D80" s="67">
        <v>477.3880761402357</v>
      </c>
      <c r="E80" s="69"/>
      <c r="F80" s="96" t="str">
        <f>HYPERLINK("https://i.ytimg.com/vi/X2WiIHZZfTU/default.jpg")</f>
        <v>https://i.ytimg.com/vi/X2WiIHZZfTU/default.jpg</v>
      </c>
      <c r="G80" s="66"/>
      <c r="H80" s="70" t="s">
        <v>381</v>
      </c>
      <c r="I80" s="71"/>
      <c r="J80" s="71" t="s">
        <v>75</v>
      </c>
      <c r="K80" s="70" t="s">
        <v>381</v>
      </c>
      <c r="L80" s="74">
        <v>900.8253792085476</v>
      </c>
      <c r="M80" s="75">
        <v>6347.77294921875</v>
      </c>
      <c r="N80" s="75">
        <v>2932.741455078125</v>
      </c>
      <c r="O80" s="76"/>
      <c r="P80" s="77"/>
      <c r="Q80" s="77"/>
      <c r="R80" s="82"/>
      <c r="S80" s="49">
        <v>0</v>
      </c>
      <c r="T80" s="49">
        <v>20</v>
      </c>
      <c r="U80" s="50">
        <v>231.834475</v>
      </c>
      <c r="V80" s="50">
        <v>0.00303</v>
      </c>
      <c r="W80" s="50">
        <v>0.000423</v>
      </c>
      <c r="X80" s="50">
        <v>1.29368</v>
      </c>
      <c r="Y80" s="50">
        <v>0.4236842105263158</v>
      </c>
      <c r="Z80" s="50">
        <v>0</v>
      </c>
      <c r="AA80" s="72">
        <v>80</v>
      </c>
      <c r="AB80" s="72"/>
      <c r="AC80" s="73"/>
      <c r="AD80" s="80" t="s">
        <v>381</v>
      </c>
      <c r="AE80" s="80" t="s">
        <v>457</v>
      </c>
      <c r="AF80" s="80"/>
      <c r="AG80" s="80" t="s">
        <v>539</v>
      </c>
      <c r="AH80" s="80" t="s">
        <v>630</v>
      </c>
      <c r="AI80" s="80">
        <v>82</v>
      </c>
      <c r="AJ80" s="80">
        <v>0</v>
      </c>
      <c r="AK80" s="80">
        <v>1</v>
      </c>
      <c r="AL80" s="80">
        <v>0</v>
      </c>
      <c r="AM80" s="80" t="s">
        <v>634</v>
      </c>
      <c r="AN80" s="98" t="str">
        <f>HYPERLINK("https://www.youtube.com/watch?v=X2WiIHZZfTU")</f>
        <v>https://www.youtube.com/watch?v=X2WiIHZZfTU</v>
      </c>
      <c r="AO80" s="80" t="str">
        <f>REPLACE(INDEX(GroupVertices[Group],MATCH(Vertices[[#This Row],[Vertex]],GroupVertices[Vertex],0)),1,1,"")</f>
        <v>3</v>
      </c>
      <c r="AP80" s="49">
        <v>0</v>
      </c>
      <c r="AQ80" s="50">
        <v>0</v>
      </c>
      <c r="AR80" s="49">
        <v>0</v>
      </c>
      <c r="AS80" s="50">
        <v>0</v>
      </c>
      <c r="AT80" s="49">
        <v>0</v>
      </c>
      <c r="AU80" s="50">
        <v>0</v>
      </c>
      <c r="AV80" s="49">
        <v>23</v>
      </c>
      <c r="AW80" s="50">
        <v>100</v>
      </c>
      <c r="AX80" s="49">
        <v>23</v>
      </c>
      <c r="AY80" s="120" t="s">
        <v>2109</v>
      </c>
      <c r="AZ80" s="120" t="s">
        <v>2109</v>
      </c>
      <c r="BA80" s="120" t="s">
        <v>2109</v>
      </c>
      <c r="BB80" s="120" t="s">
        <v>2109</v>
      </c>
      <c r="BC80" s="2"/>
      <c r="BD80" s="3"/>
      <c r="BE80" s="3"/>
      <c r="BF80" s="3"/>
      <c r="BG80" s="3"/>
    </row>
    <row r="81" spans="1:59" ht="15">
      <c r="A81" s="65" t="s">
        <v>274</v>
      </c>
      <c r="B81" s="66"/>
      <c r="C81" s="66"/>
      <c r="D81" s="67">
        <v>150</v>
      </c>
      <c r="E81" s="69"/>
      <c r="F81" s="96" t="str">
        <f>HYPERLINK("https://i.ytimg.com/vi/FyVl3lg6mUY/default.jpg")</f>
        <v>https://i.ytimg.com/vi/FyVl3lg6mUY/default.jpg</v>
      </c>
      <c r="G81" s="66"/>
      <c r="H81" s="70" t="s">
        <v>382</v>
      </c>
      <c r="I81" s="71"/>
      <c r="J81" s="71" t="s">
        <v>159</v>
      </c>
      <c r="K81" s="70" t="s">
        <v>382</v>
      </c>
      <c r="L81" s="74">
        <v>1</v>
      </c>
      <c r="M81" s="75">
        <v>5736.84130859375</v>
      </c>
      <c r="N81" s="75">
        <v>182.78553771972656</v>
      </c>
      <c r="O81" s="76"/>
      <c r="P81" s="77"/>
      <c r="Q81" s="77"/>
      <c r="R81" s="82"/>
      <c r="S81" s="49">
        <v>4</v>
      </c>
      <c r="T81" s="49">
        <v>7</v>
      </c>
      <c r="U81" s="50">
        <v>0</v>
      </c>
      <c r="V81" s="50">
        <v>0.002646</v>
      </c>
      <c r="W81" s="50">
        <v>0.000168</v>
      </c>
      <c r="X81" s="50">
        <v>0.710755</v>
      </c>
      <c r="Y81" s="50">
        <v>0.5</v>
      </c>
      <c r="Z81" s="50">
        <v>0</v>
      </c>
      <c r="AA81" s="72">
        <v>81</v>
      </c>
      <c r="AB81" s="72"/>
      <c r="AC81" s="73"/>
      <c r="AD81" s="80" t="s">
        <v>382</v>
      </c>
      <c r="AE81" s="80" t="s">
        <v>458</v>
      </c>
      <c r="AF81" s="80"/>
      <c r="AG81" s="80" t="s">
        <v>539</v>
      </c>
      <c r="AH81" s="80" t="s">
        <v>631</v>
      </c>
      <c r="AI81" s="80">
        <v>471</v>
      </c>
      <c r="AJ81" s="80">
        <v>0</v>
      </c>
      <c r="AK81" s="80">
        <v>6</v>
      </c>
      <c r="AL81" s="80">
        <v>0</v>
      </c>
      <c r="AM81" s="80" t="s">
        <v>634</v>
      </c>
      <c r="AN81" s="98" t="str">
        <f>HYPERLINK("https://www.youtube.com/watch?v=FyVl3lg6mUY")</f>
        <v>https://www.youtube.com/watch?v=FyVl3lg6mUY</v>
      </c>
      <c r="AO81" s="80" t="str">
        <f>REPLACE(INDEX(GroupVertices[Group],MATCH(Vertices[[#This Row],[Vertex]],GroupVertices[Vertex],0)),1,1,"")</f>
        <v>3</v>
      </c>
      <c r="AP81" s="49">
        <v>5</v>
      </c>
      <c r="AQ81" s="50">
        <v>4.716981132075472</v>
      </c>
      <c r="AR81" s="49">
        <v>0</v>
      </c>
      <c r="AS81" s="50">
        <v>0</v>
      </c>
      <c r="AT81" s="49">
        <v>0</v>
      </c>
      <c r="AU81" s="50">
        <v>0</v>
      </c>
      <c r="AV81" s="49">
        <v>101</v>
      </c>
      <c r="AW81" s="50">
        <v>95.28301886792453</v>
      </c>
      <c r="AX81" s="49">
        <v>106</v>
      </c>
      <c r="AY81" s="120" t="s">
        <v>2109</v>
      </c>
      <c r="AZ81" s="120" t="s">
        <v>2109</v>
      </c>
      <c r="BA81" s="120" t="s">
        <v>2109</v>
      </c>
      <c r="BB81" s="120" t="s">
        <v>2109</v>
      </c>
      <c r="BC81" s="2"/>
      <c r="BD81" s="3"/>
      <c r="BE81" s="3"/>
      <c r="BF81" s="3"/>
      <c r="BG81" s="3"/>
    </row>
    <row r="82" spans="1:59" ht="15">
      <c r="A82" s="83" t="s">
        <v>290</v>
      </c>
      <c r="B82" s="84"/>
      <c r="C82" s="84"/>
      <c r="D82" s="85">
        <v>150</v>
      </c>
      <c r="E82" s="86"/>
      <c r="F82" s="97" t="str">
        <f>HYPERLINK("https://i.ytimg.com/vi/1j7h-GHaKo4/default.jpg")</f>
        <v>https://i.ytimg.com/vi/1j7h-GHaKo4/default.jpg</v>
      </c>
      <c r="G82" s="84"/>
      <c r="H82" s="87" t="s">
        <v>383</v>
      </c>
      <c r="I82" s="88"/>
      <c r="J82" s="88" t="s">
        <v>159</v>
      </c>
      <c r="K82" s="87" t="s">
        <v>383</v>
      </c>
      <c r="L82" s="89">
        <v>1</v>
      </c>
      <c r="M82" s="90">
        <v>7366.56689453125</v>
      </c>
      <c r="N82" s="90">
        <v>1935.2056884765625</v>
      </c>
      <c r="O82" s="91"/>
      <c r="P82" s="92"/>
      <c r="Q82" s="92"/>
      <c r="R82" s="93"/>
      <c r="S82" s="49">
        <v>1</v>
      </c>
      <c r="T82" s="49">
        <v>0</v>
      </c>
      <c r="U82" s="50">
        <v>0</v>
      </c>
      <c r="V82" s="50">
        <v>0.002262</v>
      </c>
      <c r="W82" s="50">
        <v>1.4E-05</v>
      </c>
      <c r="X82" s="50">
        <v>0.204981</v>
      </c>
      <c r="Y82" s="50">
        <v>0</v>
      </c>
      <c r="Z82" s="50">
        <v>0</v>
      </c>
      <c r="AA82" s="94">
        <v>82</v>
      </c>
      <c r="AB82" s="94"/>
      <c r="AC82" s="95"/>
      <c r="AD82" s="80" t="s">
        <v>383</v>
      </c>
      <c r="AE82" s="80" t="s">
        <v>459</v>
      </c>
      <c r="AF82" s="80" t="s">
        <v>505</v>
      </c>
      <c r="AG82" s="80" t="s">
        <v>553</v>
      </c>
      <c r="AH82" s="80" t="s">
        <v>632</v>
      </c>
      <c r="AI82" s="80">
        <v>675</v>
      </c>
      <c r="AJ82" s="80">
        <v>0</v>
      </c>
      <c r="AK82" s="80">
        <v>9</v>
      </c>
      <c r="AL82" s="80">
        <v>1</v>
      </c>
      <c r="AM82" s="80" t="s">
        <v>634</v>
      </c>
      <c r="AN82" s="98" t="str">
        <f>HYPERLINK("https://www.youtube.com/watch?v=1j7h-GHaKo4")</f>
        <v>https://www.youtube.com/watch?v=1j7h-GHaKo4</v>
      </c>
      <c r="AO82" s="80" t="str">
        <f>REPLACE(INDEX(GroupVertices[Group],MATCH(Vertices[[#This Row],[Vertex]],GroupVertices[Vertex],0)),1,1,"")</f>
        <v>3</v>
      </c>
      <c r="AP82" s="49">
        <v>9</v>
      </c>
      <c r="AQ82" s="50">
        <v>3.982300884955752</v>
      </c>
      <c r="AR82" s="49">
        <v>2</v>
      </c>
      <c r="AS82" s="50">
        <v>0.8849557522123894</v>
      </c>
      <c r="AT82" s="49">
        <v>0</v>
      </c>
      <c r="AU82" s="50">
        <v>0</v>
      </c>
      <c r="AV82" s="49">
        <v>215</v>
      </c>
      <c r="AW82" s="50">
        <v>95.13274336283186</v>
      </c>
      <c r="AX82" s="49">
        <v>226</v>
      </c>
      <c r="AY82" s="49"/>
      <c r="AZ82" s="49"/>
      <c r="BA82" s="49"/>
      <c r="BB82" s="49"/>
      <c r="BC82" s="2"/>
      <c r="BD82" s="3"/>
      <c r="BE82" s="3"/>
      <c r="BF82" s="3"/>
      <c r="BG82" s="3"/>
    </row>
    <row r="83" spans="1:54" ht="15">
      <c r="A83" s="65" t="s">
        <v>669</v>
      </c>
      <c r="B83" s="66"/>
      <c r="C83" s="66"/>
      <c r="D83" s="67">
        <v>150</v>
      </c>
      <c r="E83" s="102"/>
      <c r="F83" s="96" t="str">
        <f>HYPERLINK("https://i.ytimg.com/vi/MbuT_TY51_E/default.jpg")</f>
        <v>https://i.ytimg.com/vi/MbuT_TY51_E/default.jpg</v>
      </c>
      <c r="G83" s="103"/>
      <c r="H83" s="70" t="s">
        <v>670</v>
      </c>
      <c r="I83" s="71"/>
      <c r="J83" s="104" t="s">
        <v>159</v>
      </c>
      <c r="K83" s="70" t="s">
        <v>670</v>
      </c>
      <c r="L83" s="105">
        <v>1</v>
      </c>
      <c r="M83" s="75">
        <v>8279.388671875</v>
      </c>
      <c r="N83" s="75">
        <v>9732.701171875</v>
      </c>
      <c r="O83" s="76"/>
      <c r="P83" s="77"/>
      <c r="Q83" s="77"/>
      <c r="R83" s="82"/>
      <c r="S83" s="49">
        <v>1</v>
      </c>
      <c r="T83" s="49">
        <v>0</v>
      </c>
      <c r="U83" s="50">
        <v>0</v>
      </c>
      <c r="V83" s="50">
        <v>0.003086</v>
      </c>
      <c r="W83" s="50">
        <v>0.001047</v>
      </c>
      <c r="X83" s="50">
        <v>0.215395</v>
      </c>
      <c r="Y83" s="50">
        <v>0</v>
      </c>
      <c r="Z83" s="50">
        <v>0</v>
      </c>
      <c r="AA83" s="72">
        <v>83</v>
      </c>
      <c r="AB83" s="72"/>
      <c r="AC83" s="73"/>
      <c r="AD83" s="81" t="s">
        <v>670</v>
      </c>
      <c r="AE83" s="81" t="s">
        <v>704</v>
      </c>
      <c r="AF83" s="81"/>
      <c r="AG83" s="81" t="s">
        <v>764</v>
      </c>
      <c r="AH83" s="81" t="s">
        <v>785</v>
      </c>
      <c r="AI83" s="81">
        <v>4731570</v>
      </c>
      <c r="AJ83" s="81">
        <v>6896</v>
      </c>
      <c r="AK83" s="81">
        <v>91738</v>
      </c>
      <c r="AL83" s="81">
        <v>2926</v>
      </c>
      <c r="AM83" s="81" t="s">
        <v>634</v>
      </c>
      <c r="AN83" s="106" t="str">
        <f>HYPERLINK("https://www.youtube.com/watch?v=MbuT_TY51_E")</f>
        <v>https://www.youtube.com/watch?v=MbuT_TY51_E</v>
      </c>
      <c r="AO83" s="80" t="str">
        <f>REPLACE(INDEX(GroupVertices[Group],MATCH(Vertices[[#This Row],[Vertex]],GroupVertices[Vertex],0)),1,1,"")</f>
        <v>2</v>
      </c>
      <c r="AP83" s="49">
        <v>22</v>
      </c>
      <c r="AQ83" s="50">
        <v>2.460850111856823</v>
      </c>
      <c r="AR83" s="49">
        <v>59</v>
      </c>
      <c r="AS83" s="50">
        <v>6.599552572706935</v>
      </c>
      <c r="AT83" s="49">
        <v>0</v>
      </c>
      <c r="AU83" s="50">
        <v>0</v>
      </c>
      <c r="AV83" s="49">
        <v>813</v>
      </c>
      <c r="AW83" s="50">
        <v>90.93959731543625</v>
      </c>
      <c r="AX83" s="49">
        <v>894</v>
      </c>
      <c r="AY83" s="49"/>
      <c r="AZ83" s="49"/>
      <c r="BA83" s="49"/>
      <c r="BB83" s="49"/>
    </row>
    <row r="84" spans="1:54" ht="15">
      <c r="A84" s="65" t="s">
        <v>650</v>
      </c>
      <c r="B84" s="66"/>
      <c r="C84" s="66"/>
      <c r="D84" s="67">
        <v>150</v>
      </c>
      <c r="E84" s="102"/>
      <c r="F84" s="96" t="str">
        <f>HYPERLINK("https://i.ytimg.com/vi/f0ETgRlnXQ8/default.jpg")</f>
        <v>https://i.ytimg.com/vi/f0ETgRlnXQ8/default.jpg</v>
      </c>
      <c r="G84" s="103"/>
      <c r="H84" s="70" t="s">
        <v>671</v>
      </c>
      <c r="I84" s="71"/>
      <c r="J84" s="104" t="s">
        <v>159</v>
      </c>
      <c r="K84" s="70" t="s">
        <v>671</v>
      </c>
      <c r="L84" s="105">
        <v>1</v>
      </c>
      <c r="M84" s="75">
        <v>7716.154296875</v>
      </c>
      <c r="N84" s="75">
        <v>9816.21484375</v>
      </c>
      <c r="O84" s="76"/>
      <c r="P84" s="77"/>
      <c r="Q84" s="77"/>
      <c r="R84" s="82"/>
      <c r="S84" s="49">
        <v>1</v>
      </c>
      <c r="T84" s="49">
        <v>0</v>
      </c>
      <c r="U84" s="50">
        <v>0</v>
      </c>
      <c r="V84" s="50">
        <v>0.003086</v>
      </c>
      <c r="W84" s="50">
        <v>0.001047</v>
      </c>
      <c r="X84" s="50">
        <v>0.215395</v>
      </c>
      <c r="Y84" s="50">
        <v>0</v>
      </c>
      <c r="Z84" s="50">
        <v>0</v>
      </c>
      <c r="AA84" s="72">
        <v>84</v>
      </c>
      <c r="AB84" s="72"/>
      <c r="AC84" s="73"/>
      <c r="AD84" s="81" t="s">
        <v>671</v>
      </c>
      <c r="AE84" s="81" t="s">
        <v>705</v>
      </c>
      <c r="AF84" s="81" t="s">
        <v>737</v>
      </c>
      <c r="AG84" s="81" t="s">
        <v>525</v>
      </c>
      <c r="AH84" s="81" t="s">
        <v>786</v>
      </c>
      <c r="AI84" s="81">
        <v>586</v>
      </c>
      <c r="AJ84" s="81">
        <v>0</v>
      </c>
      <c r="AK84" s="81">
        <v>12</v>
      </c>
      <c r="AL84" s="81">
        <v>0</v>
      </c>
      <c r="AM84" s="81" t="s">
        <v>634</v>
      </c>
      <c r="AN84" s="106" t="str">
        <f>HYPERLINK("https://www.youtube.com/watch?v=f0ETgRlnXQ8")</f>
        <v>https://www.youtube.com/watch?v=f0ETgRlnXQ8</v>
      </c>
      <c r="AO84" s="80" t="str">
        <f>REPLACE(INDEX(GroupVertices[Group],MATCH(Vertices[[#This Row],[Vertex]],GroupVertices[Vertex],0)),1,1,"")</f>
        <v>2</v>
      </c>
      <c r="AP84" s="49">
        <v>14</v>
      </c>
      <c r="AQ84" s="50">
        <v>6.572769953051643</v>
      </c>
      <c r="AR84" s="49">
        <v>2</v>
      </c>
      <c r="AS84" s="50">
        <v>0.9389671361502347</v>
      </c>
      <c r="AT84" s="49">
        <v>0</v>
      </c>
      <c r="AU84" s="50">
        <v>0</v>
      </c>
      <c r="AV84" s="49">
        <v>197</v>
      </c>
      <c r="AW84" s="50">
        <v>92.48826291079813</v>
      </c>
      <c r="AX84" s="49">
        <v>213</v>
      </c>
      <c r="AY84" s="49"/>
      <c r="AZ84" s="49"/>
      <c r="BA84" s="49"/>
      <c r="BB84" s="49"/>
    </row>
    <row r="85" spans="1:54" ht="15">
      <c r="A85" s="65" t="s">
        <v>651</v>
      </c>
      <c r="B85" s="66"/>
      <c r="C85" s="66"/>
      <c r="D85" s="67">
        <v>150</v>
      </c>
      <c r="E85" s="102"/>
      <c r="F85" s="96" t="str">
        <f>HYPERLINK("https://i.ytimg.com/vi/7z307dsXQt0/default.jpg")</f>
        <v>https://i.ytimg.com/vi/7z307dsXQt0/default.jpg</v>
      </c>
      <c r="G85" s="103"/>
      <c r="H85" s="70" t="s">
        <v>672</v>
      </c>
      <c r="I85" s="71"/>
      <c r="J85" s="104" t="s">
        <v>159</v>
      </c>
      <c r="K85" s="70" t="s">
        <v>672</v>
      </c>
      <c r="L85" s="105">
        <v>1</v>
      </c>
      <c r="M85" s="75">
        <v>9625.7939453125</v>
      </c>
      <c r="N85" s="75">
        <v>8783.375</v>
      </c>
      <c r="O85" s="76"/>
      <c r="P85" s="77"/>
      <c r="Q85" s="77"/>
      <c r="R85" s="82"/>
      <c r="S85" s="49">
        <v>1</v>
      </c>
      <c r="T85" s="49">
        <v>0</v>
      </c>
      <c r="U85" s="50">
        <v>0</v>
      </c>
      <c r="V85" s="50">
        <v>0.003086</v>
      </c>
      <c r="W85" s="50">
        <v>0.001047</v>
      </c>
      <c r="X85" s="50">
        <v>0.215395</v>
      </c>
      <c r="Y85" s="50">
        <v>0</v>
      </c>
      <c r="Z85" s="50">
        <v>0</v>
      </c>
      <c r="AA85" s="72">
        <v>85</v>
      </c>
      <c r="AB85" s="72"/>
      <c r="AC85" s="73"/>
      <c r="AD85" s="81" t="s">
        <v>672</v>
      </c>
      <c r="AE85" s="81" t="s">
        <v>706</v>
      </c>
      <c r="AF85" s="81" t="s">
        <v>738</v>
      </c>
      <c r="AG85" s="81" t="s">
        <v>525</v>
      </c>
      <c r="AH85" s="81" t="s">
        <v>787</v>
      </c>
      <c r="AI85" s="81">
        <v>280</v>
      </c>
      <c r="AJ85" s="81">
        <v>1</v>
      </c>
      <c r="AK85" s="81">
        <v>2</v>
      </c>
      <c r="AL85" s="81">
        <v>0</v>
      </c>
      <c r="AM85" s="81" t="s">
        <v>634</v>
      </c>
      <c r="AN85" s="106" t="str">
        <f>HYPERLINK("https://www.youtube.com/watch?v=7z307dsXQt0")</f>
        <v>https://www.youtube.com/watch?v=7z307dsXQt0</v>
      </c>
      <c r="AO85" s="80" t="str">
        <f>REPLACE(INDEX(GroupVertices[Group],MATCH(Vertices[[#This Row],[Vertex]],GroupVertices[Vertex],0)),1,1,"")</f>
        <v>2</v>
      </c>
      <c r="AP85" s="49">
        <v>5</v>
      </c>
      <c r="AQ85" s="50">
        <v>3.3557046979865772</v>
      </c>
      <c r="AR85" s="49">
        <v>2</v>
      </c>
      <c r="AS85" s="50">
        <v>1.342281879194631</v>
      </c>
      <c r="AT85" s="49">
        <v>0</v>
      </c>
      <c r="AU85" s="50">
        <v>0</v>
      </c>
      <c r="AV85" s="49">
        <v>142</v>
      </c>
      <c r="AW85" s="50">
        <v>95.30201342281879</v>
      </c>
      <c r="AX85" s="49">
        <v>149</v>
      </c>
      <c r="AY85" s="49"/>
      <c r="AZ85" s="49"/>
      <c r="BA85" s="49"/>
      <c r="BB85" s="49"/>
    </row>
    <row r="86" spans="1:54" ht="15">
      <c r="A86" s="65" t="s">
        <v>652</v>
      </c>
      <c r="B86" s="66"/>
      <c r="C86" s="66"/>
      <c r="D86" s="67">
        <v>150</v>
      </c>
      <c r="E86" s="102"/>
      <c r="F86" s="96" t="str">
        <f>HYPERLINK("https://i.ytimg.com/vi/gzW28B4rCoQ/default.jpg")</f>
        <v>https://i.ytimg.com/vi/gzW28B4rCoQ/default.jpg</v>
      </c>
      <c r="G86" s="103"/>
      <c r="H86" s="70" t="s">
        <v>673</v>
      </c>
      <c r="I86" s="71"/>
      <c r="J86" s="104" t="s">
        <v>159</v>
      </c>
      <c r="K86" s="70" t="s">
        <v>673</v>
      </c>
      <c r="L86" s="105">
        <v>1</v>
      </c>
      <c r="M86" s="75">
        <v>9662.8134765625</v>
      </c>
      <c r="N86" s="75">
        <v>7049.97705078125</v>
      </c>
      <c r="O86" s="76"/>
      <c r="P86" s="77"/>
      <c r="Q86" s="77"/>
      <c r="R86" s="82"/>
      <c r="S86" s="49">
        <v>1</v>
      </c>
      <c r="T86" s="49">
        <v>0</v>
      </c>
      <c r="U86" s="50">
        <v>0</v>
      </c>
      <c r="V86" s="50">
        <v>0.003086</v>
      </c>
      <c r="W86" s="50">
        <v>0.001047</v>
      </c>
      <c r="X86" s="50">
        <v>0.215395</v>
      </c>
      <c r="Y86" s="50">
        <v>0</v>
      </c>
      <c r="Z86" s="50">
        <v>0</v>
      </c>
      <c r="AA86" s="72">
        <v>86</v>
      </c>
      <c r="AB86" s="72"/>
      <c r="AC86" s="73"/>
      <c r="AD86" s="81" t="s">
        <v>673</v>
      </c>
      <c r="AE86" s="81" t="s">
        <v>707</v>
      </c>
      <c r="AF86" s="81" t="s">
        <v>739</v>
      </c>
      <c r="AG86" s="81" t="s">
        <v>525</v>
      </c>
      <c r="AH86" s="81" t="s">
        <v>788</v>
      </c>
      <c r="AI86" s="81">
        <v>154</v>
      </c>
      <c r="AJ86" s="81">
        <v>1</v>
      </c>
      <c r="AK86" s="81">
        <v>1</v>
      </c>
      <c r="AL86" s="81">
        <v>0</v>
      </c>
      <c r="AM86" s="81" t="s">
        <v>634</v>
      </c>
      <c r="AN86" s="106" t="str">
        <f>HYPERLINK("https://www.youtube.com/watch?v=gzW28B4rCoQ")</f>
        <v>https://www.youtube.com/watch?v=gzW28B4rCoQ</v>
      </c>
      <c r="AO86" s="80" t="str">
        <f>REPLACE(INDEX(GroupVertices[Group],MATCH(Vertices[[#This Row],[Vertex]],GroupVertices[Vertex],0)),1,1,"")</f>
        <v>2</v>
      </c>
      <c r="AP86" s="49">
        <v>10</v>
      </c>
      <c r="AQ86" s="50">
        <v>4.444444444444445</v>
      </c>
      <c r="AR86" s="49">
        <v>7</v>
      </c>
      <c r="AS86" s="50">
        <v>3.111111111111111</v>
      </c>
      <c r="AT86" s="49">
        <v>0</v>
      </c>
      <c r="AU86" s="50">
        <v>0</v>
      </c>
      <c r="AV86" s="49">
        <v>208</v>
      </c>
      <c r="AW86" s="50">
        <v>92.44444444444444</v>
      </c>
      <c r="AX86" s="49">
        <v>225</v>
      </c>
      <c r="AY86" s="49"/>
      <c r="AZ86" s="49"/>
      <c r="BA86" s="49"/>
      <c r="BB86" s="49"/>
    </row>
    <row r="87" spans="1:54" ht="15">
      <c r="A87" s="65" t="s">
        <v>653</v>
      </c>
      <c r="B87" s="66"/>
      <c r="C87" s="66"/>
      <c r="D87" s="67">
        <v>150</v>
      </c>
      <c r="E87" s="102"/>
      <c r="F87" s="96" t="str">
        <f>HYPERLINK("https://i.ytimg.com/vi/ReCvreRPdeY/default.jpg")</f>
        <v>https://i.ytimg.com/vi/ReCvreRPdeY/default.jpg</v>
      </c>
      <c r="G87" s="103"/>
      <c r="H87" s="70" t="s">
        <v>674</v>
      </c>
      <c r="I87" s="71"/>
      <c r="J87" s="104" t="s">
        <v>159</v>
      </c>
      <c r="K87" s="70" t="s">
        <v>674</v>
      </c>
      <c r="L87" s="105">
        <v>1</v>
      </c>
      <c r="M87" s="75">
        <v>9835.8525390625</v>
      </c>
      <c r="N87" s="75">
        <v>7676.75048828125</v>
      </c>
      <c r="O87" s="76"/>
      <c r="P87" s="77"/>
      <c r="Q87" s="77"/>
      <c r="R87" s="82"/>
      <c r="S87" s="49">
        <v>1</v>
      </c>
      <c r="T87" s="49">
        <v>0</v>
      </c>
      <c r="U87" s="50">
        <v>0</v>
      </c>
      <c r="V87" s="50">
        <v>0.003086</v>
      </c>
      <c r="W87" s="50">
        <v>0.001047</v>
      </c>
      <c r="X87" s="50">
        <v>0.215395</v>
      </c>
      <c r="Y87" s="50">
        <v>0</v>
      </c>
      <c r="Z87" s="50">
        <v>0</v>
      </c>
      <c r="AA87" s="72">
        <v>87</v>
      </c>
      <c r="AB87" s="72"/>
      <c r="AC87" s="73"/>
      <c r="AD87" s="81" t="s">
        <v>674</v>
      </c>
      <c r="AE87" s="81" t="s">
        <v>708</v>
      </c>
      <c r="AF87" s="81" t="s">
        <v>740</v>
      </c>
      <c r="AG87" s="81" t="s">
        <v>535</v>
      </c>
      <c r="AH87" s="81" t="s">
        <v>789</v>
      </c>
      <c r="AI87" s="81">
        <v>515842</v>
      </c>
      <c r="AJ87" s="81">
        <v>533</v>
      </c>
      <c r="AK87" s="81">
        <v>6173</v>
      </c>
      <c r="AL87" s="81">
        <v>316</v>
      </c>
      <c r="AM87" s="81" t="s">
        <v>634</v>
      </c>
      <c r="AN87" s="106" t="str">
        <f>HYPERLINK("https://www.youtube.com/watch?v=ReCvreRPdeY")</f>
        <v>https://www.youtube.com/watch?v=ReCvreRPdeY</v>
      </c>
      <c r="AO87" s="80" t="str">
        <f>REPLACE(INDEX(GroupVertices[Group],MATCH(Vertices[[#This Row],[Vertex]],GroupVertices[Vertex],0)),1,1,"")</f>
        <v>2</v>
      </c>
      <c r="AP87" s="49">
        <v>3</v>
      </c>
      <c r="AQ87" s="50">
        <v>1.3953488372093024</v>
      </c>
      <c r="AR87" s="49">
        <v>2</v>
      </c>
      <c r="AS87" s="50">
        <v>0.9302325581395349</v>
      </c>
      <c r="AT87" s="49">
        <v>0</v>
      </c>
      <c r="AU87" s="50">
        <v>0</v>
      </c>
      <c r="AV87" s="49">
        <v>210</v>
      </c>
      <c r="AW87" s="50">
        <v>97.67441860465117</v>
      </c>
      <c r="AX87" s="49">
        <v>215</v>
      </c>
      <c r="AY87" s="49"/>
      <c r="AZ87" s="49"/>
      <c r="BA87" s="49"/>
      <c r="BB87" s="49"/>
    </row>
    <row r="88" spans="1:54" ht="15">
      <c r="A88" s="65" t="s">
        <v>654</v>
      </c>
      <c r="B88" s="66"/>
      <c r="C88" s="66"/>
      <c r="D88" s="67">
        <v>150</v>
      </c>
      <c r="E88" s="102"/>
      <c r="F88" s="96" t="str">
        <f>HYPERLINK("https://i.ytimg.com/vi/xjZmCZnRmsI/default.jpg")</f>
        <v>https://i.ytimg.com/vi/xjZmCZnRmsI/default.jpg</v>
      </c>
      <c r="G88" s="103"/>
      <c r="H88" s="70" t="s">
        <v>675</v>
      </c>
      <c r="I88" s="71"/>
      <c r="J88" s="104" t="s">
        <v>159</v>
      </c>
      <c r="K88" s="70" t="s">
        <v>675</v>
      </c>
      <c r="L88" s="105">
        <v>1</v>
      </c>
      <c r="M88" s="75">
        <v>9835.8525390625</v>
      </c>
      <c r="N88" s="75">
        <v>8270.927734375</v>
      </c>
      <c r="O88" s="76"/>
      <c r="P88" s="77"/>
      <c r="Q88" s="77"/>
      <c r="R88" s="82"/>
      <c r="S88" s="49">
        <v>1</v>
      </c>
      <c r="T88" s="49">
        <v>0</v>
      </c>
      <c r="U88" s="50">
        <v>0</v>
      </c>
      <c r="V88" s="50">
        <v>0.003086</v>
      </c>
      <c r="W88" s="50">
        <v>0.001047</v>
      </c>
      <c r="X88" s="50">
        <v>0.215395</v>
      </c>
      <c r="Y88" s="50">
        <v>0</v>
      </c>
      <c r="Z88" s="50">
        <v>0</v>
      </c>
      <c r="AA88" s="72">
        <v>88</v>
      </c>
      <c r="AB88" s="72"/>
      <c r="AC88" s="73"/>
      <c r="AD88" s="81" t="s">
        <v>675</v>
      </c>
      <c r="AE88" s="81" t="s">
        <v>709</v>
      </c>
      <c r="AF88" s="81" t="s">
        <v>741</v>
      </c>
      <c r="AG88" s="81" t="s">
        <v>512</v>
      </c>
      <c r="AH88" s="81" t="s">
        <v>790</v>
      </c>
      <c r="AI88" s="81">
        <v>4769</v>
      </c>
      <c r="AJ88" s="81">
        <v>0</v>
      </c>
      <c r="AK88" s="81">
        <v>17</v>
      </c>
      <c r="AL88" s="81">
        <v>5</v>
      </c>
      <c r="AM88" s="81" t="s">
        <v>634</v>
      </c>
      <c r="AN88" s="106" t="str">
        <f>HYPERLINK("https://www.youtube.com/watch?v=xjZmCZnRmsI")</f>
        <v>https://www.youtube.com/watch?v=xjZmCZnRmsI</v>
      </c>
      <c r="AO88" s="80" t="str">
        <f>REPLACE(INDEX(GroupVertices[Group],MATCH(Vertices[[#This Row],[Vertex]],GroupVertices[Vertex],0)),1,1,"")</f>
        <v>2</v>
      </c>
      <c r="AP88" s="49">
        <v>3</v>
      </c>
      <c r="AQ88" s="50">
        <v>1.6574585635359116</v>
      </c>
      <c r="AR88" s="49">
        <v>2</v>
      </c>
      <c r="AS88" s="50">
        <v>1.1049723756906078</v>
      </c>
      <c r="AT88" s="49">
        <v>0</v>
      </c>
      <c r="AU88" s="50">
        <v>0</v>
      </c>
      <c r="AV88" s="49">
        <v>176</v>
      </c>
      <c r="AW88" s="50">
        <v>97.23756906077348</v>
      </c>
      <c r="AX88" s="49">
        <v>181</v>
      </c>
      <c r="AY88" s="49"/>
      <c r="AZ88" s="49"/>
      <c r="BA88" s="49"/>
      <c r="BB88" s="49"/>
    </row>
    <row r="89" spans="1:54" ht="15">
      <c r="A89" s="65" t="s">
        <v>655</v>
      </c>
      <c r="B89" s="66"/>
      <c r="C89" s="66"/>
      <c r="D89" s="67">
        <v>150</v>
      </c>
      <c r="E89" s="102"/>
      <c r="F89" s="96" t="str">
        <f>HYPERLINK("https://i.ytimg.com/vi/C0o9Qr6HoxE/default.jpg")</f>
        <v>https://i.ytimg.com/vi/C0o9Qr6HoxE/default.jpg</v>
      </c>
      <c r="G89" s="103"/>
      <c r="H89" s="70" t="s">
        <v>676</v>
      </c>
      <c r="I89" s="71"/>
      <c r="J89" s="104" t="s">
        <v>159</v>
      </c>
      <c r="K89" s="70" t="s">
        <v>676</v>
      </c>
      <c r="L89" s="105">
        <v>1</v>
      </c>
      <c r="M89" s="75">
        <v>9262.3623046875</v>
      </c>
      <c r="N89" s="75">
        <v>9199.783203125</v>
      </c>
      <c r="O89" s="76"/>
      <c r="P89" s="77"/>
      <c r="Q89" s="77"/>
      <c r="R89" s="82"/>
      <c r="S89" s="49">
        <v>1</v>
      </c>
      <c r="T89" s="49">
        <v>0</v>
      </c>
      <c r="U89" s="50">
        <v>0</v>
      </c>
      <c r="V89" s="50">
        <v>0.003086</v>
      </c>
      <c r="W89" s="50">
        <v>0.001047</v>
      </c>
      <c r="X89" s="50">
        <v>0.215395</v>
      </c>
      <c r="Y89" s="50">
        <v>0</v>
      </c>
      <c r="Z89" s="50">
        <v>0</v>
      </c>
      <c r="AA89" s="72">
        <v>89</v>
      </c>
      <c r="AB89" s="72"/>
      <c r="AC89" s="73"/>
      <c r="AD89" s="81" t="s">
        <v>676</v>
      </c>
      <c r="AE89" s="81" t="s">
        <v>710</v>
      </c>
      <c r="AF89" s="81" t="s">
        <v>742</v>
      </c>
      <c r="AG89" s="81" t="s">
        <v>765</v>
      </c>
      <c r="AH89" s="81" t="s">
        <v>791</v>
      </c>
      <c r="AI89" s="81">
        <v>183</v>
      </c>
      <c r="AJ89" s="81">
        <v>0</v>
      </c>
      <c r="AK89" s="81">
        <v>7</v>
      </c>
      <c r="AL89" s="81">
        <v>0</v>
      </c>
      <c r="AM89" s="81" t="s">
        <v>634</v>
      </c>
      <c r="AN89" s="106" t="str">
        <f>HYPERLINK("https://www.youtube.com/watch?v=C0o9Qr6HoxE")</f>
        <v>https://www.youtube.com/watch?v=C0o9Qr6HoxE</v>
      </c>
      <c r="AO89" s="80" t="str">
        <f>REPLACE(INDEX(GroupVertices[Group],MATCH(Vertices[[#This Row],[Vertex]],GroupVertices[Vertex],0)),1,1,"")</f>
        <v>2</v>
      </c>
      <c r="AP89" s="49">
        <v>0</v>
      </c>
      <c r="AQ89" s="50">
        <v>0</v>
      </c>
      <c r="AR89" s="49">
        <v>1</v>
      </c>
      <c r="AS89" s="50">
        <v>2.7777777777777777</v>
      </c>
      <c r="AT89" s="49">
        <v>0</v>
      </c>
      <c r="AU89" s="50">
        <v>0</v>
      </c>
      <c r="AV89" s="49">
        <v>35</v>
      </c>
      <c r="AW89" s="50">
        <v>97.22222222222223</v>
      </c>
      <c r="AX89" s="49">
        <v>36</v>
      </c>
      <c r="AY89" s="49"/>
      <c r="AZ89" s="49"/>
      <c r="BA89" s="49"/>
      <c r="BB89" s="49"/>
    </row>
    <row r="90" spans="1:54" ht="15">
      <c r="A90" s="65" t="s">
        <v>656</v>
      </c>
      <c r="B90" s="66"/>
      <c r="C90" s="66"/>
      <c r="D90" s="67">
        <v>150</v>
      </c>
      <c r="E90" s="102"/>
      <c r="F90" s="96" t="str">
        <f>HYPERLINK("https://i.ytimg.com/vi/YEGISWTEgyU/default.jpg")</f>
        <v>https://i.ytimg.com/vi/YEGISWTEgyU/default.jpg</v>
      </c>
      <c r="G90" s="103"/>
      <c r="H90" s="70" t="s">
        <v>677</v>
      </c>
      <c r="I90" s="71"/>
      <c r="J90" s="104" t="s">
        <v>159</v>
      </c>
      <c r="K90" s="70" t="s">
        <v>677</v>
      </c>
      <c r="L90" s="105">
        <v>1</v>
      </c>
      <c r="M90" s="75">
        <v>7141.087890625</v>
      </c>
      <c r="N90" s="75">
        <v>9799.841796875</v>
      </c>
      <c r="O90" s="76"/>
      <c r="P90" s="77"/>
      <c r="Q90" s="77"/>
      <c r="R90" s="82"/>
      <c r="S90" s="49">
        <v>1</v>
      </c>
      <c r="T90" s="49">
        <v>0</v>
      </c>
      <c r="U90" s="50">
        <v>0</v>
      </c>
      <c r="V90" s="50">
        <v>0.003086</v>
      </c>
      <c r="W90" s="50">
        <v>0.001047</v>
      </c>
      <c r="X90" s="50">
        <v>0.215395</v>
      </c>
      <c r="Y90" s="50">
        <v>0</v>
      </c>
      <c r="Z90" s="50">
        <v>0</v>
      </c>
      <c r="AA90" s="72">
        <v>90</v>
      </c>
      <c r="AB90" s="72"/>
      <c r="AC90" s="73"/>
      <c r="AD90" s="81" t="s">
        <v>677</v>
      </c>
      <c r="AE90" s="81" t="s">
        <v>711</v>
      </c>
      <c r="AF90" s="81" t="s">
        <v>743</v>
      </c>
      <c r="AG90" s="81" t="s">
        <v>766</v>
      </c>
      <c r="AH90" s="81" t="s">
        <v>792</v>
      </c>
      <c r="AI90" s="81">
        <v>37975</v>
      </c>
      <c r="AJ90" s="81">
        <v>31</v>
      </c>
      <c r="AK90" s="81">
        <v>354</v>
      </c>
      <c r="AL90" s="81">
        <v>15</v>
      </c>
      <c r="AM90" s="81" t="s">
        <v>634</v>
      </c>
      <c r="AN90" s="106" t="str">
        <f>HYPERLINK("https://www.youtube.com/watch?v=YEGISWTEgyU")</f>
        <v>https://www.youtube.com/watch?v=YEGISWTEgyU</v>
      </c>
      <c r="AO90" s="80" t="str">
        <f>REPLACE(INDEX(GroupVertices[Group],MATCH(Vertices[[#This Row],[Vertex]],GroupVertices[Vertex],0)),1,1,"")</f>
        <v>2</v>
      </c>
      <c r="AP90" s="49">
        <v>6</v>
      </c>
      <c r="AQ90" s="50">
        <v>3.3707865168539324</v>
      </c>
      <c r="AR90" s="49">
        <v>1</v>
      </c>
      <c r="AS90" s="50">
        <v>0.5617977528089888</v>
      </c>
      <c r="AT90" s="49">
        <v>0</v>
      </c>
      <c r="AU90" s="50">
        <v>0</v>
      </c>
      <c r="AV90" s="49">
        <v>171</v>
      </c>
      <c r="AW90" s="50">
        <v>96.06741573033707</v>
      </c>
      <c r="AX90" s="49">
        <v>178</v>
      </c>
      <c r="AY90" s="49"/>
      <c r="AZ90" s="49"/>
      <c r="BA90" s="49"/>
      <c r="BB90" s="49"/>
    </row>
    <row r="91" spans="1:54" ht="15">
      <c r="A91" s="65" t="s">
        <v>657</v>
      </c>
      <c r="B91" s="66"/>
      <c r="C91" s="66"/>
      <c r="D91" s="67">
        <v>150</v>
      </c>
      <c r="E91" s="102"/>
      <c r="F91" s="96" t="str">
        <f>HYPERLINK("https://i.ytimg.com/vi/PUwmA3Q0_OE/default.jpg")</f>
        <v>https://i.ytimg.com/vi/PUwmA3Q0_OE/default.jpg</v>
      </c>
      <c r="G91" s="103"/>
      <c r="H91" s="70" t="s">
        <v>678</v>
      </c>
      <c r="I91" s="71"/>
      <c r="J91" s="104" t="s">
        <v>159</v>
      </c>
      <c r="K91" s="70" t="s">
        <v>678</v>
      </c>
      <c r="L91" s="105">
        <v>1</v>
      </c>
      <c r="M91" s="75">
        <v>8812.6708984375</v>
      </c>
      <c r="N91" s="75">
        <v>9527.8955078125</v>
      </c>
      <c r="O91" s="76"/>
      <c r="P91" s="77"/>
      <c r="Q91" s="77"/>
      <c r="R91" s="82"/>
      <c r="S91" s="49">
        <v>1</v>
      </c>
      <c r="T91" s="49">
        <v>0</v>
      </c>
      <c r="U91" s="50">
        <v>0</v>
      </c>
      <c r="V91" s="50">
        <v>0.003086</v>
      </c>
      <c r="W91" s="50">
        <v>0.001047</v>
      </c>
      <c r="X91" s="50">
        <v>0.215395</v>
      </c>
      <c r="Y91" s="50">
        <v>0</v>
      </c>
      <c r="Z91" s="50">
        <v>0</v>
      </c>
      <c r="AA91" s="72">
        <v>91</v>
      </c>
      <c r="AB91" s="72"/>
      <c r="AC91" s="73"/>
      <c r="AD91" s="81" t="s">
        <v>678</v>
      </c>
      <c r="AE91" s="81" t="s">
        <v>712</v>
      </c>
      <c r="AF91" s="81" t="s">
        <v>744</v>
      </c>
      <c r="AG91" s="81" t="s">
        <v>767</v>
      </c>
      <c r="AH91" s="81" t="s">
        <v>793</v>
      </c>
      <c r="AI91" s="81">
        <v>15939509</v>
      </c>
      <c r="AJ91" s="81">
        <v>25791</v>
      </c>
      <c r="AK91" s="81">
        <v>238674</v>
      </c>
      <c r="AL91" s="81">
        <v>13890</v>
      </c>
      <c r="AM91" s="81" t="s">
        <v>634</v>
      </c>
      <c r="AN91" s="106" t="str">
        <f>HYPERLINK("https://www.youtube.com/watch?v=PUwmA3Q0_OE")</f>
        <v>https://www.youtube.com/watch?v=PUwmA3Q0_OE</v>
      </c>
      <c r="AO91" s="80" t="str">
        <f>REPLACE(INDEX(GroupVertices[Group],MATCH(Vertices[[#This Row],[Vertex]],GroupVertices[Vertex],0)),1,1,"")</f>
        <v>2</v>
      </c>
      <c r="AP91" s="49">
        <v>2</v>
      </c>
      <c r="AQ91" s="50">
        <v>0.6734006734006734</v>
      </c>
      <c r="AR91" s="49">
        <v>1</v>
      </c>
      <c r="AS91" s="50">
        <v>0.3367003367003367</v>
      </c>
      <c r="AT91" s="49">
        <v>0</v>
      </c>
      <c r="AU91" s="50">
        <v>0</v>
      </c>
      <c r="AV91" s="49">
        <v>294</v>
      </c>
      <c r="AW91" s="50">
        <v>98.98989898989899</v>
      </c>
      <c r="AX91" s="49">
        <v>297</v>
      </c>
      <c r="AY91" s="49"/>
      <c r="AZ91" s="49"/>
      <c r="BA91" s="49"/>
      <c r="BB91" s="49"/>
    </row>
    <row r="92" spans="1:54" ht="15">
      <c r="A92" s="65" t="s">
        <v>658</v>
      </c>
      <c r="B92" s="66"/>
      <c r="C92" s="66"/>
      <c r="D92" s="67">
        <v>150</v>
      </c>
      <c r="E92" s="102"/>
      <c r="F92" s="96" t="str">
        <f>HYPERLINK("https://i.ytimg.com/vi/B6SCwLvOVdk/default.jpg")</f>
        <v>https://i.ytimg.com/vi/B6SCwLvOVdk/default.jpg</v>
      </c>
      <c r="G92" s="103"/>
      <c r="H92" s="70" t="s">
        <v>679</v>
      </c>
      <c r="I92" s="71"/>
      <c r="J92" s="104" t="s">
        <v>159</v>
      </c>
      <c r="K92" s="70" t="s">
        <v>679</v>
      </c>
      <c r="L92" s="105">
        <v>1</v>
      </c>
      <c r="M92" s="75">
        <v>3294.38427734375</v>
      </c>
      <c r="N92" s="75">
        <v>8891.015625</v>
      </c>
      <c r="O92" s="76"/>
      <c r="P92" s="77"/>
      <c r="Q92" s="77"/>
      <c r="R92" s="82"/>
      <c r="S92" s="49">
        <v>1</v>
      </c>
      <c r="T92" s="49">
        <v>0</v>
      </c>
      <c r="U92" s="50">
        <v>0</v>
      </c>
      <c r="V92" s="50">
        <v>0.003049</v>
      </c>
      <c r="W92" s="50">
        <v>0.001056</v>
      </c>
      <c r="X92" s="50">
        <v>0.206537</v>
      </c>
      <c r="Y92" s="50">
        <v>0</v>
      </c>
      <c r="Z92" s="50">
        <v>0</v>
      </c>
      <c r="AA92" s="72">
        <v>92</v>
      </c>
      <c r="AB92" s="72"/>
      <c r="AC92" s="73"/>
      <c r="AD92" s="81" t="s">
        <v>679</v>
      </c>
      <c r="AE92" s="81" t="s">
        <v>713</v>
      </c>
      <c r="AF92" s="81" t="s">
        <v>745</v>
      </c>
      <c r="AG92" s="81" t="s">
        <v>768</v>
      </c>
      <c r="AH92" s="81" t="s">
        <v>794</v>
      </c>
      <c r="AI92" s="81">
        <v>19518</v>
      </c>
      <c r="AJ92" s="81">
        <v>1</v>
      </c>
      <c r="AK92" s="81">
        <v>43</v>
      </c>
      <c r="AL92" s="81">
        <v>8</v>
      </c>
      <c r="AM92" s="81" t="s">
        <v>634</v>
      </c>
      <c r="AN92" s="106" t="str">
        <f>HYPERLINK("https://www.youtube.com/watch?v=B6SCwLvOVdk")</f>
        <v>https://www.youtube.com/watch?v=B6SCwLvOVdk</v>
      </c>
      <c r="AO92" s="80" t="str">
        <f>REPLACE(INDEX(GroupVertices[Group],MATCH(Vertices[[#This Row],[Vertex]],GroupVertices[Vertex],0)),1,1,"")</f>
        <v>1</v>
      </c>
      <c r="AP92" s="49">
        <v>0</v>
      </c>
      <c r="AQ92" s="50">
        <v>0</v>
      </c>
      <c r="AR92" s="49">
        <v>3</v>
      </c>
      <c r="AS92" s="50">
        <v>11.11111111111111</v>
      </c>
      <c r="AT92" s="49">
        <v>0</v>
      </c>
      <c r="AU92" s="50">
        <v>0</v>
      </c>
      <c r="AV92" s="49">
        <v>24</v>
      </c>
      <c r="AW92" s="50">
        <v>88.88888888888889</v>
      </c>
      <c r="AX92" s="49">
        <v>27</v>
      </c>
      <c r="AY92" s="49"/>
      <c r="AZ92" s="49"/>
      <c r="BA92" s="49"/>
      <c r="BB92" s="49"/>
    </row>
    <row r="93" spans="1:54" ht="15">
      <c r="A93" s="65" t="s">
        <v>659</v>
      </c>
      <c r="B93" s="66"/>
      <c r="C93" s="66"/>
      <c r="D93" s="67">
        <v>150</v>
      </c>
      <c r="E93" s="102"/>
      <c r="F93" s="96" t="str">
        <f>HYPERLINK("https://i.ytimg.com/vi/fuNmvM5BvDM/default.jpg")</f>
        <v>https://i.ytimg.com/vi/fuNmvM5BvDM/default.jpg</v>
      </c>
      <c r="G93" s="103"/>
      <c r="H93" s="70" t="s">
        <v>680</v>
      </c>
      <c r="I93" s="71"/>
      <c r="J93" s="104" t="s">
        <v>159</v>
      </c>
      <c r="K93" s="70" t="s">
        <v>680</v>
      </c>
      <c r="L93" s="105">
        <v>1</v>
      </c>
      <c r="M93" s="75">
        <v>3876.103271484375</v>
      </c>
      <c r="N93" s="75">
        <v>6013.75341796875</v>
      </c>
      <c r="O93" s="76"/>
      <c r="P93" s="77"/>
      <c r="Q93" s="77"/>
      <c r="R93" s="82"/>
      <c r="S93" s="49">
        <v>1</v>
      </c>
      <c r="T93" s="49">
        <v>0</v>
      </c>
      <c r="U93" s="50">
        <v>0</v>
      </c>
      <c r="V93" s="50">
        <v>0.003049</v>
      </c>
      <c r="W93" s="50">
        <v>0.001056</v>
      </c>
      <c r="X93" s="50">
        <v>0.206537</v>
      </c>
      <c r="Y93" s="50">
        <v>0</v>
      </c>
      <c r="Z93" s="50">
        <v>0</v>
      </c>
      <c r="AA93" s="72">
        <v>93</v>
      </c>
      <c r="AB93" s="72"/>
      <c r="AC93" s="73"/>
      <c r="AD93" s="81" t="s">
        <v>680</v>
      </c>
      <c r="AE93" s="81" t="s">
        <v>714</v>
      </c>
      <c r="AF93" s="81" t="s">
        <v>746</v>
      </c>
      <c r="AG93" s="81" t="s">
        <v>769</v>
      </c>
      <c r="AH93" s="81" t="s">
        <v>795</v>
      </c>
      <c r="AI93" s="81">
        <v>458969</v>
      </c>
      <c r="AJ93" s="81">
        <v>144</v>
      </c>
      <c r="AK93" s="81">
        <v>9080</v>
      </c>
      <c r="AL93" s="81">
        <v>266</v>
      </c>
      <c r="AM93" s="81" t="s">
        <v>634</v>
      </c>
      <c r="AN93" s="106" t="str">
        <f>HYPERLINK("https://www.youtube.com/watch?v=fuNmvM5BvDM")</f>
        <v>https://www.youtube.com/watch?v=fuNmvM5BvDM</v>
      </c>
      <c r="AO93" s="80" t="str">
        <f>REPLACE(INDEX(GroupVertices[Group],MATCH(Vertices[[#This Row],[Vertex]],GroupVertices[Vertex],0)),1,1,"")</f>
        <v>1</v>
      </c>
      <c r="AP93" s="49">
        <v>0</v>
      </c>
      <c r="AQ93" s="50">
        <v>0</v>
      </c>
      <c r="AR93" s="49">
        <v>5</v>
      </c>
      <c r="AS93" s="50">
        <v>8.064516129032258</v>
      </c>
      <c r="AT93" s="49">
        <v>0</v>
      </c>
      <c r="AU93" s="50">
        <v>0</v>
      </c>
      <c r="AV93" s="49">
        <v>57</v>
      </c>
      <c r="AW93" s="50">
        <v>91.93548387096774</v>
      </c>
      <c r="AX93" s="49">
        <v>62</v>
      </c>
      <c r="AY93" s="49"/>
      <c r="AZ93" s="49"/>
      <c r="BA93" s="49"/>
      <c r="BB93" s="49"/>
    </row>
    <row r="94" spans="1:54" ht="15">
      <c r="A94" s="65" t="s">
        <v>660</v>
      </c>
      <c r="B94" s="66"/>
      <c r="C94" s="66"/>
      <c r="D94" s="67">
        <v>150</v>
      </c>
      <c r="E94" s="102"/>
      <c r="F94" s="96" t="str">
        <f>HYPERLINK("https://i.ytimg.com/vi/mDZ7NOeM6SY/default.jpg")</f>
        <v>https://i.ytimg.com/vi/mDZ7NOeM6SY/default.jpg</v>
      </c>
      <c r="G94" s="103"/>
      <c r="H94" s="70" t="s">
        <v>681</v>
      </c>
      <c r="I94" s="71"/>
      <c r="J94" s="104" t="s">
        <v>159</v>
      </c>
      <c r="K94" s="70" t="s">
        <v>681</v>
      </c>
      <c r="L94" s="105">
        <v>1</v>
      </c>
      <c r="M94" s="75">
        <v>927.90234375</v>
      </c>
      <c r="N94" s="75">
        <v>2801.48046875</v>
      </c>
      <c r="O94" s="76"/>
      <c r="P94" s="77"/>
      <c r="Q94" s="77"/>
      <c r="R94" s="82"/>
      <c r="S94" s="49">
        <v>1</v>
      </c>
      <c r="T94" s="49">
        <v>0</v>
      </c>
      <c r="U94" s="50">
        <v>0</v>
      </c>
      <c r="V94" s="50">
        <v>0.003049</v>
      </c>
      <c r="W94" s="50">
        <v>0.001056</v>
      </c>
      <c r="X94" s="50">
        <v>0.206537</v>
      </c>
      <c r="Y94" s="50">
        <v>0</v>
      </c>
      <c r="Z94" s="50">
        <v>0</v>
      </c>
      <c r="AA94" s="72">
        <v>94</v>
      </c>
      <c r="AB94" s="72"/>
      <c r="AC94" s="73"/>
      <c r="AD94" s="81" t="s">
        <v>681</v>
      </c>
      <c r="AE94" s="81" t="s">
        <v>715</v>
      </c>
      <c r="AF94" s="81" t="s">
        <v>747</v>
      </c>
      <c r="AG94" s="81" t="s">
        <v>514</v>
      </c>
      <c r="AH94" s="81" t="s">
        <v>796</v>
      </c>
      <c r="AI94" s="81">
        <v>614</v>
      </c>
      <c r="AJ94" s="81">
        <v>0</v>
      </c>
      <c r="AK94" s="81">
        <v>14</v>
      </c>
      <c r="AL94" s="81">
        <v>0</v>
      </c>
      <c r="AM94" s="81" t="s">
        <v>634</v>
      </c>
      <c r="AN94" s="106" t="str">
        <f>HYPERLINK("https://www.youtube.com/watch?v=mDZ7NOeM6SY")</f>
        <v>https://www.youtube.com/watch?v=mDZ7NOeM6SY</v>
      </c>
      <c r="AO94" s="80" t="str">
        <f>REPLACE(INDEX(GroupVertices[Group],MATCH(Vertices[[#This Row],[Vertex]],GroupVertices[Vertex],0)),1,1,"")</f>
        <v>1</v>
      </c>
      <c r="AP94" s="49">
        <v>0</v>
      </c>
      <c r="AQ94" s="50">
        <v>0</v>
      </c>
      <c r="AR94" s="49">
        <v>0</v>
      </c>
      <c r="AS94" s="50">
        <v>0</v>
      </c>
      <c r="AT94" s="49">
        <v>0</v>
      </c>
      <c r="AU94" s="50">
        <v>0</v>
      </c>
      <c r="AV94" s="49">
        <v>15</v>
      </c>
      <c r="AW94" s="50">
        <v>100</v>
      </c>
      <c r="AX94" s="49">
        <v>15</v>
      </c>
      <c r="AY94" s="49"/>
      <c r="AZ94" s="49"/>
      <c r="BA94" s="49"/>
      <c r="BB94" s="49"/>
    </row>
    <row r="95" spans="1:54" ht="15">
      <c r="A95" s="65" t="s">
        <v>661</v>
      </c>
      <c r="B95" s="66"/>
      <c r="C95" s="66"/>
      <c r="D95" s="67">
        <v>150</v>
      </c>
      <c r="E95" s="102"/>
      <c r="F95" s="96" t="str">
        <f>HYPERLINK("https://i.ytimg.com/vi/B5kMgmK0bnw/default.jpg")</f>
        <v>https://i.ytimg.com/vi/B5kMgmK0bnw/default.jpg</v>
      </c>
      <c r="G95" s="103"/>
      <c r="H95" s="70" t="s">
        <v>682</v>
      </c>
      <c r="I95" s="71"/>
      <c r="J95" s="104" t="s">
        <v>159</v>
      </c>
      <c r="K95" s="70" t="s">
        <v>682</v>
      </c>
      <c r="L95" s="105">
        <v>1</v>
      </c>
      <c r="M95" s="75">
        <v>3814.5537109375</v>
      </c>
      <c r="N95" s="75">
        <v>4597.81298828125</v>
      </c>
      <c r="O95" s="76"/>
      <c r="P95" s="77"/>
      <c r="Q95" s="77"/>
      <c r="R95" s="82"/>
      <c r="S95" s="49">
        <v>1</v>
      </c>
      <c r="T95" s="49">
        <v>0</v>
      </c>
      <c r="U95" s="50">
        <v>0</v>
      </c>
      <c r="V95" s="50">
        <v>0.003049</v>
      </c>
      <c r="W95" s="50">
        <v>0.001056</v>
      </c>
      <c r="X95" s="50">
        <v>0.206537</v>
      </c>
      <c r="Y95" s="50">
        <v>0</v>
      </c>
      <c r="Z95" s="50">
        <v>0</v>
      </c>
      <c r="AA95" s="72">
        <v>95</v>
      </c>
      <c r="AB95" s="72"/>
      <c r="AC95" s="73"/>
      <c r="AD95" s="81" t="s">
        <v>682</v>
      </c>
      <c r="AE95" s="81" t="s">
        <v>716</v>
      </c>
      <c r="AF95" s="81" t="s">
        <v>748</v>
      </c>
      <c r="AG95" s="81" t="s">
        <v>770</v>
      </c>
      <c r="AH95" s="81" t="s">
        <v>797</v>
      </c>
      <c r="AI95" s="81">
        <v>780513</v>
      </c>
      <c r="AJ95" s="81">
        <v>0</v>
      </c>
      <c r="AK95" s="81">
        <v>0</v>
      </c>
      <c r="AL95" s="81">
        <v>0</v>
      </c>
      <c r="AM95" s="81" t="s">
        <v>634</v>
      </c>
      <c r="AN95" s="106" t="str">
        <f>HYPERLINK("https://www.youtube.com/watch?v=B5kMgmK0bnw")</f>
        <v>https://www.youtube.com/watch?v=B5kMgmK0bnw</v>
      </c>
      <c r="AO95" s="80" t="str">
        <f>REPLACE(INDEX(GroupVertices[Group],MATCH(Vertices[[#This Row],[Vertex]],GroupVertices[Vertex],0)),1,1,"")</f>
        <v>1</v>
      </c>
      <c r="AP95" s="49">
        <v>1</v>
      </c>
      <c r="AQ95" s="50">
        <v>2.1739130434782608</v>
      </c>
      <c r="AR95" s="49">
        <v>0</v>
      </c>
      <c r="AS95" s="50">
        <v>0</v>
      </c>
      <c r="AT95" s="49">
        <v>0</v>
      </c>
      <c r="AU95" s="50">
        <v>0</v>
      </c>
      <c r="AV95" s="49">
        <v>45</v>
      </c>
      <c r="AW95" s="50">
        <v>97.82608695652173</v>
      </c>
      <c r="AX95" s="49">
        <v>46</v>
      </c>
      <c r="AY95" s="49"/>
      <c r="AZ95" s="49"/>
      <c r="BA95" s="49"/>
      <c r="BB95" s="49"/>
    </row>
    <row r="96" spans="1:54" ht="15">
      <c r="A96" s="65" t="s">
        <v>662</v>
      </c>
      <c r="B96" s="66"/>
      <c r="C96" s="66"/>
      <c r="D96" s="67">
        <v>150</v>
      </c>
      <c r="E96" s="102"/>
      <c r="F96" s="96" t="str">
        <f>HYPERLINK("https://i.ytimg.com/vi/rrqhDiqCPKQ/default.jpg")</f>
        <v>https://i.ytimg.com/vi/rrqhDiqCPKQ/default.jpg</v>
      </c>
      <c r="G96" s="103"/>
      <c r="H96" s="70" t="s">
        <v>683</v>
      </c>
      <c r="I96" s="71"/>
      <c r="J96" s="104" t="s">
        <v>159</v>
      </c>
      <c r="K96" s="70" t="s">
        <v>683</v>
      </c>
      <c r="L96" s="105">
        <v>1</v>
      </c>
      <c r="M96" s="75">
        <v>3906.191162109375</v>
      </c>
      <c r="N96" s="75">
        <v>6545.82373046875</v>
      </c>
      <c r="O96" s="76"/>
      <c r="P96" s="77"/>
      <c r="Q96" s="77"/>
      <c r="R96" s="82"/>
      <c r="S96" s="49">
        <v>1</v>
      </c>
      <c r="T96" s="49">
        <v>0</v>
      </c>
      <c r="U96" s="50">
        <v>0</v>
      </c>
      <c r="V96" s="50">
        <v>0.003049</v>
      </c>
      <c r="W96" s="50">
        <v>0.001056</v>
      </c>
      <c r="X96" s="50">
        <v>0.206537</v>
      </c>
      <c r="Y96" s="50">
        <v>0</v>
      </c>
      <c r="Z96" s="50">
        <v>0</v>
      </c>
      <c r="AA96" s="72">
        <v>96</v>
      </c>
      <c r="AB96" s="72"/>
      <c r="AC96" s="73"/>
      <c r="AD96" s="81" t="s">
        <v>683</v>
      </c>
      <c r="AE96" s="81" t="s">
        <v>717</v>
      </c>
      <c r="AF96" s="81"/>
      <c r="AG96" s="81" t="s">
        <v>524</v>
      </c>
      <c r="AH96" s="81" t="s">
        <v>798</v>
      </c>
      <c r="AI96" s="81">
        <v>1547</v>
      </c>
      <c r="AJ96" s="81">
        <v>0</v>
      </c>
      <c r="AK96" s="81">
        <v>10</v>
      </c>
      <c r="AL96" s="81">
        <v>0</v>
      </c>
      <c r="AM96" s="81" t="s">
        <v>634</v>
      </c>
      <c r="AN96" s="106" t="str">
        <f>HYPERLINK("https://www.youtube.com/watch?v=rrqhDiqCPKQ")</f>
        <v>https://www.youtube.com/watch?v=rrqhDiqCPKQ</v>
      </c>
      <c r="AO96" s="80" t="str">
        <f>REPLACE(INDEX(GroupVertices[Group],MATCH(Vertices[[#This Row],[Vertex]],GroupVertices[Vertex],0)),1,1,"")</f>
        <v>1</v>
      </c>
      <c r="AP96" s="49">
        <v>1</v>
      </c>
      <c r="AQ96" s="50">
        <v>1.1111111111111112</v>
      </c>
      <c r="AR96" s="49">
        <v>4</v>
      </c>
      <c r="AS96" s="50">
        <v>4.444444444444445</v>
      </c>
      <c r="AT96" s="49">
        <v>0</v>
      </c>
      <c r="AU96" s="50">
        <v>0</v>
      </c>
      <c r="AV96" s="49">
        <v>85</v>
      </c>
      <c r="AW96" s="50">
        <v>94.44444444444444</v>
      </c>
      <c r="AX96" s="49">
        <v>90</v>
      </c>
      <c r="AY96" s="49"/>
      <c r="AZ96" s="49"/>
      <c r="BA96" s="49"/>
      <c r="BB96" s="49"/>
    </row>
    <row r="97" spans="1:54" ht="15">
      <c r="A97" s="65" t="s">
        <v>663</v>
      </c>
      <c r="B97" s="66"/>
      <c r="C97" s="66"/>
      <c r="D97" s="67">
        <v>150</v>
      </c>
      <c r="E97" s="102"/>
      <c r="F97" s="96" t="str">
        <f>HYPERLINK("https://i.ytimg.com/vi/oQ235E1gvrU/default.jpg")</f>
        <v>https://i.ytimg.com/vi/oQ235E1gvrU/default.jpg</v>
      </c>
      <c r="G97" s="103"/>
      <c r="H97" s="70" t="s">
        <v>684</v>
      </c>
      <c r="I97" s="71"/>
      <c r="J97" s="104" t="s">
        <v>159</v>
      </c>
      <c r="K97" s="70" t="s">
        <v>684</v>
      </c>
      <c r="L97" s="105">
        <v>1</v>
      </c>
      <c r="M97" s="75">
        <v>785.4389038085938</v>
      </c>
      <c r="N97" s="75">
        <v>9427.859375</v>
      </c>
      <c r="O97" s="76"/>
      <c r="P97" s="77"/>
      <c r="Q97" s="77"/>
      <c r="R97" s="82"/>
      <c r="S97" s="49">
        <v>1</v>
      </c>
      <c r="T97" s="49">
        <v>0</v>
      </c>
      <c r="U97" s="50">
        <v>0</v>
      </c>
      <c r="V97" s="50">
        <v>0.003003</v>
      </c>
      <c r="W97" s="50">
        <v>0.001035</v>
      </c>
      <c r="X97" s="50">
        <v>0.203299</v>
      </c>
      <c r="Y97" s="50">
        <v>0</v>
      </c>
      <c r="Z97" s="50">
        <v>0</v>
      </c>
      <c r="AA97" s="72">
        <v>97</v>
      </c>
      <c r="AB97" s="72"/>
      <c r="AC97" s="73"/>
      <c r="AD97" s="81" t="s">
        <v>684</v>
      </c>
      <c r="AE97" s="81" t="s">
        <v>718</v>
      </c>
      <c r="AF97" s="81" t="s">
        <v>749</v>
      </c>
      <c r="AG97" s="81" t="s">
        <v>771</v>
      </c>
      <c r="AH97" s="81" t="s">
        <v>799</v>
      </c>
      <c r="AI97" s="81">
        <v>303843</v>
      </c>
      <c r="AJ97" s="81">
        <v>148</v>
      </c>
      <c r="AK97" s="81">
        <v>4515</v>
      </c>
      <c r="AL97" s="81">
        <v>133</v>
      </c>
      <c r="AM97" s="81" t="s">
        <v>634</v>
      </c>
      <c r="AN97" s="106" t="str">
        <f>HYPERLINK("https://www.youtube.com/watch?v=oQ235E1gvrU")</f>
        <v>https://www.youtube.com/watch?v=oQ235E1gvrU</v>
      </c>
      <c r="AO97" s="80" t="str">
        <f>REPLACE(INDEX(GroupVertices[Group],MATCH(Vertices[[#This Row],[Vertex]],GroupVertices[Vertex],0)),1,1,"")</f>
        <v>1</v>
      </c>
      <c r="AP97" s="49">
        <v>6</v>
      </c>
      <c r="AQ97" s="50">
        <v>4.761904761904762</v>
      </c>
      <c r="AR97" s="49">
        <v>1</v>
      </c>
      <c r="AS97" s="50">
        <v>0.7936507936507936</v>
      </c>
      <c r="AT97" s="49">
        <v>0</v>
      </c>
      <c r="AU97" s="50">
        <v>0</v>
      </c>
      <c r="AV97" s="49">
        <v>119</v>
      </c>
      <c r="AW97" s="50">
        <v>94.44444444444444</v>
      </c>
      <c r="AX97" s="49">
        <v>126</v>
      </c>
      <c r="AY97" s="49"/>
      <c r="AZ97" s="49"/>
      <c r="BA97" s="49"/>
      <c r="BB97" s="49"/>
    </row>
    <row r="98" spans="1:54" ht="15">
      <c r="A98" s="65" t="s">
        <v>636</v>
      </c>
      <c r="B98" s="66"/>
      <c r="C98" s="66"/>
      <c r="D98" s="67">
        <v>150</v>
      </c>
      <c r="E98" s="102"/>
      <c r="F98" s="96" t="str">
        <f>HYPERLINK("https://i.ytimg.com/vi/-xefhMU-kPA/default.jpg")</f>
        <v>https://i.ytimg.com/vi/-xefhMU-kPA/default.jpg</v>
      </c>
      <c r="G98" s="103"/>
      <c r="H98" s="70" t="s">
        <v>685</v>
      </c>
      <c r="I98" s="71"/>
      <c r="J98" s="104" t="s">
        <v>159</v>
      </c>
      <c r="K98" s="70" t="s">
        <v>685</v>
      </c>
      <c r="L98" s="105">
        <v>1</v>
      </c>
      <c r="M98" s="75">
        <v>9097.619140625</v>
      </c>
      <c r="N98" s="75">
        <v>5652.322265625</v>
      </c>
      <c r="O98" s="76"/>
      <c r="P98" s="77"/>
      <c r="Q98" s="77"/>
      <c r="R98" s="82"/>
      <c r="S98" s="49">
        <v>5</v>
      </c>
      <c r="T98" s="49">
        <v>1</v>
      </c>
      <c r="U98" s="50">
        <v>0</v>
      </c>
      <c r="V98" s="50">
        <v>0.003175</v>
      </c>
      <c r="W98" s="50">
        <v>0.004164</v>
      </c>
      <c r="X98" s="50">
        <v>0.396866</v>
      </c>
      <c r="Y98" s="50">
        <v>0.75</v>
      </c>
      <c r="Z98" s="50">
        <v>0.2</v>
      </c>
      <c r="AA98" s="72">
        <v>98</v>
      </c>
      <c r="AB98" s="72"/>
      <c r="AC98" s="73"/>
      <c r="AD98" s="81" t="s">
        <v>685</v>
      </c>
      <c r="AE98" s="81" t="s">
        <v>719</v>
      </c>
      <c r="AF98" s="81"/>
      <c r="AG98" s="81" t="s">
        <v>772</v>
      </c>
      <c r="AH98" s="81" t="s">
        <v>800</v>
      </c>
      <c r="AI98" s="81">
        <v>5777</v>
      </c>
      <c r="AJ98" s="81">
        <v>18</v>
      </c>
      <c r="AK98" s="81">
        <v>323</v>
      </c>
      <c r="AL98" s="81">
        <v>4</v>
      </c>
      <c r="AM98" s="81" t="s">
        <v>634</v>
      </c>
      <c r="AN98" s="106" t="str">
        <f>HYPERLINK("https://www.youtube.com/watch?v=-xefhMU-kPA")</f>
        <v>https://www.youtube.com/watch?v=-xefhMU-kPA</v>
      </c>
      <c r="AO98" s="80" t="str">
        <f>REPLACE(INDEX(GroupVertices[Group],MATCH(Vertices[[#This Row],[Vertex]],GroupVertices[Vertex],0)),1,1,"")</f>
        <v>2</v>
      </c>
      <c r="AP98" s="49">
        <v>0</v>
      </c>
      <c r="AQ98" s="50">
        <v>0</v>
      </c>
      <c r="AR98" s="49">
        <v>0</v>
      </c>
      <c r="AS98" s="50">
        <v>0</v>
      </c>
      <c r="AT98" s="49">
        <v>0</v>
      </c>
      <c r="AU98" s="50">
        <v>0</v>
      </c>
      <c r="AV98" s="49">
        <v>7</v>
      </c>
      <c r="AW98" s="50">
        <v>100</v>
      </c>
      <c r="AX98" s="49">
        <v>7</v>
      </c>
      <c r="AY98" s="120" t="s">
        <v>2109</v>
      </c>
      <c r="AZ98" s="120" t="s">
        <v>2109</v>
      </c>
      <c r="BA98" s="120" t="s">
        <v>2109</v>
      </c>
      <c r="BB98" s="120" t="s">
        <v>2109</v>
      </c>
    </row>
    <row r="99" spans="1:54" ht="15">
      <c r="A99" s="65" t="s">
        <v>637</v>
      </c>
      <c r="B99" s="66"/>
      <c r="C99" s="66"/>
      <c r="D99" s="67">
        <v>183.1231807404726</v>
      </c>
      <c r="E99" s="102"/>
      <c r="F99" s="96" t="str">
        <f>HYPERLINK("https://i.ytimg.com/vi/h6n7IZoTlkY/default.jpg")</f>
        <v>https://i.ytimg.com/vi/h6n7IZoTlkY/default.jpg</v>
      </c>
      <c r="G99" s="103"/>
      <c r="H99" s="70" t="s">
        <v>686</v>
      </c>
      <c r="I99" s="71"/>
      <c r="J99" s="104" t="s">
        <v>75</v>
      </c>
      <c r="K99" s="70" t="s">
        <v>686</v>
      </c>
      <c r="L99" s="105">
        <v>92.03898658062948</v>
      </c>
      <c r="M99" s="75">
        <v>8189.126953125</v>
      </c>
      <c r="N99" s="75">
        <v>6858.24560546875</v>
      </c>
      <c r="O99" s="76"/>
      <c r="P99" s="77"/>
      <c r="Q99" s="77"/>
      <c r="R99" s="82"/>
      <c r="S99" s="49">
        <v>20</v>
      </c>
      <c r="T99" s="49">
        <v>2</v>
      </c>
      <c r="U99" s="50">
        <v>23.455635</v>
      </c>
      <c r="V99" s="50">
        <v>0.004016</v>
      </c>
      <c r="W99" s="50">
        <v>0.016083</v>
      </c>
      <c r="X99" s="50">
        <v>1.228876</v>
      </c>
      <c r="Y99" s="50">
        <v>0.5476190476190477</v>
      </c>
      <c r="Z99" s="50">
        <v>0.047619047619047616</v>
      </c>
      <c r="AA99" s="72">
        <v>99</v>
      </c>
      <c r="AB99" s="72"/>
      <c r="AC99" s="73"/>
      <c r="AD99" s="81" t="s">
        <v>686</v>
      </c>
      <c r="AE99" s="81" t="s">
        <v>720</v>
      </c>
      <c r="AF99" s="81" t="s">
        <v>750</v>
      </c>
      <c r="AG99" s="81" t="s">
        <v>773</v>
      </c>
      <c r="AH99" s="81" t="s">
        <v>801</v>
      </c>
      <c r="AI99" s="81">
        <v>60537</v>
      </c>
      <c r="AJ99" s="81">
        <v>25</v>
      </c>
      <c r="AK99" s="81">
        <v>483</v>
      </c>
      <c r="AL99" s="81">
        <v>55</v>
      </c>
      <c r="AM99" s="81" t="s">
        <v>634</v>
      </c>
      <c r="AN99" s="106" t="str">
        <f>HYPERLINK("https://www.youtube.com/watch?v=h6n7IZoTlkY")</f>
        <v>https://www.youtube.com/watch?v=h6n7IZoTlkY</v>
      </c>
      <c r="AO99" s="80" t="str">
        <f>REPLACE(INDEX(GroupVertices[Group],MATCH(Vertices[[#This Row],[Vertex]],GroupVertices[Vertex],0)),1,1,"")</f>
        <v>2</v>
      </c>
      <c r="AP99" s="49">
        <v>0</v>
      </c>
      <c r="AQ99" s="50">
        <v>0</v>
      </c>
      <c r="AR99" s="49">
        <v>1</v>
      </c>
      <c r="AS99" s="50">
        <v>2.2222222222222223</v>
      </c>
      <c r="AT99" s="49">
        <v>0</v>
      </c>
      <c r="AU99" s="50">
        <v>0</v>
      </c>
      <c r="AV99" s="49">
        <v>44</v>
      </c>
      <c r="AW99" s="50">
        <v>97.77777777777777</v>
      </c>
      <c r="AX99" s="49">
        <v>45</v>
      </c>
      <c r="AY99" s="120" t="s">
        <v>2109</v>
      </c>
      <c r="AZ99" s="120" t="s">
        <v>2109</v>
      </c>
      <c r="BA99" s="120" t="s">
        <v>2109</v>
      </c>
      <c r="BB99" s="120" t="s">
        <v>2109</v>
      </c>
    </row>
    <row r="100" spans="1:54" ht="15">
      <c r="A100" s="65" t="s">
        <v>638</v>
      </c>
      <c r="B100" s="66"/>
      <c r="C100" s="66"/>
      <c r="D100" s="67">
        <v>190.6400638598068</v>
      </c>
      <c r="E100" s="102"/>
      <c r="F100" s="96" t="str">
        <f>HYPERLINK("https://i.ytimg.com/vi/vpEAos0blyw/default.jpg")</f>
        <v>https://i.ytimg.com/vi/vpEAos0blyw/default.jpg</v>
      </c>
      <c r="G100" s="103"/>
      <c r="H100" s="70" t="s">
        <v>687</v>
      </c>
      <c r="I100" s="71"/>
      <c r="J100" s="104" t="s">
        <v>75</v>
      </c>
      <c r="K100" s="70" t="s">
        <v>687</v>
      </c>
      <c r="L100" s="105">
        <v>112.69912265847465</v>
      </c>
      <c r="M100" s="75">
        <v>8059.2451171875</v>
      </c>
      <c r="N100" s="75">
        <v>7190.685546875</v>
      </c>
      <c r="O100" s="76"/>
      <c r="P100" s="77"/>
      <c r="Q100" s="77"/>
      <c r="R100" s="82"/>
      <c r="S100" s="49">
        <v>18</v>
      </c>
      <c r="T100" s="49">
        <v>5</v>
      </c>
      <c r="U100" s="50">
        <v>28.778592</v>
      </c>
      <c r="V100" s="50">
        <v>0.004032</v>
      </c>
      <c r="W100" s="50">
        <v>0.01635</v>
      </c>
      <c r="X100" s="50">
        <v>1.288376</v>
      </c>
      <c r="Y100" s="50">
        <v>0.5194805194805194</v>
      </c>
      <c r="Z100" s="50">
        <v>0.045454545454545456</v>
      </c>
      <c r="AA100" s="72">
        <v>100</v>
      </c>
      <c r="AB100" s="72"/>
      <c r="AC100" s="73"/>
      <c r="AD100" s="81" t="s">
        <v>687</v>
      </c>
      <c r="AE100" s="81" t="s">
        <v>721</v>
      </c>
      <c r="AF100" s="81" t="s">
        <v>751</v>
      </c>
      <c r="AG100" s="81" t="s">
        <v>508</v>
      </c>
      <c r="AH100" s="81" t="s">
        <v>802</v>
      </c>
      <c r="AI100" s="81">
        <v>72763</v>
      </c>
      <c r="AJ100" s="81">
        <v>73</v>
      </c>
      <c r="AK100" s="81">
        <v>345</v>
      </c>
      <c r="AL100" s="81">
        <v>38</v>
      </c>
      <c r="AM100" s="81" t="s">
        <v>634</v>
      </c>
      <c r="AN100" s="106" t="str">
        <f>HYPERLINK("https://www.youtube.com/watch?v=vpEAos0blyw")</f>
        <v>https://www.youtube.com/watch?v=vpEAos0blyw</v>
      </c>
      <c r="AO100" s="80" t="str">
        <f>REPLACE(INDEX(GroupVertices[Group],MATCH(Vertices[[#This Row],[Vertex]],GroupVertices[Vertex],0)),1,1,"")</f>
        <v>2</v>
      </c>
      <c r="AP100" s="49">
        <v>0</v>
      </c>
      <c r="AQ100" s="50">
        <v>0</v>
      </c>
      <c r="AR100" s="49">
        <v>0</v>
      </c>
      <c r="AS100" s="50">
        <v>0</v>
      </c>
      <c r="AT100" s="49">
        <v>0</v>
      </c>
      <c r="AU100" s="50">
        <v>0</v>
      </c>
      <c r="AV100" s="49">
        <v>22</v>
      </c>
      <c r="AW100" s="50">
        <v>100</v>
      </c>
      <c r="AX100" s="49">
        <v>22</v>
      </c>
      <c r="AY100" s="120" t="s">
        <v>2109</v>
      </c>
      <c r="AZ100" s="120" t="s">
        <v>2109</v>
      </c>
      <c r="BA100" s="120" t="s">
        <v>2109</v>
      </c>
      <c r="BB100" s="120" t="s">
        <v>2109</v>
      </c>
    </row>
    <row r="101" spans="1:54" ht="15">
      <c r="A101" s="65" t="s">
        <v>664</v>
      </c>
      <c r="B101" s="66"/>
      <c r="C101" s="66"/>
      <c r="D101" s="67">
        <v>150</v>
      </c>
      <c r="E101" s="102"/>
      <c r="F101" s="96" t="str">
        <f>HYPERLINK("https://i.ytimg.com/vi/pIDmePznLBo/default.jpg")</f>
        <v>https://i.ytimg.com/vi/pIDmePznLBo/default.jpg</v>
      </c>
      <c r="G101" s="103"/>
      <c r="H101" s="70" t="s">
        <v>688</v>
      </c>
      <c r="I101" s="71"/>
      <c r="J101" s="104" t="s">
        <v>159</v>
      </c>
      <c r="K101" s="70" t="s">
        <v>688</v>
      </c>
      <c r="L101" s="105">
        <v>1</v>
      </c>
      <c r="M101" s="75">
        <v>362.6590576171875</v>
      </c>
      <c r="N101" s="75">
        <v>8126.703125</v>
      </c>
      <c r="O101" s="76"/>
      <c r="P101" s="77"/>
      <c r="Q101" s="77"/>
      <c r="R101" s="82"/>
      <c r="S101" s="49">
        <v>1</v>
      </c>
      <c r="T101" s="49">
        <v>0</v>
      </c>
      <c r="U101" s="50">
        <v>0</v>
      </c>
      <c r="V101" s="50">
        <v>0.003003</v>
      </c>
      <c r="W101" s="50">
        <v>0.001035</v>
      </c>
      <c r="X101" s="50">
        <v>0.203299</v>
      </c>
      <c r="Y101" s="50">
        <v>0</v>
      </c>
      <c r="Z101" s="50">
        <v>0</v>
      </c>
      <c r="AA101" s="72">
        <v>101</v>
      </c>
      <c r="AB101" s="72"/>
      <c r="AC101" s="73"/>
      <c r="AD101" s="81" t="s">
        <v>688</v>
      </c>
      <c r="AE101" s="81" t="s">
        <v>722</v>
      </c>
      <c r="AF101" s="81" t="s">
        <v>752</v>
      </c>
      <c r="AG101" s="81" t="s">
        <v>507</v>
      </c>
      <c r="AH101" s="81" t="s">
        <v>803</v>
      </c>
      <c r="AI101" s="81">
        <v>220463</v>
      </c>
      <c r="AJ101" s="81">
        <v>263</v>
      </c>
      <c r="AK101" s="81">
        <v>1883</v>
      </c>
      <c r="AL101" s="81">
        <v>57</v>
      </c>
      <c r="AM101" s="81" t="s">
        <v>634</v>
      </c>
      <c r="AN101" s="106" t="str">
        <f>HYPERLINK("https://www.youtube.com/watch?v=pIDmePznLBo")</f>
        <v>https://www.youtube.com/watch?v=pIDmePznLBo</v>
      </c>
      <c r="AO101" s="80" t="str">
        <f>REPLACE(INDEX(GroupVertices[Group],MATCH(Vertices[[#This Row],[Vertex]],GroupVertices[Vertex],0)),1,1,"")</f>
        <v>1</v>
      </c>
      <c r="AP101" s="49">
        <v>10</v>
      </c>
      <c r="AQ101" s="50">
        <v>4.016064257028113</v>
      </c>
      <c r="AR101" s="49">
        <v>3</v>
      </c>
      <c r="AS101" s="50">
        <v>1.2048192771084338</v>
      </c>
      <c r="AT101" s="49">
        <v>0</v>
      </c>
      <c r="AU101" s="50">
        <v>0</v>
      </c>
      <c r="AV101" s="49">
        <v>236</v>
      </c>
      <c r="AW101" s="50">
        <v>94.77911646586345</v>
      </c>
      <c r="AX101" s="49">
        <v>249</v>
      </c>
      <c r="AY101" s="49"/>
      <c r="AZ101" s="49"/>
      <c r="BA101" s="49"/>
      <c r="BB101" s="49"/>
    </row>
    <row r="102" spans="1:54" ht="15">
      <c r="A102" s="65" t="s">
        <v>639</v>
      </c>
      <c r="B102" s="66"/>
      <c r="C102" s="66"/>
      <c r="D102" s="67">
        <v>150.2017373748799</v>
      </c>
      <c r="E102" s="102"/>
      <c r="F102" s="96" t="str">
        <f>HYPERLINK("https://i.ytimg.com/vi/xztaFt0XqKU/default.jpg")</f>
        <v>https://i.ytimg.com/vi/xztaFt0XqKU/default.jpg</v>
      </c>
      <c r="G102" s="103"/>
      <c r="H102" s="70" t="s">
        <v>689</v>
      </c>
      <c r="I102" s="71"/>
      <c r="J102" s="104" t="s">
        <v>75</v>
      </c>
      <c r="K102" s="70" t="s">
        <v>689</v>
      </c>
      <c r="L102" s="105">
        <v>1.5544747138991968</v>
      </c>
      <c r="M102" s="75">
        <v>8568.91015625</v>
      </c>
      <c r="N102" s="75">
        <v>7798.20751953125</v>
      </c>
      <c r="O102" s="76"/>
      <c r="P102" s="77"/>
      <c r="Q102" s="77"/>
      <c r="R102" s="82"/>
      <c r="S102" s="49">
        <v>10</v>
      </c>
      <c r="T102" s="49">
        <v>5</v>
      </c>
      <c r="U102" s="50">
        <v>0.142857</v>
      </c>
      <c r="V102" s="50">
        <v>0.003484</v>
      </c>
      <c r="W102" s="50">
        <v>0.011568</v>
      </c>
      <c r="X102" s="50">
        <v>0.866712</v>
      </c>
      <c r="Y102" s="50">
        <v>0.6483516483516484</v>
      </c>
      <c r="Z102" s="50">
        <v>0.07142857142857142</v>
      </c>
      <c r="AA102" s="72">
        <v>102</v>
      </c>
      <c r="AB102" s="72"/>
      <c r="AC102" s="73"/>
      <c r="AD102" s="81" t="s">
        <v>689</v>
      </c>
      <c r="AE102" s="81" t="s">
        <v>723</v>
      </c>
      <c r="AF102" s="81" t="s">
        <v>753</v>
      </c>
      <c r="AG102" s="81" t="s">
        <v>774</v>
      </c>
      <c r="AH102" s="81" t="s">
        <v>804</v>
      </c>
      <c r="AI102" s="81">
        <v>13554</v>
      </c>
      <c r="AJ102" s="81">
        <v>13</v>
      </c>
      <c r="AK102" s="81">
        <v>110</v>
      </c>
      <c r="AL102" s="81">
        <v>21</v>
      </c>
      <c r="AM102" s="81" t="s">
        <v>634</v>
      </c>
      <c r="AN102" s="106" t="str">
        <f>HYPERLINK("https://www.youtube.com/watch?v=xztaFt0XqKU")</f>
        <v>https://www.youtube.com/watch?v=xztaFt0XqKU</v>
      </c>
      <c r="AO102" s="80" t="str">
        <f>REPLACE(INDEX(GroupVertices[Group],MATCH(Vertices[[#This Row],[Vertex]],GroupVertices[Vertex],0)),1,1,"")</f>
        <v>2</v>
      </c>
      <c r="AP102" s="49">
        <v>4</v>
      </c>
      <c r="AQ102" s="50">
        <v>2.0202020202020203</v>
      </c>
      <c r="AR102" s="49">
        <v>4</v>
      </c>
      <c r="AS102" s="50">
        <v>2.0202020202020203</v>
      </c>
      <c r="AT102" s="49">
        <v>0</v>
      </c>
      <c r="AU102" s="50">
        <v>0</v>
      </c>
      <c r="AV102" s="49">
        <v>190</v>
      </c>
      <c r="AW102" s="50">
        <v>95.95959595959596</v>
      </c>
      <c r="AX102" s="49">
        <v>198</v>
      </c>
      <c r="AY102" s="120" t="s">
        <v>2109</v>
      </c>
      <c r="AZ102" s="120" t="s">
        <v>2109</v>
      </c>
      <c r="BA102" s="120" t="s">
        <v>2109</v>
      </c>
      <c r="BB102" s="120" t="s">
        <v>2109</v>
      </c>
    </row>
    <row r="103" spans="1:54" ht="15">
      <c r="A103" s="65" t="s">
        <v>640</v>
      </c>
      <c r="B103" s="66"/>
      <c r="C103" s="66"/>
      <c r="D103" s="67">
        <v>164.1802577238411</v>
      </c>
      <c r="E103" s="102"/>
      <c r="F103" s="96" t="str">
        <f>HYPERLINK("https://i.ytimg.com/vi/Td1itX2lMss/default.jpg")</f>
        <v>https://i.ytimg.com/vi/Td1itX2lMss/default.jpg</v>
      </c>
      <c r="G103" s="103"/>
      <c r="H103" s="70" t="s">
        <v>690</v>
      </c>
      <c r="I103" s="71"/>
      <c r="J103" s="104" t="s">
        <v>75</v>
      </c>
      <c r="K103" s="70" t="s">
        <v>690</v>
      </c>
      <c r="L103" s="105">
        <v>39.97440595290539</v>
      </c>
      <c r="M103" s="75">
        <v>7875.09716796875</v>
      </c>
      <c r="N103" s="75">
        <v>7658.353515625</v>
      </c>
      <c r="O103" s="76"/>
      <c r="P103" s="77"/>
      <c r="Q103" s="77"/>
      <c r="R103" s="82"/>
      <c r="S103" s="49">
        <v>15</v>
      </c>
      <c r="T103" s="49">
        <v>7</v>
      </c>
      <c r="U103" s="50">
        <v>10.041516</v>
      </c>
      <c r="V103" s="50">
        <v>0.004016</v>
      </c>
      <c r="W103" s="50">
        <v>0.016212</v>
      </c>
      <c r="X103" s="50">
        <v>1.221256</v>
      </c>
      <c r="Y103" s="50">
        <v>0.5595238095238095</v>
      </c>
      <c r="Z103" s="50">
        <v>0.047619047619047616</v>
      </c>
      <c r="AA103" s="72">
        <v>103</v>
      </c>
      <c r="AB103" s="72"/>
      <c r="AC103" s="73"/>
      <c r="AD103" s="81" t="s">
        <v>690</v>
      </c>
      <c r="AE103" s="81" t="s">
        <v>724</v>
      </c>
      <c r="AF103" s="81" t="s">
        <v>754</v>
      </c>
      <c r="AG103" s="81" t="s">
        <v>775</v>
      </c>
      <c r="AH103" s="81" t="s">
        <v>805</v>
      </c>
      <c r="AI103" s="81">
        <v>8130</v>
      </c>
      <c r="AJ103" s="81">
        <v>11</v>
      </c>
      <c r="AK103" s="81">
        <v>110</v>
      </c>
      <c r="AL103" s="81">
        <v>12</v>
      </c>
      <c r="AM103" s="81" t="s">
        <v>634</v>
      </c>
      <c r="AN103" s="106" t="str">
        <f>HYPERLINK("https://www.youtube.com/watch?v=Td1itX2lMss")</f>
        <v>https://www.youtube.com/watch?v=Td1itX2lMss</v>
      </c>
      <c r="AO103" s="80" t="str">
        <f>REPLACE(INDEX(GroupVertices[Group],MATCH(Vertices[[#This Row],[Vertex]],GroupVertices[Vertex],0)),1,1,"")</f>
        <v>2</v>
      </c>
      <c r="AP103" s="49">
        <v>4</v>
      </c>
      <c r="AQ103" s="50">
        <v>2.1621621621621623</v>
      </c>
      <c r="AR103" s="49">
        <v>0</v>
      </c>
      <c r="AS103" s="50">
        <v>0</v>
      </c>
      <c r="AT103" s="49">
        <v>0</v>
      </c>
      <c r="AU103" s="50">
        <v>0</v>
      </c>
      <c r="AV103" s="49">
        <v>181</v>
      </c>
      <c r="AW103" s="50">
        <v>97.83783783783784</v>
      </c>
      <c r="AX103" s="49">
        <v>185</v>
      </c>
      <c r="AY103" s="120" t="s">
        <v>2109</v>
      </c>
      <c r="AZ103" s="120" t="s">
        <v>2109</v>
      </c>
      <c r="BA103" s="120" t="s">
        <v>2109</v>
      </c>
      <c r="BB103" s="120" t="s">
        <v>2109</v>
      </c>
    </row>
    <row r="104" spans="1:54" ht="15">
      <c r="A104" s="65" t="s">
        <v>641</v>
      </c>
      <c r="B104" s="66"/>
      <c r="C104" s="66"/>
      <c r="D104" s="67">
        <v>170.4175008348334</v>
      </c>
      <c r="E104" s="102"/>
      <c r="F104" s="96" t="str">
        <f>HYPERLINK("https://i.ytimg.com/vi/D9c3qPQP3yA/default.jpg")</f>
        <v>https://i.ytimg.com/vi/D9c3qPQP3yA/default.jpg</v>
      </c>
      <c r="G104" s="103"/>
      <c r="H104" s="70" t="s">
        <v>691</v>
      </c>
      <c r="I104" s="71"/>
      <c r="J104" s="104" t="s">
        <v>75</v>
      </c>
      <c r="K104" s="70" t="s">
        <v>691</v>
      </c>
      <c r="L104" s="105">
        <v>57.11745439172664</v>
      </c>
      <c r="M104" s="75">
        <v>7245.26171875</v>
      </c>
      <c r="N104" s="75">
        <v>6845.0107421875</v>
      </c>
      <c r="O104" s="76"/>
      <c r="P104" s="77"/>
      <c r="Q104" s="77"/>
      <c r="R104" s="82"/>
      <c r="S104" s="49">
        <v>10</v>
      </c>
      <c r="T104" s="49">
        <v>9</v>
      </c>
      <c r="U104" s="50">
        <v>14.458317</v>
      </c>
      <c r="V104" s="50">
        <v>0.004065</v>
      </c>
      <c r="W104" s="50">
        <v>0.015547</v>
      </c>
      <c r="X104" s="50">
        <v>1.128792</v>
      </c>
      <c r="Y104" s="50">
        <v>0.6169590643274854</v>
      </c>
      <c r="Z104" s="50">
        <v>0</v>
      </c>
      <c r="AA104" s="72">
        <v>104</v>
      </c>
      <c r="AB104" s="72"/>
      <c r="AC104" s="73"/>
      <c r="AD104" s="81" t="s">
        <v>691</v>
      </c>
      <c r="AE104" s="81" t="s">
        <v>725</v>
      </c>
      <c r="AF104" s="81" t="s">
        <v>755</v>
      </c>
      <c r="AG104" s="81" t="s">
        <v>776</v>
      </c>
      <c r="AH104" s="81" t="s">
        <v>806</v>
      </c>
      <c r="AI104" s="81">
        <v>325</v>
      </c>
      <c r="AJ104" s="81">
        <v>0</v>
      </c>
      <c r="AK104" s="81">
        <v>7</v>
      </c>
      <c r="AL104" s="81">
        <v>0</v>
      </c>
      <c r="AM104" s="81" t="s">
        <v>634</v>
      </c>
      <c r="AN104" s="106" t="str">
        <f>HYPERLINK("https://www.youtube.com/watch?v=D9c3qPQP3yA")</f>
        <v>https://www.youtube.com/watch?v=D9c3qPQP3yA</v>
      </c>
      <c r="AO104" s="80" t="str">
        <f>REPLACE(INDEX(GroupVertices[Group],MATCH(Vertices[[#This Row],[Vertex]],GroupVertices[Vertex],0)),1,1,"")</f>
        <v>2</v>
      </c>
      <c r="AP104" s="49">
        <v>0</v>
      </c>
      <c r="AQ104" s="50">
        <v>0</v>
      </c>
      <c r="AR104" s="49">
        <v>0</v>
      </c>
      <c r="AS104" s="50">
        <v>0</v>
      </c>
      <c r="AT104" s="49">
        <v>0</v>
      </c>
      <c r="AU104" s="50">
        <v>0</v>
      </c>
      <c r="AV104" s="49">
        <v>117</v>
      </c>
      <c r="AW104" s="50">
        <v>100</v>
      </c>
      <c r="AX104" s="49">
        <v>117</v>
      </c>
      <c r="AY104" s="120" t="s">
        <v>2109</v>
      </c>
      <c r="AZ104" s="120" t="s">
        <v>2109</v>
      </c>
      <c r="BA104" s="120" t="s">
        <v>2109</v>
      </c>
      <c r="BB104" s="120" t="s">
        <v>2109</v>
      </c>
    </row>
    <row r="105" spans="1:54" ht="15">
      <c r="A105" s="65" t="s">
        <v>642</v>
      </c>
      <c r="B105" s="66"/>
      <c r="C105" s="66"/>
      <c r="D105" s="67">
        <v>169.16972487324313</v>
      </c>
      <c r="E105" s="102"/>
      <c r="F105" s="96" t="str">
        <f>HYPERLINK("https://i.ytimg.com/vi/fu_2VRAfDP0/default.jpg")</f>
        <v>https://i.ytimg.com/vi/fu_2VRAfDP0/default.jpg</v>
      </c>
      <c r="G105" s="103"/>
      <c r="H105" s="70" t="s">
        <v>692</v>
      </c>
      <c r="I105" s="71"/>
      <c r="J105" s="104" t="s">
        <v>75</v>
      </c>
      <c r="K105" s="70" t="s">
        <v>692</v>
      </c>
      <c r="L105" s="105">
        <v>53.68794501239193</v>
      </c>
      <c r="M105" s="75">
        <v>7133.96875</v>
      </c>
      <c r="N105" s="75">
        <v>8204.0244140625</v>
      </c>
      <c r="O105" s="76"/>
      <c r="P105" s="77"/>
      <c r="Q105" s="77"/>
      <c r="R105" s="82"/>
      <c r="S105" s="49">
        <v>6</v>
      </c>
      <c r="T105" s="49">
        <v>8</v>
      </c>
      <c r="U105" s="50">
        <v>13.574725</v>
      </c>
      <c r="V105" s="50">
        <v>0.003546</v>
      </c>
      <c r="W105" s="50">
        <v>0.010931</v>
      </c>
      <c r="X105" s="50">
        <v>0.894278</v>
      </c>
      <c r="Y105" s="50">
        <v>0.5989010989010989</v>
      </c>
      <c r="Z105" s="50">
        <v>0</v>
      </c>
      <c r="AA105" s="72">
        <v>105</v>
      </c>
      <c r="AB105" s="72"/>
      <c r="AC105" s="73"/>
      <c r="AD105" s="81" t="s">
        <v>692</v>
      </c>
      <c r="AE105" s="81" t="s">
        <v>726</v>
      </c>
      <c r="AF105" s="81" t="s">
        <v>756</v>
      </c>
      <c r="AG105" s="81" t="s">
        <v>777</v>
      </c>
      <c r="AH105" s="81" t="s">
        <v>807</v>
      </c>
      <c r="AI105" s="81">
        <v>30445</v>
      </c>
      <c r="AJ105" s="81">
        <v>9</v>
      </c>
      <c r="AK105" s="81">
        <v>166</v>
      </c>
      <c r="AL105" s="81">
        <v>21</v>
      </c>
      <c r="AM105" s="81" t="s">
        <v>634</v>
      </c>
      <c r="AN105" s="106" t="str">
        <f>HYPERLINK("https://www.youtube.com/watch?v=fu_2VRAfDP0")</f>
        <v>https://www.youtube.com/watch?v=fu_2VRAfDP0</v>
      </c>
      <c r="AO105" s="80" t="str">
        <f>REPLACE(INDEX(GroupVertices[Group],MATCH(Vertices[[#This Row],[Vertex]],GroupVertices[Vertex],0)),1,1,"")</f>
        <v>2</v>
      </c>
      <c r="AP105" s="49">
        <v>1</v>
      </c>
      <c r="AQ105" s="50">
        <v>1.7857142857142858</v>
      </c>
      <c r="AR105" s="49">
        <v>4</v>
      </c>
      <c r="AS105" s="50">
        <v>7.142857142857143</v>
      </c>
      <c r="AT105" s="49">
        <v>0</v>
      </c>
      <c r="AU105" s="50">
        <v>0</v>
      </c>
      <c r="AV105" s="49">
        <v>51</v>
      </c>
      <c r="AW105" s="50">
        <v>91.07142857142857</v>
      </c>
      <c r="AX105" s="49">
        <v>56</v>
      </c>
      <c r="AY105" s="120" t="s">
        <v>2109</v>
      </c>
      <c r="AZ105" s="120" t="s">
        <v>2109</v>
      </c>
      <c r="BA105" s="120" t="s">
        <v>2109</v>
      </c>
      <c r="BB105" s="120" t="s">
        <v>2109</v>
      </c>
    </row>
    <row r="106" spans="1:54" ht="15">
      <c r="A106" s="65" t="s">
        <v>643</v>
      </c>
      <c r="B106" s="66"/>
      <c r="C106" s="66"/>
      <c r="D106" s="67">
        <v>186.7160045253213</v>
      </c>
      <c r="E106" s="102"/>
      <c r="F106" s="96" t="str">
        <f>HYPERLINK("https://i.ytimg.com/vi/NcmcFQC6Sc0/default.jpg")</f>
        <v>https://i.ytimg.com/vi/NcmcFQC6Sc0/default.jpg</v>
      </c>
      <c r="G106" s="103"/>
      <c r="H106" s="70" t="s">
        <v>693</v>
      </c>
      <c r="I106" s="71"/>
      <c r="J106" s="104" t="s">
        <v>75</v>
      </c>
      <c r="K106" s="70" t="s">
        <v>693</v>
      </c>
      <c r="L106" s="105">
        <v>101.91385454389079</v>
      </c>
      <c r="M106" s="75">
        <v>7089.8427734375</v>
      </c>
      <c r="N106" s="75">
        <v>7579.78173828125</v>
      </c>
      <c r="O106" s="76"/>
      <c r="P106" s="77"/>
      <c r="Q106" s="77"/>
      <c r="R106" s="82"/>
      <c r="S106" s="49">
        <v>8</v>
      </c>
      <c r="T106" s="49">
        <v>14</v>
      </c>
      <c r="U106" s="50">
        <v>25.999834</v>
      </c>
      <c r="V106" s="50">
        <v>0.004115</v>
      </c>
      <c r="W106" s="50">
        <v>0.016557</v>
      </c>
      <c r="X106" s="50">
        <v>1.295686</v>
      </c>
      <c r="Y106" s="50">
        <v>0.5367965367965368</v>
      </c>
      <c r="Z106" s="50">
        <v>0</v>
      </c>
      <c r="AA106" s="72">
        <v>106</v>
      </c>
      <c r="AB106" s="72"/>
      <c r="AC106" s="73"/>
      <c r="AD106" s="81" t="s">
        <v>693</v>
      </c>
      <c r="AE106" s="81" t="s">
        <v>727</v>
      </c>
      <c r="AF106" s="81" t="s">
        <v>757</v>
      </c>
      <c r="AG106" s="81" t="s">
        <v>778</v>
      </c>
      <c r="AH106" s="81" t="s">
        <v>808</v>
      </c>
      <c r="AI106" s="81">
        <v>2294</v>
      </c>
      <c r="AJ106" s="81">
        <v>0</v>
      </c>
      <c r="AK106" s="81">
        <v>14</v>
      </c>
      <c r="AL106" s="81">
        <v>1</v>
      </c>
      <c r="AM106" s="81" t="s">
        <v>634</v>
      </c>
      <c r="AN106" s="106" t="str">
        <f>HYPERLINK("https://www.youtube.com/watch?v=NcmcFQC6Sc0")</f>
        <v>https://www.youtube.com/watch?v=NcmcFQC6Sc0</v>
      </c>
      <c r="AO106" s="80" t="str">
        <f>REPLACE(INDEX(GroupVertices[Group],MATCH(Vertices[[#This Row],[Vertex]],GroupVertices[Vertex],0)),1,1,"")</f>
        <v>2</v>
      </c>
      <c r="AP106" s="49">
        <v>0</v>
      </c>
      <c r="AQ106" s="50">
        <v>0</v>
      </c>
      <c r="AR106" s="49">
        <v>0</v>
      </c>
      <c r="AS106" s="50">
        <v>0</v>
      </c>
      <c r="AT106" s="49">
        <v>0</v>
      </c>
      <c r="AU106" s="50">
        <v>0</v>
      </c>
      <c r="AV106" s="49">
        <v>67</v>
      </c>
      <c r="AW106" s="50">
        <v>100</v>
      </c>
      <c r="AX106" s="49">
        <v>67</v>
      </c>
      <c r="AY106" s="120" t="s">
        <v>2109</v>
      </c>
      <c r="AZ106" s="120" t="s">
        <v>2109</v>
      </c>
      <c r="BA106" s="120" t="s">
        <v>2109</v>
      </c>
      <c r="BB106" s="120" t="s">
        <v>2109</v>
      </c>
    </row>
    <row r="107" spans="1:54" ht="15">
      <c r="A107" s="65" t="s">
        <v>644</v>
      </c>
      <c r="B107" s="66"/>
      <c r="C107" s="66"/>
      <c r="D107" s="67">
        <v>170.4175008348334</v>
      </c>
      <c r="E107" s="102"/>
      <c r="F107" s="96" t="str">
        <f>HYPERLINK("https://i.ytimg.com/vi/-Um-b9tiF_8/default.jpg")</f>
        <v>https://i.ytimg.com/vi/-Um-b9tiF_8/default.jpg</v>
      </c>
      <c r="G107" s="103"/>
      <c r="H107" s="70" t="s">
        <v>694</v>
      </c>
      <c r="I107" s="71"/>
      <c r="J107" s="104" t="s">
        <v>75</v>
      </c>
      <c r="K107" s="70" t="s">
        <v>694</v>
      </c>
      <c r="L107" s="105">
        <v>57.11745439172664</v>
      </c>
      <c r="M107" s="75">
        <v>6863.2275390625</v>
      </c>
      <c r="N107" s="75">
        <v>6876.3974609375</v>
      </c>
      <c r="O107" s="76"/>
      <c r="P107" s="77"/>
      <c r="Q107" s="77"/>
      <c r="R107" s="82"/>
      <c r="S107" s="49">
        <v>5</v>
      </c>
      <c r="T107" s="49">
        <v>14</v>
      </c>
      <c r="U107" s="50">
        <v>14.458317</v>
      </c>
      <c r="V107" s="50">
        <v>0.004065</v>
      </c>
      <c r="W107" s="50">
        <v>0.015547</v>
      </c>
      <c r="X107" s="50">
        <v>1.128792</v>
      </c>
      <c r="Y107" s="50">
        <v>0.6169590643274854</v>
      </c>
      <c r="Z107" s="50">
        <v>0</v>
      </c>
      <c r="AA107" s="72">
        <v>107</v>
      </c>
      <c r="AB107" s="72"/>
      <c r="AC107" s="73"/>
      <c r="AD107" s="81" t="s">
        <v>694</v>
      </c>
      <c r="AE107" s="81" t="s">
        <v>728</v>
      </c>
      <c r="AF107" s="81" t="s">
        <v>758</v>
      </c>
      <c r="AG107" s="81" t="s">
        <v>779</v>
      </c>
      <c r="AH107" s="81" t="s">
        <v>809</v>
      </c>
      <c r="AI107" s="81">
        <v>6834</v>
      </c>
      <c r="AJ107" s="81">
        <v>1</v>
      </c>
      <c r="AK107" s="81">
        <v>25</v>
      </c>
      <c r="AL107" s="81">
        <v>1</v>
      </c>
      <c r="AM107" s="81" t="s">
        <v>634</v>
      </c>
      <c r="AN107" s="106" t="str">
        <f>HYPERLINK("https://www.youtube.com/watch?v=-Um-b9tiF_8")</f>
        <v>https://www.youtube.com/watch?v=-Um-b9tiF_8</v>
      </c>
      <c r="AO107" s="80" t="str">
        <f>REPLACE(INDEX(GroupVertices[Group],MATCH(Vertices[[#This Row],[Vertex]],GroupVertices[Vertex],0)),1,1,"")</f>
        <v>2</v>
      </c>
      <c r="AP107" s="49">
        <v>0</v>
      </c>
      <c r="AQ107" s="50">
        <v>0</v>
      </c>
      <c r="AR107" s="49">
        <v>0</v>
      </c>
      <c r="AS107" s="50">
        <v>0</v>
      </c>
      <c r="AT107" s="49">
        <v>0</v>
      </c>
      <c r="AU107" s="50">
        <v>0</v>
      </c>
      <c r="AV107" s="49">
        <v>17</v>
      </c>
      <c r="AW107" s="50">
        <v>100</v>
      </c>
      <c r="AX107" s="49">
        <v>17</v>
      </c>
      <c r="AY107" s="120" t="s">
        <v>2109</v>
      </c>
      <c r="AZ107" s="120" t="s">
        <v>2109</v>
      </c>
      <c r="BA107" s="120" t="s">
        <v>2109</v>
      </c>
      <c r="BB107" s="120" t="s">
        <v>2109</v>
      </c>
    </row>
    <row r="108" spans="1:54" ht="15">
      <c r="A108" s="65" t="s">
        <v>645</v>
      </c>
      <c r="B108" s="66"/>
      <c r="C108" s="66"/>
      <c r="D108" s="67">
        <v>170.4175008348334</v>
      </c>
      <c r="E108" s="102"/>
      <c r="F108" s="96" t="str">
        <f>HYPERLINK("https://i.ytimg.com/vi/GLa3k3DzpeA/default.jpg")</f>
        <v>https://i.ytimg.com/vi/GLa3k3DzpeA/default.jpg</v>
      </c>
      <c r="G108" s="103"/>
      <c r="H108" s="70" t="s">
        <v>695</v>
      </c>
      <c r="I108" s="71"/>
      <c r="J108" s="104" t="s">
        <v>75</v>
      </c>
      <c r="K108" s="70" t="s">
        <v>695</v>
      </c>
      <c r="L108" s="105">
        <v>57.11745439172664</v>
      </c>
      <c r="M108" s="75">
        <v>6671.02880859375</v>
      </c>
      <c r="N108" s="75">
        <v>7183.90771484375</v>
      </c>
      <c r="O108" s="76"/>
      <c r="P108" s="77"/>
      <c r="Q108" s="77"/>
      <c r="R108" s="82"/>
      <c r="S108" s="49">
        <v>3</v>
      </c>
      <c r="T108" s="49">
        <v>16</v>
      </c>
      <c r="U108" s="50">
        <v>14.458317</v>
      </c>
      <c r="V108" s="50">
        <v>0.004065</v>
      </c>
      <c r="W108" s="50">
        <v>0.015547</v>
      </c>
      <c r="X108" s="50">
        <v>1.128792</v>
      </c>
      <c r="Y108" s="50">
        <v>0.6169590643274854</v>
      </c>
      <c r="Z108" s="50">
        <v>0</v>
      </c>
      <c r="AA108" s="72">
        <v>108</v>
      </c>
      <c r="AB108" s="72"/>
      <c r="AC108" s="73"/>
      <c r="AD108" s="81" t="s">
        <v>695</v>
      </c>
      <c r="AE108" s="81" t="s">
        <v>729</v>
      </c>
      <c r="AF108" s="81" t="s">
        <v>759</v>
      </c>
      <c r="AG108" s="81" t="s">
        <v>780</v>
      </c>
      <c r="AH108" s="81" t="s">
        <v>810</v>
      </c>
      <c r="AI108" s="81">
        <v>726</v>
      </c>
      <c r="AJ108" s="81">
        <v>2</v>
      </c>
      <c r="AK108" s="81">
        <v>12</v>
      </c>
      <c r="AL108" s="81">
        <v>0</v>
      </c>
      <c r="AM108" s="81" t="s">
        <v>634</v>
      </c>
      <c r="AN108" s="106" t="str">
        <f>HYPERLINK("https://www.youtube.com/watch?v=GLa3k3DzpeA")</f>
        <v>https://www.youtube.com/watch?v=GLa3k3DzpeA</v>
      </c>
      <c r="AO108" s="80" t="str">
        <f>REPLACE(INDEX(GroupVertices[Group],MATCH(Vertices[[#This Row],[Vertex]],GroupVertices[Vertex],0)),1,1,"")</f>
        <v>2</v>
      </c>
      <c r="AP108" s="49">
        <v>0</v>
      </c>
      <c r="AQ108" s="50">
        <v>0</v>
      </c>
      <c r="AR108" s="49">
        <v>0</v>
      </c>
      <c r="AS108" s="50">
        <v>0</v>
      </c>
      <c r="AT108" s="49">
        <v>0</v>
      </c>
      <c r="AU108" s="50">
        <v>0</v>
      </c>
      <c r="AV108" s="49">
        <v>25</v>
      </c>
      <c r="AW108" s="50">
        <v>100</v>
      </c>
      <c r="AX108" s="49">
        <v>25</v>
      </c>
      <c r="AY108" s="120" t="s">
        <v>2109</v>
      </c>
      <c r="AZ108" s="120" t="s">
        <v>2109</v>
      </c>
      <c r="BA108" s="120" t="s">
        <v>2109</v>
      </c>
      <c r="BB108" s="120" t="s">
        <v>2109</v>
      </c>
    </row>
    <row r="109" spans="1:54" ht="15">
      <c r="A109" s="65" t="s">
        <v>665</v>
      </c>
      <c r="B109" s="66"/>
      <c r="C109" s="66"/>
      <c r="D109" s="67">
        <v>150</v>
      </c>
      <c r="E109" s="102"/>
      <c r="F109" s="96" t="str">
        <f>HYPERLINK("https://i.ytimg.com/vi/wSuS9p8zJis/default.jpg")</f>
        <v>https://i.ytimg.com/vi/wSuS9p8zJis/default.jpg</v>
      </c>
      <c r="G109" s="103"/>
      <c r="H109" s="70" t="s">
        <v>696</v>
      </c>
      <c r="I109" s="71"/>
      <c r="J109" s="104" t="s">
        <v>159</v>
      </c>
      <c r="K109" s="70" t="s">
        <v>696</v>
      </c>
      <c r="L109" s="105">
        <v>1</v>
      </c>
      <c r="M109" s="75">
        <v>163.14715576171875</v>
      </c>
      <c r="N109" s="75">
        <v>6516.828125</v>
      </c>
      <c r="O109" s="76"/>
      <c r="P109" s="77"/>
      <c r="Q109" s="77"/>
      <c r="R109" s="82"/>
      <c r="S109" s="49">
        <v>1</v>
      </c>
      <c r="T109" s="49">
        <v>0</v>
      </c>
      <c r="U109" s="50">
        <v>0</v>
      </c>
      <c r="V109" s="50">
        <v>0.003003</v>
      </c>
      <c r="W109" s="50">
        <v>0.001035</v>
      </c>
      <c r="X109" s="50">
        <v>0.203299</v>
      </c>
      <c r="Y109" s="50">
        <v>0</v>
      </c>
      <c r="Z109" s="50">
        <v>0</v>
      </c>
      <c r="AA109" s="72">
        <v>109</v>
      </c>
      <c r="AB109" s="72"/>
      <c r="AC109" s="73"/>
      <c r="AD109" s="81" t="s">
        <v>696</v>
      </c>
      <c r="AE109" s="81" t="s">
        <v>730</v>
      </c>
      <c r="AF109" s="81" t="s">
        <v>760</v>
      </c>
      <c r="AG109" s="81" t="s">
        <v>781</v>
      </c>
      <c r="AH109" s="81" t="s">
        <v>811</v>
      </c>
      <c r="AI109" s="81">
        <v>71580</v>
      </c>
      <c r="AJ109" s="81">
        <v>178</v>
      </c>
      <c r="AK109" s="81">
        <v>1694</v>
      </c>
      <c r="AL109" s="81">
        <v>59</v>
      </c>
      <c r="AM109" s="81" t="s">
        <v>634</v>
      </c>
      <c r="AN109" s="106" t="str">
        <f>HYPERLINK("https://www.youtube.com/watch?v=wSuS9p8zJis")</f>
        <v>https://www.youtube.com/watch?v=wSuS9p8zJis</v>
      </c>
      <c r="AO109" s="80" t="str">
        <f>REPLACE(INDEX(GroupVertices[Group],MATCH(Vertices[[#This Row],[Vertex]],GroupVertices[Vertex],0)),1,1,"")</f>
        <v>1</v>
      </c>
      <c r="AP109" s="49">
        <v>2</v>
      </c>
      <c r="AQ109" s="50">
        <v>1.0695187165775402</v>
      </c>
      <c r="AR109" s="49">
        <v>4</v>
      </c>
      <c r="AS109" s="50">
        <v>2.1390374331550803</v>
      </c>
      <c r="AT109" s="49">
        <v>0</v>
      </c>
      <c r="AU109" s="50">
        <v>0</v>
      </c>
      <c r="AV109" s="49">
        <v>181</v>
      </c>
      <c r="AW109" s="50">
        <v>96.79144385026738</v>
      </c>
      <c r="AX109" s="49">
        <v>187</v>
      </c>
      <c r="AY109" s="49"/>
      <c r="AZ109" s="49"/>
      <c r="BA109" s="49"/>
      <c r="BB109" s="49"/>
    </row>
    <row r="110" spans="1:54" ht="15">
      <c r="A110" s="65" t="s">
        <v>646</v>
      </c>
      <c r="B110" s="66"/>
      <c r="C110" s="66"/>
      <c r="D110" s="67">
        <v>164.22715424611434</v>
      </c>
      <c r="E110" s="102"/>
      <c r="F110" s="96" t="str">
        <f>HYPERLINK("https://i.ytimg.com/vi/MpgpRBvptqQ/default.jpg")</f>
        <v>https://i.ytimg.com/vi/MpgpRBvptqQ/default.jpg</v>
      </c>
      <c r="G110" s="103"/>
      <c r="H110" s="70" t="s">
        <v>697</v>
      </c>
      <c r="I110" s="71"/>
      <c r="J110" s="104" t="s">
        <v>75</v>
      </c>
      <c r="K110" s="70" t="s">
        <v>697</v>
      </c>
      <c r="L110" s="105">
        <v>40.10330093721753</v>
      </c>
      <c r="M110" s="75">
        <v>6495.33203125</v>
      </c>
      <c r="N110" s="75">
        <v>8453.880859375</v>
      </c>
      <c r="O110" s="76"/>
      <c r="P110" s="77"/>
      <c r="Q110" s="77"/>
      <c r="R110" s="82"/>
      <c r="S110" s="49">
        <v>8</v>
      </c>
      <c r="T110" s="49">
        <v>4</v>
      </c>
      <c r="U110" s="50">
        <v>10.074725</v>
      </c>
      <c r="V110" s="50">
        <v>0.003497</v>
      </c>
      <c r="W110" s="50">
        <v>0.008078</v>
      </c>
      <c r="X110" s="50">
        <v>0.700447</v>
      </c>
      <c r="Y110" s="50">
        <v>0.6222222222222222</v>
      </c>
      <c r="Z110" s="50">
        <v>0.2</v>
      </c>
      <c r="AA110" s="72">
        <v>110</v>
      </c>
      <c r="AB110" s="72"/>
      <c r="AC110" s="73"/>
      <c r="AD110" s="81" t="s">
        <v>697</v>
      </c>
      <c r="AE110" s="81" t="s">
        <v>731</v>
      </c>
      <c r="AF110" s="81" t="s">
        <v>761</v>
      </c>
      <c r="AG110" s="81" t="s">
        <v>535</v>
      </c>
      <c r="AH110" s="81" t="s">
        <v>812</v>
      </c>
      <c r="AI110" s="81">
        <v>14586</v>
      </c>
      <c r="AJ110" s="81">
        <v>16</v>
      </c>
      <c r="AK110" s="81">
        <v>196</v>
      </c>
      <c r="AL110" s="81">
        <v>19</v>
      </c>
      <c r="AM110" s="81" t="s">
        <v>634</v>
      </c>
      <c r="AN110" s="106" t="str">
        <f>HYPERLINK("https://www.youtube.com/watch?v=MpgpRBvptqQ")</f>
        <v>https://www.youtube.com/watch?v=MpgpRBvptqQ</v>
      </c>
      <c r="AO110" s="80" t="str">
        <f>REPLACE(INDEX(GroupVertices[Group],MATCH(Vertices[[#This Row],[Vertex]],GroupVertices[Vertex],0)),1,1,"")</f>
        <v>2</v>
      </c>
      <c r="AP110" s="49">
        <v>1</v>
      </c>
      <c r="AQ110" s="50">
        <v>1.6129032258064515</v>
      </c>
      <c r="AR110" s="49">
        <v>0</v>
      </c>
      <c r="AS110" s="50">
        <v>0</v>
      </c>
      <c r="AT110" s="49">
        <v>0</v>
      </c>
      <c r="AU110" s="50">
        <v>0</v>
      </c>
      <c r="AV110" s="49">
        <v>61</v>
      </c>
      <c r="AW110" s="50">
        <v>98.38709677419355</v>
      </c>
      <c r="AX110" s="49">
        <v>62</v>
      </c>
      <c r="AY110" s="120" t="s">
        <v>2109</v>
      </c>
      <c r="AZ110" s="120" t="s">
        <v>2109</v>
      </c>
      <c r="BA110" s="120" t="s">
        <v>2109</v>
      </c>
      <c r="BB110" s="120" t="s">
        <v>2109</v>
      </c>
    </row>
    <row r="111" spans="1:54" ht="15">
      <c r="A111" s="65" t="s">
        <v>647</v>
      </c>
      <c r="B111" s="66"/>
      <c r="C111" s="66"/>
      <c r="D111" s="67">
        <v>1000</v>
      </c>
      <c r="E111" s="102"/>
      <c r="F111" s="96" t="str">
        <f>HYPERLINK("https://i.ytimg.com/vi/_gn-E3JIGo0/default.jpg")</f>
        <v>https://i.ytimg.com/vi/_gn-E3JIGo0/default.jpg</v>
      </c>
      <c r="G111" s="103"/>
      <c r="H111" s="70" t="s">
        <v>698</v>
      </c>
      <c r="I111" s="71"/>
      <c r="J111" s="104" t="s">
        <v>75</v>
      </c>
      <c r="K111" s="70" t="s">
        <v>698</v>
      </c>
      <c r="L111" s="105">
        <v>4311.734788077992</v>
      </c>
      <c r="M111" s="75">
        <v>5764.8125</v>
      </c>
      <c r="N111" s="75">
        <v>7600.49560546875</v>
      </c>
      <c r="O111" s="76"/>
      <c r="P111" s="77"/>
      <c r="Q111" s="77"/>
      <c r="R111" s="82"/>
      <c r="S111" s="49">
        <v>0</v>
      </c>
      <c r="T111" s="49">
        <v>20</v>
      </c>
      <c r="U111" s="50">
        <v>1110.634307</v>
      </c>
      <c r="V111" s="50">
        <v>0.003968</v>
      </c>
      <c r="W111" s="50">
        <v>0.010447</v>
      </c>
      <c r="X111" s="50">
        <v>1.766086</v>
      </c>
      <c r="Y111" s="50">
        <v>0.2394736842105263</v>
      </c>
      <c r="Z111" s="50">
        <v>0</v>
      </c>
      <c r="AA111" s="72">
        <v>111</v>
      </c>
      <c r="AB111" s="72"/>
      <c r="AC111" s="73"/>
      <c r="AD111" s="81" t="s">
        <v>698</v>
      </c>
      <c r="AE111" s="81" t="s">
        <v>732</v>
      </c>
      <c r="AF111" s="81"/>
      <c r="AG111" s="81" t="s">
        <v>782</v>
      </c>
      <c r="AH111" s="81" t="s">
        <v>813</v>
      </c>
      <c r="AI111" s="81">
        <v>364</v>
      </c>
      <c r="AJ111" s="81">
        <v>0</v>
      </c>
      <c r="AK111" s="81">
        <v>0</v>
      </c>
      <c r="AL111" s="81">
        <v>0</v>
      </c>
      <c r="AM111" s="81" t="s">
        <v>634</v>
      </c>
      <c r="AN111" s="106" t="str">
        <f>HYPERLINK("https://www.youtube.com/watch?v=_gn-E3JIGo0")</f>
        <v>https://www.youtube.com/watch?v=_gn-E3JIGo0</v>
      </c>
      <c r="AO111" s="80" t="str">
        <f>REPLACE(INDEX(GroupVertices[Group],MATCH(Vertices[[#This Row],[Vertex]],GroupVertices[Vertex],0)),1,1,"")</f>
        <v>2</v>
      </c>
      <c r="AP111" s="49">
        <v>6</v>
      </c>
      <c r="AQ111" s="50">
        <v>2.8846153846153846</v>
      </c>
      <c r="AR111" s="49">
        <v>2</v>
      </c>
      <c r="AS111" s="50">
        <v>0.9615384615384616</v>
      </c>
      <c r="AT111" s="49">
        <v>0</v>
      </c>
      <c r="AU111" s="50">
        <v>0</v>
      </c>
      <c r="AV111" s="49">
        <v>200</v>
      </c>
      <c r="AW111" s="50">
        <v>96.15384615384616</v>
      </c>
      <c r="AX111" s="49">
        <v>208</v>
      </c>
      <c r="AY111" s="120" t="s">
        <v>2109</v>
      </c>
      <c r="AZ111" s="120" t="s">
        <v>2109</v>
      </c>
      <c r="BA111" s="120" t="s">
        <v>2109</v>
      </c>
      <c r="BB111" s="120" t="s">
        <v>2109</v>
      </c>
    </row>
    <row r="112" spans="1:54" ht="15">
      <c r="A112" s="65" t="s">
        <v>648</v>
      </c>
      <c r="B112" s="66"/>
      <c r="C112" s="66"/>
      <c r="D112" s="67">
        <v>150</v>
      </c>
      <c r="E112" s="102"/>
      <c r="F112" s="96" t="str">
        <f>HYPERLINK("https://i.ytimg.com/vi/sQl29JkZMzg/default.jpg")</f>
        <v>https://i.ytimg.com/vi/sQl29JkZMzg/default.jpg</v>
      </c>
      <c r="G112" s="103"/>
      <c r="H112" s="70" t="s">
        <v>699</v>
      </c>
      <c r="I112" s="71"/>
      <c r="J112" s="104" t="s">
        <v>159</v>
      </c>
      <c r="K112" s="70" t="s">
        <v>699</v>
      </c>
      <c r="L112" s="105">
        <v>1</v>
      </c>
      <c r="M112" s="75">
        <v>4086.94580078125</v>
      </c>
      <c r="N112" s="75">
        <v>7329.4658203125</v>
      </c>
      <c r="O112" s="76"/>
      <c r="P112" s="77"/>
      <c r="Q112" s="77"/>
      <c r="R112" s="82"/>
      <c r="S112" s="49">
        <v>2</v>
      </c>
      <c r="T112" s="49">
        <v>1</v>
      </c>
      <c r="U112" s="50">
        <v>0</v>
      </c>
      <c r="V112" s="50">
        <v>0.002762</v>
      </c>
      <c r="W112" s="50">
        <v>0.000383</v>
      </c>
      <c r="X112" s="50">
        <v>0.519366</v>
      </c>
      <c r="Y112" s="50">
        <v>0.5</v>
      </c>
      <c r="Z112" s="50">
        <v>0</v>
      </c>
      <c r="AA112" s="72">
        <v>112</v>
      </c>
      <c r="AB112" s="72"/>
      <c r="AC112" s="73"/>
      <c r="AD112" s="81" t="s">
        <v>699</v>
      </c>
      <c r="AE112" s="81"/>
      <c r="AF112" s="81"/>
      <c r="AG112" s="81" t="s">
        <v>782</v>
      </c>
      <c r="AH112" s="81" t="s">
        <v>814</v>
      </c>
      <c r="AI112" s="81">
        <v>184</v>
      </c>
      <c r="AJ112" s="81">
        <v>0</v>
      </c>
      <c r="AK112" s="81">
        <v>0</v>
      </c>
      <c r="AL112" s="81">
        <v>0</v>
      </c>
      <c r="AM112" s="81" t="s">
        <v>634</v>
      </c>
      <c r="AN112" s="106" t="str">
        <f>HYPERLINK("https://www.youtube.com/watch?v=sQl29JkZMzg")</f>
        <v>https://www.youtube.com/watch?v=sQl29JkZMzg</v>
      </c>
      <c r="AO112" s="80" t="str">
        <f>REPLACE(INDEX(GroupVertices[Group],MATCH(Vertices[[#This Row],[Vertex]],GroupVertices[Vertex],0)),1,1,"")</f>
        <v>2</v>
      </c>
      <c r="AP112" s="49"/>
      <c r="AQ112" s="50"/>
      <c r="AR112" s="49"/>
      <c r="AS112" s="50"/>
      <c r="AT112" s="49"/>
      <c r="AU112" s="50"/>
      <c r="AV112" s="49"/>
      <c r="AW112" s="50"/>
      <c r="AX112" s="49"/>
      <c r="AY112" s="120" t="s">
        <v>2109</v>
      </c>
      <c r="AZ112" s="120" t="s">
        <v>2109</v>
      </c>
      <c r="BA112" s="120" t="s">
        <v>2109</v>
      </c>
      <c r="BB112" s="120" t="s">
        <v>2109</v>
      </c>
    </row>
    <row r="113" spans="1:54" ht="15">
      <c r="A113" s="65" t="s">
        <v>666</v>
      </c>
      <c r="B113" s="66"/>
      <c r="C113" s="66"/>
      <c r="D113" s="67">
        <v>150</v>
      </c>
      <c r="E113" s="102"/>
      <c r="F113" s="96" t="str">
        <f>HYPERLINK("https://i.ytimg.com/vi/B3Bd34q-Q0U/default.jpg")</f>
        <v>https://i.ytimg.com/vi/B3Bd34q-Q0U/default.jpg</v>
      </c>
      <c r="G113" s="103"/>
      <c r="H113" s="70" t="s">
        <v>700</v>
      </c>
      <c r="I113" s="71"/>
      <c r="J113" s="104" t="s">
        <v>159</v>
      </c>
      <c r="K113" s="70" t="s">
        <v>700</v>
      </c>
      <c r="L113" s="105">
        <v>1</v>
      </c>
      <c r="M113" s="75">
        <v>4012.337646484375</v>
      </c>
      <c r="N113" s="75">
        <v>7812.15625</v>
      </c>
      <c r="O113" s="76"/>
      <c r="P113" s="77"/>
      <c r="Q113" s="77"/>
      <c r="R113" s="82"/>
      <c r="S113" s="49">
        <v>3</v>
      </c>
      <c r="T113" s="49">
        <v>0</v>
      </c>
      <c r="U113" s="50">
        <v>0</v>
      </c>
      <c r="V113" s="50">
        <v>0.002762</v>
      </c>
      <c r="W113" s="50">
        <v>0.000383</v>
      </c>
      <c r="X113" s="50">
        <v>0.519366</v>
      </c>
      <c r="Y113" s="50">
        <v>0.5</v>
      </c>
      <c r="Z113" s="50">
        <v>0</v>
      </c>
      <c r="AA113" s="72">
        <v>113</v>
      </c>
      <c r="AB113" s="72"/>
      <c r="AC113" s="73"/>
      <c r="AD113" s="81" t="s">
        <v>700</v>
      </c>
      <c r="AE113" s="81" t="s">
        <v>733</v>
      </c>
      <c r="AF113" s="81"/>
      <c r="AG113" s="81" t="s">
        <v>782</v>
      </c>
      <c r="AH113" s="81" t="s">
        <v>815</v>
      </c>
      <c r="AI113" s="81">
        <v>32</v>
      </c>
      <c r="AJ113" s="81">
        <v>0</v>
      </c>
      <c r="AK113" s="81">
        <v>0</v>
      </c>
      <c r="AL113" s="81">
        <v>0</v>
      </c>
      <c r="AM113" s="81" t="s">
        <v>634</v>
      </c>
      <c r="AN113" s="106" t="str">
        <f>HYPERLINK("https://www.youtube.com/watch?v=B3Bd34q-Q0U")</f>
        <v>https://www.youtube.com/watch?v=B3Bd34q-Q0U</v>
      </c>
      <c r="AO113" s="80" t="str">
        <f>REPLACE(INDEX(GroupVertices[Group],MATCH(Vertices[[#This Row],[Vertex]],GroupVertices[Vertex],0)),1,1,"")</f>
        <v>2</v>
      </c>
      <c r="AP113" s="49">
        <v>0</v>
      </c>
      <c r="AQ113" s="50">
        <v>0</v>
      </c>
      <c r="AR113" s="49">
        <v>0</v>
      </c>
      <c r="AS113" s="50">
        <v>0</v>
      </c>
      <c r="AT113" s="49">
        <v>0</v>
      </c>
      <c r="AU113" s="50">
        <v>0</v>
      </c>
      <c r="AV113" s="49">
        <v>57</v>
      </c>
      <c r="AW113" s="50">
        <v>100</v>
      </c>
      <c r="AX113" s="49">
        <v>57</v>
      </c>
      <c r="AY113" s="49"/>
      <c r="AZ113" s="49"/>
      <c r="BA113" s="49"/>
      <c r="BB113" s="49"/>
    </row>
    <row r="114" spans="1:54" ht="15">
      <c r="A114" s="65" t="s">
        <v>649</v>
      </c>
      <c r="B114" s="66"/>
      <c r="C114" s="66"/>
      <c r="D114" s="67">
        <v>150</v>
      </c>
      <c r="E114" s="102"/>
      <c r="F114" s="96" t="str">
        <f>HYPERLINK("https://i.ytimg.com/vi/s6MAJ5um0k4/default.jpg")</f>
        <v>https://i.ytimg.com/vi/s6MAJ5um0k4/default.jpg</v>
      </c>
      <c r="G114" s="103"/>
      <c r="H114" s="70" t="s">
        <v>701</v>
      </c>
      <c r="I114" s="71"/>
      <c r="J114" s="104" t="s">
        <v>159</v>
      </c>
      <c r="K114" s="70" t="s">
        <v>701</v>
      </c>
      <c r="L114" s="105">
        <v>1</v>
      </c>
      <c r="M114" s="75">
        <v>4068.13525390625</v>
      </c>
      <c r="N114" s="75">
        <v>8294.78515625</v>
      </c>
      <c r="O114" s="76"/>
      <c r="P114" s="77"/>
      <c r="Q114" s="77"/>
      <c r="R114" s="82"/>
      <c r="S114" s="49">
        <v>1</v>
      </c>
      <c r="T114" s="49">
        <v>2</v>
      </c>
      <c r="U114" s="50">
        <v>0</v>
      </c>
      <c r="V114" s="50">
        <v>0.002762</v>
      </c>
      <c r="W114" s="50">
        <v>0.000383</v>
      </c>
      <c r="X114" s="50">
        <v>0.519366</v>
      </c>
      <c r="Y114" s="50">
        <v>0.5</v>
      </c>
      <c r="Z114" s="50">
        <v>0</v>
      </c>
      <c r="AA114" s="72">
        <v>114</v>
      </c>
      <c r="AB114" s="72"/>
      <c r="AC114" s="73"/>
      <c r="AD114" s="81" t="s">
        <v>701</v>
      </c>
      <c r="AE114" s="81" t="s">
        <v>734</v>
      </c>
      <c r="AF114" s="81"/>
      <c r="AG114" s="81" t="s">
        <v>782</v>
      </c>
      <c r="AH114" s="81" t="s">
        <v>816</v>
      </c>
      <c r="AI114" s="81">
        <v>284</v>
      </c>
      <c r="AJ114" s="81">
        <v>0</v>
      </c>
      <c r="AK114" s="81">
        <v>7</v>
      </c>
      <c r="AL114" s="81">
        <v>0</v>
      </c>
      <c r="AM114" s="81" t="s">
        <v>634</v>
      </c>
      <c r="AN114" s="106" t="str">
        <f>HYPERLINK("https://www.youtube.com/watch?v=s6MAJ5um0k4")</f>
        <v>https://www.youtube.com/watch?v=s6MAJ5um0k4</v>
      </c>
      <c r="AO114" s="80" t="str">
        <f>REPLACE(INDEX(GroupVertices[Group],MATCH(Vertices[[#This Row],[Vertex]],GroupVertices[Vertex],0)),1,1,"")</f>
        <v>2</v>
      </c>
      <c r="AP114" s="49">
        <v>1</v>
      </c>
      <c r="AQ114" s="50">
        <v>2.4390243902439024</v>
      </c>
      <c r="AR114" s="49">
        <v>1</v>
      </c>
      <c r="AS114" s="50">
        <v>2.4390243902439024</v>
      </c>
      <c r="AT114" s="49">
        <v>0</v>
      </c>
      <c r="AU114" s="50">
        <v>0</v>
      </c>
      <c r="AV114" s="49">
        <v>39</v>
      </c>
      <c r="AW114" s="50">
        <v>95.1219512195122</v>
      </c>
      <c r="AX114" s="49">
        <v>41</v>
      </c>
      <c r="AY114" s="120" t="s">
        <v>2109</v>
      </c>
      <c r="AZ114" s="120" t="s">
        <v>2109</v>
      </c>
      <c r="BA114" s="120" t="s">
        <v>2109</v>
      </c>
      <c r="BB114" s="120" t="s">
        <v>2109</v>
      </c>
    </row>
    <row r="115" spans="1:54" ht="15">
      <c r="A115" s="65" t="s">
        <v>667</v>
      </c>
      <c r="B115" s="66"/>
      <c r="C115" s="66"/>
      <c r="D115" s="67">
        <v>150</v>
      </c>
      <c r="E115" s="102"/>
      <c r="F115" s="96" t="str">
        <f>HYPERLINK("https://i.ytimg.com/vi/Ima-SYUNRSQ/default.jpg")</f>
        <v>https://i.ytimg.com/vi/Ima-SYUNRSQ/default.jpg</v>
      </c>
      <c r="G115" s="103"/>
      <c r="H115" s="70" t="s">
        <v>702</v>
      </c>
      <c r="I115" s="71"/>
      <c r="J115" s="104" t="s">
        <v>159</v>
      </c>
      <c r="K115" s="70" t="s">
        <v>702</v>
      </c>
      <c r="L115" s="105">
        <v>1</v>
      </c>
      <c r="M115" s="75">
        <v>5028.384765625</v>
      </c>
      <c r="N115" s="75">
        <v>5949.15625</v>
      </c>
      <c r="O115" s="76"/>
      <c r="P115" s="77"/>
      <c r="Q115" s="77"/>
      <c r="R115" s="82"/>
      <c r="S115" s="49">
        <v>1</v>
      </c>
      <c r="T115" s="49">
        <v>0</v>
      </c>
      <c r="U115" s="50">
        <v>0</v>
      </c>
      <c r="V115" s="50">
        <v>0.002747</v>
      </c>
      <c r="W115" s="50">
        <v>0.000357</v>
      </c>
      <c r="X115" s="50">
        <v>0.225059</v>
      </c>
      <c r="Y115" s="50">
        <v>0</v>
      </c>
      <c r="Z115" s="50">
        <v>0</v>
      </c>
      <c r="AA115" s="72">
        <v>115</v>
      </c>
      <c r="AB115" s="72"/>
      <c r="AC115" s="73"/>
      <c r="AD115" s="81" t="s">
        <v>702</v>
      </c>
      <c r="AE115" s="81" t="s">
        <v>735</v>
      </c>
      <c r="AF115" s="81" t="s">
        <v>762</v>
      </c>
      <c r="AG115" s="81" t="s">
        <v>783</v>
      </c>
      <c r="AH115" s="81" t="s">
        <v>817</v>
      </c>
      <c r="AI115" s="81">
        <v>451</v>
      </c>
      <c r="AJ115" s="81">
        <v>0</v>
      </c>
      <c r="AK115" s="81">
        <v>0</v>
      </c>
      <c r="AL115" s="81">
        <v>0</v>
      </c>
      <c r="AM115" s="81" t="s">
        <v>634</v>
      </c>
      <c r="AN115" s="106" t="str">
        <f>HYPERLINK("https://www.youtube.com/watch?v=Ima-SYUNRSQ")</f>
        <v>https://www.youtube.com/watch?v=Ima-SYUNRSQ</v>
      </c>
      <c r="AO115" s="80" t="str">
        <f>REPLACE(INDEX(GroupVertices[Group],MATCH(Vertices[[#This Row],[Vertex]],GroupVertices[Vertex],0)),1,1,"")</f>
        <v>2</v>
      </c>
      <c r="AP115" s="49">
        <v>5</v>
      </c>
      <c r="AQ115" s="50">
        <v>5.05050505050505</v>
      </c>
      <c r="AR115" s="49">
        <v>3</v>
      </c>
      <c r="AS115" s="50">
        <v>3.0303030303030303</v>
      </c>
      <c r="AT115" s="49">
        <v>0</v>
      </c>
      <c r="AU115" s="50">
        <v>0</v>
      </c>
      <c r="AV115" s="49">
        <v>91</v>
      </c>
      <c r="AW115" s="50">
        <v>91.91919191919192</v>
      </c>
      <c r="AX115" s="49">
        <v>99</v>
      </c>
      <c r="AY115" s="49"/>
      <c r="AZ115" s="49"/>
      <c r="BA115" s="49"/>
      <c r="BB115" s="49"/>
    </row>
    <row r="116" spans="1:54" ht="15">
      <c r="A116" s="83" t="s">
        <v>668</v>
      </c>
      <c r="B116" s="84"/>
      <c r="C116" s="84"/>
      <c r="D116" s="85">
        <v>150</v>
      </c>
      <c r="E116" s="86"/>
      <c r="F116" s="97" t="str">
        <f>HYPERLINK("https://i.ytimg.com/vi/yovSGyDEWaY/default.jpg")</f>
        <v>https://i.ytimg.com/vi/yovSGyDEWaY/default.jpg</v>
      </c>
      <c r="G116" s="84"/>
      <c r="H116" s="87" t="s">
        <v>703</v>
      </c>
      <c r="I116" s="88"/>
      <c r="J116" s="88" t="s">
        <v>159</v>
      </c>
      <c r="K116" s="87" t="s">
        <v>703</v>
      </c>
      <c r="L116" s="89">
        <v>1</v>
      </c>
      <c r="M116" s="90">
        <v>4456.10791015625</v>
      </c>
      <c r="N116" s="90">
        <v>6497.84033203125</v>
      </c>
      <c r="O116" s="91"/>
      <c r="P116" s="92"/>
      <c r="Q116" s="92"/>
      <c r="R116" s="93"/>
      <c r="S116" s="49">
        <v>1</v>
      </c>
      <c r="T116" s="49">
        <v>0</v>
      </c>
      <c r="U116" s="50">
        <v>0</v>
      </c>
      <c r="V116" s="50">
        <v>0.002747</v>
      </c>
      <c r="W116" s="50">
        <v>0.000357</v>
      </c>
      <c r="X116" s="50">
        <v>0.225059</v>
      </c>
      <c r="Y116" s="50">
        <v>0</v>
      </c>
      <c r="Z116" s="50">
        <v>0</v>
      </c>
      <c r="AA116" s="94">
        <v>116</v>
      </c>
      <c r="AB116" s="94"/>
      <c r="AC116" s="95"/>
      <c r="AD116" s="101" t="s">
        <v>703</v>
      </c>
      <c r="AE116" s="101" t="s">
        <v>736</v>
      </c>
      <c r="AF116" s="101" t="s">
        <v>763</v>
      </c>
      <c r="AG116" s="101" t="s">
        <v>784</v>
      </c>
      <c r="AH116" s="101" t="s">
        <v>818</v>
      </c>
      <c r="AI116" s="101">
        <v>11516</v>
      </c>
      <c r="AJ116" s="101">
        <v>0</v>
      </c>
      <c r="AK116" s="101">
        <v>38</v>
      </c>
      <c r="AL116" s="101">
        <v>2</v>
      </c>
      <c r="AM116" s="101" t="s">
        <v>634</v>
      </c>
      <c r="AN116" s="107" t="str">
        <f>HYPERLINK("https://www.youtube.com/watch?v=yovSGyDEWaY")</f>
        <v>https://www.youtube.com/watch?v=yovSGyDEWaY</v>
      </c>
      <c r="AO116" s="80" t="str">
        <f>REPLACE(INDEX(GroupVertices[Group],MATCH(Vertices[[#This Row],[Vertex]],GroupVertices[Vertex],0)),1,1,"")</f>
        <v>2</v>
      </c>
      <c r="AP116" s="49">
        <v>2</v>
      </c>
      <c r="AQ116" s="50">
        <v>4</v>
      </c>
      <c r="AR116" s="49">
        <v>2</v>
      </c>
      <c r="AS116" s="50">
        <v>4</v>
      </c>
      <c r="AT116" s="49">
        <v>0</v>
      </c>
      <c r="AU116" s="50">
        <v>0</v>
      </c>
      <c r="AV116" s="49">
        <v>46</v>
      </c>
      <c r="AW116" s="50">
        <v>92</v>
      </c>
      <c r="AX116" s="49">
        <v>50</v>
      </c>
      <c r="AY116" s="49"/>
      <c r="AZ116" s="49"/>
      <c r="BA116" s="49"/>
      <c r="BB116"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2003</v>
      </c>
      <c r="Z2" s="54" t="s">
        <v>2004</v>
      </c>
      <c r="AA2" s="54" t="s">
        <v>2005</v>
      </c>
      <c r="AB2" s="54" t="s">
        <v>2006</v>
      </c>
      <c r="AC2" s="54" t="s">
        <v>2007</v>
      </c>
      <c r="AD2" s="54" t="s">
        <v>2008</v>
      </c>
      <c r="AE2" s="54" t="s">
        <v>2009</v>
      </c>
      <c r="AF2" s="54" t="s">
        <v>2010</v>
      </c>
      <c r="AG2" s="54" t="s">
        <v>2013</v>
      </c>
      <c r="AH2" s="13" t="s">
        <v>2061</v>
      </c>
      <c r="AI2" s="13" t="s">
        <v>2103</v>
      </c>
    </row>
    <row r="3" spans="1:35" ht="15">
      <c r="A3" s="65" t="s">
        <v>820</v>
      </c>
      <c r="B3" s="66" t="s">
        <v>824</v>
      </c>
      <c r="C3" s="66" t="s">
        <v>56</v>
      </c>
      <c r="D3" s="109"/>
      <c r="E3" s="14"/>
      <c r="F3" s="15" t="s">
        <v>2116</v>
      </c>
      <c r="G3" s="64"/>
      <c r="H3" s="64"/>
      <c r="I3" s="110">
        <v>3</v>
      </c>
      <c r="J3" s="51"/>
      <c r="K3" s="49">
        <v>45</v>
      </c>
      <c r="L3" s="49">
        <v>408</v>
      </c>
      <c r="M3" s="49">
        <v>74</v>
      </c>
      <c r="N3" s="49">
        <v>482</v>
      </c>
      <c r="O3" s="49">
        <v>0</v>
      </c>
      <c r="P3" s="50">
        <v>0.11278195488721804</v>
      </c>
      <c r="Q3" s="50">
        <v>0.20270270270270271</v>
      </c>
      <c r="R3" s="49">
        <v>1</v>
      </c>
      <c r="S3" s="49">
        <v>0</v>
      </c>
      <c r="T3" s="49">
        <v>45</v>
      </c>
      <c r="U3" s="49">
        <v>482</v>
      </c>
      <c r="V3" s="49">
        <v>4</v>
      </c>
      <c r="W3" s="50">
        <v>1.690864</v>
      </c>
      <c r="X3" s="50">
        <v>0.22424242424242424</v>
      </c>
      <c r="Y3" s="49">
        <v>108</v>
      </c>
      <c r="Z3" s="50">
        <v>2.4764962164641138</v>
      </c>
      <c r="AA3" s="49">
        <v>97</v>
      </c>
      <c r="AB3" s="50">
        <v>2.224260490713139</v>
      </c>
      <c r="AC3" s="49">
        <v>0</v>
      </c>
      <c r="AD3" s="50">
        <v>0</v>
      </c>
      <c r="AE3" s="49">
        <v>4156</v>
      </c>
      <c r="AF3" s="50">
        <v>95.29924329282275</v>
      </c>
      <c r="AG3" s="49">
        <v>4361</v>
      </c>
      <c r="AH3" s="111" t="s">
        <v>2062</v>
      </c>
      <c r="AI3" s="111" t="s">
        <v>2104</v>
      </c>
    </row>
    <row r="4" spans="1:35" ht="15">
      <c r="A4" s="65" t="s">
        <v>821</v>
      </c>
      <c r="B4" s="66" t="s">
        <v>825</v>
      </c>
      <c r="C4" s="66" t="s">
        <v>56</v>
      </c>
      <c r="D4" s="109"/>
      <c r="E4" s="14"/>
      <c r="F4" s="15" t="s">
        <v>2117</v>
      </c>
      <c r="G4" s="64"/>
      <c r="H4" s="64"/>
      <c r="I4" s="110">
        <v>4</v>
      </c>
      <c r="J4" s="78"/>
      <c r="K4" s="49">
        <v>31</v>
      </c>
      <c r="L4" s="49">
        <v>84</v>
      </c>
      <c r="M4" s="49">
        <v>2</v>
      </c>
      <c r="N4" s="49">
        <v>86</v>
      </c>
      <c r="O4" s="49">
        <v>0</v>
      </c>
      <c r="P4" s="50">
        <v>0.011904761904761904</v>
      </c>
      <c r="Q4" s="50">
        <v>0.023529411764705882</v>
      </c>
      <c r="R4" s="49">
        <v>1</v>
      </c>
      <c r="S4" s="49">
        <v>0</v>
      </c>
      <c r="T4" s="49">
        <v>31</v>
      </c>
      <c r="U4" s="49">
        <v>86</v>
      </c>
      <c r="V4" s="49">
        <v>4</v>
      </c>
      <c r="W4" s="50">
        <v>2.031217</v>
      </c>
      <c r="X4" s="50">
        <v>0.0913978494623656</v>
      </c>
      <c r="Y4" s="49">
        <v>117</v>
      </c>
      <c r="Z4" s="50">
        <v>2.7027027027027026</v>
      </c>
      <c r="AA4" s="49">
        <v>104</v>
      </c>
      <c r="AB4" s="50">
        <v>2.4024024024024024</v>
      </c>
      <c r="AC4" s="49">
        <v>0</v>
      </c>
      <c r="AD4" s="50">
        <v>0</v>
      </c>
      <c r="AE4" s="49">
        <v>4108</v>
      </c>
      <c r="AF4" s="50">
        <v>94.89489489489489</v>
      </c>
      <c r="AG4" s="49">
        <v>4329</v>
      </c>
      <c r="AH4" s="111" t="s">
        <v>2063</v>
      </c>
      <c r="AI4" s="111" t="s">
        <v>2105</v>
      </c>
    </row>
    <row r="5" spans="1:35" ht="15">
      <c r="A5" s="65" t="s">
        <v>822</v>
      </c>
      <c r="B5" s="66" t="s">
        <v>826</v>
      </c>
      <c r="C5" s="66" t="s">
        <v>56</v>
      </c>
      <c r="D5" s="109"/>
      <c r="E5" s="14"/>
      <c r="F5" s="15" t="s">
        <v>2118</v>
      </c>
      <c r="G5" s="64"/>
      <c r="H5" s="64"/>
      <c r="I5" s="110">
        <v>5</v>
      </c>
      <c r="J5" s="78"/>
      <c r="K5" s="49">
        <v>22</v>
      </c>
      <c r="L5" s="49">
        <v>183</v>
      </c>
      <c r="M5" s="49">
        <v>0</v>
      </c>
      <c r="N5" s="49">
        <v>183</v>
      </c>
      <c r="O5" s="49">
        <v>0</v>
      </c>
      <c r="P5" s="50">
        <v>0</v>
      </c>
      <c r="Q5" s="50">
        <v>0</v>
      </c>
      <c r="R5" s="49">
        <v>1</v>
      </c>
      <c r="S5" s="49">
        <v>0</v>
      </c>
      <c r="T5" s="49">
        <v>22</v>
      </c>
      <c r="U5" s="49">
        <v>183</v>
      </c>
      <c r="V5" s="49">
        <v>3</v>
      </c>
      <c r="W5" s="50">
        <v>1.161157</v>
      </c>
      <c r="X5" s="50">
        <v>0.3961038961038961</v>
      </c>
      <c r="Y5" s="49">
        <v>71</v>
      </c>
      <c r="Z5" s="50">
        <v>3.1004366812227073</v>
      </c>
      <c r="AA5" s="49">
        <v>26</v>
      </c>
      <c r="AB5" s="50">
        <v>1.1353711790393013</v>
      </c>
      <c r="AC5" s="49">
        <v>0</v>
      </c>
      <c r="AD5" s="50">
        <v>0</v>
      </c>
      <c r="AE5" s="49">
        <v>2193</v>
      </c>
      <c r="AF5" s="50">
        <v>95.76419213973799</v>
      </c>
      <c r="AG5" s="49">
        <v>2290</v>
      </c>
      <c r="AH5" s="111" t="s">
        <v>2064</v>
      </c>
      <c r="AI5" s="111" t="s">
        <v>2106</v>
      </c>
    </row>
    <row r="6" spans="1:35" ht="15">
      <c r="A6" s="65" t="s">
        <v>823</v>
      </c>
      <c r="B6" s="66" t="s">
        <v>827</v>
      </c>
      <c r="C6" s="66" t="s">
        <v>56</v>
      </c>
      <c r="D6" s="109"/>
      <c r="E6" s="14"/>
      <c r="F6" s="15" t="s">
        <v>2119</v>
      </c>
      <c r="G6" s="64"/>
      <c r="H6" s="64"/>
      <c r="I6" s="110">
        <v>6</v>
      </c>
      <c r="J6" s="78"/>
      <c r="K6" s="49">
        <v>16</v>
      </c>
      <c r="L6" s="49">
        <v>19</v>
      </c>
      <c r="M6" s="49">
        <v>0</v>
      </c>
      <c r="N6" s="49">
        <v>19</v>
      </c>
      <c r="O6" s="49">
        <v>0</v>
      </c>
      <c r="P6" s="50">
        <v>0</v>
      </c>
      <c r="Q6" s="50">
        <v>0</v>
      </c>
      <c r="R6" s="49">
        <v>1</v>
      </c>
      <c r="S6" s="49">
        <v>0</v>
      </c>
      <c r="T6" s="49">
        <v>16</v>
      </c>
      <c r="U6" s="49">
        <v>19</v>
      </c>
      <c r="V6" s="49">
        <v>4</v>
      </c>
      <c r="W6" s="50">
        <v>2.015625</v>
      </c>
      <c r="X6" s="50">
        <v>0.07916666666666666</v>
      </c>
      <c r="Y6" s="49">
        <v>43</v>
      </c>
      <c r="Z6" s="50">
        <v>2.1651560926485396</v>
      </c>
      <c r="AA6" s="49">
        <v>54</v>
      </c>
      <c r="AB6" s="50">
        <v>2.719033232628399</v>
      </c>
      <c r="AC6" s="49">
        <v>0</v>
      </c>
      <c r="AD6" s="50">
        <v>0</v>
      </c>
      <c r="AE6" s="49">
        <v>1889</v>
      </c>
      <c r="AF6" s="50">
        <v>95.11581067472306</v>
      </c>
      <c r="AG6" s="49">
        <v>1986</v>
      </c>
      <c r="AH6" s="111" t="s">
        <v>2065</v>
      </c>
      <c r="AI6" s="111" t="s">
        <v>2107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820</v>
      </c>
      <c r="B2" s="111" t="s">
        <v>243</v>
      </c>
      <c r="C2" s="80">
        <f>VLOOKUP(GroupVertices[[#This Row],[Vertex]],Vertices[],MATCH("ID",Vertices[[#Headers],[Vertex]:[Top Word Pairs in Tags by Salience]],0),FALSE)</f>
        <v>38</v>
      </c>
    </row>
    <row r="3" spans="1:3" ht="15">
      <c r="A3" s="81" t="s">
        <v>820</v>
      </c>
      <c r="B3" s="111" t="s">
        <v>221</v>
      </c>
      <c r="C3" s="80">
        <f>VLOOKUP(GroupVertices[[#This Row],[Vertex]],Vertices[],MATCH("ID",Vertices[[#Headers],[Vertex]:[Top Word Pairs in Tags by Salience]],0),FALSE)</f>
        <v>15</v>
      </c>
    </row>
    <row r="4" spans="1:3" ht="15">
      <c r="A4" s="81" t="s">
        <v>820</v>
      </c>
      <c r="B4" s="111" t="s">
        <v>216</v>
      </c>
      <c r="C4" s="80">
        <f>VLOOKUP(GroupVertices[[#This Row],[Vertex]],Vertices[],MATCH("ID",Vertices[[#Headers],[Vertex]:[Top Word Pairs in Tags by Salience]],0),FALSE)</f>
        <v>10</v>
      </c>
    </row>
    <row r="5" spans="1:3" ht="15">
      <c r="A5" s="81" t="s">
        <v>820</v>
      </c>
      <c r="B5" s="111" t="s">
        <v>248</v>
      </c>
      <c r="C5" s="80">
        <f>VLOOKUP(GroupVertices[[#This Row],[Vertex]],Vertices[],MATCH("ID",Vertices[[#Headers],[Vertex]:[Top Word Pairs in Tags by Salience]],0),FALSE)</f>
        <v>45</v>
      </c>
    </row>
    <row r="6" spans="1:3" ht="15">
      <c r="A6" s="81" t="s">
        <v>820</v>
      </c>
      <c r="B6" s="111" t="s">
        <v>226</v>
      </c>
      <c r="C6" s="80">
        <f>VLOOKUP(GroupVertices[[#This Row],[Vertex]],Vertices[],MATCH("ID",Vertices[[#Headers],[Vertex]:[Top Word Pairs in Tags by Salience]],0),FALSE)</f>
        <v>20</v>
      </c>
    </row>
    <row r="7" spans="1:3" ht="15">
      <c r="A7" s="81" t="s">
        <v>820</v>
      </c>
      <c r="B7" s="111" t="s">
        <v>214</v>
      </c>
      <c r="C7" s="80">
        <f>VLOOKUP(GroupVertices[[#This Row],[Vertex]],Vertices[],MATCH("ID",Vertices[[#Headers],[Vertex]:[Top Word Pairs in Tags by Salience]],0),FALSE)</f>
        <v>8</v>
      </c>
    </row>
    <row r="8" spans="1:3" ht="15">
      <c r="A8" s="81" t="s">
        <v>820</v>
      </c>
      <c r="B8" s="111" t="s">
        <v>234</v>
      </c>
      <c r="C8" s="80">
        <f>VLOOKUP(GroupVertices[[#This Row],[Vertex]],Vertices[],MATCH("ID",Vertices[[#Headers],[Vertex]:[Top Word Pairs in Tags by Salience]],0),FALSE)</f>
        <v>28</v>
      </c>
    </row>
    <row r="9" spans="1:3" ht="15">
      <c r="A9" s="81" t="s">
        <v>820</v>
      </c>
      <c r="B9" s="111" t="s">
        <v>224</v>
      </c>
      <c r="C9" s="80">
        <f>VLOOKUP(GroupVertices[[#This Row],[Vertex]],Vertices[],MATCH("ID",Vertices[[#Headers],[Vertex]:[Top Word Pairs in Tags by Salience]],0),FALSE)</f>
        <v>18</v>
      </c>
    </row>
    <row r="10" spans="1:3" ht="15">
      <c r="A10" s="81" t="s">
        <v>820</v>
      </c>
      <c r="B10" s="111" t="s">
        <v>235</v>
      </c>
      <c r="C10" s="80">
        <f>VLOOKUP(GroupVertices[[#This Row],[Vertex]],Vertices[],MATCH("ID",Vertices[[#Headers],[Vertex]:[Top Word Pairs in Tags by Salience]],0),FALSE)</f>
        <v>29</v>
      </c>
    </row>
    <row r="11" spans="1:3" ht="15">
      <c r="A11" s="81" t="s">
        <v>820</v>
      </c>
      <c r="B11" s="111" t="s">
        <v>665</v>
      </c>
      <c r="C11" s="80">
        <f>VLOOKUP(GroupVertices[[#This Row],[Vertex]],Vertices[],MATCH("ID",Vertices[[#Headers],[Vertex]:[Top Word Pairs in Tags by Salience]],0),FALSE)</f>
        <v>109</v>
      </c>
    </row>
    <row r="12" spans="1:3" ht="15">
      <c r="A12" s="81" t="s">
        <v>820</v>
      </c>
      <c r="B12" s="111" t="s">
        <v>231</v>
      </c>
      <c r="C12" s="80">
        <f>VLOOKUP(GroupVertices[[#This Row],[Vertex]],Vertices[],MATCH("ID",Vertices[[#Headers],[Vertex]:[Top Word Pairs in Tags by Salience]],0),FALSE)</f>
        <v>25</v>
      </c>
    </row>
    <row r="13" spans="1:3" ht="15">
      <c r="A13" s="81" t="s">
        <v>820</v>
      </c>
      <c r="B13" s="111" t="s">
        <v>241</v>
      </c>
      <c r="C13" s="80">
        <f>VLOOKUP(GroupVertices[[#This Row],[Vertex]],Vertices[],MATCH("ID",Vertices[[#Headers],[Vertex]:[Top Word Pairs in Tags by Salience]],0),FALSE)</f>
        <v>36</v>
      </c>
    </row>
    <row r="14" spans="1:3" ht="15">
      <c r="A14" s="81" t="s">
        <v>820</v>
      </c>
      <c r="B14" s="111" t="s">
        <v>233</v>
      </c>
      <c r="C14" s="80">
        <f>VLOOKUP(GroupVertices[[#This Row],[Vertex]],Vertices[],MATCH("ID",Vertices[[#Headers],[Vertex]:[Top Word Pairs in Tags by Salience]],0),FALSE)</f>
        <v>27</v>
      </c>
    </row>
    <row r="15" spans="1:3" ht="15">
      <c r="A15" s="81" t="s">
        <v>820</v>
      </c>
      <c r="B15" s="111" t="s">
        <v>664</v>
      </c>
      <c r="C15" s="80">
        <f>VLOOKUP(GroupVertices[[#This Row],[Vertex]],Vertices[],MATCH("ID",Vertices[[#Headers],[Vertex]:[Top Word Pairs in Tags by Salience]],0),FALSE)</f>
        <v>101</v>
      </c>
    </row>
    <row r="16" spans="1:3" ht="15">
      <c r="A16" s="81" t="s">
        <v>820</v>
      </c>
      <c r="B16" s="111" t="s">
        <v>663</v>
      </c>
      <c r="C16" s="80">
        <f>VLOOKUP(GroupVertices[[#This Row],[Vertex]],Vertices[],MATCH("ID",Vertices[[#Headers],[Vertex]:[Top Word Pairs in Tags by Salience]],0),FALSE)</f>
        <v>97</v>
      </c>
    </row>
    <row r="17" spans="1:3" ht="15">
      <c r="A17" s="81" t="s">
        <v>820</v>
      </c>
      <c r="B17" s="111" t="s">
        <v>662</v>
      </c>
      <c r="C17" s="80">
        <f>VLOOKUP(GroupVertices[[#This Row],[Vertex]],Vertices[],MATCH("ID",Vertices[[#Headers],[Vertex]:[Top Word Pairs in Tags by Salience]],0),FALSE)</f>
        <v>96</v>
      </c>
    </row>
    <row r="18" spans="1:3" ht="15">
      <c r="A18" s="81" t="s">
        <v>820</v>
      </c>
      <c r="B18" s="111" t="s">
        <v>661</v>
      </c>
      <c r="C18" s="80">
        <f>VLOOKUP(GroupVertices[[#This Row],[Vertex]],Vertices[],MATCH("ID",Vertices[[#Headers],[Vertex]:[Top Word Pairs in Tags by Salience]],0),FALSE)</f>
        <v>95</v>
      </c>
    </row>
    <row r="19" spans="1:3" ht="15">
      <c r="A19" s="81" t="s">
        <v>820</v>
      </c>
      <c r="B19" s="111" t="s">
        <v>660</v>
      </c>
      <c r="C19" s="80">
        <f>VLOOKUP(GroupVertices[[#This Row],[Vertex]],Vertices[],MATCH("ID",Vertices[[#Headers],[Vertex]:[Top Word Pairs in Tags by Salience]],0),FALSE)</f>
        <v>94</v>
      </c>
    </row>
    <row r="20" spans="1:3" ht="15">
      <c r="A20" s="81" t="s">
        <v>820</v>
      </c>
      <c r="B20" s="111" t="s">
        <v>659</v>
      </c>
      <c r="C20" s="80">
        <f>VLOOKUP(GroupVertices[[#This Row],[Vertex]],Vertices[],MATCH("ID",Vertices[[#Headers],[Vertex]:[Top Word Pairs in Tags by Salience]],0),FALSE)</f>
        <v>93</v>
      </c>
    </row>
    <row r="21" spans="1:3" ht="15">
      <c r="A21" s="81" t="s">
        <v>820</v>
      </c>
      <c r="B21" s="111" t="s">
        <v>658</v>
      </c>
      <c r="C21" s="80">
        <f>VLOOKUP(GroupVertices[[#This Row],[Vertex]],Vertices[],MATCH("ID",Vertices[[#Headers],[Vertex]:[Top Word Pairs in Tags by Salience]],0),FALSE)</f>
        <v>92</v>
      </c>
    </row>
    <row r="22" spans="1:3" ht="15">
      <c r="A22" s="81" t="s">
        <v>820</v>
      </c>
      <c r="B22" s="111" t="s">
        <v>259</v>
      </c>
      <c r="C22" s="80">
        <f>VLOOKUP(GroupVertices[[#This Row],[Vertex]],Vertices[],MATCH("ID",Vertices[[#Headers],[Vertex]:[Top Word Pairs in Tags by Salience]],0),FALSE)</f>
        <v>65</v>
      </c>
    </row>
    <row r="23" spans="1:3" ht="15">
      <c r="A23" s="81" t="s">
        <v>820</v>
      </c>
      <c r="B23" s="111" t="s">
        <v>240</v>
      </c>
      <c r="C23" s="80">
        <f>VLOOKUP(GroupVertices[[#This Row],[Vertex]],Vertices[],MATCH("ID",Vertices[[#Headers],[Vertex]:[Top Word Pairs in Tags by Salience]],0),FALSE)</f>
        <v>35</v>
      </c>
    </row>
    <row r="24" spans="1:3" ht="15">
      <c r="A24" s="81" t="s">
        <v>820</v>
      </c>
      <c r="B24" s="111" t="s">
        <v>258</v>
      </c>
      <c r="C24" s="80">
        <f>VLOOKUP(GroupVertices[[#This Row],[Vertex]],Vertices[],MATCH("ID",Vertices[[#Headers],[Vertex]:[Top Word Pairs in Tags by Salience]],0),FALSE)</f>
        <v>64</v>
      </c>
    </row>
    <row r="25" spans="1:3" ht="15">
      <c r="A25" s="81" t="s">
        <v>820</v>
      </c>
      <c r="B25" s="111" t="s">
        <v>225</v>
      </c>
      <c r="C25" s="80">
        <f>VLOOKUP(GroupVertices[[#This Row],[Vertex]],Vertices[],MATCH("ID",Vertices[[#Headers],[Vertex]:[Top Word Pairs in Tags by Salience]],0),FALSE)</f>
        <v>19</v>
      </c>
    </row>
    <row r="26" spans="1:3" ht="15">
      <c r="A26" s="81" t="s">
        <v>820</v>
      </c>
      <c r="B26" s="111" t="s">
        <v>230</v>
      </c>
      <c r="C26" s="80">
        <f>VLOOKUP(GroupVertices[[#This Row],[Vertex]],Vertices[],MATCH("ID",Vertices[[#Headers],[Vertex]:[Top Word Pairs in Tags by Salience]],0),FALSE)</f>
        <v>24</v>
      </c>
    </row>
    <row r="27" spans="1:3" ht="15">
      <c r="A27" s="81" t="s">
        <v>820</v>
      </c>
      <c r="B27" s="111" t="s">
        <v>222</v>
      </c>
      <c r="C27" s="80">
        <f>VLOOKUP(GroupVertices[[#This Row],[Vertex]],Vertices[],MATCH("ID",Vertices[[#Headers],[Vertex]:[Top Word Pairs in Tags by Salience]],0),FALSE)</f>
        <v>16</v>
      </c>
    </row>
    <row r="28" spans="1:3" ht="15">
      <c r="A28" s="81" t="s">
        <v>820</v>
      </c>
      <c r="B28" s="111" t="s">
        <v>220</v>
      </c>
      <c r="C28" s="80">
        <f>VLOOKUP(GroupVertices[[#This Row],[Vertex]],Vertices[],MATCH("ID",Vertices[[#Headers],[Vertex]:[Top Word Pairs in Tags by Salience]],0),FALSE)</f>
        <v>14</v>
      </c>
    </row>
    <row r="29" spans="1:3" ht="15">
      <c r="A29" s="81" t="s">
        <v>820</v>
      </c>
      <c r="B29" s="111" t="s">
        <v>245</v>
      </c>
      <c r="C29" s="80">
        <f>VLOOKUP(GroupVertices[[#This Row],[Vertex]],Vertices[],MATCH("ID",Vertices[[#Headers],[Vertex]:[Top Word Pairs in Tags by Salience]],0),FALSE)</f>
        <v>42</v>
      </c>
    </row>
    <row r="30" spans="1:3" ht="15">
      <c r="A30" s="81" t="s">
        <v>820</v>
      </c>
      <c r="B30" s="111" t="s">
        <v>223</v>
      </c>
      <c r="C30" s="80">
        <f>VLOOKUP(GroupVertices[[#This Row],[Vertex]],Vertices[],MATCH("ID",Vertices[[#Headers],[Vertex]:[Top Word Pairs in Tags by Salience]],0),FALSE)</f>
        <v>17</v>
      </c>
    </row>
    <row r="31" spans="1:3" ht="15">
      <c r="A31" s="81" t="s">
        <v>820</v>
      </c>
      <c r="B31" s="111" t="s">
        <v>218</v>
      </c>
      <c r="C31" s="80">
        <f>VLOOKUP(GroupVertices[[#This Row],[Vertex]],Vertices[],MATCH("ID",Vertices[[#Headers],[Vertex]:[Top Word Pairs in Tags by Salience]],0),FALSE)</f>
        <v>12</v>
      </c>
    </row>
    <row r="32" spans="1:3" ht="15">
      <c r="A32" s="81" t="s">
        <v>820</v>
      </c>
      <c r="B32" s="111" t="s">
        <v>247</v>
      </c>
      <c r="C32" s="80">
        <f>VLOOKUP(GroupVertices[[#This Row],[Vertex]],Vertices[],MATCH("ID",Vertices[[#Headers],[Vertex]:[Top Word Pairs in Tags by Salience]],0),FALSE)</f>
        <v>44</v>
      </c>
    </row>
    <row r="33" spans="1:3" ht="15">
      <c r="A33" s="81" t="s">
        <v>820</v>
      </c>
      <c r="B33" s="111" t="s">
        <v>227</v>
      </c>
      <c r="C33" s="80">
        <f>VLOOKUP(GroupVertices[[#This Row],[Vertex]],Vertices[],MATCH("ID",Vertices[[#Headers],[Vertex]:[Top Word Pairs in Tags by Salience]],0),FALSE)</f>
        <v>21</v>
      </c>
    </row>
    <row r="34" spans="1:3" ht="15">
      <c r="A34" s="81" t="s">
        <v>820</v>
      </c>
      <c r="B34" s="111" t="s">
        <v>213</v>
      </c>
      <c r="C34" s="80">
        <f>VLOOKUP(GroupVertices[[#This Row],[Vertex]],Vertices[],MATCH("ID",Vertices[[#Headers],[Vertex]:[Top Word Pairs in Tags by Salience]],0),FALSE)</f>
        <v>7</v>
      </c>
    </row>
    <row r="35" spans="1:3" ht="15">
      <c r="A35" s="81" t="s">
        <v>820</v>
      </c>
      <c r="B35" s="111" t="s">
        <v>219</v>
      </c>
      <c r="C35" s="80">
        <f>VLOOKUP(GroupVertices[[#This Row],[Vertex]],Vertices[],MATCH("ID",Vertices[[#Headers],[Vertex]:[Top Word Pairs in Tags by Salience]],0),FALSE)</f>
        <v>13</v>
      </c>
    </row>
    <row r="36" spans="1:3" ht="15">
      <c r="A36" s="81" t="s">
        <v>820</v>
      </c>
      <c r="B36" s="111" t="s">
        <v>217</v>
      </c>
      <c r="C36" s="80">
        <f>VLOOKUP(GroupVertices[[#This Row],[Vertex]],Vertices[],MATCH("ID",Vertices[[#Headers],[Vertex]:[Top Word Pairs in Tags by Salience]],0),FALSE)</f>
        <v>11</v>
      </c>
    </row>
    <row r="37" spans="1:3" ht="15">
      <c r="A37" s="81" t="s">
        <v>820</v>
      </c>
      <c r="B37" s="111" t="s">
        <v>246</v>
      </c>
      <c r="C37" s="80">
        <f>VLOOKUP(GroupVertices[[#This Row],[Vertex]],Vertices[],MATCH("ID",Vertices[[#Headers],[Vertex]:[Top Word Pairs in Tags by Salience]],0),FALSE)</f>
        <v>43</v>
      </c>
    </row>
    <row r="38" spans="1:3" ht="15">
      <c r="A38" s="81" t="s">
        <v>820</v>
      </c>
      <c r="B38" s="111" t="s">
        <v>215</v>
      </c>
      <c r="C38" s="80">
        <f>VLOOKUP(GroupVertices[[#This Row],[Vertex]],Vertices[],MATCH("ID",Vertices[[#Headers],[Vertex]:[Top Word Pairs in Tags by Salience]],0),FALSE)</f>
        <v>9</v>
      </c>
    </row>
    <row r="39" spans="1:3" ht="15">
      <c r="A39" s="81" t="s">
        <v>820</v>
      </c>
      <c r="B39" s="111" t="s">
        <v>244</v>
      </c>
      <c r="C39" s="80">
        <f>VLOOKUP(GroupVertices[[#This Row],[Vertex]],Vertices[],MATCH("ID",Vertices[[#Headers],[Vertex]:[Top Word Pairs in Tags by Salience]],0),FALSE)</f>
        <v>40</v>
      </c>
    </row>
    <row r="40" spans="1:3" ht="15">
      <c r="A40" s="81" t="s">
        <v>820</v>
      </c>
      <c r="B40" s="111" t="s">
        <v>279</v>
      </c>
      <c r="C40" s="80">
        <f>VLOOKUP(GroupVertices[[#This Row],[Vertex]],Vertices[],MATCH("ID",Vertices[[#Headers],[Vertex]:[Top Word Pairs in Tags by Salience]],0),FALSE)</f>
        <v>41</v>
      </c>
    </row>
    <row r="41" spans="1:3" ht="15">
      <c r="A41" s="81" t="s">
        <v>820</v>
      </c>
      <c r="B41" s="111" t="s">
        <v>242</v>
      </c>
      <c r="C41" s="80">
        <f>VLOOKUP(GroupVertices[[#This Row],[Vertex]],Vertices[],MATCH("ID",Vertices[[#Headers],[Vertex]:[Top Word Pairs in Tags by Salience]],0),FALSE)</f>
        <v>37</v>
      </c>
    </row>
    <row r="42" spans="1:3" ht="15">
      <c r="A42" s="81" t="s">
        <v>820</v>
      </c>
      <c r="B42" s="111" t="s">
        <v>229</v>
      </c>
      <c r="C42" s="80">
        <f>VLOOKUP(GroupVertices[[#This Row],[Vertex]],Vertices[],MATCH("ID",Vertices[[#Headers],[Vertex]:[Top Word Pairs in Tags by Salience]],0),FALSE)</f>
        <v>23</v>
      </c>
    </row>
    <row r="43" spans="1:3" ht="15">
      <c r="A43" s="81" t="s">
        <v>820</v>
      </c>
      <c r="B43" s="111" t="s">
        <v>228</v>
      </c>
      <c r="C43" s="80">
        <f>VLOOKUP(GroupVertices[[#This Row],[Vertex]],Vertices[],MATCH("ID",Vertices[[#Headers],[Vertex]:[Top Word Pairs in Tags by Salience]],0),FALSE)</f>
        <v>22</v>
      </c>
    </row>
    <row r="44" spans="1:3" ht="15">
      <c r="A44" s="81" t="s">
        <v>820</v>
      </c>
      <c r="B44" s="111" t="s">
        <v>239</v>
      </c>
      <c r="C44" s="80">
        <f>VLOOKUP(GroupVertices[[#This Row],[Vertex]],Vertices[],MATCH("ID",Vertices[[#Headers],[Vertex]:[Top Word Pairs in Tags by Salience]],0),FALSE)</f>
        <v>34</v>
      </c>
    </row>
    <row r="45" spans="1:3" ht="15">
      <c r="A45" s="81" t="s">
        <v>820</v>
      </c>
      <c r="B45" s="111" t="s">
        <v>212</v>
      </c>
      <c r="C45" s="80">
        <f>VLOOKUP(GroupVertices[[#This Row],[Vertex]],Vertices[],MATCH("ID",Vertices[[#Headers],[Vertex]:[Top Word Pairs in Tags by Salience]],0),FALSE)</f>
        <v>5</v>
      </c>
    </row>
    <row r="46" spans="1:3" ht="15">
      <c r="A46" s="81" t="s">
        <v>820</v>
      </c>
      <c r="B46" s="111" t="s">
        <v>275</v>
      </c>
      <c r="C46" s="80">
        <f>VLOOKUP(GroupVertices[[#This Row],[Vertex]],Vertices[],MATCH("ID",Vertices[[#Headers],[Vertex]:[Top Word Pairs in Tags by Salience]],0),FALSE)</f>
        <v>6</v>
      </c>
    </row>
    <row r="47" spans="1:3" ht="15">
      <c r="A47" s="81" t="s">
        <v>821</v>
      </c>
      <c r="B47" s="111" t="s">
        <v>647</v>
      </c>
      <c r="C47" s="80">
        <f>VLOOKUP(GroupVertices[[#This Row],[Vertex]],Vertices[],MATCH("ID",Vertices[[#Headers],[Vertex]:[Top Word Pairs in Tags by Salience]],0),FALSE)</f>
        <v>111</v>
      </c>
    </row>
    <row r="48" spans="1:3" ht="15">
      <c r="A48" s="81" t="s">
        <v>821</v>
      </c>
      <c r="B48" s="111" t="s">
        <v>668</v>
      </c>
      <c r="C48" s="80">
        <f>VLOOKUP(GroupVertices[[#This Row],[Vertex]],Vertices[],MATCH("ID",Vertices[[#Headers],[Vertex]:[Top Word Pairs in Tags by Salience]],0),FALSE)</f>
        <v>116</v>
      </c>
    </row>
    <row r="49" spans="1:3" ht="15">
      <c r="A49" s="81" t="s">
        <v>821</v>
      </c>
      <c r="B49" s="111" t="s">
        <v>667</v>
      </c>
      <c r="C49" s="80">
        <f>VLOOKUP(GroupVertices[[#This Row],[Vertex]],Vertices[],MATCH("ID",Vertices[[#Headers],[Vertex]:[Top Word Pairs in Tags by Salience]],0),FALSE)</f>
        <v>115</v>
      </c>
    </row>
    <row r="50" spans="1:3" ht="15">
      <c r="A50" s="81" t="s">
        <v>821</v>
      </c>
      <c r="B50" s="111" t="s">
        <v>649</v>
      </c>
      <c r="C50" s="80">
        <f>VLOOKUP(GroupVertices[[#This Row],[Vertex]],Vertices[],MATCH("ID",Vertices[[#Headers],[Vertex]:[Top Word Pairs in Tags by Salience]],0),FALSE)</f>
        <v>114</v>
      </c>
    </row>
    <row r="51" spans="1:3" ht="15">
      <c r="A51" s="81" t="s">
        <v>821</v>
      </c>
      <c r="B51" s="111" t="s">
        <v>648</v>
      </c>
      <c r="C51" s="80">
        <f>VLOOKUP(GroupVertices[[#This Row],[Vertex]],Vertices[],MATCH("ID",Vertices[[#Headers],[Vertex]:[Top Word Pairs in Tags by Salience]],0),FALSE)</f>
        <v>112</v>
      </c>
    </row>
    <row r="52" spans="1:3" ht="15">
      <c r="A52" s="81" t="s">
        <v>821</v>
      </c>
      <c r="B52" s="111" t="s">
        <v>666</v>
      </c>
      <c r="C52" s="80">
        <f>VLOOKUP(GroupVertices[[#This Row],[Vertex]],Vertices[],MATCH("ID",Vertices[[#Headers],[Vertex]:[Top Word Pairs in Tags by Salience]],0),FALSE)</f>
        <v>113</v>
      </c>
    </row>
    <row r="53" spans="1:3" ht="15">
      <c r="A53" s="81" t="s">
        <v>821</v>
      </c>
      <c r="B53" s="111" t="s">
        <v>645</v>
      </c>
      <c r="C53" s="80">
        <f>VLOOKUP(GroupVertices[[#This Row],[Vertex]],Vertices[],MATCH("ID",Vertices[[#Headers],[Vertex]:[Top Word Pairs in Tags by Salience]],0),FALSE)</f>
        <v>108</v>
      </c>
    </row>
    <row r="54" spans="1:3" ht="15">
      <c r="A54" s="81" t="s">
        <v>821</v>
      </c>
      <c r="B54" s="111" t="s">
        <v>232</v>
      </c>
      <c r="C54" s="80">
        <f>VLOOKUP(GroupVertices[[#This Row],[Vertex]],Vertices[],MATCH("ID",Vertices[[#Headers],[Vertex]:[Top Word Pairs in Tags by Salience]],0),FALSE)</f>
        <v>26</v>
      </c>
    </row>
    <row r="55" spans="1:3" ht="15">
      <c r="A55" s="81" t="s">
        <v>821</v>
      </c>
      <c r="B55" s="111" t="s">
        <v>644</v>
      </c>
      <c r="C55" s="80">
        <f>VLOOKUP(GroupVertices[[#This Row],[Vertex]],Vertices[],MATCH("ID",Vertices[[#Headers],[Vertex]:[Top Word Pairs in Tags by Salience]],0),FALSE)</f>
        <v>107</v>
      </c>
    </row>
    <row r="56" spans="1:3" ht="15">
      <c r="A56" s="81" t="s">
        <v>821</v>
      </c>
      <c r="B56" s="111" t="s">
        <v>236</v>
      </c>
      <c r="C56" s="80">
        <f>VLOOKUP(GroupVertices[[#This Row],[Vertex]],Vertices[],MATCH("ID",Vertices[[#Headers],[Vertex]:[Top Word Pairs in Tags by Salience]],0),FALSE)</f>
        <v>3</v>
      </c>
    </row>
    <row r="57" spans="1:3" ht="15">
      <c r="A57" s="81" t="s">
        <v>821</v>
      </c>
      <c r="B57" s="111" t="s">
        <v>643</v>
      </c>
      <c r="C57" s="80">
        <f>VLOOKUP(GroupVertices[[#This Row],[Vertex]],Vertices[],MATCH("ID",Vertices[[#Headers],[Vertex]:[Top Word Pairs in Tags by Salience]],0),FALSE)</f>
        <v>106</v>
      </c>
    </row>
    <row r="58" spans="1:3" ht="15">
      <c r="A58" s="81" t="s">
        <v>821</v>
      </c>
      <c r="B58" s="111" t="s">
        <v>642</v>
      </c>
      <c r="C58" s="80">
        <f>VLOOKUP(GroupVertices[[#This Row],[Vertex]],Vertices[],MATCH("ID",Vertices[[#Headers],[Vertex]:[Top Word Pairs in Tags by Salience]],0),FALSE)</f>
        <v>105</v>
      </c>
    </row>
    <row r="59" spans="1:3" ht="15">
      <c r="A59" s="81" t="s">
        <v>821</v>
      </c>
      <c r="B59" s="111" t="s">
        <v>641</v>
      </c>
      <c r="C59" s="80">
        <f>VLOOKUP(GroupVertices[[#This Row],[Vertex]],Vertices[],MATCH("ID",Vertices[[#Headers],[Vertex]:[Top Word Pairs in Tags by Salience]],0),FALSE)</f>
        <v>104</v>
      </c>
    </row>
    <row r="60" spans="1:3" ht="15">
      <c r="A60" s="81" t="s">
        <v>821</v>
      </c>
      <c r="B60" s="111" t="s">
        <v>646</v>
      </c>
      <c r="C60" s="80">
        <f>VLOOKUP(GroupVertices[[#This Row],[Vertex]],Vertices[],MATCH("ID",Vertices[[#Headers],[Vertex]:[Top Word Pairs in Tags by Salience]],0),FALSE)</f>
        <v>110</v>
      </c>
    </row>
    <row r="61" spans="1:3" ht="15">
      <c r="A61" s="81" t="s">
        <v>821</v>
      </c>
      <c r="B61" s="111" t="s">
        <v>640</v>
      </c>
      <c r="C61" s="80">
        <f>VLOOKUP(GroupVertices[[#This Row],[Vertex]],Vertices[],MATCH("ID",Vertices[[#Headers],[Vertex]:[Top Word Pairs in Tags by Salience]],0),FALSE)</f>
        <v>103</v>
      </c>
    </row>
    <row r="62" spans="1:3" ht="15">
      <c r="A62" s="81" t="s">
        <v>821</v>
      </c>
      <c r="B62" s="111" t="s">
        <v>638</v>
      </c>
      <c r="C62" s="80">
        <f>VLOOKUP(GroupVertices[[#This Row],[Vertex]],Vertices[],MATCH("ID",Vertices[[#Headers],[Vertex]:[Top Word Pairs in Tags by Salience]],0),FALSE)</f>
        <v>100</v>
      </c>
    </row>
    <row r="63" spans="1:3" ht="15">
      <c r="A63" s="81" t="s">
        <v>821</v>
      </c>
      <c r="B63" s="111" t="s">
        <v>637</v>
      </c>
      <c r="C63" s="80">
        <f>VLOOKUP(GroupVertices[[#This Row],[Vertex]],Vertices[],MATCH("ID",Vertices[[#Headers],[Vertex]:[Top Word Pairs in Tags by Salience]],0),FALSE)</f>
        <v>99</v>
      </c>
    </row>
    <row r="64" spans="1:3" ht="15">
      <c r="A64" s="81" t="s">
        <v>821</v>
      </c>
      <c r="B64" s="111" t="s">
        <v>639</v>
      </c>
      <c r="C64" s="80">
        <f>VLOOKUP(GroupVertices[[#This Row],[Vertex]],Vertices[],MATCH("ID",Vertices[[#Headers],[Vertex]:[Top Word Pairs in Tags by Salience]],0),FALSE)</f>
        <v>102</v>
      </c>
    </row>
    <row r="65" spans="1:3" ht="15">
      <c r="A65" s="81" t="s">
        <v>821</v>
      </c>
      <c r="B65" s="111" t="s">
        <v>636</v>
      </c>
      <c r="C65" s="80">
        <f>VLOOKUP(GroupVertices[[#This Row],[Vertex]],Vertices[],MATCH("ID",Vertices[[#Headers],[Vertex]:[Top Word Pairs in Tags by Salience]],0),FALSE)</f>
        <v>98</v>
      </c>
    </row>
    <row r="66" spans="1:3" ht="15">
      <c r="A66" s="81" t="s">
        <v>821</v>
      </c>
      <c r="B66" s="111" t="s">
        <v>657</v>
      </c>
      <c r="C66" s="80">
        <f>VLOOKUP(GroupVertices[[#This Row],[Vertex]],Vertices[],MATCH("ID",Vertices[[#Headers],[Vertex]:[Top Word Pairs in Tags by Salience]],0),FALSE)</f>
        <v>91</v>
      </c>
    </row>
    <row r="67" spans="1:3" ht="15">
      <c r="A67" s="81" t="s">
        <v>821</v>
      </c>
      <c r="B67" s="111" t="s">
        <v>656</v>
      </c>
      <c r="C67" s="80">
        <f>VLOOKUP(GroupVertices[[#This Row],[Vertex]],Vertices[],MATCH("ID",Vertices[[#Headers],[Vertex]:[Top Word Pairs in Tags by Salience]],0),FALSE)</f>
        <v>90</v>
      </c>
    </row>
    <row r="68" spans="1:3" ht="15">
      <c r="A68" s="81" t="s">
        <v>821</v>
      </c>
      <c r="B68" s="111" t="s">
        <v>655</v>
      </c>
      <c r="C68" s="80">
        <f>VLOOKUP(GroupVertices[[#This Row],[Vertex]],Vertices[],MATCH("ID",Vertices[[#Headers],[Vertex]:[Top Word Pairs in Tags by Salience]],0),FALSE)</f>
        <v>89</v>
      </c>
    </row>
    <row r="69" spans="1:3" ht="15">
      <c r="A69" s="81" t="s">
        <v>821</v>
      </c>
      <c r="B69" s="111" t="s">
        <v>654</v>
      </c>
      <c r="C69" s="80">
        <f>VLOOKUP(GroupVertices[[#This Row],[Vertex]],Vertices[],MATCH("ID",Vertices[[#Headers],[Vertex]:[Top Word Pairs in Tags by Salience]],0),FALSE)</f>
        <v>88</v>
      </c>
    </row>
    <row r="70" spans="1:3" ht="15">
      <c r="A70" s="81" t="s">
        <v>821</v>
      </c>
      <c r="B70" s="111" t="s">
        <v>653</v>
      </c>
      <c r="C70" s="80">
        <f>VLOOKUP(GroupVertices[[#This Row],[Vertex]],Vertices[],MATCH("ID",Vertices[[#Headers],[Vertex]:[Top Word Pairs in Tags by Salience]],0),FALSE)</f>
        <v>87</v>
      </c>
    </row>
    <row r="71" spans="1:3" ht="15">
      <c r="A71" s="81" t="s">
        <v>821</v>
      </c>
      <c r="B71" s="111" t="s">
        <v>652</v>
      </c>
      <c r="C71" s="80">
        <f>VLOOKUP(GroupVertices[[#This Row],[Vertex]],Vertices[],MATCH("ID",Vertices[[#Headers],[Vertex]:[Top Word Pairs in Tags by Salience]],0),FALSE)</f>
        <v>86</v>
      </c>
    </row>
    <row r="72" spans="1:3" ht="15">
      <c r="A72" s="81" t="s">
        <v>821</v>
      </c>
      <c r="B72" s="111" t="s">
        <v>651</v>
      </c>
      <c r="C72" s="80">
        <f>VLOOKUP(GroupVertices[[#This Row],[Vertex]],Vertices[],MATCH("ID",Vertices[[#Headers],[Vertex]:[Top Word Pairs in Tags by Salience]],0),FALSE)</f>
        <v>85</v>
      </c>
    </row>
    <row r="73" spans="1:3" ht="15">
      <c r="A73" s="81" t="s">
        <v>821</v>
      </c>
      <c r="B73" s="111" t="s">
        <v>650</v>
      </c>
      <c r="C73" s="80">
        <f>VLOOKUP(GroupVertices[[#This Row],[Vertex]],Vertices[],MATCH("ID",Vertices[[#Headers],[Vertex]:[Top Word Pairs in Tags by Salience]],0),FALSE)</f>
        <v>84</v>
      </c>
    </row>
    <row r="74" spans="1:3" ht="15">
      <c r="A74" s="81" t="s">
        <v>821</v>
      </c>
      <c r="B74" s="111" t="s">
        <v>669</v>
      </c>
      <c r="C74" s="80">
        <f>VLOOKUP(GroupVertices[[#This Row],[Vertex]],Vertices[],MATCH("ID",Vertices[[#Headers],[Vertex]:[Top Word Pairs in Tags by Salience]],0),FALSE)</f>
        <v>83</v>
      </c>
    </row>
    <row r="75" spans="1:3" ht="15">
      <c r="A75" s="81" t="s">
        <v>821</v>
      </c>
      <c r="B75" s="111" t="s">
        <v>278</v>
      </c>
      <c r="C75" s="80">
        <f>VLOOKUP(GroupVertices[[#This Row],[Vertex]],Vertices[],MATCH("ID",Vertices[[#Headers],[Vertex]:[Top Word Pairs in Tags by Salience]],0),FALSE)</f>
        <v>39</v>
      </c>
    </row>
    <row r="76" spans="1:3" ht="15">
      <c r="A76" s="81" t="s">
        <v>821</v>
      </c>
      <c r="B76" s="111" t="s">
        <v>276</v>
      </c>
      <c r="C76" s="80">
        <f>VLOOKUP(GroupVertices[[#This Row],[Vertex]],Vertices[],MATCH("ID",Vertices[[#Headers],[Vertex]:[Top Word Pairs in Tags by Salience]],0),FALSE)</f>
        <v>30</v>
      </c>
    </row>
    <row r="77" spans="1:3" ht="15">
      <c r="A77" s="81" t="s">
        <v>821</v>
      </c>
      <c r="B77" s="111" t="s">
        <v>291</v>
      </c>
      <c r="C77" s="80">
        <f>VLOOKUP(GroupVertices[[#This Row],[Vertex]],Vertices[],MATCH("ID",Vertices[[#Headers],[Vertex]:[Top Word Pairs in Tags by Salience]],0),FALSE)</f>
        <v>4</v>
      </c>
    </row>
    <row r="78" spans="1:3" ht="15">
      <c r="A78" s="81" t="s">
        <v>822</v>
      </c>
      <c r="B78" s="111" t="s">
        <v>273</v>
      </c>
      <c r="C78" s="80">
        <f>VLOOKUP(GroupVertices[[#This Row],[Vertex]],Vertices[],MATCH("ID",Vertices[[#Headers],[Vertex]:[Top Word Pairs in Tags by Salience]],0),FALSE)</f>
        <v>80</v>
      </c>
    </row>
    <row r="79" spans="1:3" ht="15">
      <c r="A79" s="81" t="s">
        <v>822</v>
      </c>
      <c r="B79" s="111" t="s">
        <v>290</v>
      </c>
      <c r="C79" s="80">
        <f>VLOOKUP(GroupVertices[[#This Row],[Vertex]],Vertices[],MATCH("ID",Vertices[[#Headers],[Vertex]:[Top Word Pairs in Tags by Salience]],0),FALSE)</f>
        <v>82</v>
      </c>
    </row>
    <row r="80" spans="1:3" ht="15">
      <c r="A80" s="81" t="s">
        <v>822</v>
      </c>
      <c r="B80" s="111" t="s">
        <v>274</v>
      </c>
      <c r="C80" s="80">
        <f>VLOOKUP(GroupVertices[[#This Row],[Vertex]],Vertices[],MATCH("ID",Vertices[[#Headers],[Vertex]:[Top Word Pairs in Tags by Salience]],0),FALSE)</f>
        <v>81</v>
      </c>
    </row>
    <row r="81" spans="1:3" ht="15">
      <c r="A81" s="81" t="s">
        <v>822</v>
      </c>
      <c r="B81" s="111" t="s">
        <v>257</v>
      </c>
      <c r="C81" s="80">
        <f>VLOOKUP(GroupVertices[[#This Row],[Vertex]],Vertices[],MATCH("ID",Vertices[[#Headers],[Vertex]:[Top Word Pairs in Tags by Salience]],0),FALSE)</f>
        <v>60</v>
      </c>
    </row>
    <row r="82" spans="1:3" ht="15">
      <c r="A82" s="81" t="s">
        <v>822</v>
      </c>
      <c r="B82" s="111" t="s">
        <v>272</v>
      </c>
      <c r="C82" s="80">
        <f>VLOOKUP(GroupVertices[[#This Row],[Vertex]],Vertices[],MATCH("ID",Vertices[[#Headers],[Vertex]:[Top Word Pairs in Tags by Salience]],0),FALSE)</f>
        <v>79</v>
      </c>
    </row>
    <row r="83" spans="1:3" ht="15">
      <c r="A83" s="81" t="s">
        <v>822</v>
      </c>
      <c r="B83" s="111" t="s">
        <v>270</v>
      </c>
      <c r="C83" s="80">
        <f>VLOOKUP(GroupVertices[[#This Row],[Vertex]],Vertices[],MATCH("ID",Vertices[[#Headers],[Vertex]:[Top Word Pairs in Tags by Salience]],0),FALSE)</f>
        <v>77</v>
      </c>
    </row>
    <row r="84" spans="1:3" ht="15">
      <c r="A84" s="81" t="s">
        <v>822</v>
      </c>
      <c r="B84" s="111" t="s">
        <v>269</v>
      </c>
      <c r="C84" s="80">
        <f>VLOOKUP(GroupVertices[[#This Row],[Vertex]],Vertices[],MATCH("ID",Vertices[[#Headers],[Vertex]:[Top Word Pairs in Tags by Salience]],0),FALSE)</f>
        <v>76</v>
      </c>
    </row>
    <row r="85" spans="1:3" ht="15">
      <c r="A85" s="81" t="s">
        <v>822</v>
      </c>
      <c r="B85" s="111" t="s">
        <v>268</v>
      </c>
      <c r="C85" s="80">
        <f>VLOOKUP(GroupVertices[[#This Row],[Vertex]],Vertices[],MATCH("ID",Vertices[[#Headers],[Vertex]:[Top Word Pairs in Tags by Salience]],0),FALSE)</f>
        <v>75</v>
      </c>
    </row>
    <row r="86" spans="1:3" ht="15">
      <c r="A86" s="81" t="s">
        <v>822</v>
      </c>
      <c r="B86" s="111" t="s">
        <v>267</v>
      </c>
      <c r="C86" s="80">
        <f>VLOOKUP(GroupVertices[[#This Row],[Vertex]],Vertices[],MATCH("ID",Vertices[[#Headers],[Vertex]:[Top Word Pairs in Tags by Salience]],0),FALSE)</f>
        <v>74</v>
      </c>
    </row>
    <row r="87" spans="1:3" ht="15">
      <c r="A87" s="81" t="s">
        <v>822</v>
      </c>
      <c r="B87" s="111" t="s">
        <v>260</v>
      </c>
      <c r="C87" s="80">
        <f>VLOOKUP(GroupVertices[[#This Row],[Vertex]],Vertices[],MATCH("ID",Vertices[[#Headers],[Vertex]:[Top Word Pairs in Tags by Salience]],0),FALSE)</f>
        <v>66</v>
      </c>
    </row>
    <row r="88" spans="1:3" ht="15">
      <c r="A88" s="81" t="s">
        <v>822</v>
      </c>
      <c r="B88" s="111" t="s">
        <v>266</v>
      </c>
      <c r="C88" s="80">
        <f>VLOOKUP(GroupVertices[[#This Row],[Vertex]],Vertices[],MATCH("ID",Vertices[[#Headers],[Vertex]:[Top Word Pairs in Tags by Salience]],0),FALSE)</f>
        <v>73</v>
      </c>
    </row>
    <row r="89" spans="1:3" ht="15">
      <c r="A89" s="81" t="s">
        <v>822</v>
      </c>
      <c r="B89" s="111" t="s">
        <v>265</v>
      </c>
      <c r="C89" s="80">
        <f>VLOOKUP(GroupVertices[[#This Row],[Vertex]],Vertices[],MATCH("ID",Vertices[[#Headers],[Vertex]:[Top Word Pairs in Tags by Salience]],0),FALSE)</f>
        <v>72</v>
      </c>
    </row>
    <row r="90" spans="1:3" ht="15">
      <c r="A90" s="81" t="s">
        <v>822</v>
      </c>
      <c r="B90" s="111" t="s">
        <v>264</v>
      </c>
      <c r="C90" s="80">
        <f>VLOOKUP(GroupVertices[[#This Row],[Vertex]],Vertices[],MATCH("ID",Vertices[[#Headers],[Vertex]:[Top Word Pairs in Tags by Salience]],0),FALSE)</f>
        <v>71</v>
      </c>
    </row>
    <row r="91" spans="1:3" ht="15">
      <c r="A91" s="81" t="s">
        <v>822</v>
      </c>
      <c r="B91" s="111" t="s">
        <v>271</v>
      </c>
      <c r="C91" s="80">
        <f>VLOOKUP(GroupVertices[[#This Row],[Vertex]],Vertices[],MATCH("ID",Vertices[[#Headers],[Vertex]:[Top Word Pairs in Tags by Salience]],0),FALSE)</f>
        <v>78</v>
      </c>
    </row>
    <row r="92" spans="1:3" ht="15">
      <c r="A92" s="81" t="s">
        <v>822</v>
      </c>
      <c r="B92" s="111" t="s">
        <v>263</v>
      </c>
      <c r="C92" s="80">
        <f>VLOOKUP(GroupVertices[[#This Row],[Vertex]],Vertices[],MATCH("ID",Vertices[[#Headers],[Vertex]:[Top Word Pairs in Tags by Salience]],0),FALSE)</f>
        <v>70</v>
      </c>
    </row>
    <row r="93" spans="1:3" ht="15">
      <c r="A93" s="81" t="s">
        <v>822</v>
      </c>
      <c r="B93" s="111" t="s">
        <v>262</v>
      </c>
      <c r="C93" s="80">
        <f>VLOOKUP(GroupVertices[[#This Row],[Vertex]],Vertices[],MATCH("ID",Vertices[[#Headers],[Vertex]:[Top Word Pairs in Tags by Salience]],0),FALSE)</f>
        <v>69</v>
      </c>
    </row>
    <row r="94" spans="1:3" ht="15">
      <c r="A94" s="81" t="s">
        <v>822</v>
      </c>
      <c r="B94" s="111" t="s">
        <v>251</v>
      </c>
      <c r="C94" s="80">
        <f>VLOOKUP(GroupVertices[[#This Row],[Vertex]],Vertices[],MATCH("ID",Vertices[[#Headers],[Vertex]:[Top Word Pairs in Tags by Salience]],0),FALSE)</f>
        <v>48</v>
      </c>
    </row>
    <row r="95" spans="1:3" ht="15">
      <c r="A95" s="81" t="s">
        <v>822</v>
      </c>
      <c r="B95" s="111" t="s">
        <v>256</v>
      </c>
      <c r="C95" s="80">
        <f>VLOOKUP(GroupVertices[[#This Row],[Vertex]],Vertices[],MATCH("ID",Vertices[[#Headers],[Vertex]:[Top Word Pairs in Tags by Salience]],0),FALSE)</f>
        <v>58</v>
      </c>
    </row>
    <row r="96" spans="1:3" ht="15">
      <c r="A96" s="81" t="s">
        <v>822</v>
      </c>
      <c r="B96" s="111" t="s">
        <v>250</v>
      </c>
      <c r="C96" s="80">
        <f>VLOOKUP(GroupVertices[[#This Row],[Vertex]],Vertices[],MATCH("ID",Vertices[[#Headers],[Vertex]:[Top Word Pairs in Tags by Salience]],0),FALSE)</f>
        <v>47</v>
      </c>
    </row>
    <row r="97" spans="1:3" ht="15">
      <c r="A97" s="81" t="s">
        <v>822</v>
      </c>
      <c r="B97" s="111" t="s">
        <v>261</v>
      </c>
      <c r="C97" s="80">
        <f>VLOOKUP(GroupVertices[[#This Row],[Vertex]],Vertices[],MATCH("ID",Vertices[[#Headers],[Vertex]:[Top Word Pairs in Tags by Salience]],0),FALSE)</f>
        <v>67</v>
      </c>
    </row>
    <row r="98" spans="1:3" ht="15">
      <c r="A98" s="81" t="s">
        <v>822</v>
      </c>
      <c r="B98" s="111" t="s">
        <v>289</v>
      </c>
      <c r="C98" s="80">
        <f>VLOOKUP(GroupVertices[[#This Row],[Vertex]],Vertices[],MATCH("ID",Vertices[[#Headers],[Vertex]:[Top Word Pairs in Tags by Salience]],0),FALSE)</f>
        <v>68</v>
      </c>
    </row>
    <row r="99" spans="1:3" ht="15">
      <c r="A99" s="81" t="s">
        <v>822</v>
      </c>
      <c r="B99" s="111" t="s">
        <v>285</v>
      </c>
      <c r="C99" s="80">
        <f>VLOOKUP(GroupVertices[[#This Row],[Vertex]],Vertices[],MATCH("ID",Vertices[[#Headers],[Vertex]:[Top Word Pairs in Tags by Salience]],0),FALSE)</f>
        <v>59</v>
      </c>
    </row>
    <row r="100" spans="1:3" ht="15">
      <c r="A100" s="81" t="s">
        <v>823</v>
      </c>
      <c r="B100" s="111" t="s">
        <v>252</v>
      </c>
      <c r="C100" s="80">
        <f>VLOOKUP(GroupVertices[[#This Row],[Vertex]],Vertices[],MATCH("ID",Vertices[[#Headers],[Vertex]:[Top Word Pairs in Tags by Salience]],0),FALSE)</f>
        <v>49</v>
      </c>
    </row>
    <row r="101" spans="1:3" ht="15">
      <c r="A101" s="81" t="s">
        <v>823</v>
      </c>
      <c r="B101" s="111" t="s">
        <v>288</v>
      </c>
      <c r="C101" s="80">
        <f>VLOOKUP(GroupVertices[[#This Row],[Vertex]],Vertices[],MATCH("ID",Vertices[[#Headers],[Vertex]:[Top Word Pairs in Tags by Salience]],0),FALSE)</f>
        <v>63</v>
      </c>
    </row>
    <row r="102" spans="1:3" ht="15">
      <c r="A102" s="81" t="s">
        <v>823</v>
      </c>
      <c r="B102" s="111" t="s">
        <v>253</v>
      </c>
      <c r="C102" s="80">
        <f>VLOOKUP(GroupVertices[[#This Row],[Vertex]],Vertices[],MATCH("ID",Vertices[[#Headers],[Vertex]:[Top Word Pairs in Tags by Salience]],0),FALSE)</f>
        <v>53</v>
      </c>
    </row>
    <row r="103" spans="1:3" ht="15">
      <c r="A103" s="81" t="s">
        <v>823</v>
      </c>
      <c r="B103" s="111" t="s">
        <v>287</v>
      </c>
      <c r="C103" s="80">
        <f>VLOOKUP(GroupVertices[[#This Row],[Vertex]],Vertices[],MATCH("ID",Vertices[[#Headers],[Vertex]:[Top Word Pairs in Tags by Salience]],0),FALSE)</f>
        <v>62</v>
      </c>
    </row>
    <row r="104" spans="1:3" ht="15">
      <c r="A104" s="81" t="s">
        <v>823</v>
      </c>
      <c r="B104" s="111" t="s">
        <v>286</v>
      </c>
      <c r="C104" s="80">
        <f>VLOOKUP(GroupVertices[[#This Row],[Vertex]],Vertices[],MATCH("ID",Vertices[[#Headers],[Vertex]:[Top Word Pairs in Tags by Salience]],0),FALSE)</f>
        <v>61</v>
      </c>
    </row>
    <row r="105" spans="1:3" ht="15">
      <c r="A105" s="81" t="s">
        <v>823</v>
      </c>
      <c r="B105" s="111" t="s">
        <v>255</v>
      </c>
      <c r="C105" s="80">
        <f>VLOOKUP(GroupVertices[[#This Row],[Vertex]],Vertices[],MATCH("ID",Vertices[[#Headers],[Vertex]:[Top Word Pairs in Tags by Salience]],0),FALSE)</f>
        <v>57</v>
      </c>
    </row>
    <row r="106" spans="1:3" ht="15">
      <c r="A106" s="81" t="s">
        <v>823</v>
      </c>
      <c r="B106" s="111" t="s">
        <v>249</v>
      </c>
      <c r="C106" s="80">
        <f>VLOOKUP(GroupVertices[[#This Row],[Vertex]],Vertices[],MATCH("ID",Vertices[[#Headers],[Vertex]:[Top Word Pairs in Tags by Salience]],0),FALSE)</f>
        <v>46</v>
      </c>
    </row>
    <row r="107" spans="1:3" ht="15">
      <c r="A107" s="81" t="s">
        <v>823</v>
      </c>
      <c r="B107" s="111" t="s">
        <v>254</v>
      </c>
      <c r="C107" s="80">
        <f>VLOOKUP(GroupVertices[[#This Row],[Vertex]],Vertices[],MATCH("ID",Vertices[[#Headers],[Vertex]:[Top Word Pairs in Tags by Salience]],0),FALSE)</f>
        <v>56</v>
      </c>
    </row>
    <row r="108" spans="1:3" ht="15">
      <c r="A108" s="81" t="s">
        <v>823</v>
      </c>
      <c r="B108" s="111" t="s">
        <v>284</v>
      </c>
      <c r="C108" s="80">
        <f>VLOOKUP(GroupVertices[[#This Row],[Vertex]],Vertices[],MATCH("ID",Vertices[[#Headers],[Vertex]:[Top Word Pairs in Tags by Salience]],0),FALSE)</f>
        <v>55</v>
      </c>
    </row>
    <row r="109" spans="1:3" ht="15">
      <c r="A109" s="81" t="s">
        <v>823</v>
      </c>
      <c r="B109" s="111" t="s">
        <v>283</v>
      </c>
      <c r="C109" s="80">
        <f>VLOOKUP(GroupVertices[[#This Row],[Vertex]],Vertices[],MATCH("ID",Vertices[[#Headers],[Vertex]:[Top Word Pairs in Tags by Salience]],0),FALSE)</f>
        <v>54</v>
      </c>
    </row>
    <row r="110" spans="1:3" ht="15">
      <c r="A110" s="81" t="s">
        <v>823</v>
      </c>
      <c r="B110" s="111" t="s">
        <v>282</v>
      </c>
      <c r="C110" s="80">
        <f>VLOOKUP(GroupVertices[[#This Row],[Vertex]],Vertices[],MATCH("ID",Vertices[[#Headers],[Vertex]:[Top Word Pairs in Tags by Salience]],0),FALSE)</f>
        <v>52</v>
      </c>
    </row>
    <row r="111" spans="1:3" ht="15">
      <c r="A111" s="81" t="s">
        <v>823</v>
      </c>
      <c r="B111" s="111" t="s">
        <v>281</v>
      </c>
      <c r="C111" s="80">
        <f>VLOOKUP(GroupVertices[[#This Row],[Vertex]],Vertices[],MATCH("ID",Vertices[[#Headers],[Vertex]:[Top Word Pairs in Tags by Salience]],0),FALSE)</f>
        <v>51</v>
      </c>
    </row>
    <row r="112" spans="1:3" ht="15">
      <c r="A112" s="81" t="s">
        <v>823</v>
      </c>
      <c r="B112" s="111" t="s">
        <v>280</v>
      </c>
      <c r="C112" s="80">
        <f>VLOOKUP(GroupVertices[[#This Row],[Vertex]],Vertices[],MATCH("ID",Vertices[[#Headers],[Vertex]:[Top Word Pairs in Tags by Salience]],0),FALSE)</f>
        <v>50</v>
      </c>
    </row>
    <row r="113" spans="1:3" ht="15">
      <c r="A113" s="81" t="s">
        <v>823</v>
      </c>
      <c r="B113" s="111" t="s">
        <v>237</v>
      </c>
      <c r="C113" s="80">
        <f>VLOOKUP(GroupVertices[[#This Row],[Vertex]],Vertices[],MATCH("ID",Vertices[[#Headers],[Vertex]:[Top Word Pairs in Tags by Salience]],0),FALSE)</f>
        <v>31</v>
      </c>
    </row>
    <row r="114" spans="1:3" ht="15">
      <c r="A114" s="81" t="s">
        <v>823</v>
      </c>
      <c r="B114" s="111" t="s">
        <v>238</v>
      </c>
      <c r="C114" s="80">
        <f>VLOOKUP(GroupVertices[[#This Row],[Vertex]],Vertices[],MATCH("ID",Vertices[[#Headers],[Vertex]:[Top Word Pairs in Tags by Salience]],0),FALSE)</f>
        <v>33</v>
      </c>
    </row>
    <row r="115" spans="1:3" ht="15">
      <c r="A115" s="81" t="s">
        <v>823</v>
      </c>
      <c r="B115" s="111" t="s">
        <v>277</v>
      </c>
      <c r="C115" s="80">
        <f>VLOOKUP(GroupVertices[[#This Row],[Vertex]],Vertices[],MATCH("ID",Vertices[[#Headers],[Vertex]:[Top Word Pairs in Tags by Salience]],0),FALSE)</f>
        <v>32</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2017</v>
      </c>
      <c r="B2" s="35" t="s">
        <v>635</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84</v>
      </c>
      <c r="L2" s="38">
        <f>MIN(Vertices[Closeness Centrality])</f>
        <v>0.002262</v>
      </c>
      <c r="M2" s="39">
        <f>COUNTIF(Vertices[Closeness Centrality],"&gt;= "&amp;L2)-COUNTIF(Vertices[Closeness Centrality],"&gt;="&amp;L3)</f>
        <v>1</v>
      </c>
      <c r="N2" s="38">
        <f>MIN(Vertices[Eigenvector Centrality])</f>
        <v>1.4E-05</v>
      </c>
      <c r="O2" s="39">
        <f>COUNTIF(Vertices[Eigenvector Centrality],"&gt;= "&amp;N2)-COUNTIF(Vertices[Eigenvector Centrality],"&gt;="&amp;N3)</f>
        <v>43</v>
      </c>
      <c r="P2" s="38">
        <f>MIN(Vertices[PageRank])</f>
        <v>0.203299</v>
      </c>
      <c r="Q2" s="39">
        <f>COUNTIF(Vertices[PageRank],"&gt;= "&amp;P2)-COUNTIF(Vertices[PageRank],"&gt;="&amp;P3)</f>
        <v>31</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9"/>
      <c r="B3" s="119"/>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37</v>
      </c>
      <c r="H3" s="40">
        <f aca="true" t="shared" si="3" ref="H3:H35">H2+($H$36-$H$2)/BinDivisor</f>
        <v>1.411764705882353</v>
      </c>
      <c r="I3" s="41">
        <f>COUNTIF(Vertices[Out-Degree],"&gt;= "&amp;H3)-COUNTIF(Vertices[Out-Degree],"&gt;="&amp;H4)</f>
        <v>5</v>
      </c>
      <c r="J3" s="40">
        <f aca="true" t="shared" si="4" ref="J3:J35">J2+($J$36-$J$2)/BinDivisor</f>
        <v>75.76244741176471</v>
      </c>
      <c r="K3" s="41">
        <f>COUNTIF(Vertices[Betweenness Centrality],"&gt;= "&amp;J3)-COUNTIF(Vertices[Betweenness Centrality],"&gt;="&amp;J4)</f>
        <v>6</v>
      </c>
      <c r="L3" s="40">
        <f aca="true" t="shared" si="5" ref="L3:L35">L2+($L$36-$L$2)/BinDivisor</f>
        <v>0.002346294117647059</v>
      </c>
      <c r="M3" s="41">
        <f>COUNTIF(Vertices[Closeness Centrality],"&gt;= "&amp;L3)-COUNTIF(Vertices[Closeness Centrality],"&gt;="&amp;L4)</f>
        <v>0</v>
      </c>
      <c r="N3" s="40">
        <f aca="true" t="shared" si="6" ref="N3:N35">N2+($N$36-$N$2)/BinDivisor</f>
        <v>0.0009382352941176471</v>
      </c>
      <c r="O3" s="41">
        <f>COUNTIF(Vertices[Eigenvector Centrality],"&gt;= "&amp;N3)-COUNTIF(Vertices[Eigenvector Centrality],"&gt;="&amp;N4)</f>
        <v>19</v>
      </c>
      <c r="P3" s="40">
        <f aca="true" t="shared" si="7" ref="P3:P35">P2+($P$36-$P$2)/BinDivisor</f>
        <v>0.3104604411764706</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1.7647058823529411</v>
      </c>
      <c r="G4" s="39">
        <f>COUNTIF(Vertices[In-Degree],"&gt;= "&amp;F4)-COUNTIF(Vertices[In-Degree],"&gt;="&amp;F5)</f>
        <v>6</v>
      </c>
      <c r="H4" s="38">
        <f t="shared" si="3"/>
        <v>2.823529411764706</v>
      </c>
      <c r="I4" s="39">
        <f>COUNTIF(Vertices[Out-Degree],"&gt;= "&amp;H4)-COUNTIF(Vertices[Out-Degree],"&gt;="&amp;H5)</f>
        <v>6</v>
      </c>
      <c r="J4" s="38">
        <f t="shared" si="4"/>
        <v>151.52489482352942</v>
      </c>
      <c r="K4" s="39">
        <f>COUNTIF(Vertices[Betweenness Centrality],"&gt;= "&amp;J4)-COUNTIF(Vertices[Betweenness Centrality],"&gt;="&amp;J5)</f>
        <v>2</v>
      </c>
      <c r="L4" s="38">
        <f t="shared" si="5"/>
        <v>0.0024305882352941175</v>
      </c>
      <c r="M4" s="39">
        <f>COUNTIF(Vertices[Closeness Centrality],"&gt;= "&amp;L4)-COUNTIF(Vertices[Closeness Centrality],"&gt;="&amp;L5)</f>
        <v>0</v>
      </c>
      <c r="N4" s="38">
        <f t="shared" si="6"/>
        <v>0.001862470588235294</v>
      </c>
      <c r="O4" s="39">
        <f>COUNTIF(Vertices[Eigenvector Centrality],"&gt;= "&amp;N4)-COUNTIF(Vertices[Eigenvector Centrality],"&gt;="&amp;N5)</f>
        <v>4</v>
      </c>
      <c r="P4" s="38">
        <f t="shared" si="7"/>
        <v>0.4176218823529412</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2.6470588235294117</v>
      </c>
      <c r="G5" s="41">
        <f>COUNTIF(Vertices[In-Degree],"&gt;= "&amp;F5)-COUNTIF(Vertices[In-Degree],"&gt;="&amp;F6)</f>
        <v>5</v>
      </c>
      <c r="H5" s="40">
        <f t="shared" si="3"/>
        <v>4.235294117647059</v>
      </c>
      <c r="I5" s="41">
        <f>COUNTIF(Vertices[Out-Degree],"&gt;= "&amp;H5)-COUNTIF(Vertices[Out-Degree],"&gt;="&amp;H6)</f>
        <v>5</v>
      </c>
      <c r="J5" s="40">
        <f t="shared" si="4"/>
        <v>227.28734223529415</v>
      </c>
      <c r="K5" s="41">
        <f>COUNTIF(Vertices[Betweenness Centrality],"&gt;= "&amp;J5)-COUNTIF(Vertices[Betweenness Centrality],"&gt;="&amp;J6)</f>
        <v>3</v>
      </c>
      <c r="L5" s="40">
        <f t="shared" si="5"/>
        <v>0.0025148823529411763</v>
      </c>
      <c r="M5" s="41">
        <f>COUNTIF(Vertices[Closeness Centrality],"&gt;= "&amp;L5)-COUNTIF(Vertices[Closeness Centrality],"&gt;="&amp;L6)</f>
        <v>0</v>
      </c>
      <c r="N5" s="40">
        <f t="shared" si="6"/>
        <v>0.002786705882352941</v>
      </c>
      <c r="O5" s="41">
        <f>COUNTIF(Vertices[Eigenvector Centrality],"&gt;= "&amp;N5)-COUNTIF(Vertices[Eigenvector Centrality],"&gt;="&amp;N6)</f>
        <v>1</v>
      </c>
      <c r="P5" s="40">
        <f t="shared" si="7"/>
        <v>0.5247833235294118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861</v>
      </c>
      <c r="D6" s="33">
        <f t="shared" si="1"/>
        <v>0</v>
      </c>
      <c r="E6" s="3">
        <f>COUNTIF(Vertices[Degree],"&gt;= "&amp;D6)-COUNTIF(Vertices[Degree],"&gt;="&amp;D7)</f>
        <v>0</v>
      </c>
      <c r="F6" s="38">
        <f t="shared" si="2"/>
        <v>3.5294117647058822</v>
      </c>
      <c r="G6" s="39">
        <f>COUNTIF(Vertices[In-Degree],"&gt;= "&amp;F6)-COUNTIF(Vertices[In-Degree],"&gt;="&amp;F7)</f>
        <v>4</v>
      </c>
      <c r="H6" s="38">
        <f t="shared" si="3"/>
        <v>5.647058823529412</v>
      </c>
      <c r="I6" s="39">
        <f>COUNTIF(Vertices[Out-Degree],"&gt;= "&amp;H6)-COUNTIF(Vertices[Out-Degree],"&gt;="&amp;H7)</f>
        <v>8</v>
      </c>
      <c r="J6" s="38">
        <f t="shared" si="4"/>
        <v>303.04978964705884</v>
      </c>
      <c r="K6" s="39">
        <f>COUNTIF(Vertices[Betweenness Centrality],"&gt;= "&amp;J6)-COUNTIF(Vertices[Betweenness Centrality],"&gt;="&amp;J7)</f>
        <v>3</v>
      </c>
      <c r="L6" s="38">
        <f t="shared" si="5"/>
        <v>0.002599176470588235</v>
      </c>
      <c r="M6" s="39">
        <f>COUNTIF(Vertices[Closeness Centrality],"&gt;= "&amp;L6)-COUNTIF(Vertices[Closeness Centrality],"&gt;="&amp;L7)</f>
        <v>1</v>
      </c>
      <c r="N6" s="38">
        <f t="shared" si="6"/>
        <v>0.0037109411764705883</v>
      </c>
      <c r="O6" s="39">
        <f>COUNTIF(Vertices[Eigenvector Centrality],"&gt;= "&amp;N6)-COUNTIF(Vertices[Eigenvector Centrality],"&gt;="&amp;N7)</f>
        <v>2</v>
      </c>
      <c r="P6" s="38">
        <f t="shared" si="7"/>
        <v>0.6319447647058825</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119</v>
      </c>
      <c r="D7" s="33">
        <f t="shared" si="1"/>
        <v>0</v>
      </c>
      <c r="E7" s="3">
        <f>COUNTIF(Vertices[Degree],"&gt;= "&amp;D7)-COUNTIF(Vertices[Degree],"&gt;="&amp;D8)</f>
        <v>0</v>
      </c>
      <c r="F7" s="40">
        <f t="shared" si="2"/>
        <v>4.411764705882353</v>
      </c>
      <c r="G7" s="41">
        <f>COUNTIF(Vertices[In-Degree],"&gt;= "&amp;F7)-COUNTIF(Vertices[In-Degree],"&gt;="&amp;F8)</f>
        <v>4</v>
      </c>
      <c r="H7" s="40">
        <f t="shared" si="3"/>
        <v>7.058823529411765</v>
      </c>
      <c r="I7" s="41">
        <f>COUNTIF(Vertices[Out-Degree],"&gt;= "&amp;H7)-COUNTIF(Vertices[Out-Degree],"&gt;="&amp;H8)</f>
        <v>2</v>
      </c>
      <c r="J7" s="40">
        <f t="shared" si="4"/>
        <v>378.81223705882354</v>
      </c>
      <c r="K7" s="41">
        <f>COUNTIF(Vertices[Betweenness Centrality],"&gt;= "&amp;J7)-COUNTIF(Vertices[Betweenness Centrality],"&gt;="&amp;J8)</f>
        <v>1</v>
      </c>
      <c r="L7" s="40">
        <f t="shared" si="5"/>
        <v>0.0026834705882352937</v>
      </c>
      <c r="M7" s="41">
        <f>COUNTIF(Vertices[Closeness Centrality],"&gt;= "&amp;L7)-COUNTIF(Vertices[Closeness Centrality],"&gt;="&amp;L8)</f>
        <v>14</v>
      </c>
      <c r="N7" s="40">
        <f t="shared" si="6"/>
        <v>0.0046351764705882354</v>
      </c>
      <c r="O7" s="41">
        <f>COUNTIF(Vertices[Eigenvector Centrality],"&gt;= "&amp;N7)-COUNTIF(Vertices[Eigenvector Centrality],"&gt;="&amp;N8)</f>
        <v>1</v>
      </c>
      <c r="P7" s="40">
        <f t="shared" si="7"/>
        <v>0.7391062058823531</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980</v>
      </c>
      <c r="D8" s="33">
        <f t="shared" si="1"/>
        <v>0</v>
      </c>
      <c r="E8" s="3">
        <f>COUNTIF(Vertices[Degree],"&gt;= "&amp;D8)-COUNTIF(Vertices[Degree],"&gt;="&amp;D9)</f>
        <v>0</v>
      </c>
      <c r="F8" s="38">
        <f t="shared" si="2"/>
        <v>5.294117647058824</v>
      </c>
      <c r="G8" s="39">
        <f>COUNTIF(Vertices[In-Degree],"&gt;= "&amp;F8)-COUNTIF(Vertices[In-Degree],"&gt;="&amp;F9)</f>
        <v>2</v>
      </c>
      <c r="H8" s="38">
        <f t="shared" si="3"/>
        <v>8.470588235294118</v>
      </c>
      <c r="I8" s="39">
        <f>COUNTIF(Vertices[Out-Degree],"&gt;= "&amp;H8)-COUNTIF(Vertices[Out-Degree],"&gt;="&amp;H9)</f>
        <v>5</v>
      </c>
      <c r="J8" s="38">
        <f t="shared" si="4"/>
        <v>454.57468447058824</v>
      </c>
      <c r="K8" s="39">
        <f>COUNTIF(Vertices[Betweenness Centrality],"&gt;= "&amp;J8)-COUNTIF(Vertices[Betweenness Centrality],"&gt;="&amp;J9)</f>
        <v>0</v>
      </c>
      <c r="L8" s="38">
        <f t="shared" si="5"/>
        <v>0.0027677647058823524</v>
      </c>
      <c r="M8" s="39">
        <f>COUNTIF(Vertices[Closeness Centrality],"&gt;= "&amp;L8)-COUNTIF(Vertices[Closeness Centrality],"&gt;="&amp;L9)</f>
        <v>0</v>
      </c>
      <c r="N8" s="38">
        <f t="shared" si="6"/>
        <v>0.005559411764705882</v>
      </c>
      <c r="O8" s="39">
        <f>COUNTIF(Vertices[Eigenvector Centrality],"&gt;= "&amp;N8)-COUNTIF(Vertices[Eigenvector Centrality],"&gt;="&amp;N9)</f>
        <v>0</v>
      </c>
      <c r="P8" s="38">
        <f t="shared" si="7"/>
        <v>0.8462676470588237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6.176470588235295</v>
      </c>
      <c r="G9" s="41">
        <f>COUNTIF(Vertices[In-Degree],"&gt;= "&amp;F9)-COUNTIF(Vertices[In-Degree],"&gt;="&amp;F10)</f>
        <v>2</v>
      </c>
      <c r="H9" s="40">
        <f t="shared" si="3"/>
        <v>9.882352941176471</v>
      </c>
      <c r="I9" s="41">
        <f>COUNTIF(Vertices[Out-Degree],"&gt;= "&amp;H9)-COUNTIF(Vertices[Out-Degree],"&gt;="&amp;H10)</f>
        <v>3</v>
      </c>
      <c r="J9" s="40">
        <f t="shared" si="4"/>
        <v>530.337131882353</v>
      </c>
      <c r="K9" s="41">
        <f>COUNTIF(Vertices[Betweenness Centrality],"&gt;= "&amp;J9)-COUNTIF(Vertices[Betweenness Centrality],"&gt;="&amp;J10)</f>
        <v>3</v>
      </c>
      <c r="L9" s="40">
        <f t="shared" si="5"/>
        <v>0.002852058823529411</v>
      </c>
      <c r="M9" s="41">
        <f>COUNTIF(Vertices[Closeness Centrality],"&gt;= "&amp;L9)-COUNTIF(Vertices[Closeness Centrality],"&gt;="&amp;L10)</f>
        <v>5</v>
      </c>
      <c r="N9" s="40">
        <f t="shared" si="6"/>
        <v>0.006483647058823529</v>
      </c>
      <c r="O9" s="41">
        <f>COUNTIF(Vertices[Eigenvector Centrality],"&gt;= "&amp;N9)-COUNTIF(Vertices[Eigenvector Centrality],"&gt;="&amp;N10)</f>
        <v>0</v>
      </c>
      <c r="P9" s="40">
        <f t="shared" si="7"/>
        <v>0.9534290882352944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7.058823529411766</v>
      </c>
      <c r="G10" s="39">
        <f>COUNTIF(Vertices[In-Degree],"&gt;= "&amp;F10)-COUNTIF(Vertices[In-Degree],"&gt;="&amp;F11)</f>
        <v>0</v>
      </c>
      <c r="H10" s="38">
        <f t="shared" si="3"/>
        <v>11.294117647058824</v>
      </c>
      <c r="I10" s="39">
        <f>COUNTIF(Vertices[Out-Degree],"&gt;= "&amp;H10)-COUNTIF(Vertices[Out-Degree],"&gt;="&amp;H11)</f>
        <v>1</v>
      </c>
      <c r="J10" s="38">
        <f t="shared" si="4"/>
        <v>606.0995792941177</v>
      </c>
      <c r="K10" s="39">
        <f>COUNTIF(Vertices[Betweenness Centrality],"&gt;= "&amp;J10)-COUNTIF(Vertices[Betweenness Centrality],"&gt;="&amp;J11)</f>
        <v>2</v>
      </c>
      <c r="L10" s="38">
        <f t="shared" si="5"/>
        <v>0.00293635294117647</v>
      </c>
      <c r="M10" s="39">
        <f>COUNTIF(Vertices[Closeness Centrality],"&gt;= "&amp;L10)-COUNTIF(Vertices[Closeness Centrality],"&gt;="&amp;L11)</f>
        <v>10</v>
      </c>
      <c r="N10" s="38">
        <f t="shared" si="6"/>
        <v>0.007407882352941176</v>
      </c>
      <c r="O10" s="39">
        <f>COUNTIF(Vertices[Eigenvector Centrality],"&gt;= "&amp;N10)-COUNTIF(Vertices[Eigenvector Centrality],"&gt;="&amp;N11)</f>
        <v>1</v>
      </c>
      <c r="P10" s="38">
        <f t="shared" si="7"/>
        <v>1.060590529411765</v>
      </c>
      <c r="Q10" s="39">
        <f>COUNTIF(Vertices[PageRank],"&gt;= "&amp;P10)-COUNTIF(Vertices[PageRank],"&gt;="&amp;P11)</f>
        <v>18</v>
      </c>
      <c r="R10" s="38">
        <f t="shared" si="8"/>
        <v>0.23529411764705885</v>
      </c>
      <c r="S10" s="44">
        <f>COUNTIF(Vertices[Clustering Coefficient],"&gt;= "&amp;R10)-COUNTIF(Vertices[Clustering Coefficient],"&gt;="&amp;R11)</f>
        <v>3</v>
      </c>
      <c r="T10" s="38" t="e">
        <f ca="1" t="shared" si="9"/>
        <v>#REF!</v>
      </c>
      <c r="U10" s="39" t="e">
        <f ca="1" t="shared" si="0"/>
        <v>#REF!</v>
      </c>
    </row>
    <row r="11" spans="1:21" ht="15">
      <c r="A11" s="119"/>
      <c r="B11" s="119"/>
      <c r="D11" s="33">
        <f t="shared" si="1"/>
        <v>0</v>
      </c>
      <c r="E11" s="3">
        <f>COUNTIF(Vertices[Degree],"&gt;= "&amp;D11)-COUNTIF(Vertices[Degree],"&gt;="&amp;D12)</f>
        <v>0</v>
      </c>
      <c r="F11" s="40">
        <f t="shared" si="2"/>
        <v>7.941176470588237</v>
      </c>
      <c r="G11" s="41">
        <f>COUNTIF(Vertices[In-Degree],"&gt;= "&amp;F11)-COUNTIF(Vertices[In-Degree],"&gt;="&amp;F12)</f>
        <v>4</v>
      </c>
      <c r="H11" s="40">
        <f t="shared" si="3"/>
        <v>12.705882352941178</v>
      </c>
      <c r="I11" s="41">
        <f>COUNTIF(Vertices[Out-Degree],"&gt;= "&amp;H11)-COUNTIF(Vertices[Out-Degree],"&gt;="&amp;H12)</f>
        <v>5</v>
      </c>
      <c r="J11" s="40">
        <f t="shared" si="4"/>
        <v>681.8620267058824</v>
      </c>
      <c r="K11" s="41">
        <f>COUNTIF(Vertices[Betweenness Centrality],"&gt;= "&amp;J11)-COUNTIF(Vertices[Betweenness Centrality],"&gt;="&amp;J12)</f>
        <v>2</v>
      </c>
      <c r="L11" s="40">
        <f t="shared" si="5"/>
        <v>0.0030206470588235285</v>
      </c>
      <c r="M11" s="41">
        <f>COUNTIF(Vertices[Closeness Centrality],"&gt;= "&amp;L11)-COUNTIF(Vertices[Closeness Centrality],"&gt;="&amp;L12)</f>
        <v>25</v>
      </c>
      <c r="N11" s="40">
        <f t="shared" si="6"/>
        <v>0.008332117647058823</v>
      </c>
      <c r="O11" s="41">
        <f>COUNTIF(Vertices[Eigenvector Centrality],"&gt;= "&amp;N11)-COUNTIF(Vertices[Eigenvector Centrality],"&gt;="&amp;N12)</f>
        <v>1</v>
      </c>
      <c r="P11" s="40">
        <f t="shared" si="7"/>
        <v>1.1677519705882355</v>
      </c>
      <c r="Q11" s="41">
        <f>COUNTIF(Vertices[PageRank],"&gt;= "&amp;P11)-COUNTIF(Vertices[PageRank],"&gt;="&amp;P12)</f>
        <v>5</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170</v>
      </c>
      <c r="B12" s="35">
        <v>0.07368421052631578</v>
      </c>
      <c r="D12" s="33">
        <f t="shared" si="1"/>
        <v>0</v>
      </c>
      <c r="E12" s="3">
        <f>COUNTIF(Vertices[Degree],"&gt;= "&amp;D12)-COUNTIF(Vertices[Degree],"&gt;="&amp;D13)</f>
        <v>0</v>
      </c>
      <c r="F12" s="38">
        <f t="shared" si="2"/>
        <v>8.823529411764708</v>
      </c>
      <c r="G12" s="39">
        <f>COUNTIF(Vertices[In-Degree],"&gt;= "&amp;F12)-COUNTIF(Vertices[In-Degree],"&gt;="&amp;F13)</f>
        <v>4</v>
      </c>
      <c r="H12" s="38">
        <f t="shared" si="3"/>
        <v>14.11764705882353</v>
      </c>
      <c r="I12" s="39">
        <f>COUNTIF(Vertices[Out-Degree],"&gt;= "&amp;H12)-COUNTIF(Vertices[Out-Degree],"&gt;="&amp;H13)</f>
        <v>3</v>
      </c>
      <c r="J12" s="38">
        <f t="shared" si="4"/>
        <v>757.6244741176471</v>
      </c>
      <c r="K12" s="39">
        <f>COUNTIF(Vertices[Betweenness Centrality],"&gt;= "&amp;J12)-COUNTIF(Vertices[Betweenness Centrality],"&gt;="&amp;J13)</f>
        <v>0</v>
      </c>
      <c r="L12" s="38">
        <f t="shared" si="5"/>
        <v>0.0031049411764705872</v>
      </c>
      <c r="M12" s="39">
        <f>COUNTIF(Vertices[Closeness Centrality],"&gt;= "&amp;L12)-COUNTIF(Vertices[Closeness Centrality],"&gt;="&amp;L13)</f>
        <v>5</v>
      </c>
      <c r="N12" s="38">
        <f t="shared" si="6"/>
        <v>0.00925635294117647</v>
      </c>
      <c r="O12" s="39">
        <f>COUNTIF(Vertices[Eigenvector Centrality],"&gt;= "&amp;N12)-COUNTIF(Vertices[Eigenvector Centrality],"&gt;="&amp;N13)</f>
        <v>1</v>
      </c>
      <c r="P12" s="38">
        <f t="shared" si="7"/>
        <v>1.274913411764706</v>
      </c>
      <c r="Q12" s="39">
        <f>COUNTIF(Vertices[PageRank],"&gt;= "&amp;P12)-COUNTIF(Vertices[PageRank],"&gt;="&amp;P13)</f>
        <v>6</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171</v>
      </c>
      <c r="B13" s="35">
        <v>0.13725490196078433</v>
      </c>
      <c r="D13" s="33">
        <f t="shared" si="1"/>
        <v>0</v>
      </c>
      <c r="E13" s="3">
        <f>COUNTIF(Vertices[Degree],"&gt;= "&amp;D13)-COUNTIF(Vertices[Degree],"&gt;="&amp;D14)</f>
        <v>0</v>
      </c>
      <c r="F13" s="40">
        <f t="shared" si="2"/>
        <v>9.70588235294118</v>
      </c>
      <c r="G13" s="41">
        <f>COUNTIF(Vertices[In-Degree],"&gt;= "&amp;F13)-COUNTIF(Vertices[In-Degree],"&gt;="&amp;F14)</f>
        <v>6</v>
      </c>
      <c r="H13" s="40">
        <f t="shared" si="3"/>
        <v>15.529411764705884</v>
      </c>
      <c r="I13" s="41">
        <f>COUNTIF(Vertices[Out-Degree],"&gt;= "&amp;H13)-COUNTIF(Vertices[Out-Degree],"&gt;="&amp;H14)</f>
        <v>1</v>
      </c>
      <c r="J13" s="40">
        <f t="shared" si="4"/>
        <v>833.3869215294118</v>
      </c>
      <c r="K13" s="41">
        <f>COUNTIF(Vertices[Betweenness Centrality],"&gt;= "&amp;J13)-COUNTIF(Vertices[Betweenness Centrality],"&gt;="&amp;J14)</f>
        <v>0</v>
      </c>
      <c r="L13" s="40">
        <f t="shared" si="5"/>
        <v>0.003189235294117646</v>
      </c>
      <c r="M13" s="41">
        <f>COUNTIF(Vertices[Closeness Centrality],"&gt;= "&amp;L13)-COUNTIF(Vertices[Closeness Centrality],"&gt;="&amp;L14)</f>
        <v>0</v>
      </c>
      <c r="N13" s="40">
        <f t="shared" si="6"/>
        <v>0.010180588235294118</v>
      </c>
      <c r="O13" s="41">
        <f>COUNTIF(Vertices[Eigenvector Centrality],"&gt;= "&amp;N13)-COUNTIF(Vertices[Eigenvector Centrality],"&gt;="&amp;N14)</f>
        <v>2</v>
      </c>
      <c r="P13" s="40">
        <f t="shared" si="7"/>
        <v>1.3820748529411766</v>
      </c>
      <c r="Q13" s="41">
        <f>COUNTIF(Vertices[PageRank],"&gt;= "&amp;P13)-COUNTIF(Vertices[PageRank],"&gt;="&amp;P14)</f>
        <v>3</v>
      </c>
      <c r="R13" s="40">
        <f t="shared" si="8"/>
        <v>0.3235294117647059</v>
      </c>
      <c r="S13" s="45">
        <f>COUNTIF(Vertices[Clustering Coefficient],"&gt;= "&amp;R13)-COUNTIF(Vertices[Clustering Coefficient],"&gt;="&amp;R14)</f>
        <v>2</v>
      </c>
      <c r="T13" s="40" t="e">
        <f ca="1" t="shared" si="9"/>
        <v>#REF!</v>
      </c>
      <c r="U13" s="41" t="e">
        <f ca="1" t="shared" si="0"/>
        <v>#REF!</v>
      </c>
    </row>
    <row r="14" spans="1:21" ht="15">
      <c r="A14" s="119"/>
      <c r="B14" s="119"/>
      <c r="D14" s="33">
        <f t="shared" si="1"/>
        <v>0</v>
      </c>
      <c r="E14" s="3">
        <f>COUNTIF(Vertices[Degree],"&gt;= "&amp;D14)-COUNTIF(Vertices[Degree],"&gt;="&amp;D15)</f>
        <v>0</v>
      </c>
      <c r="F14" s="38">
        <f t="shared" si="2"/>
        <v>10.58823529411765</v>
      </c>
      <c r="G14" s="39">
        <f>COUNTIF(Vertices[In-Degree],"&gt;= "&amp;F14)-COUNTIF(Vertices[In-Degree],"&gt;="&amp;F15)</f>
        <v>2</v>
      </c>
      <c r="H14" s="38">
        <f t="shared" si="3"/>
        <v>16.941176470588236</v>
      </c>
      <c r="I14" s="39">
        <f>COUNTIF(Vertices[Out-Degree],"&gt;= "&amp;H14)-COUNTIF(Vertices[Out-Degree],"&gt;="&amp;H15)</f>
        <v>3</v>
      </c>
      <c r="J14" s="38">
        <f t="shared" si="4"/>
        <v>909.1493689411765</v>
      </c>
      <c r="K14" s="39">
        <f>COUNTIF(Vertices[Betweenness Centrality],"&gt;= "&amp;J14)-COUNTIF(Vertices[Betweenness Centrality],"&gt;="&amp;J15)</f>
        <v>1</v>
      </c>
      <c r="L14" s="38">
        <f t="shared" si="5"/>
        <v>0.0032735294117647046</v>
      </c>
      <c r="M14" s="39">
        <f>COUNTIF(Vertices[Closeness Centrality],"&gt;= "&amp;L14)-COUNTIF(Vertices[Closeness Centrality],"&gt;="&amp;L15)</f>
        <v>3</v>
      </c>
      <c r="N14" s="38">
        <f t="shared" si="6"/>
        <v>0.011104823529411766</v>
      </c>
      <c r="O14" s="39">
        <f>COUNTIF(Vertices[Eigenvector Centrality],"&gt;= "&amp;N14)-COUNTIF(Vertices[Eigenvector Centrality],"&gt;="&amp;N15)</f>
        <v>1</v>
      </c>
      <c r="P14" s="38">
        <f t="shared" si="7"/>
        <v>1.4892362941176471</v>
      </c>
      <c r="Q14" s="39">
        <f>COUNTIF(Vertices[PageRank],"&gt;= "&amp;P14)-COUNTIF(Vertices[PageRank],"&gt;="&amp;P15)</f>
        <v>8</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11.470588235294121</v>
      </c>
      <c r="G15" s="41">
        <f>COUNTIF(Vertices[In-Degree],"&gt;= "&amp;F15)-COUNTIF(Vertices[In-Degree],"&gt;="&amp;F16)</f>
        <v>4</v>
      </c>
      <c r="H15" s="40">
        <f t="shared" si="3"/>
        <v>18.352941176470587</v>
      </c>
      <c r="I15" s="41">
        <f>COUNTIF(Vertices[Out-Degree],"&gt;= "&amp;H15)-COUNTIF(Vertices[Out-Degree],"&gt;="&amp;H16)</f>
        <v>3</v>
      </c>
      <c r="J15" s="40">
        <f t="shared" si="4"/>
        <v>984.9118163529412</v>
      </c>
      <c r="K15" s="41">
        <f>COUNTIF(Vertices[Betweenness Centrality],"&gt;= "&amp;J15)-COUNTIF(Vertices[Betweenness Centrality],"&gt;="&amp;J16)</f>
        <v>0</v>
      </c>
      <c r="L15" s="40">
        <f t="shared" si="5"/>
        <v>0.0033578235294117634</v>
      </c>
      <c r="M15" s="41">
        <f>COUNTIF(Vertices[Closeness Centrality],"&gt;= "&amp;L15)-COUNTIF(Vertices[Closeness Centrality],"&gt;="&amp;L16)</f>
        <v>1</v>
      </c>
      <c r="N15" s="40">
        <f t="shared" si="6"/>
        <v>0.012029058823529414</v>
      </c>
      <c r="O15" s="41">
        <f>COUNTIF(Vertices[Eigenvector Centrality],"&gt;= "&amp;N15)-COUNTIF(Vertices[Eigenvector Centrality],"&gt;="&amp;N16)</f>
        <v>1</v>
      </c>
      <c r="P15" s="40">
        <f t="shared" si="7"/>
        <v>1.5963977352941177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12.352941176470592</v>
      </c>
      <c r="G16" s="39">
        <f>COUNTIF(Vertices[In-Degree],"&gt;= "&amp;F16)-COUNTIF(Vertices[In-Degree],"&gt;="&amp;F17)</f>
        <v>2</v>
      </c>
      <c r="H16" s="38">
        <f t="shared" si="3"/>
        <v>19.76470588235294</v>
      </c>
      <c r="I16" s="39">
        <f>COUNTIF(Vertices[Out-Degree],"&gt;= "&amp;H16)-COUNTIF(Vertices[Out-Degree],"&gt;="&amp;H17)</f>
        <v>5</v>
      </c>
      <c r="J16" s="38">
        <f t="shared" si="4"/>
        <v>1060.674263764706</v>
      </c>
      <c r="K16" s="39">
        <f>COUNTIF(Vertices[Betweenness Centrality],"&gt;= "&amp;J16)-COUNTIF(Vertices[Betweenness Centrality],"&gt;="&amp;J17)</f>
        <v>2</v>
      </c>
      <c r="L16" s="38">
        <f t="shared" si="5"/>
        <v>0.003442117647058822</v>
      </c>
      <c r="M16" s="39">
        <f>COUNTIF(Vertices[Closeness Centrality],"&gt;= "&amp;L16)-COUNTIF(Vertices[Closeness Centrality],"&gt;="&amp;L17)</f>
        <v>2</v>
      </c>
      <c r="N16" s="38">
        <f t="shared" si="6"/>
        <v>0.012953294117647061</v>
      </c>
      <c r="O16" s="39">
        <f>COUNTIF(Vertices[Eigenvector Centrality],"&gt;= "&amp;N16)-COUNTIF(Vertices[Eigenvector Centrality],"&gt;="&amp;N17)</f>
        <v>1</v>
      </c>
      <c r="P16" s="38">
        <f t="shared" si="7"/>
        <v>1.7035591764705882</v>
      </c>
      <c r="Q16" s="39">
        <f>COUNTIF(Vertices[PageRank],"&gt;= "&amp;P16)-COUNTIF(Vertices[PageRank],"&gt;="&amp;P17)</f>
        <v>4</v>
      </c>
      <c r="R16" s="38">
        <f t="shared" si="8"/>
        <v>0.411764705882353</v>
      </c>
      <c r="S16" s="44">
        <f>COUNTIF(Vertices[Clustering Coefficient],"&gt;= "&amp;R16)-COUNTIF(Vertices[Clustering Coefficient],"&gt;="&amp;R17)</f>
        <v>6</v>
      </c>
      <c r="T16" s="38" t="e">
        <f ca="1" t="shared" si="9"/>
        <v>#REF!</v>
      </c>
      <c r="U16" s="39" t="e">
        <f ca="1" t="shared" si="0"/>
        <v>#REF!</v>
      </c>
    </row>
    <row r="17" spans="1:21" ht="15">
      <c r="A17" s="35" t="s">
        <v>154</v>
      </c>
      <c r="B17" s="35">
        <v>114</v>
      </c>
      <c r="D17" s="33">
        <f t="shared" si="1"/>
        <v>0</v>
      </c>
      <c r="E17" s="3">
        <f>COUNTIF(Vertices[Degree],"&gt;= "&amp;D17)-COUNTIF(Vertices[Degree],"&gt;="&amp;D18)</f>
        <v>0</v>
      </c>
      <c r="F17" s="40">
        <f t="shared" si="2"/>
        <v>13.235294117647063</v>
      </c>
      <c r="G17" s="41">
        <f>COUNTIF(Vertices[In-Degree],"&gt;= "&amp;F17)-COUNTIF(Vertices[In-Degree],"&gt;="&amp;F18)</f>
        <v>3</v>
      </c>
      <c r="H17" s="40">
        <f t="shared" si="3"/>
        <v>21.17647058823529</v>
      </c>
      <c r="I17" s="41">
        <f>COUNTIF(Vertices[Out-Degree],"&gt;= "&amp;H17)-COUNTIF(Vertices[Out-Degree],"&gt;="&amp;H18)</f>
        <v>1</v>
      </c>
      <c r="J17" s="40">
        <f t="shared" si="4"/>
        <v>1136.4367111764707</v>
      </c>
      <c r="K17" s="41">
        <f>COUNTIF(Vertices[Betweenness Centrality],"&gt;= "&amp;J17)-COUNTIF(Vertices[Betweenness Centrality],"&gt;="&amp;J18)</f>
        <v>1</v>
      </c>
      <c r="L17" s="40">
        <f t="shared" si="5"/>
        <v>0.0035264117647058808</v>
      </c>
      <c r="M17" s="41">
        <f>COUNTIF(Vertices[Closeness Centrality],"&gt;= "&amp;L17)-COUNTIF(Vertices[Closeness Centrality],"&gt;="&amp;L18)</f>
        <v>2</v>
      </c>
      <c r="N17" s="40">
        <f t="shared" si="6"/>
        <v>0.013877529411764709</v>
      </c>
      <c r="O17" s="41">
        <f>COUNTIF(Vertices[Eigenvector Centrality],"&gt;= "&amp;N17)-COUNTIF(Vertices[Eigenvector Centrality],"&gt;="&amp;N18)</f>
        <v>0</v>
      </c>
      <c r="P17" s="40">
        <f t="shared" si="7"/>
        <v>1.8107206176470587</v>
      </c>
      <c r="Q17" s="41">
        <f>COUNTIF(Vertices[PageRank],"&gt;= "&amp;P17)-COUNTIF(Vertices[PageRank],"&gt;="&amp;P18)</f>
        <v>1</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155</v>
      </c>
      <c r="B18" s="35">
        <v>980</v>
      </c>
      <c r="D18" s="33">
        <f t="shared" si="1"/>
        <v>0</v>
      </c>
      <c r="E18" s="3">
        <f>COUNTIF(Vertices[Degree],"&gt;= "&amp;D18)-COUNTIF(Vertices[Degree],"&gt;="&amp;D19)</f>
        <v>0</v>
      </c>
      <c r="F18" s="38">
        <f t="shared" si="2"/>
        <v>14.117647058823534</v>
      </c>
      <c r="G18" s="39">
        <f>COUNTIF(Vertices[In-Degree],"&gt;= "&amp;F18)-COUNTIF(Vertices[In-Degree],"&gt;="&amp;F19)</f>
        <v>0</v>
      </c>
      <c r="H18" s="38">
        <f t="shared" si="3"/>
        <v>22.58823529411764</v>
      </c>
      <c r="I18" s="39">
        <f>COUNTIF(Vertices[Out-Degree],"&gt;= "&amp;H18)-COUNTIF(Vertices[Out-Degree],"&gt;="&amp;H19)</f>
        <v>0</v>
      </c>
      <c r="J18" s="38">
        <f t="shared" si="4"/>
        <v>1212.1991585882354</v>
      </c>
      <c r="K18" s="39">
        <f>COUNTIF(Vertices[Betweenness Centrality],"&gt;= "&amp;J18)-COUNTIF(Vertices[Betweenness Centrality],"&gt;="&amp;J19)</f>
        <v>1</v>
      </c>
      <c r="L18" s="38">
        <f t="shared" si="5"/>
        <v>0.0036107058823529395</v>
      </c>
      <c r="M18" s="39">
        <f>COUNTIF(Vertices[Closeness Centrality],"&gt;= "&amp;L18)-COUNTIF(Vertices[Closeness Centrality],"&gt;="&amp;L19)</f>
        <v>0</v>
      </c>
      <c r="N18" s="38">
        <f t="shared" si="6"/>
        <v>0.014801764705882356</v>
      </c>
      <c r="O18" s="39">
        <f>COUNTIF(Vertices[Eigenvector Centrality],"&gt;= "&amp;N18)-COUNTIF(Vertices[Eigenvector Centrality],"&gt;="&amp;N19)</f>
        <v>3</v>
      </c>
      <c r="P18" s="38">
        <f t="shared" si="7"/>
        <v>1.9178820588235292</v>
      </c>
      <c r="Q18" s="39">
        <f>COUNTIF(Vertices[PageRank],"&gt;= "&amp;P18)-COUNTIF(Vertices[PageRank],"&gt;="&amp;P19)</f>
        <v>2</v>
      </c>
      <c r="R18" s="38">
        <f t="shared" si="8"/>
        <v>0.4705882352941177</v>
      </c>
      <c r="S18" s="44">
        <f>COUNTIF(Vertices[Clustering Coefficient],"&gt;= "&amp;R18)-COUNTIF(Vertices[Clustering Coefficient],"&gt;="&amp;R19)</f>
        <v>17</v>
      </c>
      <c r="T18" s="38" t="e">
        <f ca="1" t="shared" si="9"/>
        <v>#REF!</v>
      </c>
      <c r="U18" s="39" t="e">
        <f ca="1" t="shared" si="0"/>
        <v>#REF!</v>
      </c>
    </row>
    <row r="19" spans="1:21" ht="15">
      <c r="A19" s="119"/>
      <c r="B19" s="119"/>
      <c r="D19" s="33">
        <f t="shared" si="1"/>
        <v>0</v>
      </c>
      <c r="E19" s="3">
        <f>COUNTIF(Vertices[Degree],"&gt;= "&amp;D19)-COUNTIF(Vertices[Degree],"&gt;="&amp;D20)</f>
        <v>0</v>
      </c>
      <c r="F19" s="40">
        <f t="shared" si="2"/>
        <v>15.000000000000005</v>
      </c>
      <c r="G19" s="41">
        <f>COUNTIF(Vertices[In-Degree],"&gt;= "&amp;F19)-COUNTIF(Vertices[In-Degree],"&gt;="&amp;F20)</f>
        <v>1</v>
      </c>
      <c r="H19" s="40">
        <f t="shared" si="3"/>
        <v>23.999999999999993</v>
      </c>
      <c r="I19" s="41">
        <f>COUNTIF(Vertices[Out-Degree],"&gt;= "&amp;H19)-COUNTIF(Vertices[Out-Degree],"&gt;="&amp;H20)</f>
        <v>1</v>
      </c>
      <c r="J19" s="40">
        <f t="shared" si="4"/>
        <v>1287.961606</v>
      </c>
      <c r="K19" s="41">
        <f>COUNTIF(Vertices[Betweenness Centrality],"&gt;= "&amp;J19)-COUNTIF(Vertices[Betweenness Centrality],"&gt;="&amp;J20)</f>
        <v>0</v>
      </c>
      <c r="L19" s="40">
        <f t="shared" si="5"/>
        <v>0.003694999999999998</v>
      </c>
      <c r="M19" s="41">
        <f>COUNTIF(Vertices[Closeness Centrality],"&gt;= "&amp;L19)-COUNTIF(Vertices[Closeness Centrality],"&gt;="&amp;L20)</f>
        <v>1</v>
      </c>
      <c r="N19" s="40">
        <f t="shared" si="6"/>
        <v>0.015726000000000004</v>
      </c>
      <c r="O19" s="41">
        <f>COUNTIF(Vertices[Eigenvector Centrality],"&gt;= "&amp;N19)-COUNTIF(Vertices[Eigenvector Centrality],"&gt;="&amp;N20)</f>
        <v>4</v>
      </c>
      <c r="P19" s="40">
        <f t="shared" si="7"/>
        <v>2.0250434999999998</v>
      </c>
      <c r="Q19" s="41">
        <f>COUNTIF(Vertices[PageRank],"&gt;= "&amp;P19)-COUNTIF(Vertices[PageRank],"&gt;="&amp;P20)</f>
        <v>2</v>
      </c>
      <c r="R19" s="40">
        <f t="shared" si="8"/>
        <v>0.5</v>
      </c>
      <c r="S19" s="45">
        <f>COUNTIF(Vertices[Clustering Coefficient],"&gt;= "&amp;R19)-COUNTIF(Vertices[Clustering Coefficient],"&gt;="&amp;R20)</f>
        <v>20</v>
      </c>
      <c r="T19" s="40" t="e">
        <f ca="1" t="shared" si="9"/>
        <v>#REF!</v>
      </c>
      <c r="U19" s="41" t="e">
        <f ca="1" t="shared" si="0"/>
        <v>#REF!</v>
      </c>
    </row>
    <row r="20" spans="1:21" ht="15">
      <c r="A20" s="35" t="s">
        <v>156</v>
      </c>
      <c r="B20" s="35">
        <v>5</v>
      </c>
      <c r="D20" s="33">
        <f t="shared" si="1"/>
        <v>0</v>
      </c>
      <c r="E20" s="3">
        <f>COUNTIF(Vertices[Degree],"&gt;= "&amp;D20)-COUNTIF(Vertices[Degree],"&gt;="&amp;D21)</f>
        <v>0</v>
      </c>
      <c r="F20" s="38">
        <f t="shared" si="2"/>
        <v>15.882352941176476</v>
      </c>
      <c r="G20" s="39">
        <f>COUNTIF(Vertices[In-Degree],"&gt;= "&amp;F20)-COUNTIF(Vertices[In-Degree],"&gt;="&amp;F21)</f>
        <v>1</v>
      </c>
      <c r="H20" s="38">
        <f t="shared" si="3"/>
        <v>25.411764705882344</v>
      </c>
      <c r="I20" s="39">
        <f>COUNTIF(Vertices[Out-Degree],"&gt;= "&amp;H20)-COUNTIF(Vertices[Out-Degree],"&gt;="&amp;H21)</f>
        <v>0</v>
      </c>
      <c r="J20" s="38">
        <f t="shared" si="4"/>
        <v>1363.7240534117648</v>
      </c>
      <c r="K20" s="39">
        <f>COUNTIF(Vertices[Betweenness Centrality],"&gt;= "&amp;J20)-COUNTIF(Vertices[Betweenness Centrality],"&gt;="&amp;J21)</f>
        <v>0</v>
      </c>
      <c r="L20" s="38">
        <f t="shared" si="5"/>
        <v>0.003779294117647057</v>
      </c>
      <c r="M20" s="39">
        <f>COUNTIF(Vertices[Closeness Centrality],"&gt;= "&amp;L20)-COUNTIF(Vertices[Closeness Centrality],"&gt;="&amp;L21)</f>
        <v>1</v>
      </c>
      <c r="N20" s="38">
        <f t="shared" si="6"/>
        <v>0.01665023529411765</v>
      </c>
      <c r="O20" s="39">
        <f>COUNTIF(Vertices[Eigenvector Centrality],"&gt;= "&amp;N20)-COUNTIF(Vertices[Eigenvector Centrality],"&gt;="&amp;N21)</f>
        <v>1</v>
      </c>
      <c r="P20" s="38">
        <f t="shared" si="7"/>
        <v>2.1322049411764703</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157</v>
      </c>
      <c r="B21" s="35">
        <v>2.596183</v>
      </c>
      <c r="D21" s="33">
        <f t="shared" si="1"/>
        <v>0</v>
      </c>
      <c r="E21" s="3">
        <f>COUNTIF(Vertices[Degree],"&gt;= "&amp;D21)-COUNTIF(Vertices[Degree],"&gt;="&amp;D22)</f>
        <v>0</v>
      </c>
      <c r="F21" s="40">
        <f t="shared" si="2"/>
        <v>16.764705882352946</v>
      </c>
      <c r="G21" s="41">
        <f>COUNTIF(Vertices[In-Degree],"&gt;= "&amp;F21)-COUNTIF(Vertices[In-Degree],"&gt;="&amp;F22)</f>
        <v>3</v>
      </c>
      <c r="H21" s="40">
        <f t="shared" si="3"/>
        <v>26.823529411764696</v>
      </c>
      <c r="I21" s="41">
        <f>COUNTIF(Vertices[Out-Degree],"&gt;= "&amp;H21)-COUNTIF(Vertices[Out-Degree],"&gt;="&amp;H22)</f>
        <v>2</v>
      </c>
      <c r="J21" s="40">
        <f t="shared" si="4"/>
        <v>1439.4865008235295</v>
      </c>
      <c r="K21" s="41">
        <f>COUNTIF(Vertices[Betweenness Centrality],"&gt;= "&amp;J21)-COUNTIF(Vertices[Betweenness Centrality],"&gt;="&amp;J22)</f>
        <v>0</v>
      </c>
      <c r="L21" s="40">
        <f t="shared" si="5"/>
        <v>0.0038635882352941156</v>
      </c>
      <c r="M21" s="41">
        <f>COUNTIF(Vertices[Closeness Centrality],"&gt;= "&amp;L21)-COUNTIF(Vertices[Closeness Centrality],"&gt;="&amp;L22)</f>
        <v>4</v>
      </c>
      <c r="N21" s="40">
        <f t="shared" si="6"/>
        <v>0.017574470588235296</v>
      </c>
      <c r="O21" s="41">
        <f>COUNTIF(Vertices[Eigenvector Centrality],"&gt;= "&amp;N21)-COUNTIF(Vertices[Eigenvector Centrality],"&gt;="&amp;N22)</f>
        <v>0</v>
      </c>
      <c r="P21" s="40">
        <f t="shared" si="7"/>
        <v>2.239366382352941</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9"/>
      <c r="B22" s="119"/>
      <c r="D22" s="33">
        <f t="shared" si="1"/>
        <v>0</v>
      </c>
      <c r="E22" s="3">
        <f>COUNTIF(Vertices[Degree],"&gt;= "&amp;D22)-COUNTIF(Vertices[Degree],"&gt;="&amp;D23)</f>
        <v>0</v>
      </c>
      <c r="F22" s="38">
        <f t="shared" si="2"/>
        <v>17.647058823529417</v>
      </c>
      <c r="G22" s="39">
        <f>COUNTIF(Vertices[In-Degree],"&gt;= "&amp;F22)-COUNTIF(Vertices[In-Degree],"&gt;="&amp;F23)</f>
        <v>4</v>
      </c>
      <c r="H22" s="38">
        <f t="shared" si="3"/>
        <v>28.235294117647047</v>
      </c>
      <c r="I22" s="39">
        <f>COUNTIF(Vertices[Out-Degree],"&gt;= "&amp;H22)-COUNTIF(Vertices[Out-Degree],"&gt;="&amp;H23)</f>
        <v>1</v>
      </c>
      <c r="J22" s="38">
        <f t="shared" si="4"/>
        <v>1515.2489482352942</v>
      </c>
      <c r="K22" s="39">
        <f>COUNTIF(Vertices[Betweenness Centrality],"&gt;= "&amp;J22)-COUNTIF(Vertices[Betweenness Centrality],"&gt;="&amp;J23)</f>
        <v>0</v>
      </c>
      <c r="L22" s="38">
        <f t="shared" si="5"/>
        <v>0.003947882352941174</v>
      </c>
      <c r="M22" s="39">
        <f>COUNTIF(Vertices[Closeness Centrality],"&gt;= "&amp;L22)-COUNTIF(Vertices[Closeness Centrality],"&gt;="&amp;L23)</f>
        <v>6</v>
      </c>
      <c r="N22" s="38">
        <f t="shared" si="6"/>
        <v>0.01849870588235294</v>
      </c>
      <c r="O22" s="39">
        <f>COUNTIF(Vertices[Eigenvector Centrality],"&gt;= "&amp;N22)-COUNTIF(Vertices[Eigenvector Centrality],"&gt;="&amp;N23)</f>
        <v>1</v>
      </c>
      <c r="P22" s="38">
        <f t="shared" si="7"/>
        <v>2.3465278235294114</v>
      </c>
      <c r="Q22" s="39">
        <f>COUNTIF(Vertices[PageRank],"&gt;= "&amp;P22)-COUNTIF(Vertices[PageRank],"&gt;="&amp;P23)</f>
        <v>1</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158</v>
      </c>
      <c r="B23" s="35">
        <v>0.0712622263623661</v>
      </c>
      <c r="D23" s="33">
        <f t="shared" si="1"/>
        <v>0</v>
      </c>
      <c r="E23" s="3">
        <f>COUNTIF(Vertices[Degree],"&gt;= "&amp;D23)-COUNTIF(Vertices[Degree],"&gt;="&amp;D24)</f>
        <v>0</v>
      </c>
      <c r="F23" s="40">
        <f t="shared" si="2"/>
        <v>18.529411764705888</v>
      </c>
      <c r="G23" s="41">
        <f>COUNTIF(Vertices[In-Degree],"&gt;= "&amp;F23)-COUNTIF(Vertices[In-Degree],"&gt;="&amp;F24)</f>
        <v>3</v>
      </c>
      <c r="H23" s="40">
        <f t="shared" si="3"/>
        <v>29.6470588235294</v>
      </c>
      <c r="I23" s="41">
        <f>COUNTIF(Vertices[Out-Degree],"&gt;= "&amp;H23)-COUNTIF(Vertices[Out-Degree],"&gt;="&amp;H24)</f>
        <v>1</v>
      </c>
      <c r="J23" s="40">
        <f t="shared" si="4"/>
        <v>1591.0113956470589</v>
      </c>
      <c r="K23" s="41">
        <f>COUNTIF(Vertices[Betweenness Centrality],"&gt;= "&amp;J23)-COUNTIF(Vertices[Betweenness Centrality],"&gt;="&amp;J24)</f>
        <v>0</v>
      </c>
      <c r="L23" s="40">
        <f t="shared" si="5"/>
        <v>0.0040321764705882335</v>
      </c>
      <c r="M23" s="41">
        <f>COUNTIF(Vertices[Closeness Centrality],"&gt;= "&amp;L23)-COUNTIF(Vertices[Closeness Centrality],"&gt;="&amp;L24)</f>
        <v>8</v>
      </c>
      <c r="N23" s="40">
        <f t="shared" si="6"/>
        <v>0.019422941176470587</v>
      </c>
      <c r="O23" s="41">
        <f>COUNTIF(Vertices[Eigenvector Centrality],"&gt;= "&amp;N23)-COUNTIF(Vertices[Eigenvector Centrality],"&gt;="&amp;N24)</f>
        <v>0</v>
      </c>
      <c r="P23" s="40">
        <f t="shared" si="7"/>
        <v>2.453689264705882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2018</v>
      </c>
      <c r="B24" s="35">
        <v>0.393185</v>
      </c>
      <c r="D24" s="33">
        <f t="shared" si="1"/>
        <v>0</v>
      </c>
      <c r="E24" s="3">
        <f>COUNTIF(Vertices[Degree],"&gt;= "&amp;D24)-COUNTIF(Vertices[Degree],"&gt;="&amp;D25)</f>
        <v>0</v>
      </c>
      <c r="F24" s="38">
        <f t="shared" si="2"/>
        <v>19.41176470588236</v>
      </c>
      <c r="G24" s="39">
        <f>COUNTIF(Vertices[In-Degree],"&gt;= "&amp;F24)-COUNTIF(Vertices[In-Degree],"&gt;="&amp;F25)</f>
        <v>2</v>
      </c>
      <c r="H24" s="38">
        <f t="shared" si="3"/>
        <v>31.05882352941175</v>
      </c>
      <c r="I24" s="39">
        <f>COUNTIF(Vertices[Out-Degree],"&gt;= "&amp;H24)-COUNTIF(Vertices[Out-Degree],"&gt;="&amp;H25)</f>
        <v>1</v>
      </c>
      <c r="J24" s="38">
        <f t="shared" si="4"/>
        <v>1666.7738430588236</v>
      </c>
      <c r="K24" s="39">
        <f>COUNTIF(Vertices[Betweenness Centrality],"&gt;= "&amp;J24)-COUNTIF(Vertices[Betweenness Centrality],"&gt;="&amp;J25)</f>
        <v>0</v>
      </c>
      <c r="L24" s="38">
        <f t="shared" si="5"/>
        <v>0.004116470588235293</v>
      </c>
      <c r="M24" s="39">
        <f>COUNTIF(Vertices[Closeness Centrality],"&gt;= "&amp;L24)-COUNTIF(Vertices[Closeness Centrality],"&gt;="&amp;L25)</f>
        <v>5</v>
      </c>
      <c r="N24" s="38">
        <f t="shared" si="6"/>
        <v>0.020347176470588233</v>
      </c>
      <c r="O24" s="39">
        <f>COUNTIF(Vertices[Eigenvector Centrality],"&gt;= "&amp;N24)-COUNTIF(Vertices[Eigenvector Centrality],"&gt;="&amp;N25)</f>
        <v>0</v>
      </c>
      <c r="P24" s="38">
        <f t="shared" si="7"/>
        <v>2.5608507058823524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9"/>
      <c r="B25" s="119"/>
      <c r="D25" s="33">
        <f t="shared" si="1"/>
        <v>0</v>
      </c>
      <c r="E25" s="3">
        <f>COUNTIF(Vertices[Degree],"&gt;= "&amp;D25)-COUNTIF(Vertices[Degree],"&gt;="&amp;D26)</f>
        <v>0</v>
      </c>
      <c r="F25" s="40">
        <f t="shared" si="2"/>
        <v>20.29411764705883</v>
      </c>
      <c r="G25" s="41">
        <f>COUNTIF(Vertices[In-Degree],"&gt;= "&amp;F25)-COUNTIF(Vertices[In-Degree],"&gt;="&amp;F26)</f>
        <v>1</v>
      </c>
      <c r="H25" s="40">
        <f t="shared" si="3"/>
        <v>32.4705882352941</v>
      </c>
      <c r="I25" s="41">
        <f>COUNTIF(Vertices[Out-Degree],"&gt;= "&amp;H25)-COUNTIF(Vertices[Out-Degree],"&gt;="&amp;H26)</f>
        <v>1</v>
      </c>
      <c r="J25" s="40">
        <f t="shared" si="4"/>
        <v>1742.5362904705883</v>
      </c>
      <c r="K25" s="41">
        <f>COUNTIF(Vertices[Betweenness Centrality],"&gt;= "&amp;J25)-COUNTIF(Vertices[Betweenness Centrality],"&gt;="&amp;J26)</f>
        <v>0</v>
      </c>
      <c r="L25" s="40">
        <f t="shared" si="5"/>
        <v>0.004200764705882352</v>
      </c>
      <c r="M25" s="41">
        <f>COUNTIF(Vertices[Closeness Centrality],"&gt;= "&amp;L25)-COUNTIF(Vertices[Closeness Centrality],"&gt;="&amp;L26)</f>
        <v>2</v>
      </c>
      <c r="N25" s="40">
        <f t="shared" si="6"/>
        <v>0.02127141176470588</v>
      </c>
      <c r="O25" s="41">
        <f>COUNTIF(Vertices[Eigenvector Centrality],"&gt;= "&amp;N25)-COUNTIF(Vertices[Eigenvector Centrality],"&gt;="&amp;N26)</f>
        <v>2</v>
      </c>
      <c r="P25" s="40">
        <f t="shared" si="7"/>
        <v>2.668012147058823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2019</v>
      </c>
      <c r="B26" s="35" t="s">
        <v>2034</v>
      </c>
      <c r="D26" s="33">
        <f t="shared" si="1"/>
        <v>0</v>
      </c>
      <c r="E26" s="3">
        <f>COUNTIF(Vertices[Degree],"&gt;= "&amp;D26)-COUNTIF(Vertices[Degree],"&gt;="&amp;D27)</f>
        <v>0</v>
      </c>
      <c r="F26" s="38">
        <f t="shared" si="2"/>
        <v>21.1764705882353</v>
      </c>
      <c r="G26" s="39">
        <f>COUNTIF(Vertices[In-Degree],"&gt;= "&amp;F26)-COUNTIF(Vertices[In-Degree],"&gt;="&amp;F27)</f>
        <v>1</v>
      </c>
      <c r="H26" s="38">
        <f t="shared" si="3"/>
        <v>33.88235294117646</v>
      </c>
      <c r="I26" s="39">
        <f>COUNTIF(Vertices[Out-Degree],"&gt;= "&amp;H26)-COUNTIF(Vertices[Out-Degree],"&gt;="&amp;H27)</f>
        <v>0</v>
      </c>
      <c r="J26" s="38">
        <f t="shared" si="4"/>
        <v>1818.298737882353</v>
      </c>
      <c r="K26" s="39">
        <f>COUNTIF(Vertices[Betweenness Centrality],"&gt;= "&amp;J26)-COUNTIF(Vertices[Betweenness Centrality],"&gt;="&amp;J27)</f>
        <v>0</v>
      </c>
      <c r="L26" s="38">
        <f t="shared" si="5"/>
        <v>0.004285058823529411</v>
      </c>
      <c r="M26" s="39">
        <f>COUNTIF(Vertices[Closeness Centrality],"&gt;= "&amp;L26)-COUNTIF(Vertices[Closeness Centrality],"&gt;="&amp;L27)</f>
        <v>3</v>
      </c>
      <c r="N26" s="38">
        <f t="shared" si="6"/>
        <v>0.022195647058823525</v>
      </c>
      <c r="O26" s="39">
        <f>COUNTIF(Vertices[Eigenvector Centrality],"&gt;= "&amp;N26)-COUNTIF(Vertices[Eigenvector Centrality],"&gt;="&amp;N27)</f>
        <v>2</v>
      </c>
      <c r="P26" s="38">
        <f t="shared" si="7"/>
        <v>2.7751735882352935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9"/>
      <c r="B27" s="119"/>
      <c r="D27" s="33">
        <f t="shared" si="1"/>
        <v>0</v>
      </c>
      <c r="E27" s="3">
        <f>COUNTIF(Vertices[Degree],"&gt;= "&amp;D27)-COUNTIF(Vertices[Degree],"&gt;="&amp;D28)</f>
        <v>0</v>
      </c>
      <c r="F27" s="40">
        <f t="shared" si="2"/>
        <v>22.05882352941177</v>
      </c>
      <c r="G27" s="41">
        <f>COUNTIF(Vertices[In-Degree],"&gt;= "&amp;F27)-COUNTIF(Vertices[In-Degree],"&gt;="&amp;F28)</f>
        <v>0</v>
      </c>
      <c r="H27" s="40">
        <f t="shared" si="3"/>
        <v>35.29411764705881</v>
      </c>
      <c r="I27" s="41">
        <f>COUNTIF(Vertices[Out-Degree],"&gt;= "&amp;H27)-COUNTIF(Vertices[Out-Degree],"&gt;="&amp;H28)</f>
        <v>0</v>
      </c>
      <c r="J27" s="40">
        <f t="shared" si="4"/>
        <v>1894.0611852941176</v>
      </c>
      <c r="K27" s="41">
        <f>COUNTIF(Vertices[Betweenness Centrality],"&gt;= "&amp;J27)-COUNTIF(Vertices[Betweenness Centrality],"&gt;="&amp;J28)</f>
        <v>0</v>
      </c>
      <c r="L27" s="40">
        <f t="shared" si="5"/>
        <v>0.00436935294117647</v>
      </c>
      <c r="M27" s="41">
        <f>COUNTIF(Vertices[Closeness Centrality],"&gt;= "&amp;L27)-COUNTIF(Vertices[Closeness Centrality],"&gt;="&amp;L28)</f>
        <v>2</v>
      </c>
      <c r="N27" s="40">
        <f t="shared" si="6"/>
        <v>0.02311988235294117</v>
      </c>
      <c r="O27" s="41">
        <f>COUNTIF(Vertices[Eigenvector Centrality],"&gt;= "&amp;N27)-COUNTIF(Vertices[Eigenvector Centrality],"&gt;="&amp;N28)</f>
        <v>4</v>
      </c>
      <c r="P27" s="40">
        <f t="shared" si="7"/>
        <v>2.882335029411764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2020</v>
      </c>
      <c r="B28" s="35" t="s">
        <v>2128</v>
      </c>
      <c r="D28" s="33">
        <f t="shared" si="1"/>
        <v>0</v>
      </c>
      <c r="E28" s="3">
        <f>COUNTIF(Vertices[Degree],"&gt;= "&amp;D28)-COUNTIF(Vertices[Degree],"&gt;="&amp;D29)</f>
        <v>0</v>
      </c>
      <c r="F28" s="38">
        <f t="shared" si="2"/>
        <v>22.941176470588243</v>
      </c>
      <c r="G28" s="39">
        <f>COUNTIF(Vertices[In-Degree],"&gt;= "&amp;F28)-COUNTIF(Vertices[In-Degree],"&gt;="&amp;F29)</f>
        <v>1</v>
      </c>
      <c r="H28" s="38">
        <f t="shared" si="3"/>
        <v>36.70588235294117</v>
      </c>
      <c r="I28" s="39">
        <f>COUNTIF(Vertices[Out-Degree],"&gt;= "&amp;H28)-COUNTIF(Vertices[Out-Degree],"&gt;="&amp;H29)</f>
        <v>0</v>
      </c>
      <c r="J28" s="38">
        <f t="shared" si="4"/>
        <v>1969.8236327058823</v>
      </c>
      <c r="K28" s="39">
        <f>COUNTIF(Vertices[Betweenness Centrality],"&gt;= "&amp;J28)-COUNTIF(Vertices[Betweenness Centrality],"&gt;="&amp;J29)</f>
        <v>0</v>
      </c>
      <c r="L28" s="38">
        <f t="shared" si="5"/>
        <v>0.004453647058823529</v>
      </c>
      <c r="M28" s="39">
        <f>COUNTIF(Vertices[Closeness Centrality],"&gt;= "&amp;L28)-COUNTIF(Vertices[Closeness Centrality],"&gt;="&amp;L29)</f>
        <v>3</v>
      </c>
      <c r="N28" s="38">
        <f t="shared" si="6"/>
        <v>0.024044117647058817</v>
      </c>
      <c r="O28" s="39">
        <f>COUNTIF(Vertices[Eigenvector Centrality],"&gt;= "&amp;N28)-COUNTIF(Vertices[Eigenvector Centrality],"&gt;="&amp;N29)</f>
        <v>7</v>
      </c>
      <c r="P28" s="38">
        <f t="shared" si="7"/>
        <v>2.9894964705882345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2021</v>
      </c>
      <c r="B29" s="35" t="s">
        <v>2129</v>
      </c>
      <c r="D29" s="33">
        <f t="shared" si="1"/>
        <v>0</v>
      </c>
      <c r="E29" s="3">
        <f>COUNTIF(Vertices[Degree],"&gt;= "&amp;D29)-COUNTIF(Vertices[Degree],"&gt;="&amp;D30)</f>
        <v>0</v>
      </c>
      <c r="F29" s="40">
        <f t="shared" si="2"/>
        <v>23.823529411764714</v>
      </c>
      <c r="G29" s="41">
        <f>COUNTIF(Vertices[In-Degree],"&gt;= "&amp;F29)-COUNTIF(Vertices[In-Degree],"&gt;="&amp;F30)</f>
        <v>2</v>
      </c>
      <c r="H29" s="40">
        <f t="shared" si="3"/>
        <v>38.11764705882352</v>
      </c>
      <c r="I29" s="41">
        <f>COUNTIF(Vertices[Out-Degree],"&gt;= "&amp;H29)-COUNTIF(Vertices[Out-Degree],"&gt;="&amp;H30)</f>
        <v>2</v>
      </c>
      <c r="J29" s="40">
        <f t="shared" si="4"/>
        <v>2045.586080117647</v>
      </c>
      <c r="K29" s="41">
        <f>COUNTIF(Vertices[Betweenness Centrality],"&gt;= "&amp;J29)-COUNTIF(Vertices[Betweenness Centrality],"&gt;="&amp;J30)</f>
        <v>1</v>
      </c>
      <c r="L29" s="40">
        <f t="shared" si="5"/>
        <v>0.004537941176470588</v>
      </c>
      <c r="M29" s="41">
        <f>COUNTIF(Vertices[Closeness Centrality],"&gt;= "&amp;L29)-COUNTIF(Vertices[Closeness Centrality],"&gt;="&amp;L30)</f>
        <v>2</v>
      </c>
      <c r="N29" s="40">
        <f t="shared" si="6"/>
        <v>0.024968352941176462</v>
      </c>
      <c r="O29" s="41">
        <f>COUNTIF(Vertices[Eigenvector Centrality],"&gt;= "&amp;N29)-COUNTIF(Vertices[Eigenvector Centrality],"&gt;="&amp;N30)</f>
        <v>1</v>
      </c>
      <c r="P29" s="40">
        <f t="shared" si="7"/>
        <v>3.096657911764705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9"/>
      <c r="B30" s="119"/>
      <c r="D30" s="33">
        <f t="shared" si="1"/>
        <v>0</v>
      </c>
      <c r="E30" s="3">
        <f>COUNTIF(Vertices[Degree],"&gt;= "&amp;D30)-COUNTIF(Vertices[Degree],"&gt;="&amp;D31)</f>
        <v>0</v>
      </c>
      <c r="F30" s="38">
        <f t="shared" si="2"/>
        <v>24.705882352941185</v>
      </c>
      <c r="G30" s="39">
        <f>COUNTIF(Vertices[In-Degree],"&gt;= "&amp;F30)-COUNTIF(Vertices[In-Degree],"&gt;="&amp;F31)</f>
        <v>3</v>
      </c>
      <c r="H30" s="38">
        <f t="shared" si="3"/>
        <v>39.52941176470588</v>
      </c>
      <c r="I30" s="39">
        <f>COUNTIF(Vertices[Out-Degree],"&gt;= "&amp;H30)-COUNTIF(Vertices[Out-Degree],"&gt;="&amp;H31)</f>
        <v>0</v>
      </c>
      <c r="J30" s="38">
        <f t="shared" si="4"/>
        <v>2121.348527529412</v>
      </c>
      <c r="K30" s="39">
        <f>COUNTIF(Vertices[Betweenness Centrality],"&gt;= "&amp;J30)-COUNTIF(Vertices[Betweenness Centrality],"&gt;="&amp;J31)</f>
        <v>0</v>
      </c>
      <c r="L30" s="38">
        <f t="shared" si="5"/>
        <v>0.0046222352941176475</v>
      </c>
      <c r="M30" s="39">
        <f>COUNTIF(Vertices[Closeness Centrality],"&gt;= "&amp;L30)-COUNTIF(Vertices[Closeness Centrality],"&gt;="&amp;L31)</f>
        <v>3</v>
      </c>
      <c r="N30" s="38">
        <f t="shared" si="6"/>
        <v>0.025892588235294108</v>
      </c>
      <c r="O30" s="39">
        <f>COUNTIF(Vertices[Eigenvector Centrality],"&gt;= "&amp;N30)-COUNTIF(Vertices[Eigenvector Centrality],"&gt;="&amp;N31)</f>
        <v>0</v>
      </c>
      <c r="P30" s="38">
        <f t="shared" si="7"/>
        <v>3.2038193529411756</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2022</v>
      </c>
      <c r="B31" s="35" t="s">
        <v>2123</v>
      </c>
      <c r="D31" s="33">
        <f t="shared" si="1"/>
        <v>0</v>
      </c>
      <c r="E31" s="3">
        <f>COUNTIF(Vertices[Degree],"&gt;= "&amp;D31)-COUNTIF(Vertices[Degree],"&gt;="&amp;D32)</f>
        <v>0</v>
      </c>
      <c r="F31" s="40">
        <f t="shared" si="2"/>
        <v>25.588235294117656</v>
      </c>
      <c r="G31" s="41">
        <f>COUNTIF(Vertices[In-Degree],"&gt;= "&amp;F31)-COUNTIF(Vertices[In-Degree],"&gt;="&amp;F32)</f>
        <v>0</v>
      </c>
      <c r="H31" s="40">
        <f t="shared" si="3"/>
        <v>40.94117647058823</v>
      </c>
      <c r="I31" s="41">
        <f>COUNTIF(Vertices[Out-Degree],"&gt;= "&amp;H31)-COUNTIF(Vertices[Out-Degree],"&gt;="&amp;H32)</f>
        <v>0</v>
      </c>
      <c r="J31" s="40">
        <f t="shared" si="4"/>
        <v>2197.1109749411767</v>
      </c>
      <c r="K31" s="41">
        <f>COUNTIF(Vertices[Betweenness Centrality],"&gt;= "&amp;J31)-COUNTIF(Vertices[Betweenness Centrality],"&gt;="&amp;J32)</f>
        <v>0</v>
      </c>
      <c r="L31" s="40">
        <f t="shared" si="5"/>
        <v>0.004706529411764707</v>
      </c>
      <c r="M31" s="41">
        <f>COUNTIF(Vertices[Closeness Centrality],"&gt;= "&amp;L31)-COUNTIF(Vertices[Closeness Centrality],"&gt;="&amp;L32)</f>
        <v>3</v>
      </c>
      <c r="N31" s="40">
        <f t="shared" si="6"/>
        <v>0.026816823529411754</v>
      </c>
      <c r="O31" s="41">
        <f>COUNTIF(Vertices[Eigenvector Centrality],"&gt;= "&amp;N31)-COUNTIF(Vertices[Eigenvector Centrality],"&gt;="&amp;N32)</f>
        <v>2</v>
      </c>
      <c r="P31" s="40">
        <f t="shared" si="7"/>
        <v>3.310980794117646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2023</v>
      </c>
      <c r="B32" s="35" t="s">
        <v>2124</v>
      </c>
      <c r="D32" s="33">
        <f t="shared" si="1"/>
        <v>0</v>
      </c>
      <c r="E32" s="3">
        <f>COUNTIF(Vertices[Degree],"&gt;= "&amp;D32)-COUNTIF(Vertices[Degree],"&gt;="&amp;D33)</f>
        <v>0</v>
      </c>
      <c r="F32" s="38">
        <f t="shared" si="2"/>
        <v>26.470588235294127</v>
      </c>
      <c r="G32" s="39">
        <f>COUNTIF(Vertices[In-Degree],"&gt;= "&amp;F32)-COUNTIF(Vertices[In-Degree],"&gt;="&amp;F33)</f>
        <v>1</v>
      </c>
      <c r="H32" s="38">
        <f t="shared" si="3"/>
        <v>42.35294117647059</v>
      </c>
      <c r="I32" s="39">
        <f>COUNTIF(Vertices[Out-Degree],"&gt;= "&amp;H32)-COUNTIF(Vertices[Out-Degree],"&gt;="&amp;H33)</f>
        <v>0</v>
      </c>
      <c r="J32" s="38">
        <f t="shared" si="4"/>
        <v>2272.8734223529414</v>
      </c>
      <c r="K32" s="39">
        <f>COUNTIF(Vertices[Betweenness Centrality],"&gt;= "&amp;J32)-COUNTIF(Vertices[Betweenness Centrality],"&gt;="&amp;J33)</f>
        <v>0</v>
      </c>
      <c r="L32" s="38">
        <f t="shared" si="5"/>
        <v>0.004790823529411766</v>
      </c>
      <c r="M32" s="39">
        <f>COUNTIF(Vertices[Closeness Centrality],"&gt;= "&amp;L32)-COUNTIF(Vertices[Closeness Centrality],"&gt;="&amp;L33)</f>
        <v>0</v>
      </c>
      <c r="N32" s="38">
        <f t="shared" si="6"/>
        <v>0.0277410588235294</v>
      </c>
      <c r="O32" s="39">
        <f>COUNTIF(Vertices[Eigenvector Centrality],"&gt;= "&amp;N32)-COUNTIF(Vertices[Eigenvector Centrality],"&gt;="&amp;N33)</f>
        <v>1</v>
      </c>
      <c r="P32" s="38">
        <f t="shared" si="7"/>
        <v>3.4181422352941166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2024</v>
      </c>
      <c r="B33" s="54" t="s">
        <v>2125</v>
      </c>
      <c r="D33" s="33">
        <f t="shared" si="1"/>
        <v>0</v>
      </c>
      <c r="E33" s="3">
        <f>COUNTIF(Vertices[Degree],"&gt;= "&amp;D33)-COUNTIF(Vertices[Degree],"&gt;="&amp;D34)</f>
        <v>0</v>
      </c>
      <c r="F33" s="40">
        <f t="shared" si="2"/>
        <v>27.352941176470598</v>
      </c>
      <c r="G33" s="41">
        <f>COUNTIF(Vertices[In-Degree],"&gt;= "&amp;F33)-COUNTIF(Vertices[In-Degree],"&gt;="&amp;F34)</f>
        <v>0</v>
      </c>
      <c r="H33" s="40">
        <f t="shared" si="3"/>
        <v>43.76470588235294</v>
      </c>
      <c r="I33" s="41">
        <f>COUNTIF(Vertices[Out-Degree],"&gt;= "&amp;H33)-COUNTIF(Vertices[Out-Degree],"&gt;="&amp;H34)</f>
        <v>0</v>
      </c>
      <c r="J33" s="40">
        <f t="shared" si="4"/>
        <v>2348.635869764706</v>
      </c>
      <c r="K33" s="41">
        <f>COUNTIF(Vertices[Betweenness Centrality],"&gt;= "&amp;J33)-COUNTIF(Vertices[Betweenness Centrality],"&gt;="&amp;J34)</f>
        <v>0</v>
      </c>
      <c r="L33" s="40">
        <f t="shared" si="5"/>
        <v>0.004875117647058825</v>
      </c>
      <c r="M33" s="41">
        <f>COUNTIF(Vertices[Closeness Centrality],"&gt;= "&amp;L33)-COUNTIF(Vertices[Closeness Centrality],"&gt;="&amp;L34)</f>
        <v>0</v>
      </c>
      <c r="N33" s="40">
        <f t="shared" si="6"/>
        <v>0.028665294117647046</v>
      </c>
      <c r="O33" s="41">
        <f>COUNTIF(Vertices[Eigenvector Centrality],"&gt;= "&amp;N33)-COUNTIF(Vertices[Eigenvector Centrality],"&gt;="&amp;N34)</f>
        <v>2</v>
      </c>
      <c r="P33" s="40">
        <f t="shared" si="7"/>
        <v>3.525303676470587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2025</v>
      </c>
      <c r="B34" s="35" t="s">
        <v>2126</v>
      </c>
      <c r="D34" s="33">
        <f t="shared" si="1"/>
        <v>0</v>
      </c>
      <c r="E34" s="3">
        <f>COUNTIF(Vertices[Degree],"&gt;= "&amp;D34)-COUNTIF(Vertices[Degree],"&gt;="&amp;D35)</f>
        <v>0</v>
      </c>
      <c r="F34" s="38">
        <f t="shared" si="2"/>
        <v>28.23529411764707</v>
      </c>
      <c r="G34" s="39">
        <f>COUNTIF(Vertices[In-Degree],"&gt;= "&amp;F34)-COUNTIF(Vertices[In-Degree],"&gt;="&amp;F35)</f>
        <v>1</v>
      </c>
      <c r="H34" s="38">
        <f t="shared" si="3"/>
        <v>45.1764705882353</v>
      </c>
      <c r="I34" s="39">
        <f>COUNTIF(Vertices[Out-Degree],"&gt;= "&amp;H34)-COUNTIF(Vertices[Out-Degree],"&gt;="&amp;H35)</f>
        <v>0</v>
      </c>
      <c r="J34" s="38">
        <f t="shared" si="4"/>
        <v>2424.3983171764708</v>
      </c>
      <c r="K34" s="39">
        <f>COUNTIF(Vertices[Betweenness Centrality],"&gt;= "&amp;J34)-COUNTIF(Vertices[Betweenness Centrality],"&gt;="&amp;J35)</f>
        <v>1</v>
      </c>
      <c r="L34" s="38">
        <f t="shared" si="5"/>
        <v>0.004959411764705884</v>
      </c>
      <c r="M34" s="39">
        <f>COUNTIF(Vertices[Closeness Centrality],"&gt;= "&amp;L34)-COUNTIF(Vertices[Closeness Centrality],"&gt;="&amp;L35)</f>
        <v>1</v>
      </c>
      <c r="N34" s="38">
        <f t="shared" si="6"/>
        <v>0.02958952941176469</v>
      </c>
      <c r="O34" s="39">
        <f>COUNTIF(Vertices[Eigenvector Centrality],"&gt;= "&amp;N34)-COUNTIF(Vertices[Eigenvector Centrality],"&gt;="&amp;N35)</f>
        <v>2</v>
      </c>
      <c r="P34" s="38">
        <f t="shared" si="7"/>
        <v>3.6324651176470577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2026</v>
      </c>
      <c r="B35" s="35" t="s">
        <v>2127</v>
      </c>
      <c r="D35" s="33">
        <f t="shared" si="1"/>
        <v>0</v>
      </c>
      <c r="E35" s="3">
        <f>COUNTIF(Vertices[Degree],"&gt;= "&amp;D35)-COUNTIF(Vertices[Degree],"&gt;="&amp;D36)</f>
        <v>0</v>
      </c>
      <c r="F35" s="40">
        <f t="shared" si="2"/>
        <v>29.11764705882354</v>
      </c>
      <c r="G35" s="41">
        <f>COUNTIF(Vertices[In-Degree],"&gt;= "&amp;F35)-COUNTIF(Vertices[In-Degree],"&gt;="&amp;F36)</f>
        <v>0</v>
      </c>
      <c r="H35" s="40">
        <f t="shared" si="3"/>
        <v>46.58823529411765</v>
      </c>
      <c r="I35" s="41">
        <f>COUNTIF(Vertices[Out-Degree],"&gt;= "&amp;H35)-COUNTIF(Vertices[Out-Degree],"&gt;="&amp;H36)</f>
        <v>0</v>
      </c>
      <c r="J35" s="40">
        <f t="shared" si="4"/>
        <v>2500.1607645882355</v>
      </c>
      <c r="K35" s="41">
        <f>COUNTIF(Vertices[Betweenness Centrality],"&gt;= "&amp;J35)-COUNTIF(Vertices[Betweenness Centrality],"&gt;="&amp;J36)</f>
        <v>0</v>
      </c>
      <c r="L35" s="40">
        <f t="shared" si="5"/>
        <v>0.005043705882352943</v>
      </c>
      <c r="M35" s="41">
        <f>COUNTIF(Vertices[Closeness Centrality],"&gt;= "&amp;L35)-COUNTIF(Vertices[Closeness Centrality],"&gt;="&amp;L36)</f>
        <v>0</v>
      </c>
      <c r="N35" s="40">
        <f t="shared" si="6"/>
        <v>0.030513764705882337</v>
      </c>
      <c r="O35" s="41">
        <f>COUNTIF(Vertices[Eigenvector Centrality],"&gt;= "&amp;N35)-COUNTIF(Vertices[Eigenvector Centrality],"&gt;="&amp;N36)</f>
        <v>3</v>
      </c>
      <c r="P35" s="40">
        <f t="shared" si="7"/>
        <v>3.7396265588235282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2027</v>
      </c>
      <c r="B36" s="35" t="s">
        <v>819</v>
      </c>
      <c r="D36" s="33">
        <f>MAX(Vertices[Degree])</f>
        <v>0</v>
      </c>
      <c r="E36" s="3">
        <f>COUNTIF(Vertices[Degree],"&gt;= "&amp;D36)-COUNTIF(Vertices[Degree],"&gt;="&amp;#REF!)</f>
        <v>0</v>
      </c>
      <c r="F36" s="42">
        <f>MAX(Vertices[In-Degree])</f>
        <v>30</v>
      </c>
      <c r="G36" s="43">
        <f>COUNTIF(Vertices[In-Degree],"&gt;= "&amp;F36)-COUNTIF(Vertices[In-Degree],"&gt;="&amp;#REF!)</f>
        <v>1</v>
      </c>
      <c r="H36" s="42">
        <f>MAX(Vertices[Out-Degree])</f>
        <v>48</v>
      </c>
      <c r="I36" s="43">
        <f>COUNTIF(Vertices[Out-Degree],"&gt;= "&amp;H36)-COUNTIF(Vertices[Out-Degree],"&gt;="&amp;#REF!)</f>
        <v>1</v>
      </c>
      <c r="J36" s="42">
        <f>MAX(Vertices[Betweenness Centrality])</f>
        <v>2575.923212</v>
      </c>
      <c r="K36" s="43">
        <f>COUNTIF(Vertices[Betweenness Centrality],"&gt;= "&amp;J36)-COUNTIF(Vertices[Betweenness Centrality],"&gt;="&amp;#REF!)</f>
        <v>1</v>
      </c>
      <c r="L36" s="42">
        <f>MAX(Vertices[Closeness Centrality])</f>
        <v>0.005128</v>
      </c>
      <c r="M36" s="43">
        <f>COUNTIF(Vertices[Closeness Centrality],"&gt;= "&amp;L36)-COUNTIF(Vertices[Closeness Centrality],"&gt;="&amp;#REF!)</f>
        <v>1</v>
      </c>
      <c r="N36" s="42">
        <f>MAX(Vertices[Eigenvector Centrality])</f>
        <v>0.031438</v>
      </c>
      <c r="O36" s="43">
        <f>COUNTIF(Vertices[Eigenvector Centrality],"&gt;= "&amp;N36)-COUNTIF(Vertices[Eigenvector Centrality],"&gt;="&amp;#REF!)</f>
        <v>1</v>
      </c>
      <c r="P36" s="42">
        <f>MAX(Vertices[PageRank])</f>
        <v>3.846788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2028</v>
      </c>
      <c r="B37" s="35" t="s">
        <v>819</v>
      </c>
    </row>
    <row r="38" spans="1:2" ht="15">
      <c r="A38" s="35" t="s">
        <v>2029</v>
      </c>
      <c r="B38" s="35" t="s">
        <v>819</v>
      </c>
    </row>
    <row r="39" spans="1:2" ht="15">
      <c r="A39" s="35" t="s">
        <v>2030</v>
      </c>
      <c r="B39" s="35"/>
    </row>
    <row r="40" spans="1:2" ht="15">
      <c r="A40" s="35" t="s">
        <v>21</v>
      </c>
      <c r="B40" s="35"/>
    </row>
    <row r="41" spans="1:2" ht="15">
      <c r="A41" s="35" t="s">
        <v>2031</v>
      </c>
      <c r="B41" s="35" t="s">
        <v>34</v>
      </c>
    </row>
    <row r="42" spans="1:2" ht="15">
      <c r="A42" s="35" t="s">
        <v>2032</v>
      </c>
      <c r="B42" s="35"/>
    </row>
    <row r="43" spans="1:2" ht="15">
      <c r="A43" s="35" t="s">
        <v>2033</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8.052631578947368</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48</v>
      </c>
    </row>
    <row r="97" spans="1:2" ht="15">
      <c r="A97" s="34" t="s">
        <v>96</v>
      </c>
      <c r="B97" s="48">
        <f>_xlfn.IFERROR(AVERAGE(Vertices[Out-Degree]),NoMetricMessage)</f>
        <v>8.052631578947368</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2575.923212</v>
      </c>
    </row>
    <row r="111" spans="1:2" ht="15">
      <c r="A111" s="34" t="s">
        <v>102</v>
      </c>
      <c r="B111" s="48">
        <f>_xlfn.IFERROR(AVERAGE(Vertices[Betweenness Centrality]),NoMetricMessage)</f>
        <v>182.96491224561396</v>
      </c>
    </row>
    <row r="112" spans="1:2" ht="15">
      <c r="A112" s="34" t="s">
        <v>103</v>
      </c>
      <c r="B112" s="48">
        <f>_xlfn.IFERROR(MEDIAN(Vertices[Betweenness Centrality]),NoMetricMessage)</f>
        <v>7.834475</v>
      </c>
    </row>
    <row r="123" spans="1:2" ht="15">
      <c r="A123" s="34" t="s">
        <v>106</v>
      </c>
      <c r="B123" s="48">
        <f>IF(COUNT(Vertices[Closeness Centrality])&gt;0,L2,NoMetricMessage)</f>
        <v>0.002262</v>
      </c>
    </row>
    <row r="124" spans="1:2" ht="15">
      <c r="A124" s="34" t="s">
        <v>107</v>
      </c>
      <c r="B124" s="48">
        <f>IF(COUNT(Vertices[Closeness Centrality])&gt;0,L36,NoMetricMessage)</f>
        <v>0.005128</v>
      </c>
    </row>
    <row r="125" spans="1:2" ht="15">
      <c r="A125" s="34" t="s">
        <v>108</v>
      </c>
      <c r="B125" s="48">
        <f>_xlfn.IFERROR(AVERAGE(Vertices[Closeness Centrality]),NoMetricMessage)</f>
        <v>0.003499780701754384</v>
      </c>
    </row>
    <row r="126" spans="1:2" ht="15">
      <c r="A126" s="34" t="s">
        <v>109</v>
      </c>
      <c r="B126" s="48">
        <f>_xlfn.IFERROR(MEDIAN(Vertices[Closeness Centrality]),NoMetricMessage)</f>
        <v>0.0031105</v>
      </c>
    </row>
    <row r="137" spans="1:2" ht="15">
      <c r="A137" s="34" t="s">
        <v>112</v>
      </c>
      <c r="B137" s="48">
        <f>IF(COUNT(Vertices[Eigenvector Centrality])&gt;0,N2,NoMetricMessage)</f>
        <v>1.4E-05</v>
      </c>
    </row>
    <row r="138" spans="1:2" ht="15">
      <c r="A138" s="34" t="s">
        <v>113</v>
      </c>
      <c r="B138" s="48">
        <f>IF(COUNT(Vertices[Eigenvector Centrality])&gt;0,N36,NoMetricMessage)</f>
        <v>0.031438</v>
      </c>
    </row>
    <row r="139" spans="1:2" ht="15">
      <c r="A139" s="34" t="s">
        <v>114</v>
      </c>
      <c r="B139" s="48">
        <f>_xlfn.IFERROR(AVERAGE(Vertices[Eigenvector Centrality]),NoMetricMessage)</f>
        <v>0.008771850877192983</v>
      </c>
    </row>
    <row r="140" spans="1:2" ht="15">
      <c r="A140" s="34" t="s">
        <v>115</v>
      </c>
      <c r="B140" s="48">
        <f>_xlfn.IFERROR(MEDIAN(Vertices[Eigenvector Centrality]),NoMetricMessage)</f>
        <v>0.001056</v>
      </c>
    </row>
    <row r="151" spans="1:2" ht="15">
      <c r="A151" s="34" t="s">
        <v>140</v>
      </c>
      <c r="B151" s="48">
        <f>IF(COUNT(Vertices[PageRank])&gt;0,P2,NoMetricMessage)</f>
        <v>0.203299</v>
      </c>
    </row>
    <row r="152" spans="1:2" ht="15">
      <c r="A152" s="34" t="s">
        <v>141</v>
      </c>
      <c r="B152" s="48">
        <f>IF(COUNT(Vertices[PageRank])&gt;0,P36,NoMetricMessage)</f>
        <v>3.846788</v>
      </c>
    </row>
    <row r="153" spans="1:2" ht="15">
      <c r="A153" s="34" t="s">
        <v>142</v>
      </c>
      <c r="B153" s="48">
        <f>_xlfn.IFERROR(AVERAGE(Vertices[PageRank]),NoMetricMessage)</f>
        <v>0.9999957280701758</v>
      </c>
    </row>
    <row r="154" spans="1:2" ht="15">
      <c r="A154" s="34" t="s">
        <v>143</v>
      </c>
      <c r="B154" s="48">
        <f>_xlfn.IFERROR(MEDIAN(Vertices[PageRank]),NoMetricMessage)</f>
        <v>1.069024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0.33919091385703704</v>
      </c>
    </row>
    <row r="168" spans="1:2" ht="15">
      <c r="A168" s="34" t="s">
        <v>121</v>
      </c>
      <c r="B168" s="48">
        <f>_xlfn.IFERROR(MEDIAN(Vertices[Clustering Coefficient]),NoMetricMessage)</f>
        <v>0.43870967741935485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2130</v>
      </c>
    </row>
    <row r="24" spans="10:11" ht="409.5">
      <c r="J24" t="s">
        <v>208</v>
      </c>
      <c r="K24" s="13" t="s">
        <v>2122</v>
      </c>
    </row>
    <row r="25" spans="10:11" ht="15">
      <c r="J25" t="s">
        <v>209</v>
      </c>
      <c r="K25" t="s">
        <v>2120</v>
      </c>
    </row>
    <row r="26" spans="10:11" ht="409.5">
      <c r="J26" t="s">
        <v>210</v>
      </c>
      <c r="K26" s="13" t="s">
        <v>2121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0653-4EB2-4818-8D0C-869BB2ABCA91}">
  <dimension ref="A1:G23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831</v>
      </c>
      <c r="B1" s="13" t="s">
        <v>1985</v>
      </c>
      <c r="C1" s="13" t="s">
        <v>1989</v>
      </c>
      <c r="D1" s="13" t="s">
        <v>144</v>
      </c>
      <c r="E1" s="13" t="s">
        <v>1991</v>
      </c>
      <c r="F1" s="13" t="s">
        <v>1992</v>
      </c>
      <c r="G1" s="13" t="s">
        <v>1993</v>
      </c>
    </row>
    <row r="2" spans="1:7" ht="15">
      <c r="A2" s="80" t="s">
        <v>832</v>
      </c>
      <c r="B2" s="80" t="s">
        <v>1986</v>
      </c>
      <c r="C2" s="114"/>
      <c r="D2" s="80"/>
      <c r="E2" s="80"/>
      <c r="F2" s="80"/>
      <c r="G2" s="80"/>
    </row>
    <row r="3" spans="1:7" ht="15">
      <c r="A3" s="81" t="s">
        <v>833</v>
      </c>
      <c r="B3" s="80" t="s">
        <v>1987</v>
      </c>
      <c r="C3" s="114"/>
      <c r="D3" s="80"/>
      <c r="E3" s="80"/>
      <c r="F3" s="80"/>
      <c r="G3" s="80"/>
    </row>
    <row r="4" spans="1:7" ht="15">
      <c r="A4" s="81" t="s">
        <v>834</v>
      </c>
      <c r="B4" s="80" t="s">
        <v>1988</v>
      </c>
      <c r="C4" s="114"/>
      <c r="D4" s="80"/>
      <c r="E4" s="80"/>
      <c r="F4" s="80"/>
      <c r="G4" s="80"/>
    </row>
    <row r="5" spans="1:7" ht="15">
      <c r="A5" s="81" t="s">
        <v>835</v>
      </c>
      <c r="B5" s="80">
        <v>339</v>
      </c>
      <c r="C5" s="114">
        <v>0.026145303100416472</v>
      </c>
      <c r="D5" s="80"/>
      <c r="E5" s="80"/>
      <c r="F5" s="80"/>
      <c r="G5" s="80"/>
    </row>
    <row r="6" spans="1:7" ht="15">
      <c r="A6" s="81" t="s">
        <v>836</v>
      </c>
      <c r="B6" s="80">
        <v>281</v>
      </c>
      <c r="C6" s="114">
        <v>0.021672065401820144</v>
      </c>
      <c r="D6" s="80"/>
      <c r="E6" s="80"/>
      <c r="F6" s="80"/>
      <c r="G6" s="80"/>
    </row>
    <row r="7" spans="1:7" ht="15">
      <c r="A7" s="81" t="s">
        <v>837</v>
      </c>
      <c r="B7" s="80">
        <v>0</v>
      </c>
      <c r="C7" s="114">
        <v>0</v>
      </c>
      <c r="D7" s="80"/>
      <c r="E7" s="80"/>
      <c r="F7" s="80"/>
      <c r="G7" s="80"/>
    </row>
    <row r="8" spans="1:7" ht="15">
      <c r="A8" s="81" t="s">
        <v>838</v>
      </c>
      <c r="B8" s="80">
        <v>12346</v>
      </c>
      <c r="C8" s="114">
        <v>0.9521826314977634</v>
      </c>
      <c r="D8" s="80"/>
      <c r="E8" s="80"/>
      <c r="F8" s="80"/>
      <c r="G8" s="80"/>
    </row>
    <row r="9" spans="1:7" ht="15">
      <c r="A9" s="81" t="s">
        <v>839</v>
      </c>
      <c r="B9" s="80">
        <v>12966</v>
      </c>
      <c r="C9" s="114">
        <v>1</v>
      </c>
      <c r="D9" s="80"/>
      <c r="E9" s="80"/>
      <c r="F9" s="80"/>
      <c r="G9" s="80"/>
    </row>
    <row r="10" spans="1:7" ht="15">
      <c r="A10" s="113" t="s">
        <v>840</v>
      </c>
      <c r="B10" s="111">
        <v>121</v>
      </c>
      <c r="C10" s="115">
        <v>0.005473479833099994</v>
      </c>
      <c r="D10" s="111" t="s">
        <v>1990</v>
      </c>
      <c r="E10" s="111" t="b">
        <v>0</v>
      </c>
      <c r="F10" s="111" t="b">
        <v>0</v>
      </c>
      <c r="G10" s="111" t="b">
        <v>0</v>
      </c>
    </row>
    <row r="11" spans="1:7" ht="15">
      <c r="A11" s="113" t="s">
        <v>841</v>
      </c>
      <c r="B11" s="111">
        <v>94</v>
      </c>
      <c r="C11" s="115">
        <v>0.004829793558468274</v>
      </c>
      <c r="D11" s="111" t="s">
        <v>1990</v>
      </c>
      <c r="E11" s="111" t="b">
        <v>0</v>
      </c>
      <c r="F11" s="111" t="b">
        <v>0</v>
      </c>
      <c r="G11" s="111" t="b">
        <v>0</v>
      </c>
    </row>
    <row r="12" spans="1:7" ht="15">
      <c r="A12" s="113" t="s">
        <v>842</v>
      </c>
      <c r="B12" s="111">
        <v>56</v>
      </c>
      <c r="C12" s="115">
        <v>0.005492540233073977</v>
      </c>
      <c r="D12" s="111" t="s">
        <v>1990</v>
      </c>
      <c r="E12" s="111" t="b">
        <v>0</v>
      </c>
      <c r="F12" s="111" t="b">
        <v>0</v>
      </c>
      <c r="G12" s="111" t="b">
        <v>0</v>
      </c>
    </row>
    <row r="13" spans="1:7" ht="15">
      <c r="A13" s="113" t="s">
        <v>843</v>
      </c>
      <c r="B13" s="111">
        <v>52</v>
      </c>
      <c r="C13" s="115">
        <v>0.004956143512089646</v>
      </c>
      <c r="D13" s="111" t="s">
        <v>1990</v>
      </c>
      <c r="E13" s="111" t="b">
        <v>0</v>
      </c>
      <c r="F13" s="111" t="b">
        <v>0</v>
      </c>
      <c r="G13" s="111" t="b">
        <v>0</v>
      </c>
    </row>
    <row r="14" spans="1:7" ht="15">
      <c r="A14" s="113" t="s">
        <v>844</v>
      </c>
      <c r="B14" s="111">
        <v>41</v>
      </c>
      <c r="C14" s="115">
        <v>0.003695258571775881</v>
      </c>
      <c r="D14" s="111" t="s">
        <v>1990</v>
      </c>
      <c r="E14" s="111" t="b">
        <v>0</v>
      </c>
      <c r="F14" s="111" t="b">
        <v>0</v>
      </c>
      <c r="G14" s="111" t="b">
        <v>0</v>
      </c>
    </row>
    <row r="15" spans="1:7" ht="15">
      <c r="A15" s="113" t="s">
        <v>845</v>
      </c>
      <c r="B15" s="111">
        <v>41</v>
      </c>
      <c r="C15" s="115">
        <v>0.003407648393451329</v>
      </c>
      <c r="D15" s="111" t="s">
        <v>1990</v>
      </c>
      <c r="E15" s="111" t="b">
        <v>0</v>
      </c>
      <c r="F15" s="111" t="b">
        <v>0</v>
      </c>
      <c r="G15" s="111" t="b">
        <v>0</v>
      </c>
    </row>
    <row r="16" spans="1:7" ht="15">
      <c r="A16" s="113" t="s">
        <v>846</v>
      </c>
      <c r="B16" s="111">
        <v>40</v>
      </c>
      <c r="C16" s="115">
        <v>0.0037065203616183802</v>
      </c>
      <c r="D16" s="111" t="s">
        <v>1990</v>
      </c>
      <c r="E16" s="111" t="b">
        <v>0</v>
      </c>
      <c r="F16" s="111" t="b">
        <v>0</v>
      </c>
      <c r="G16" s="111" t="b">
        <v>0</v>
      </c>
    </row>
    <row r="17" spans="1:7" ht="15">
      <c r="A17" s="113" t="s">
        <v>847</v>
      </c>
      <c r="B17" s="111">
        <v>38</v>
      </c>
      <c r="C17" s="115">
        <v>0.003953588876239193</v>
      </c>
      <c r="D17" s="111" t="s">
        <v>1990</v>
      </c>
      <c r="E17" s="111" t="b">
        <v>0</v>
      </c>
      <c r="F17" s="111" t="b">
        <v>0</v>
      </c>
      <c r="G17" s="111" t="b">
        <v>0</v>
      </c>
    </row>
    <row r="18" spans="1:7" ht="15">
      <c r="A18" s="113" t="s">
        <v>848</v>
      </c>
      <c r="B18" s="111">
        <v>35</v>
      </c>
      <c r="C18" s="115">
        <v>0.003069394833296834</v>
      </c>
      <c r="D18" s="111" t="s">
        <v>1990</v>
      </c>
      <c r="E18" s="111" t="b">
        <v>0</v>
      </c>
      <c r="F18" s="111" t="b">
        <v>0</v>
      </c>
      <c r="G18" s="111" t="b">
        <v>0</v>
      </c>
    </row>
    <row r="19" spans="1:7" ht="15">
      <c r="A19" s="113" t="s">
        <v>849</v>
      </c>
      <c r="B19" s="111">
        <v>34</v>
      </c>
      <c r="C19" s="115">
        <v>0.0033347565700806293</v>
      </c>
      <c r="D19" s="111" t="s">
        <v>1990</v>
      </c>
      <c r="E19" s="111" t="b">
        <v>0</v>
      </c>
      <c r="F19" s="111" t="b">
        <v>0</v>
      </c>
      <c r="G19" s="111" t="b">
        <v>0</v>
      </c>
    </row>
    <row r="20" spans="1:7" ht="15">
      <c r="A20" s="113" t="s">
        <v>850</v>
      </c>
      <c r="B20" s="111">
        <v>31</v>
      </c>
      <c r="C20" s="115">
        <v>0.004822330202881114</v>
      </c>
      <c r="D20" s="111" t="s">
        <v>1990</v>
      </c>
      <c r="E20" s="111" t="b">
        <v>0</v>
      </c>
      <c r="F20" s="111" t="b">
        <v>0</v>
      </c>
      <c r="G20" s="111" t="b">
        <v>0</v>
      </c>
    </row>
    <row r="21" spans="1:7" ht="15">
      <c r="A21" s="113" t="s">
        <v>851</v>
      </c>
      <c r="B21" s="111">
        <v>31</v>
      </c>
      <c r="C21" s="115">
        <v>0.003130594016809643</v>
      </c>
      <c r="D21" s="111" t="s">
        <v>1990</v>
      </c>
      <c r="E21" s="111" t="b">
        <v>0</v>
      </c>
      <c r="F21" s="111" t="b">
        <v>0</v>
      </c>
      <c r="G21" s="111" t="b">
        <v>0</v>
      </c>
    </row>
    <row r="22" spans="1:7" ht="15">
      <c r="A22" s="113" t="s">
        <v>852</v>
      </c>
      <c r="B22" s="111">
        <v>30</v>
      </c>
      <c r="C22" s="115">
        <v>0.003217857897026814</v>
      </c>
      <c r="D22" s="111" t="s">
        <v>1990</v>
      </c>
      <c r="E22" s="111" t="b">
        <v>0</v>
      </c>
      <c r="F22" s="111" t="b">
        <v>0</v>
      </c>
      <c r="G22" s="111" t="b">
        <v>0</v>
      </c>
    </row>
    <row r="23" spans="1:7" ht="15">
      <c r="A23" s="113" t="s">
        <v>853</v>
      </c>
      <c r="B23" s="111">
        <v>25</v>
      </c>
      <c r="C23" s="115">
        <v>0.0030557407510367032</v>
      </c>
      <c r="D23" s="111" t="s">
        <v>1990</v>
      </c>
      <c r="E23" s="111" t="b">
        <v>0</v>
      </c>
      <c r="F23" s="111" t="b">
        <v>0</v>
      </c>
      <c r="G23" s="111" t="b">
        <v>0</v>
      </c>
    </row>
    <row r="24" spans="1:7" ht="15">
      <c r="A24" s="113" t="s">
        <v>854</v>
      </c>
      <c r="B24" s="111">
        <v>24</v>
      </c>
      <c r="C24" s="115">
        <v>0.003924284557080747</v>
      </c>
      <c r="D24" s="111" t="s">
        <v>1990</v>
      </c>
      <c r="E24" s="111" t="b">
        <v>0</v>
      </c>
      <c r="F24" s="111" t="b">
        <v>0</v>
      </c>
      <c r="G24" s="111" t="b">
        <v>0</v>
      </c>
    </row>
    <row r="25" spans="1:7" ht="15">
      <c r="A25" s="113" t="s">
        <v>855</v>
      </c>
      <c r="B25" s="111">
        <v>23</v>
      </c>
      <c r="C25" s="115">
        <v>0.0037607727005357157</v>
      </c>
      <c r="D25" s="111" t="s">
        <v>1990</v>
      </c>
      <c r="E25" s="111" t="b">
        <v>0</v>
      </c>
      <c r="F25" s="111" t="b">
        <v>0</v>
      </c>
      <c r="G25" s="111" t="b">
        <v>0</v>
      </c>
    </row>
    <row r="26" spans="1:7" ht="15">
      <c r="A26" s="113" t="s">
        <v>856</v>
      </c>
      <c r="B26" s="111">
        <v>23</v>
      </c>
      <c r="C26" s="115">
        <v>0.003141631609160061</v>
      </c>
      <c r="D26" s="111" t="s">
        <v>1990</v>
      </c>
      <c r="E26" s="111" t="b">
        <v>0</v>
      </c>
      <c r="F26" s="111" t="b">
        <v>0</v>
      </c>
      <c r="G26" s="111" t="b">
        <v>0</v>
      </c>
    </row>
    <row r="27" spans="1:7" ht="15">
      <c r="A27" s="113" t="s">
        <v>857</v>
      </c>
      <c r="B27" s="111">
        <v>23</v>
      </c>
      <c r="C27" s="115">
        <v>0.003141631609160061</v>
      </c>
      <c r="D27" s="111" t="s">
        <v>1990</v>
      </c>
      <c r="E27" s="111" t="b">
        <v>0</v>
      </c>
      <c r="F27" s="111" t="b">
        <v>0</v>
      </c>
      <c r="G27" s="111" t="b">
        <v>0</v>
      </c>
    </row>
    <row r="28" spans="1:7" ht="15">
      <c r="A28" s="113" t="s">
        <v>858</v>
      </c>
      <c r="B28" s="111">
        <v>23</v>
      </c>
      <c r="C28" s="115">
        <v>0.006426331521206027</v>
      </c>
      <c r="D28" s="111" t="s">
        <v>1990</v>
      </c>
      <c r="E28" s="111" t="b">
        <v>0</v>
      </c>
      <c r="F28" s="111" t="b">
        <v>0</v>
      </c>
      <c r="G28" s="111" t="b">
        <v>0</v>
      </c>
    </row>
    <row r="29" spans="1:7" ht="15">
      <c r="A29" s="113" t="s">
        <v>859</v>
      </c>
      <c r="B29" s="111">
        <v>23</v>
      </c>
      <c r="C29" s="115">
        <v>0.006426331521206027</v>
      </c>
      <c r="D29" s="111" t="s">
        <v>1990</v>
      </c>
      <c r="E29" s="111" t="b">
        <v>0</v>
      </c>
      <c r="F29" s="111" t="b">
        <v>0</v>
      </c>
      <c r="G29" s="111" t="b">
        <v>0</v>
      </c>
    </row>
    <row r="30" spans="1:7" ht="15">
      <c r="A30" s="113" t="s">
        <v>860</v>
      </c>
      <c r="B30" s="111">
        <v>22</v>
      </c>
      <c r="C30" s="115">
        <v>0.0025140898705791792</v>
      </c>
      <c r="D30" s="111" t="s">
        <v>1990</v>
      </c>
      <c r="E30" s="111" t="b">
        <v>1</v>
      </c>
      <c r="F30" s="111" t="b">
        <v>0</v>
      </c>
      <c r="G30" s="111" t="b">
        <v>0</v>
      </c>
    </row>
    <row r="31" spans="1:7" ht="15">
      <c r="A31" s="113" t="s">
        <v>861</v>
      </c>
      <c r="B31" s="111">
        <v>22</v>
      </c>
      <c r="C31" s="115">
        <v>0.00433050783673595</v>
      </c>
      <c r="D31" s="111" t="s">
        <v>1990</v>
      </c>
      <c r="E31" s="111" t="b">
        <v>0</v>
      </c>
      <c r="F31" s="111" t="b">
        <v>0</v>
      </c>
      <c r="G31" s="111" t="b">
        <v>0</v>
      </c>
    </row>
    <row r="32" spans="1:7" ht="15">
      <c r="A32" s="113" t="s">
        <v>862</v>
      </c>
      <c r="B32" s="111">
        <v>21</v>
      </c>
      <c r="C32" s="115">
        <v>0.002120724979129113</v>
      </c>
      <c r="D32" s="111" t="s">
        <v>1990</v>
      </c>
      <c r="E32" s="111" t="b">
        <v>0</v>
      </c>
      <c r="F32" s="111" t="b">
        <v>0</v>
      </c>
      <c r="G32" s="111" t="b">
        <v>0</v>
      </c>
    </row>
    <row r="33" spans="1:7" ht="15">
      <c r="A33" s="113" t="s">
        <v>863</v>
      </c>
      <c r="B33" s="111">
        <v>21</v>
      </c>
      <c r="C33" s="115">
        <v>0.002566822230870831</v>
      </c>
      <c r="D33" s="111" t="s">
        <v>1990</v>
      </c>
      <c r="E33" s="111" t="b">
        <v>0</v>
      </c>
      <c r="F33" s="111" t="b">
        <v>1</v>
      </c>
      <c r="G33" s="111" t="b">
        <v>0</v>
      </c>
    </row>
    <row r="34" spans="1:7" ht="15">
      <c r="A34" s="113" t="s">
        <v>864</v>
      </c>
      <c r="B34" s="111">
        <v>21</v>
      </c>
      <c r="C34" s="115">
        <v>0.0026595098818307083</v>
      </c>
      <c r="D34" s="111" t="s">
        <v>1990</v>
      </c>
      <c r="E34" s="111" t="b">
        <v>0</v>
      </c>
      <c r="F34" s="111" t="b">
        <v>0</v>
      </c>
      <c r="G34" s="111" t="b">
        <v>0</v>
      </c>
    </row>
    <row r="35" spans="1:7" ht="15">
      <c r="A35" s="113" t="s">
        <v>865</v>
      </c>
      <c r="B35" s="111">
        <v>21</v>
      </c>
      <c r="C35" s="115">
        <v>0.0029876517357039353</v>
      </c>
      <c r="D35" s="111" t="s">
        <v>1990</v>
      </c>
      <c r="E35" s="111" t="b">
        <v>0</v>
      </c>
      <c r="F35" s="111" t="b">
        <v>0</v>
      </c>
      <c r="G35" s="111" t="b">
        <v>0</v>
      </c>
    </row>
    <row r="36" spans="1:7" ht="15">
      <c r="A36" s="113" t="s">
        <v>866</v>
      </c>
      <c r="B36" s="111">
        <v>21</v>
      </c>
      <c r="C36" s="115">
        <v>0.003626546927961681</v>
      </c>
      <c r="D36" s="111" t="s">
        <v>1990</v>
      </c>
      <c r="E36" s="111" t="b">
        <v>0</v>
      </c>
      <c r="F36" s="111" t="b">
        <v>0</v>
      </c>
      <c r="G36" s="111" t="b">
        <v>0</v>
      </c>
    </row>
    <row r="37" spans="1:7" ht="15">
      <c r="A37" s="113" t="s">
        <v>867</v>
      </c>
      <c r="B37" s="111">
        <v>20</v>
      </c>
      <c r="C37" s="115">
        <v>0.0023624115164150913</v>
      </c>
      <c r="D37" s="111" t="s">
        <v>1990</v>
      </c>
      <c r="E37" s="111" t="b">
        <v>0</v>
      </c>
      <c r="F37" s="111" t="b">
        <v>0</v>
      </c>
      <c r="G37" s="111" t="b">
        <v>0</v>
      </c>
    </row>
    <row r="38" spans="1:7" ht="15">
      <c r="A38" s="113" t="s">
        <v>868</v>
      </c>
      <c r="B38" s="111">
        <v>20</v>
      </c>
      <c r="C38" s="115">
        <v>0.0026282096870351036</v>
      </c>
      <c r="D38" s="111" t="s">
        <v>1990</v>
      </c>
      <c r="E38" s="111" t="b">
        <v>0</v>
      </c>
      <c r="F38" s="111" t="b">
        <v>0</v>
      </c>
      <c r="G38" s="111" t="b">
        <v>0</v>
      </c>
    </row>
    <row r="39" spans="1:7" ht="15">
      <c r="A39" s="113" t="s">
        <v>869</v>
      </c>
      <c r="B39" s="111">
        <v>20</v>
      </c>
      <c r="C39" s="115">
        <v>0.002731853573182662</v>
      </c>
      <c r="D39" s="111" t="s">
        <v>1990</v>
      </c>
      <c r="E39" s="111" t="b">
        <v>0</v>
      </c>
      <c r="F39" s="111" t="b">
        <v>0</v>
      </c>
      <c r="G39" s="111" t="b">
        <v>0</v>
      </c>
    </row>
    <row r="40" spans="1:7" ht="15">
      <c r="A40" s="113" t="s">
        <v>870</v>
      </c>
      <c r="B40" s="111">
        <v>20</v>
      </c>
      <c r="C40" s="115">
        <v>0.002080836250652207</v>
      </c>
      <c r="D40" s="111" t="s">
        <v>1990</v>
      </c>
      <c r="E40" s="111" t="b">
        <v>0</v>
      </c>
      <c r="F40" s="111" t="b">
        <v>0</v>
      </c>
      <c r="G40" s="111" t="b">
        <v>0</v>
      </c>
    </row>
    <row r="41" spans="1:7" ht="15">
      <c r="A41" s="113" t="s">
        <v>871</v>
      </c>
      <c r="B41" s="111">
        <v>18</v>
      </c>
      <c r="C41" s="115">
        <v>0.0025608443448890874</v>
      </c>
      <c r="D41" s="111" t="s">
        <v>1990</v>
      </c>
      <c r="E41" s="111" t="b">
        <v>0</v>
      </c>
      <c r="F41" s="111" t="b">
        <v>0</v>
      </c>
      <c r="G41" s="111" t="b">
        <v>0</v>
      </c>
    </row>
    <row r="42" spans="1:7" ht="15">
      <c r="A42" s="113" t="s">
        <v>872</v>
      </c>
      <c r="B42" s="111">
        <v>17</v>
      </c>
      <c r="C42" s="115">
        <v>0.002779701561265529</v>
      </c>
      <c r="D42" s="111" t="s">
        <v>1990</v>
      </c>
      <c r="E42" s="111" t="b">
        <v>0</v>
      </c>
      <c r="F42" s="111" t="b">
        <v>0</v>
      </c>
      <c r="G42" s="111" t="b">
        <v>0</v>
      </c>
    </row>
    <row r="43" spans="1:7" ht="15">
      <c r="A43" s="113" t="s">
        <v>873</v>
      </c>
      <c r="B43" s="111">
        <v>17</v>
      </c>
      <c r="C43" s="115">
        <v>0.0022339782339798383</v>
      </c>
      <c r="D43" s="111" t="s">
        <v>1990</v>
      </c>
      <c r="E43" s="111" t="b">
        <v>0</v>
      </c>
      <c r="F43" s="111" t="b">
        <v>0</v>
      </c>
      <c r="G43" s="111" t="b">
        <v>0</v>
      </c>
    </row>
    <row r="44" spans="1:7" ht="15">
      <c r="A44" s="113" t="s">
        <v>874</v>
      </c>
      <c r="B44" s="111">
        <v>17</v>
      </c>
      <c r="C44" s="115">
        <v>0.0023220755372052627</v>
      </c>
      <c r="D44" s="111" t="s">
        <v>1990</v>
      </c>
      <c r="E44" s="111" t="b">
        <v>0</v>
      </c>
      <c r="F44" s="111" t="b">
        <v>0</v>
      </c>
      <c r="G44" s="111" t="b">
        <v>0</v>
      </c>
    </row>
    <row r="45" spans="1:7" ht="15">
      <c r="A45" s="113" t="s">
        <v>875</v>
      </c>
      <c r="B45" s="111">
        <v>16</v>
      </c>
      <c r="C45" s="115">
        <v>0.0018899292131320732</v>
      </c>
      <c r="D45" s="111" t="s">
        <v>1990</v>
      </c>
      <c r="E45" s="111" t="b">
        <v>0</v>
      </c>
      <c r="F45" s="111" t="b">
        <v>1</v>
      </c>
      <c r="G45" s="111" t="b">
        <v>0</v>
      </c>
    </row>
    <row r="46" spans="1:7" ht="15">
      <c r="A46" s="113" t="s">
        <v>876</v>
      </c>
      <c r="B46" s="111">
        <v>16</v>
      </c>
      <c r="C46" s="115">
        <v>0.0019556740806634903</v>
      </c>
      <c r="D46" s="111" t="s">
        <v>1990</v>
      </c>
      <c r="E46" s="111" t="b">
        <v>0</v>
      </c>
      <c r="F46" s="111" t="b">
        <v>0</v>
      </c>
      <c r="G46" s="111" t="b">
        <v>0</v>
      </c>
    </row>
    <row r="47" spans="1:7" ht="15">
      <c r="A47" s="113" t="s">
        <v>877</v>
      </c>
      <c r="B47" s="111">
        <v>16</v>
      </c>
      <c r="C47" s="115">
        <v>0.002488944620841865</v>
      </c>
      <c r="D47" s="111" t="s">
        <v>1990</v>
      </c>
      <c r="E47" s="111" t="b">
        <v>0</v>
      </c>
      <c r="F47" s="111" t="b">
        <v>1</v>
      </c>
      <c r="G47" s="111" t="b">
        <v>0</v>
      </c>
    </row>
    <row r="48" spans="1:7" ht="15">
      <c r="A48" s="113" t="s">
        <v>878</v>
      </c>
      <c r="B48" s="111">
        <v>16</v>
      </c>
      <c r="C48" s="115">
        <v>0.0023767065024713086</v>
      </c>
      <c r="D48" s="111" t="s">
        <v>1990</v>
      </c>
      <c r="E48" s="111" t="b">
        <v>0</v>
      </c>
      <c r="F48" s="111" t="b">
        <v>0</v>
      </c>
      <c r="G48" s="111" t="b">
        <v>0</v>
      </c>
    </row>
    <row r="49" spans="1:7" ht="15">
      <c r="A49" s="113" t="s">
        <v>879</v>
      </c>
      <c r="B49" s="111">
        <v>16</v>
      </c>
      <c r="C49" s="115">
        <v>0.003809975868955881</v>
      </c>
      <c r="D49" s="111" t="s">
        <v>1990</v>
      </c>
      <c r="E49" s="111" t="b">
        <v>0</v>
      </c>
      <c r="F49" s="111" t="b">
        <v>0</v>
      </c>
      <c r="G49" s="111" t="b">
        <v>0</v>
      </c>
    </row>
    <row r="50" spans="1:7" ht="15">
      <c r="A50" s="113" t="s">
        <v>880</v>
      </c>
      <c r="B50" s="111">
        <v>16</v>
      </c>
      <c r="C50" s="115">
        <v>0.0022763060843458555</v>
      </c>
      <c r="D50" s="111" t="s">
        <v>1990</v>
      </c>
      <c r="E50" s="111" t="b">
        <v>0</v>
      </c>
      <c r="F50" s="111" t="b">
        <v>0</v>
      </c>
      <c r="G50" s="111" t="b">
        <v>0</v>
      </c>
    </row>
    <row r="51" spans="1:7" ht="15">
      <c r="A51" s="113" t="s">
        <v>881</v>
      </c>
      <c r="B51" s="111">
        <v>16</v>
      </c>
      <c r="C51" s="115">
        <v>0.003149460244898873</v>
      </c>
      <c r="D51" s="111" t="s">
        <v>1990</v>
      </c>
      <c r="E51" s="111" t="b">
        <v>0</v>
      </c>
      <c r="F51" s="111" t="b">
        <v>0</v>
      </c>
      <c r="G51" s="111" t="b">
        <v>0</v>
      </c>
    </row>
    <row r="52" spans="1:7" ht="15">
      <c r="A52" s="113" t="s">
        <v>882</v>
      </c>
      <c r="B52" s="111">
        <v>15</v>
      </c>
      <c r="C52" s="115">
        <v>0.001971157265276328</v>
      </c>
      <c r="D52" s="111" t="s">
        <v>1990</v>
      </c>
      <c r="E52" s="111" t="b">
        <v>0</v>
      </c>
      <c r="F52" s="111" t="b">
        <v>0</v>
      </c>
      <c r="G52" s="111" t="b">
        <v>0</v>
      </c>
    </row>
    <row r="53" spans="1:7" ht="15">
      <c r="A53" s="113" t="s">
        <v>883</v>
      </c>
      <c r="B53" s="111">
        <v>15</v>
      </c>
      <c r="C53" s="115">
        <v>0.002228162346066852</v>
      </c>
      <c r="D53" s="111" t="s">
        <v>1990</v>
      </c>
      <c r="E53" s="111" t="b">
        <v>0</v>
      </c>
      <c r="F53" s="111" t="b">
        <v>0</v>
      </c>
      <c r="G53" s="111" t="b">
        <v>0</v>
      </c>
    </row>
    <row r="54" spans="1:7" ht="15">
      <c r="A54" s="113" t="s">
        <v>884</v>
      </c>
      <c r="B54" s="111">
        <v>15</v>
      </c>
      <c r="C54" s="115">
        <v>0.001971157265276328</v>
      </c>
      <c r="D54" s="111" t="s">
        <v>1990</v>
      </c>
      <c r="E54" s="111" t="b">
        <v>0</v>
      </c>
      <c r="F54" s="111" t="b">
        <v>0</v>
      </c>
      <c r="G54" s="111" t="b">
        <v>0</v>
      </c>
    </row>
    <row r="55" spans="1:7" ht="15">
      <c r="A55" s="113" t="s">
        <v>885</v>
      </c>
      <c r="B55" s="111">
        <v>15</v>
      </c>
      <c r="C55" s="115">
        <v>0.0017718086373113187</v>
      </c>
      <c r="D55" s="111" t="s">
        <v>1990</v>
      </c>
      <c r="E55" s="111" t="b">
        <v>0</v>
      </c>
      <c r="F55" s="111" t="b">
        <v>0</v>
      </c>
      <c r="G55" s="111" t="b">
        <v>0</v>
      </c>
    </row>
    <row r="56" spans="1:7" ht="15">
      <c r="A56" s="113" t="s">
        <v>886</v>
      </c>
      <c r="B56" s="111">
        <v>15</v>
      </c>
      <c r="C56" s="115">
        <v>0.004191085774699583</v>
      </c>
      <c r="D56" s="111" t="s">
        <v>1990</v>
      </c>
      <c r="E56" s="111" t="b">
        <v>0</v>
      </c>
      <c r="F56" s="111" t="b">
        <v>0</v>
      </c>
      <c r="G56" s="111" t="b">
        <v>0</v>
      </c>
    </row>
    <row r="57" spans="1:7" ht="15">
      <c r="A57" s="113" t="s">
        <v>887</v>
      </c>
      <c r="B57" s="111">
        <v>15</v>
      </c>
      <c r="C57" s="115">
        <v>0.004191085774699583</v>
      </c>
      <c r="D57" s="111" t="s">
        <v>1990</v>
      </c>
      <c r="E57" s="111" t="b">
        <v>0</v>
      </c>
      <c r="F57" s="111" t="b">
        <v>0</v>
      </c>
      <c r="G57" s="111" t="b">
        <v>0</v>
      </c>
    </row>
    <row r="58" spans="1:7" ht="15">
      <c r="A58" s="113" t="s">
        <v>888</v>
      </c>
      <c r="B58" s="111">
        <v>15</v>
      </c>
      <c r="C58" s="115">
        <v>0.0025903906628297725</v>
      </c>
      <c r="D58" s="111" t="s">
        <v>1990</v>
      </c>
      <c r="E58" s="111" t="b">
        <v>0</v>
      </c>
      <c r="F58" s="111" t="b">
        <v>0</v>
      </c>
      <c r="G58" s="111" t="b">
        <v>0</v>
      </c>
    </row>
    <row r="59" spans="1:7" ht="15">
      <c r="A59" s="113" t="s">
        <v>889</v>
      </c>
      <c r="B59" s="111">
        <v>14</v>
      </c>
      <c r="C59" s="115">
        <v>0.0019122975012278633</v>
      </c>
      <c r="D59" s="111" t="s">
        <v>1990</v>
      </c>
      <c r="E59" s="111" t="b">
        <v>0</v>
      </c>
      <c r="F59" s="111" t="b">
        <v>0</v>
      </c>
      <c r="G59" s="111" t="b">
        <v>0</v>
      </c>
    </row>
    <row r="60" spans="1:7" ht="15">
      <c r="A60" s="113" t="s">
        <v>890</v>
      </c>
      <c r="B60" s="111">
        <v>14</v>
      </c>
      <c r="C60" s="115">
        <v>0.0017730065878871386</v>
      </c>
      <c r="D60" s="111" t="s">
        <v>1990</v>
      </c>
      <c r="E60" s="111" t="b">
        <v>0</v>
      </c>
      <c r="F60" s="111" t="b">
        <v>0</v>
      </c>
      <c r="G60" s="111" t="b">
        <v>0</v>
      </c>
    </row>
    <row r="61" spans="1:7" ht="15">
      <c r="A61" s="113" t="s">
        <v>891</v>
      </c>
      <c r="B61" s="111">
        <v>14</v>
      </c>
      <c r="C61" s="115">
        <v>0.0022891659916304354</v>
      </c>
      <c r="D61" s="111" t="s">
        <v>1990</v>
      </c>
      <c r="E61" s="111" t="b">
        <v>0</v>
      </c>
      <c r="F61" s="111" t="b">
        <v>0</v>
      </c>
      <c r="G61" s="111" t="b">
        <v>0</v>
      </c>
    </row>
    <row r="62" spans="1:7" ht="15">
      <c r="A62" s="113" t="s">
        <v>892</v>
      </c>
      <c r="B62" s="111">
        <v>14</v>
      </c>
      <c r="C62" s="115">
        <v>0.002079618189662395</v>
      </c>
      <c r="D62" s="111" t="s">
        <v>1990</v>
      </c>
      <c r="E62" s="111" t="b">
        <v>0</v>
      </c>
      <c r="F62" s="111" t="b">
        <v>0</v>
      </c>
      <c r="G62" s="111" t="b">
        <v>0</v>
      </c>
    </row>
    <row r="63" spans="1:7" ht="15">
      <c r="A63" s="113" t="s">
        <v>893</v>
      </c>
      <c r="B63" s="111">
        <v>14</v>
      </c>
      <c r="C63" s="115">
        <v>0.0019122975012278633</v>
      </c>
      <c r="D63" s="111" t="s">
        <v>1990</v>
      </c>
      <c r="E63" s="111" t="b">
        <v>0</v>
      </c>
      <c r="F63" s="111" t="b">
        <v>0</v>
      </c>
      <c r="G63" s="111" t="b">
        <v>0</v>
      </c>
    </row>
    <row r="64" spans="1:7" ht="15">
      <c r="A64" s="113" t="s">
        <v>894</v>
      </c>
      <c r="B64" s="111">
        <v>14</v>
      </c>
      <c r="C64" s="115">
        <v>0.0018397467809245726</v>
      </c>
      <c r="D64" s="111" t="s">
        <v>1990</v>
      </c>
      <c r="E64" s="111" t="b">
        <v>0</v>
      </c>
      <c r="F64" s="111" t="b">
        <v>0</v>
      </c>
      <c r="G64" s="111" t="b">
        <v>0</v>
      </c>
    </row>
    <row r="65" spans="1:7" ht="15">
      <c r="A65" s="113" t="s">
        <v>895</v>
      </c>
      <c r="B65" s="111">
        <v>14</v>
      </c>
      <c r="C65" s="115">
        <v>0.0039116800563862774</v>
      </c>
      <c r="D65" s="111" t="s">
        <v>1990</v>
      </c>
      <c r="E65" s="111" t="b">
        <v>0</v>
      </c>
      <c r="F65" s="111" t="b">
        <v>0</v>
      </c>
      <c r="G65" s="111" t="b">
        <v>0</v>
      </c>
    </row>
    <row r="66" spans="1:7" ht="15">
      <c r="A66" s="113" t="s">
        <v>896</v>
      </c>
      <c r="B66" s="111">
        <v>14</v>
      </c>
      <c r="C66" s="115">
        <v>0.002079618189662395</v>
      </c>
      <c r="D66" s="111" t="s">
        <v>1990</v>
      </c>
      <c r="E66" s="111" t="b">
        <v>0</v>
      </c>
      <c r="F66" s="111" t="b">
        <v>0</v>
      </c>
      <c r="G66" s="111" t="b">
        <v>0</v>
      </c>
    </row>
    <row r="67" spans="1:7" ht="15">
      <c r="A67" s="113" t="s">
        <v>897</v>
      </c>
      <c r="B67" s="111">
        <v>14</v>
      </c>
      <c r="C67" s="115">
        <v>0.0019122975012278633</v>
      </c>
      <c r="D67" s="111" t="s">
        <v>1990</v>
      </c>
      <c r="E67" s="111" t="b">
        <v>0</v>
      </c>
      <c r="F67" s="111" t="b">
        <v>0</v>
      </c>
      <c r="G67" s="111" t="b">
        <v>0</v>
      </c>
    </row>
    <row r="68" spans="1:7" ht="15">
      <c r="A68" s="113" t="s">
        <v>898</v>
      </c>
      <c r="B68" s="111">
        <v>14</v>
      </c>
      <c r="C68" s="115">
        <v>0.0019122975012278633</v>
      </c>
      <c r="D68" s="111" t="s">
        <v>1990</v>
      </c>
      <c r="E68" s="111" t="b">
        <v>0</v>
      </c>
      <c r="F68" s="111" t="b">
        <v>0</v>
      </c>
      <c r="G68" s="111" t="b">
        <v>0</v>
      </c>
    </row>
    <row r="69" spans="1:7" ht="15">
      <c r="A69" s="113" t="s">
        <v>899</v>
      </c>
      <c r="B69" s="111">
        <v>13</v>
      </c>
      <c r="C69" s="115">
        <v>0.0017083362965728173</v>
      </c>
      <c r="D69" s="111" t="s">
        <v>1990</v>
      </c>
      <c r="E69" s="111" t="b">
        <v>0</v>
      </c>
      <c r="F69" s="111" t="b">
        <v>0</v>
      </c>
      <c r="G69" s="111" t="b">
        <v>0</v>
      </c>
    </row>
    <row r="70" spans="1:7" ht="15">
      <c r="A70" s="113" t="s">
        <v>900</v>
      </c>
      <c r="B70" s="111">
        <v>13</v>
      </c>
      <c r="C70" s="115">
        <v>0.0018494986935310073</v>
      </c>
      <c r="D70" s="111" t="s">
        <v>1990</v>
      </c>
      <c r="E70" s="111" t="b">
        <v>0</v>
      </c>
      <c r="F70" s="111" t="b">
        <v>1</v>
      </c>
      <c r="G70" s="111" t="b">
        <v>0</v>
      </c>
    </row>
    <row r="71" spans="1:7" ht="15">
      <c r="A71" s="113" t="s">
        <v>901</v>
      </c>
      <c r="B71" s="111">
        <v>13</v>
      </c>
      <c r="C71" s="115">
        <v>0.0019310740332579381</v>
      </c>
      <c r="D71" s="111" t="s">
        <v>1990</v>
      </c>
      <c r="E71" s="111" t="b">
        <v>0</v>
      </c>
      <c r="F71" s="111" t="b">
        <v>0</v>
      </c>
      <c r="G71" s="111" t="b">
        <v>0</v>
      </c>
    </row>
    <row r="72" spans="1:7" ht="15">
      <c r="A72" s="113" t="s">
        <v>902</v>
      </c>
      <c r="B72" s="111">
        <v>13</v>
      </c>
      <c r="C72" s="115">
        <v>0.0018494986935310073</v>
      </c>
      <c r="D72" s="111" t="s">
        <v>1990</v>
      </c>
      <c r="E72" s="111" t="b">
        <v>0</v>
      </c>
      <c r="F72" s="111" t="b">
        <v>0</v>
      </c>
      <c r="G72" s="111" t="b">
        <v>0</v>
      </c>
    </row>
    <row r="73" spans="1:7" ht="15">
      <c r="A73" s="113" t="s">
        <v>903</v>
      </c>
      <c r="B73" s="111">
        <v>13</v>
      </c>
      <c r="C73" s="115">
        <v>0.0017757048225687303</v>
      </c>
      <c r="D73" s="111" t="s">
        <v>1990</v>
      </c>
      <c r="E73" s="111" t="b">
        <v>0</v>
      </c>
      <c r="F73" s="111" t="b">
        <v>0</v>
      </c>
      <c r="G73" s="111" t="b">
        <v>0</v>
      </c>
    </row>
    <row r="74" spans="1:7" ht="15">
      <c r="A74" s="113" t="s">
        <v>904</v>
      </c>
      <c r="B74" s="111">
        <v>13</v>
      </c>
      <c r="C74" s="115">
        <v>0.0030956053935266526</v>
      </c>
      <c r="D74" s="111" t="s">
        <v>1990</v>
      </c>
      <c r="E74" s="111" t="b">
        <v>0</v>
      </c>
      <c r="F74" s="111" t="b">
        <v>0</v>
      </c>
      <c r="G74" s="111" t="b">
        <v>0</v>
      </c>
    </row>
    <row r="75" spans="1:7" ht="15">
      <c r="A75" s="113" t="s">
        <v>905</v>
      </c>
      <c r="B75" s="111">
        <v>13</v>
      </c>
      <c r="C75" s="115">
        <v>0.002781674185665455</v>
      </c>
      <c r="D75" s="111" t="s">
        <v>1990</v>
      </c>
      <c r="E75" s="111" t="b">
        <v>0</v>
      </c>
      <c r="F75" s="111" t="b">
        <v>0</v>
      </c>
      <c r="G75" s="111" t="b">
        <v>0</v>
      </c>
    </row>
    <row r="76" spans="1:7" ht="15">
      <c r="A76" s="113" t="s">
        <v>906</v>
      </c>
      <c r="B76" s="111">
        <v>13</v>
      </c>
      <c r="C76" s="115">
        <v>0.0036322743380729715</v>
      </c>
      <c r="D76" s="111" t="s">
        <v>1990</v>
      </c>
      <c r="E76" s="111" t="b">
        <v>0</v>
      </c>
      <c r="F76" s="111" t="b">
        <v>0</v>
      </c>
      <c r="G76" s="111" t="b">
        <v>0</v>
      </c>
    </row>
    <row r="77" spans="1:7" ht="15">
      <c r="A77" s="113" t="s">
        <v>907</v>
      </c>
      <c r="B77" s="111">
        <v>12</v>
      </c>
      <c r="C77" s="115">
        <v>0.00285748190171691</v>
      </c>
      <c r="D77" s="111" t="s">
        <v>1990</v>
      </c>
      <c r="E77" s="111" t="b">
        <v>0</v>
      </c>
      <c r="F77" s="111" t="b">
        <v>0</v>
      </c>
      <c r="G77" s="111" t="b">
        <v>0</v>
      </c>
    </row>
    <row r="78" spans="1:7" ht="15">
      <c r="A78" s="113" t="s">
        <v>908</v>
      </c>
      <c r="B78" s="111">
        <v>12</v>
      </c>
      <c r="C78" s="115">
        <v>0.0017072295632593916</v>
      </c>
      <c r="D78" s="111" t="s">
        <v>1990</v>
      </c>
      <c r="E78" s="111" t="b">
        <v>0</v>
      </c>
      <c r="F78" s="111" t="b">
        <v>0</v>
      </c>
      <c r="G78" s="111" t="b">
        <v>0</v>
      </c>
    </row>
    <row r="79" spans="1:7" ht="15">
      <c r="A79" s="113" t="s">
        <v>909</v>
      </c>
      <c r="B79" s="111">
        <v>12</v>
      </c>
      <c r="C79" s="115">
        <v>0.0016391121439095972</v>
      </c>
      <c r="D79" s="111" t="s">
        <v>1990</v>
      </c>
      <c r="E79" s="111" t="b">
        <v>0</v>
      </c>
      <c r="F79" s="111" t="b">
        <v>0</v>
      </c>
      <c r="G79" s="111" t="b">
        <v>0</v>
      </c>
    </row>
    <row r="80" spans="1:7" ht="15">
      <c r="A80" s="113" t="s">
        <v>910</v>
      </c>
      <c r="B80" s="111">
        <v>12</v>
      </c>
      <c r="C80" s="115">
        <v>0.0017072295632593916</v>
      </c>
      <c r="D80" s="111" t="s">
        <v>1990</v>
      </c>
      <c r="E80" s="111" t="b">
        <v>1</v>
      </c>
      <c r="F80" s="111" t="b">
        <v>0</v>
      </c>
      <c r="G80" s="111" t="b">
        <v>0</v>
      </c>
    </row>
    <row r="81" spans="1:7" ht="15">
      <c r="A81" s="113" t="s">
        <v>911</v>
      </c>
      <c r="B81" s="111">
        <v>12</v>
      </c>
      <c r="C81" s="115">
        <v>0.0016391121439095972</v>
      </c>
      <c r="D81" s="111" t="s">
        <v>1990</v>
      </c>
      <c r="E81" s="111" t="b">
        <v>1</v>
      </c>
      <c r="F81" s="111" t="b">
        <v>0</v>
      </c>
      <c r="G81" s="111" t="b">
        <v>0</v>
      </c>
    </row>
    <row r="82" spans="1:7" ht="15">
      <c r="A82" s="113" t="s">
        <v>912</v>
      </c>
      <c r="B82" s="111">
        <v>12</v>
      </c>
      <c r="C82" s="115">
        <v>0.0019621422785403735</v>
      </c>
      <c r="D82" s="111" t="s">
        <v>1990</v>
      </c>
      <c r="E82" s="111" t="b">
        <v>0</v>
      </c>
      <c r="F82" s="111" t="b">
        <v>0</v>
      </c>
      <c r="G82" s="111" t="b">
        <v>0</v>
      </c>
    </row>
    <row r="83" spans="1:7" ht="15">
      <c r="A83" s="113" t="s">
        <v>913</v>
      </c>
      <c r="B83" s="111">
        <v>12</v>
      </c>
      <c r="C83" s="115">
        <v>0.0018667084656313988</v>
      </c>
      <c r="D83" s="111" t="s">
        <v>1990</v>
      </c>
      <c r="E83" s="111" t="b">
        <v>0</v>
      </c>
      <c r="F83" s="111" t="b">
        <v>0</v>
      </c>
      <c r="G83" s="111" t="b">
        <v>0</v>
      </c>
    </row>
    <row r="84" spans="1:7" ht="15">
      <c r="A84" s="113" t="s">
        <v>914</v>
      </c>
      <c r="B84" s="111">
        <v>12</v>
      </c>
      <c r="C84" s="115">
        <v>0.0017072295632593916</v>
      </c>
      <c r="D84" s="111" t="s">
        <v>1990</v>
      </c>
      <c r="E84" s="111" t="b">
        <v>0</v>
      </c>
      <c r="F84" s="111" t="b">
        <v>0</v>
      </c>
      <c r="G84" s="111" t="b">
        <v>0</v>
      </c>
    </row>
    <row r="85" spans="1:7" ht="15">
      <c r="A85" s="113" t="s">
        <v>915</v>
      </c>
      <c r="B85" s="111">
        <v>12</v>
      </c>
      <c r="C85" s="115">
        <v>0.0016391121439095972</v>
      </c>
      <c r="D85" s="111" t="s">
        <v>1990</v>
      </c>
      <c r="E85" s="111" t="b">
        <v>0</v>
      </c>
      <c r="F85" s="111" t="b">
        <v>0</v>
      </c>
      <c r="G85" s="111" t="b">
        <v>0</v>
      </c>
    </row>
    <row r="86" spans="1:7" ht="15">
      <c r="A86" s="113" t="s">
        <v>916</v>
      </c>
      <c r="B86" s="111">
        <v>12</v>
      </c>
      <c r="C86" s="115">
        <v>0.002072312530263818</v>
      </c>
      <c r="D86" s="111" t="s">
        <v>1990</v>
      </c>
      <c r="E86" s="111" t="b">
        <v>0</v>
      </c>
      <c r="F86" s="111" t="b">
        <v>0</v>
      </c>
      <c r="G86" s="111" t="b">
        <v>0</v>
      </c>
    </row>
    <row r="87" spans="1:7" ht="15">
      <c r="A87" s="113" t="s">
        <v>917</v>
      </c>
      <c r="B87" s="111">
        <v>12</v>
      </c>
      <c r="C87" s="115">
        <v>0.0017825298768534812</v>
      </c>
      <c r="D87" s="111" t="s">
        <v>1990</v>
      </c>
      <c r="E87" s="111" t="b">
        <v>0</v>
      </c>
      <c r="F87" s="111" t="b">
        <v>0</v>
      </c>
      <c r="G87" s="111" t="b">
        <v>0</v>
      </c>
    </row>
    <row r="88" spans="1:7" ht="15">
      <c r="A88" s="113" t="s">
        <v>918</v>
      </c>
      <c r="B88" s="111">
        <v>12</v>
      </c>
      <c r="C88" s="115">
        <v>0.0023620951836741547</v>
      </c>
      <c r="D88" s="111" t="s">
        <v>1990</v>
      </c>
      <c r="E88" s="111" t="b">
        <v>0</v>
      </c>
      <c r="F88" s="111" t="b">
        <v>0</v>
      </c>
      <c r="G88" s="111" t="b">
        <v>0</v>
      </c>
    </row>
    <row r="89" spans="1:7" ht="15">
      <c r="A89" s="113" t="s">
        <v>919</v>
      </c>
      <c r="B89" s="111">
        <v>11</v>
      </c>
      <c r="C89" s="115">
        <v>0.0018996198194084996</v>
      </c>
      <c r="D89" s="111" t="s">
        <v>1990</v>
      </c>
      <c r="E89" s="111" t="b">
        <v>0</v>
      </c>
      <c r="F89" s="111" t="b">
        <v>0</v>
      </c>
      <c r="G89" s="111" t="b">
        <v>0</v>
      </c>
    </row>
    <row r="90" spans="1:7" ht="15">
      <c r="A90" s="113" t="s">
        <v>920</v>
      </c>
      <c r="B90" s="111">
        <v>11</v>
      </c>
      <c r="C90" s="115">
        <v>0.0017111494268287823</v>
      </c>
      <c r="D90" s="111" t="s">
        <v>1990</v>
      </c>
      <c r="E90" s="111" t="b">
        <v>0</v>
      </c>
      <c r="F90" s="111" t="b">
        <v>0</v>
      </c>
      <c r="G90" s="111" t="b">
        <v>0</v>
      </c>
    </row>
    <row r="91" spans="1:7" ht="15">
      <c r="A91" s="113" t="s">
        <v>921</v>
      </c>
      <c r="B91" s="111">
        <v>11</v>
      </c>
      <c r="C91" s="115">
        <v>0.0015649604329877756</v>
      </c>
      <c r="D91" s="111" t="s">
        <v>1990</v>
      </c>
      <c r="E91" s="111" t="b">
        <v>0</v>
      </c>
      <c r="F91" s="111" t="b">
        <v>0</v>
      </c>
      <c r="G91" s="111" t="b">
        <v>0</v>
      </c>
    </row>
    <row r="92" spans="1:7" ht="15">
      <c r="A92" s="113" t="s">
        <v>922</v>
      </c>
      <c r="B92" s="111">
        <v>11</v>
      </c>
      <c r="C92" s="115">
        <v>0.0015025194652504641</v>
      </c>
      <c r="D92" s="111" t="s">
        <v>1990</v>
      </c>
      <c r="E92" s="111" t="b">
        <v>1</v>
      </c>
      <c r="F92" s="111" t="b">
        <v>0</v>
      </c>
      <c r="G92" s="111" t="b">
        <v>0</v>
      </c>
    </row>
    <row r="93" spans="1:7" ht="15">
      <c r="A93" s="113" t="s">
        <v>923</v>
      </c>
      <c r="B93" s="111">
        <v>11</v>
      </c>
      <c r="C93" s="115">
        <v>0.0018996198194084996</v>
      </c>
      <c r="D93" s="111" t="s">
        <v>1990</v>
      </c>
      <c r="E93" s="111" t="b">
        <v>0</v>
      </c>
      <c r="F93" s="111" t="b">
        <v>0</v>
      </c>
      <c r="G93" s="111" t="b">
        <v>0</v>
      </c>
    </row>
    <row r="94" spans="1:7" ht="15">
      <c r="A94" s="113" t="s">
        <v>924</v>
      </c>
      <c r="B94" s="111">
        <v>11</v>
      </c>
      <c r="C94" s="115">
        <v>0.0015649604329877756</v>
      </c>
      <c r="D94" s="111" t="s">
        <v>1990</v>
      </c>
      <c r="E94" s="111" t="b">
        <v>0</v>
      </c>
      <c r="F94" s="111" t="b">
        <v>0</v>
      </c>
      <c r="G94" s="111" t="b">
        <v>0</v>
      </c>
    </row>
    <row r="95" spans="1:7" ht="15">
      <c r="A95" s="113" t="s">
        <v>925</v>
      </c>
      <c r="B95" s="111">
        <v>11</v>
      </c>
      <c r="C95" s="115">
        <v>0.0015649604329877756</v>
      </c>
      <c r="D95" s="111" t="s">
        <v>1990</v>
      </c>
      <c r="E95" s="111" t="b">
        <v>0</v>
      </c>
      <c r="F95" s="111" t="b">
        <v>0</v>
      </c>
      <c r="G95" s="111" t="b">
        <v>0</v>
      </c>
    </row>
    <row r="96" spans="1:7" ht="15">
      <c r="A96" s="113" t="s">
        <v>926</v>
      </c>
      <c r="B96" s="111">
        <v>11</v>
      </c>
      <c r="C96" s="115">
        <v>0.0016339857204490246</v>
      </c>
      <c r="D96" s="111" t="s">
        <v>1990</v>
      </c>
      <c r="E96" s="111" t="b">
        <v>0</v>
      </c>
      <c r="F96" s="111" t="b">
        <v>0</v>
      </c>
      <c r="G96" s="111" t="b">
        <v>0</v>
      </c>
    </row>
    <row r="97" spans="1:7" ht="15">
      <c r="A97" s="113" t="s">
        <v>927</v>
      </c>
      <c r="B97" s="111">
        <v>11</v>
      </c>
      <c r="C97" s="115">
        <v>0.0030734629014463606</v>
      </c>
      <c r="D97" s="111" t="s">
        <v>1990</v>
      </c>
      <c r="E97" s="111" t="b">
        <v>0</v>
      </c>
      <c r="F97" s="111" t="b">
        <v>0</v>
      </c>
      <c r="G97" s="111" t="b">
        <v>0</v>
      </c>
    </row>
    <row r="98" spans="1:7" ht="15">
      <c r="A98" s="113" t="s">
        <v>928</v>
      </c>
      <c r="B98" s="111">
        <v>10</v>
      </c>
      <c r="C98" s="115">
        <v>0.0014226913027161597</v>
      </c>
      <c r="D98" s="111" t="s">
        <v>1990</v>
      </c>
      <c r="E98" s="111" t="b">
        <v>0</v>
      </c>
      <c r="F98" s="111" t="b">
        <v>0</v>
      </c>
      <c r="G98" s="111" t="b">
        <v>0</v>
      </c>
    </row>
    <row r="99" spans="1:7" ht="15">
      <c r="A99" s="113" t="s">
        <v>929</v>
      </c>
      <c r="B99" s="111">
        <v>10</v>
      </c>
      <c r="C99" s="115">
        <v>0.0017269271085531815</v>
      </c>
      <c r="D99" s="111" t="s">
        <v>1990</v>
      </c>
      <c r="E99" s="111" t="b">
        <v>0</v>
      </c>
      <c r="F99" s="111" t="b">
        <v>0</v>
      </c>
      <c r="G99" s="111" t="b">
        <v>0</v>
      </c>
    </row>
    <row r="100" spans="1:7" ht="15">
      <c r="A100" s="113" t="s">
        <v>930</v>
      </c>
      <c r="B100" s="111">
        <v>10</v>
      </c>
      <c r="C100" s="115">
        <v>0.0016351185654503112</v>
      </c>
      <c r="D100" s="111" t="s">
        <v>1990</v>
      </c>
      <c r="E100" s="111" t="b">
        <v>0</v>
      </c>
      <c r="F100" s="111" t="b">
        <v>0</v>
      </c>
      <c r="G100" s="111" t="b">
        <v>0</v>
      </c>
    </row>
    <row r="101" spans="1:7" ht="15">
      <c r="A101" s="113" t="s">
        <v>931</v>
      </c>
      <c r="B101" s="111">
        <v>10</v>
      </c>
      <c r="C101" s="115">
        <v>0.0019684126530617957</v>
      </c>
      <c r="D101" s="111" t="s">
        <v>1990</v>
      </c>
      <c r="E101" s="111" t="b">
        <v>0</v>
      </c>
      <c r="F101" s="111" t="b">
        <v>0</v>
      </c>
      <c r="G101" s="111" t="b">
        <v>0</v>
      </c>
    </row>
    <row r="102" spans="1:7" ht="15">
      <c r="A102" s="113" t="s">
        <v>932</v>
      </c>
      <c r="B102" s="111">
        <v>10</v>
      </c>
      <c r="C102" s="115">
        <v>0.0014854415640445679</v>
      </c>
      <c r="D102" s="111" t="s">
        <v>1990</v>
      </c>
      <c r="E102" s="111" t="b">
        <v>0</v>
      </c>
      <c r="F102" s="111" t="b">
        <v>0</v>
      </c>
      <c r="G102" s="111" t="b">
        <v>0</v>
      </c>
    </row>
    <row r="103" spans="1:7" ht="15">
      <c r="A103" s="113" t="s">
        <v>933</v>
      </c>
      <c r="B103" s="111">
        <v>10</v>
      </c>
      <c r="C103" s="115">
        <v>0.0017269271085531815</v>
      </c>
      <c r="D103" s="111" t="s">
        <v>1990</v>
      </c>
      <c r="E103" s="111" t="b">
        <v>0</v>
      </c>
      <c r="F103" s="111" t="b">
        <v>0</v>
      </c>
      <c r="G103" s="111" t="b">
        <v>0</v>
      </c>
    </row>
    <row r="104" spans="1:7" ht="15">
      <c r="A104" s="113" t="s">
        <v>934</v>
      </c>
      <c r="B104" s="111">
        <v>10</v>
      </c>
      <c r="C104" s="115">
        <v>0.0014226913027161597</v>
      </c>
      <c r="D104" s="111" t="s">
        <v>1990</v>
      </c>
      <c r="E104" s="111" t="b">
        <v>0</v>
      </c>
      <c r="F104" s="111" t="b">
        <v>0</v>
      </c>
      <c r="G104" s="111" t="b">
        <v>0</v>
      </c>
    </row>
    <row r="105" spans="1:7" ht="15">
      <c r="A105" s="113" t="s">
        <v>935</v>
      </c>
      <c r="B105" s="111">
        <v>10</v>
      </c>
      <c r="C105" s="115">
        <v>0.0014226913027161597</v>
      </c>
      <c r="D105" s="111" t="s">
        <v>1990</v>
      </c>
      <c r="E105" s="111" t="b">
        <v>0</v>
      </c>
      <c r="F105" s="111" t="b">
        <v>0</v>
      </c>
      <c r="G105" s="111" t="b">
        <v>0</v>
      </c>
    </row>
    <row r="106" spans="1:7" ht="15">
      <c r="A106" s="113" t="s">
        <v>936</v>
      </c>
      <c r="B106" s="111">
        <v>10</v>
      </c>
      <c r="C106" s="115">
        <v>0.0015555903880261658</v>
      </c>
      <c r="D106" s="111" t="s">
        <v>1990</v>
      </c>
      <c r="E106" s="111" t="b">
        <v>0</v>
      </c>
      <c r="F106" s="111" t="b">
        <v>0</v>
      </c>
      <c r="G106" s="111" t="b">
        <v>0</v>
      </c>
    </row>
    <row r="107" spans="1:7" ht="15">
      <c r="A107" s="113" t="s">
        <v>937</v>
      </c>
      <c r="B107" s="111">
        <v>10</v>
      </c>
      <c r="C107" s="115">
        <v>0.0015555903880261658</v>
      </c>
      <c r="D107" s="111" t="s">
        <v>1990</v>
      </c>
      <c r="E107" s="111" t="b">
        <v>0</v>
      </c>
      <c r="F107" s="111" t="b">
        <v>0</v>
      </c>
      <c r="G107" s="111" t="b">
        <v>0</v>
      </c>
    </row>
    <row r="108" spans="1:7" ht="15">
      <c r="A108" s="113" t="s">
        <v>938</v>
      </c>
      <c r="B108" s="111">
        <v>10</v>
      </c>
      <c r="C108" s="115">
        <v>0.0016351185654503112</v>
      </c>
      <c r="D108" s="111" t="s">
        <v>1990</v>
      </c>
      <c r="E108" s="111" t="b">
        <v>0</v>
      </c>
      <c r="F108" s="111" t="b">
        <v>0</v>
      </c>
      <c r="G108" s="111" t="b">
        <v>0</v>
      </c>
    </row>
    <row r="109" spans="1:7" ht="15">
      <c r="A109" s="113" t="s">
        <v>939</v>
      </c>
      <c r="B109" s="111">
        <v>10</v>
      </c>
      <c r="C109" s="115">
        <v>0.0017269271085531815</v>
      </c>
      <c r="D109" s="111" t="s">
        <v>1990</v>
      </c>
      <c r="E109" s="111" t="b">
        <v>0</v>
      </c>
      <c r="F109" s="111" t="b">
        <v>0</v>
      </c>
      <c r="G109" s="111" t="b">
        <v>0</v>
      </c>
    </row>
    <row r="110" spans="1:7" ht="15">
      <c r="A110" s="113" t="s">
        <v>940</v>
      </c>
      <c r="B110" s="111">
        <v>10</v>
      </c>
      <c r="C110" s="115">
        <v>0.0016351185654503112</v>
      </c>
      <c r="D110" s="111" t="s">
        <v>1990</v>
      </c>
      <c r="E110" s="111" t="b">
        <v>0</v>
      </c>
      <c r="F110" s="111" t="b">
        <v>0</v>
      </c>
      <c r="G110" s="111" t="b">
        <v>0</v>
      </c>
    </row>
    <row r="111" spans="1:7" ht="15">
      <c r="A111" s="113" t="s">
        <v>941</v>
      </c>
      <c r="B111" s="111">
        <v>10</v>
      </c>
      <c r="C111" s="115">
        <v>0.0016351185654503112</v>
      </c>
      <c r="D111" s="111" t="s">
        <v>1990</v>
      </c>
      <c r="E111" s="111" t="b">
        <v>0</v>
      </c>
      <c r="F111" s="111" t="b">
        <v>0</v>
      </c>
      <c r="G111" s="111" t="b">
        <v>0</v>
      </c>
    </row>
    <row r="112" spans="1:7" ht="15">
      <c r="A112" s="113" t="s">
        <v>942</v>
      </c>
      <c r="B112" s="111">
        <v>10</v>
      </c>
      <c r="C112" s="115">
        <v>0.0016351185654503112</v>
      </c>
      <c r="D112" s="111" t="s">
        <v>1990</v>
      </c>
      <c r="E112" s="111" t="b">
        <v>0</v>
      </c>
      <c r="F112" s="111" t="b">
        <v>0</v>
      </c>
      <c r="G112" s="111" t="b">
        <v>0</v>
      </c>
    </row>
    <row r="113" spans="1:7" ht="15">
      <c r="A113" s="113" t="s">
        <v>943</v>
      </c>
      <c r="B113" s="111">
        <v>9</v>
      </c>
      <c r="C113" s="115">
        <v>0.0015542343976978634</v>
      </c>
      <c r="D113" s="111" t="s">
        <v>1990</v>
      </c>
      <c r="E113" s="111" t="b">
        <v>0</v>
      </c>
      <c r="F113" s="111" t="b">
        <v>0</v>
      </c>
      <c r="G113" s="111" t="b">
        <v>0</v>
      </c>
    </row>
    <row r="114" spans="1:7" ht="15">
      <c r="A114" s="113" t="s">
        <v>944</v>
      </c>
      <c r="B114" s="111">
        <v>9</v>
      </c>
      <c r="C114" s="115">
        <v>0.001336897407640111</v>
      </c>
      <c r="D114" s="111" t="s">
        <v>1990</v>
      </c>
      <c r="E114" s="111" t="b">
        <v>0</v>
      </c>
      <c r="F114" s="111" t="b">
        <v>0</v>
      </c>
      <c r="G114" s="111" t="b">
        <v>0</v>
      </c>
    </row>
    <row r="115" spans="1:7" ht="15">
      <c r="A115" s="113" t="s">
        <v>945</v>
      </c>
      <c r="B115" s="111">
        <v>9</v>
      </c>
      <c r="C115" s="115">
        <v>0.00147160670890528</v>
      </c>
      <c r="D115" s="111" t="s">
        <v>1990</v>
      </c>
      <c r="E115" s="111" t="b">
        <v>0</v>
      </c>
      <c r="F115" s="111" t="b">
        <v>0</v>
      </c>
      <c r="G115" s="111" t="b">
        <v>0</v>
      </c>
    </row>
    <row r="116" spans="1:7" ht="15">
      <c r="A116" s="113" t="s">
        <v>946</v>
      </c>
      <c r="B116" s="111">
        <v>9</v>
      </c>
      <c r="C116" s="115">
        <v>0.00147160670890528</v>
      </c>
      <c r="D116" s="111" t="s">
        <v>1990</v>
      </c>
      <c r="E116" s="111" t="b">
        <v>0</v>
      </c>
      <c r="F116" s="111" t="b">
        <v>0</v>
      </c>
      <c r="G116" s="111" t="b">
        <v>0</v>
      </c>
    </row>
    <row r="117" spans="1:7" ht="15">
      <c r="A117" s="113" t="s">
        <v>947</v>
      </c>
      <c r="B117" s="111">
        <v>9</v>
      </c>
      <c r="C117" s="115">
        <v>0.001400031349223549</v>
      </c>
      <c r="D117" s="111" t="s">
        <v>1990</v>
      </c>
      <c r="E117" s="111" t="b">
        <v>0</v>
      </c>
      <c r="F117" s="111" t="b">
        <v>0</v>
      </c>
      <c r="G117" s="111" t="b">
        <v>0</v>
      </c>
    </row>
    <row r="118" spans="1:7" ht="15">
      <c r="A118" s="113" t="s">
        <v>948</v>
      </c>
      <c r="B118" s="111">
        <v>9</v>
      </c>
      <c r="C118" s="115">
        <v>0.0015542343976978634</v>
      </c>
      <c r="D118" s="111" t="s">
        <v>1990</v>
      </c>
      <c r="E118" s="111" t="b">
        <v>0</v>
      </c>
      <c r="F118" s="111" t="b">
        <v>0</v>
      </c>
      <c r="G118" s="111" t="b">
        <v>0</v>
      </c>
    </row>
    <row r="119" spans="1:7" ht="15">
      <c r="A119" s="113" t="s">
        <v>949</v>
      </c>
      <c r="B119" s="111">
        <v>9</v>
      </c>
      <c r="C119" s="115">
        <v>0.001400031349223549</v>
      </c>
      <c r="D119" s="111" t="s">
        <v>1990</v>
      </c>
      <c r="E119" s="111" t="b">
        <v>0</v>
      </c>
      <c r="F119" s="111" t="b">
        <v>0</v>
      </c>
      <c r="G119" s="111" t="b">
        <v>0</v>
      </c>
    </row>
    <row r="120" spans="1:7" ht="15">
      <c r="A120" s="113" t="s">
        <v>950</v>
      </c>
      <c r="B120" s="111">
        <v>9</v>
      </c>
      <c r="C120" s="115">
        <v>0.001336897407640111</v>
      </c>
      <c r="D120" s="111" t="s">
        <v>1990</v>
      </c>
      <c r="E120" s="111" t="b">
        <v>0</v>
      </c>
      <c r="F120" s="111" t="b">
        <v>0</v>
      </c>
      <c r="G120" s="111" t="b">
        <v>0</v>
      </c>
    </row>
    <row r="121" spans="1:7" ht="15">
      <c r="A121" s="113" t="s">
        <v>951</v>
      </c>
      <c r="B121" s="111">
        <v>9</v>
      </c>
      <c r="C121" s="115">
        <v>0.001400031349223549</v>
      </c>
      <c r="D121" s="111" t="s">
        <v>1990</v>
      </c>
      <c r="E121" s="111" t="b">
        <v>0</v>
      </c>
      <c r="F121" s="111" t="b">
        <v>0</v>
      </c>
      <c r="G121" s="111" t="b">
        <v>0</v>
      </c>
    </row>
    <row r="122" spans="1:7" ht="15">
      <c r="A122" s="113" t="s">
        <v>952</v>
      </c>
      <c r="B122" s="111">
        <v>9</v>
      </c>
      <c r="C122" s="115">
        <v>0.001771571387755616</v>
      </c>
      <c r="D122" s="111" t="s">
        <v>1990</v>
      </c>
      <c r="E122" s="111" t="b">
        <v>0</v>
      </c>
      <c r="F122" s="111" t="b">
        <v>0</v>
      </c>
      <c r="G122" s="111" t="b">
        <v>0</v>
      </c>
    </row>
    <row r="123" spans="1:7" ht="15">
      <c r="A123" s="113" t="s">
        <v>953</v>
      </c>
      <c r="B123" s="111">
        <v>9</v>
      </c>
      <c r="C123" s="115">
        <v>0.001336897407640111</v>
      </c>
      <c r="D123" s="111" t="s">
        <v>1990</v>
      </c>
      <c r="E123" s="111" t="b">
        <v>0</v>
      </c>
      <c r="F123" s="111" t="b">
        <v>0</v>
      </c>
      <c r="G123" s="111" t="b">
        <v>0</v>
      </c>
    </row>
    <row r="124" spans="1:7" ht="15">
      <c r="A124" s="113" t="s">
        <v>954</v>
      </c>
      <c r="B124" s="111">
        <v>9</v>
      </c>
      <c r="C124" s="115">
        <v>0.00147160670890528</v>
      </c>
      <c r="D124" s="111" t="s">
        <v>1990</v>
      </c>
      <c r="E124" s="111" t="b">
        <v>0</v>
      </c>
      <c r="F124" s="111" t="b">
        <v>0</v>
      </c>
      <c r="G124" s="111" t="b">
        <v>0</v>
      </c>
    </row>
    <row r="125" spans="1:7" ht="15">
      <c r="A125" s="113" t="s">
        <v>955</v>
      </c>
      <c r="B125" s="111">
        <v>9</v>
      </c>
      <c r="C125" s="115">
        <v>0.0025146514648197497</v>
      </c>
      <c r="D125" s="111" t="s">
        <v>1990</v>
      </c>
      <c r="E125" s="111" t="b">
        <v>0</v>
      </c>
      <c r="F125" s="111" t="b">
        <v>0</v>
      </c>
      <c r="G125" s="111" t="b">
        <v>0</v>
      </c>
    </row>
    <row r="126" spans="1:7" ht="15">
      <c r="A126" s="113" t="s">
        <v>956</v>
      </c>
      <c r="B126" s="111">
        <v>8</v>
      </c>
      <c r="C126" s="115">
        <v>0.0015747301224494365</v>
      </c>
      <c r="D126" s="111" t="s">
        <v>1990</v>
      </c>
      <c r="E126" s="111" t="b">
        <v>0</v>
      </c>
      <c r="F126" s="111" t="b">
        <v>0</v>
      </c>
      <c r="G126" s="111" t="b">
        <v>0</v>
      </c>
    </row>
    <row r="127" spans="1:7" ht="15">
      <c r="A127" s="113" t="s">
        <v>957</v>
      </c>
      <c r="B127" s="111">
        <v>8</v>
      </c>
      <c r="C127" s="115">
        <v>0.0013080948523602489</v>
      </c>
      <c r="D127" s="111" t="s">
        <v>1990</v>
      </c>
      <c r="E127" s="111" t="b">
        <v>0</v>
      </c>
      <c r="F127" s="111" t="b">
        <v>0</v>
      </c>
      <c r="G127" s="111" t="b">
        <v>0</v>
      </c>
    </row>
    <row r="128" spans="1:7" ht="15">
      <c r="A128" s="113" t="s">
        <v>958</v>
      </c>
      <c r="B128" s="111">
        <v>8</v>
      </c>
      <c r="C128" s="115">
        <v>0.0013815416868425453</v>
      </c>
      <c r="D128" s="111" t="s">
        <v>1990</v>
      </c>
      <c r="E128" s="111" t="b">
        <v>0</v>
      </c>
      <c r="F128" s="111" t="b">
        <v>0</v>
      </c>
      <c r="G128" s="111" t="b">
        <v>0</v>
      </c>
    </row>
    <row r="129" spans="1:7" ht="15">
      <c r="A129" s="113" t="s">
        <v>959</v>
      </c>
      <c r="B129" s="111">
        <v>8</v>
      </c>
      <c r="C129" s="115">
        <v>0.0014684108542014317</v>
      </c>
      <c r="D129" s="111" t="s">
        <v>1990</v>
      </c>
      <c r="E129" s="111" t="b">
        <v>0</v>
      </c>
      <c r="F129" s="111" t="b">
        <v>0</v>
      </c>
      <c r="G129" s="111" t="b">
        <v>0</v>
      </c>
    </row>
    <row r="130" spans="1:7" ht="15">
      <c r="A130" s="113" t="s">
        <v>960</v>
      </c>
      <c r="B130" s="111">
        <v>8</v>
      </c>
      <c r="C130" s="115">
        <v>0.0012444723104209326</v>
      </c>
      <c r="D130" s="111" t="s">
        <v>1990</v>
      </c>
      <c r="E130" s="111" t="b">
        <v>0</v>
      </c>
      <c r="F130" s="111" t="b">
        <v>0</v>
      </c>
      <c r="G130" s="111" t="b">
        <v>0</v>
      </c>
    </row>
    <row r="131" spans="1:7" ht="15">
      <c r="A131" s="113" t="s">
        <v>961</v>
      </c>
      <c r="B131" s="111">
        <v>8</v>
      </c>
      <c r="C131" s="115">
        <v>0.0014684108542014317</v>
      </c>
      <c r="D131" s="111" t="s">
        <v>1990</v>
      </c>
      <c r="E131" s="111" t="b">
        <v>0</v>
      </c>
      <c r="F131" s="111" t="b">
        <v>0</v>
      </c>
      <c r="G131" s="111" t="b">
        <v>0</v>
      </c>
    </row>
    <row r="132" spans="1:7" ht="15">
      <c r="A132" s="113" t="s">
        <v>962</v>
      </c>
      <c r="B132" s="111">
        <v>8</v>
      </c>
      <c r="C132" s="115">
        <v>0.0013080948523602489</v>
      </c>
      <c r="D132" s="111" t="s">
        <v>1990</v>
      </c>
      <c r="E132" s="111" t="b">
        <v>0</v>
      </c>
      <c r="F132" s="111" t="b">
        <v>0</v>
      </c>
      <c r="G132" s="111" t="b">
        <v>0</v>
      </c>
    </row>
    <row r="133" spans="1:7" ht="15">
      <c r="A133" s="113" t="s">
        <v>963</v>
      </c>
      <c r="B133" s="111">
        <v>8</v>
      </c>
      <c r="C133" s="115">
        <v>0.0012444723104209326</v>
      </c>
      <c r="D133" s="111" t="s">
        <v>1990</v>
      </c>
      <c r="E133" s="111" t="b">
        <v>0</v>
      </c>
      <c r="F133" s="111" t="b">
        <v>0</v>
      </c>
      <c r="G133" s="111" t="b">
        <v>0</v>
      </c>
    </row>
    <row r="134" spans="1:7" ht="15">
      <c r="A134" s="113" t="s">
        <v>964</v>
      </c>
      <c r="B134" s="111">
        <v>8</v>
      </c>
      <c r="C134" s="115">
        <v>0.0013815416868425453</v>
      </c>
      <c r="D134" s="111" t="s">
        <v>1990</v>
      </c>
      <c r="E134" s="111" t="b">
        <v>1</v>
      </c>
      <c r="F134" s="111" t="b">
        <v>0</v>
      </c>
      <c r="G134" s="111" t="b">
        <v>0</v>
      </c>
    </row>
    <row r="135" spans="1:7" ht="15">
      <c r="A135" s="113" t="s">
        <v>965</v>
      </c>
      <c r="B135" s="111">
        <v>8</v>
      </c>
      <c r="C135" s="115">
        <v>0.0012444723104209326</v>
      </c>
      <c r="D135" s="111" t="s">
        <v>1990</v>
      </c>
      <c r="E135" s="111" t="b">
        <v>0</v>
      </c>
      <c r="F135" s="111" t="b">
        <v>0</v>
      </c>
      <c r="G135" s="111" t="b">
        <v>0</v>
      </c>
    </row>
    <row r="136" spans="1:7" ht="15">
      <c r="A136" s="113" t="s">
        <v>966</v>
      </c>
      <c r="B136" s="111">
        <v>8</v>
      </c>
      <c r="C136" s="115">
        <v>0.0012444723104209326</v>
      </c>
      <c r="D136" s="111" t="s">
        <v>1990</v>
      </c>
      <c r="E136" s="111" t="b">
        <v>0</v>
      </c>
      <c r="F136" s="111" t="b">
        <v>0</v>
      </c>
      <c r="G136" s="111" t="b">
        <v>0</v>
      </c>
    </row>
    <row r="137" spans="1:7" ht="15">
      <c r="A137" s="113" t="s">
        <v>967</v>
      </c>
      <c r="B137" s="111">
        <v>8</v>
      </c>
      <c r="C137" s="115">
        <v>0.0012444723104209326</v>
      </c>
      <c r="D137" s="111" t="s">
        <v>1990</v>
      </c>
      <c r="E137" s="111" t="b">
        <v>0</v>
      </c>
      <c r="F137" s="111" t="b">
        <v>0</v>
      </c>
      <c r="G137" s="111" t="b">
        <v>0</v>
      </c>
    </row>
    <row r="138" spans="1:7" ht="15">
      <c r="A138" s="113" t="s">
        <v>968</v>
      </c>
      <c r="B138" s="111">
        <v>8</v>
      </c>
      <c r="C138" s="115">
        <v>0.0013080948523602489</v>
      </c>
      <c r="D138" s="111" t="s">
        <v>1990</v>
      </c>
      <c r="E138" s="111" t="b">
        <v>0</v>
      </c>
      <c r="F138" s="111" t="b">
        <v>0</v>
      </c>
      <c r="G138" s="111" t="b">
        <v>0</v>
      </c>
    </row>
    <row r="139" spans="1:7" ht="15">
      <c r="A139" s="113" t="s">
        <v>969</v>
      </c>
      <c r="B139" s="111">
        <v>8</v>
      </c>
      <c r="C139" s="115">
        <v>0.0012444723104209326</v>
      </c>
      <c r="D139" s="111" t="s">
        <v>1990</v>
      </c>
      <c r="E139" s="111" t="b">
        <v>0</v>
      </c>
      <c r="F139" s="111" t="b">
        <v>0</v>
      </c>
      <c r="G139" s="111" t="b">
        <v>0</v>
      </c>
    </row>
    <row r="140" spans="1:7" ht="15">
      <c r="A140" s="113" t="s">
        <v>970</v>
      </c>
      <c r="B140" s="111">
        <v>8</v>
      </c>
      <c r="C140" s="115">
        <v>0.0014684108542014317</v>
      </c>
      <c r="D140" s="111" t="s">
        <v>1990</v>
      </c>
      <c r="E140" s="111" t="b">
        <v>0</v>
      </c>
      <c r="F140" s="111" t="b">
        <v>0</v>
      </c>
      <c r="G140" s="111" t="b">
        <v>0</v>
      </c>
    </row>
    <row r="141" spans="1:7" ht="15">
      <c r="A141" s="113" t="s">
        <v>971</v>
      </c>
      <c r="B141" s="111">
        <v>8</v>
      </c>
      <c r="C141" s="115">
        <v>0.0013080948523602489</v>
      </c>
      <c r="D141" s="111" t="s">
        <v>1990</v>
      </c>
      <c r="E141" s="111" t="b">
        <v>0</v>
      </c>
      <c r="F141" s="111" t="b">
        <v>0</v>
      </c>
      <c r="G141" s="111" t="b">
        <v>0</v>
      </c>
    </row>
    <row r="142" spans="1:7" ht="15">
      <c r="A142" s="113" t="s">
        <v>972</v>
      </c>
      <c r="B142" s="111">
        <v>8</v>
      </c>
      <c r="C142" s="115">
        <v>0.0014684108542014317</v>
      </c>
      <c r="D142" s="111" t="s">
        <v>1990</v>
      </c>
      <c r="E142" s="111" t="b">
        <v>0</v>
      </c>
      <c r="F142" s="111" t="b">
        <v>0</v>
      </c>
      <c r="G142" s="111" t="b">
        <v>0</v>
      </c>
    </row>
    <row r="143" spans="1:7" ht="15">
      <c r="A143" s="113" t="s">
        <v>973</v>
      </c>
      <c r="B143" s="111">
        <v>8</v>
      </c>
      <c r="C143" s="115">
        <v>0.0014684108542014317</v>
      </c>
      <c r="D143" s="111" t="s">
        <v>1990</v>
      </c>
      <c r="E143" s="111" t="b">
        <v>0</v>
      </c>
      <c r="F143" s="111" t="b">
        <v>1</v>
      </c>
      <c r="G143" s="111" t="b">
        <v>0</v>
      </c>
    </row>
    <row r="144" spans="1:7" ht="15">
      <c r="A144" s="113" t="s">
        <v>974</v>
      </c>
      <c r="B144" s="111">
        <v>8</v>
      </c>
      <c r="C144" s="115">
        <v>0.0013080948523602489</v>
      </c>
      <c r="D144" s="111" t="s">
        <v>1990</v>
      </c>
      <c r="E144" s="111" t="b">
        <v>1</v>
      </c>
      <c r="F144" s="111" t="b">
        <v>0</v>
      </c>
      <c r="G144" s="111" t="b">
        <v>0</v>
      </c>
    </row>
    <row r="145" spans="1:7" ht="15">
      <c r="A145" s="113" t="s">
        <v>975</v>
      </c>
      <c r="B145" s="111">
        <v>8</v>
      </c>
      <c r="C145" s="115">
        <v>0.0013080948523602489</v>
      </c>
      <c r="D145" s="111" t="s">
        <v>1990</v>
      </c>
      <c r="E145" s="111" t="b">
        <v>0</v>
      </c>
      <c r="F145" s="111" t="b">
        <v>0</v>
      </c>
      <c r="G145" s="111" t="b">
        <v>0</v>
      </c>
    </row>
    <row r="146" spans="1:7" ht="15">
      <c r="A146" s="113" t="s">
        <v>976</v>
      </c>
      <c r="B146" s="111">
        <v>8</v>
      </c>
      <c r="C146" s="115">
        <v>0.0013815416868425453</v>
      </c>
      <c r="D146" s="111" t="s">
        <v>1990</v>
      </c>
      <c r="E146" s="111" t="b">
        <v>0</v>
      </c>
      <c r="F146" s="111" t="b">
        <v>0</v>
      </c>
      <c r="G146" s="111" t="b">
        <v>0</v>
      </c>
    </row>
    <row r="147" spans="1:7" ht="15">
      <c r="A147" s="113" t="s">
        <v>977</v>
      </c>
      <c r="B147" s="111">
        <v>8</v>
      </c>
      <c r="C147" s="115">
        <v>0.0013080948523602489</v>
      </c>
      <c r="D147" s="111" t="s">
        <v>1990</v>
      </c>
      <c r="E147" s="111" t="b">
        <v>0</v>
      </c>
      <c r="F147" s="111" t="b">
        <v>0</v>
      </c>
      <c r="G147" s="111" t="b">
        <v>0</v>
      </c>
    </row>
    <row r="148" spans="1:7" ht="15">
      <c r="A148" s="113" t="s">
        <v>978</v>
      </c>
      <c r="B148" s="111">
        <v>8</v>
      </c>
      <c r="C148" s="115">
        <v>0.0015747301224494365</v>
      </c>
      <c r="D148" s="111" t="s">
        <v>1990</v>
      </c>
      <c r="E148" s="111" t="b">
        <v>0</v>
      </c>
      <c r="F148" s="111" t="b">
        <v>0</v>
      </c>
      <c r="G148" s="111" t="b">
        <v>0</v>
      </c>
    </row>
    <row r="149" spans="1:7" ht="15">
      <c r="A149" s="113" t="s">
        <v>979</v>
      </c>
      <c r="B149" s="111">
        <v>8</v>
      </c>
      <c r="C149" s="115">
        <v>0.002235245746506444</v>
      </c>
      <c r="D149" s="111" t="s">
        <v>1990</v>
      </c>
      <c r="E149" s="111" t="b">
        <v>0</v>
      </c>
      <c r="F149" s="111" t="b">
        <v>0</v>
      </c>
      <c r="G149" s="111" t="b">
        <v>0</v>
      </c>
    </row>
    <row r="150" spans="1:7" ht="15">
      <c r="A150" s="113" t="s">
        <v>980</v>
      </c>
      <c r="B150" s="111">
        <v>8</v>
      </c>
      <c r="C150" s="115">
        <v>0.0014684108542014317</v>
      </c>
      <c r="D150" s="111" t="s">
        <v>1990</v>
      </c>
      <c r="E150" s="111" t="b">
        <v>0</v>
      </c>
      <c r="F150" s="111" t="b">
        <v>0</v>
      </c>
      <c r="G150" s="111" t="b">
        <v>0</v>
      </c>
    </row>
    <row r="151" spans="1:7" ht="15">
      <c r="A151" s="113" t="s">
        <v>981</v>
      </c>
      <c r="B151" s="111">
        <v>8</v>
      </c>
      <c r="C151" s="115">
        <v>0.002235245746506444</v>
      </c>
      <c r="D151" s="111" t="s">
        <v>1990</v>
      </c>
      <c r="E151" s="111" t="b">
        <v>0</v>
      </c>
      <c r="F151" s="111" t="b">
        <v>0</v>
      </c>
      <c r="G151" s="111" t="b">
        <v>0</v>
      </c>
    </row>
    <row r="152" spans="1:7" ht="15">
      <c r="A152" s="113" t="s">
        <v>982</v>
      </c>
      <c r="B152" s="111">
        <v>8</v>
      </c>
      <c r="C152" s="115">
        <v>0.002235245746506444</v>
      </c>
      <c r="D152" s="111" t="s">
        <v>1990</v>
      </c>
      <c r="E152" s="111" t="b">
        <v>0</v>
      </c>
      <c r="F152" s="111" t="b">
        <v>0</v>
      </c>
      <c r="G152" s="111" t="b">
        <v>0</v>
      </c>
    </row>
    <row r="153" spans="1:7" ht="15">
      <c r="A153" s="113" t="s">
        <v>983</v>
      </c>
      <c r="B153" s="111">
        <v>8</v>
      </c>
      <c r="C153" s="115">
        <v>0.002235245746506444</v>
      </c>
      <c r="D153" s="111" t="s">
        <v>1990</v>
      </c>
      <c r="E153" s="111" t="b">
        <v>0</v>
      </c>
      <c r="F153" s="111" t="b">
        <v>0</v>
      </c>
      <c r="G153" s="111" t="b">
        <v>0</v>
      </c>
    </row>
    <row r="154" spans="1:7" ht="15">
      <c r="A154" s="113" t="s">
        <v>984</v>
      </c>
      <c r="B154" s="111">
        <v>8</v>
      </c>
      <c r="C154" s="115">
        <v>0.002235245746506444</v>
      </c>
      <c r="D154" s="111" t="s">
        <v>1990</v>
      </c>
      <c r="E154" s="111" t="b">
        <v>0</v>
      </c>
      <c r="F154" s="111" t="b">
        <v>0</v>
      </c>
      <c r="G154" s="111" t="b">
        <v>0</v>
      </c>
    </row>
    <row r="155" spans="1:7" ht="15">
      <c r="A155" s="113" t="s">
        <v>985</v>
      </c>
      <c r="B155" s="111">
        <v>7</v>
      </c>
      <c r="C155" s="115">
        <v>0.0011445829958152177</v>
      </c>
      <c r="D155" s="111" t="s">
        <v>1990</v>
      </c>
      <c r="E155" s="111" t="b">
        <v>0</v>
      </c>
      <c r="F155" s="111" t="b">
        <v>0</v>
      </c>
      <c r="G155" s="111" t="b">
        <v>0</v>
      </c>
    </row>
    <row r="156" spans="1:7" ht="15">
      <c r="A156" s="113" t="s">
        <v>986</v>
      </c>
      <c r="B156" s="111">
        <v>7</v>
      </c>
      <c r="C156" s="115">
        <v>0.001208848975987227</v>
      </c>
      <c r="D156" s="111" t="s">
        <v>1990</v>
      </c>
      <c r="E156" s="111" t="b">
        <v>0</v>
      </c>
      <c r="F156" s="111" t="b">
        <v>0</v>
      </c>
      <c r="G156" s="111" t="b">
        <v>0</v>
      </c>
    </row>
    <row r="157" spans="1:7" ht="15">
      <c r="A157" s="113" t="s">
        <v>987</v>
      </c>
      <c r="B157" s="111">
        <v>7</v>
      </c>
      <c r="C157" s="115">
        <v>0.0012848594974262525</v>
      </c>
      <c r="D157" s="111" t="s">
        <v>1990</v>
      </c>
      <c r="E157" s="111" t="b">
        <v>0</v>
      </c>
      <c r="F157" s="111" t="b">
        <v>0</v>
      </c>
      <c r="G157" s="111" t="b">
        <v>0</v>
      </c>
    </row>
    <row r="158" spans="1:7" ht="15">
      <c r="A158" s="113" t="s">
        <v>988</v>
      </c>
      <c r="B158" s="111">
        <v>7</v>
      </c>
      <c r="C158" s="115">
        <v>0.0012848594974262525</v>
      </c>
      <c r="D158" s="111" t="s">
        <v>1990</v>
      </c>
      <c r="E158" s="111" t="b">
        <v>0</v>
      </c>
      <c r="F158" s="111" t="b">
        <v>0</v>
      </c>
      <c r="G158" s="111" t="b">
        <v>0</v>
      </c>
    </row>
    <row r="159" spans="1:7" ht="15">
      <c r="A159" s="113" t="s">
        <v>989</v>
      </c>
      <c r="B159" s="111">
        <v>7</v>
      </c>
      <c r="C159" s="115">
        <v>0.0012848594974262525</v>
      </c>
      <c r="D159" s="111" t="s">
        <v>1990</v>
      </c>
      <c r="E159" s="111" t="b">
        <v>0</v>
      </c>
      <c r="F159" s="111" t="b">
        <v>0</v>
      </c>
      <c r="G159" s="111" t="b">
        <v>0</v>
      </c>
    </row>
    <row r="160" spans="1:7" ht="15">
      <c r="A160" s="113" t="s">
        <v>990</v>
      </c>
      <c r="B160" s="111">
        <v>7</v>
      </c>
      <c r="C160" s="115">
        <v>0.0012848594974262525</v>
      </c>
      <c r="D160" s="111" t="s">
        <v>1990</v>
      </c>
      <c r="E160" s="111" t="b">
        <v>0</v>
      </c>
      <c r="F160" s="111" t="b">
        <v>0</v>
      </c>
      <c r="G160" s="111" t="b">
        <v>0</v>
      </c>
    </row>
    <row r="161" spans="1:7" ht="15">
      <c r="A161" s="113" t="s">
        <v>991</v>
      </c>
      <c r="B161" s="111">
        <v>7</v>
      </c>
      <c r="C161" s="115">
        <v>0.001208848975987227</v>
      </c>
      <c r="D161" s="111" t="s">
        <v>1990</v>
      </c>
      <c r="E161" s="111" t="b">
        <v>0</v>
      </c>
      <c r="F161" s="111" t="b">
        <v>0</v>
      </c>
      <c r="G161" s="111" t="b">
        <v>0</v>
      </c>
    </row>
    <row r="162" spans="1:7" ht="15">
      <c r="A162" s="113" t="s">
        <v>992</v>
      </c>
      <c r="B162" s="111">
        <v>7</v>
      </c>
      <c r="C162" s="115">
        <v>0.0012848594974262525</v>
      </c>
      <c r="D162" s="111" t="s">
        <v>1990</v>
      </c>
      <c r="E162" s="111" t="b">
        <v>0</v>
      </c>
      <c r="F162" s="111" t="b">
        <v>1</v>
      </c>
      <c r="G162" s="111" t="b">
        <v>0</v>
      </c>
    </row>
    <row r="163" spans="1:7" ht="15">
      <c r="A163" s="113" t="s">
        <v>993</v>
      </c>
      <c r="B163" s="111">
        <v>7</v>
      </c>
      <c r="C163" s="115">
        <v>0.0011445829958152177</v>
      </c>
      <c r="D163" s="111" t="s">
        <v>1990</v>
      </c>
      <c r="E163" s="111" t="b">
        <v>0</v>
      </c>
      <c r="F163" s="111" t="b">
        <v>1</v>
      </c>
      <c r="G163" s="111" t="b">
        <v>0</v>
      </c>
    </row>
    <row r="164" spans="1:7" ht="15">
      <c r="A164" s="113" t="s">
        <v>994</v>
      </c>
      <c r="B164" s="111">
        <v>7</v>
      </c>
      <c r="C164" s="115">
        <v>0.001208848975987227</v>
      </c>
      <c r="D164" s="111" t="s">
        <v>1990</v>
      </c>
      <c r="E164" s="111" t="b">
        <v>0</v>
      </c>
      <c r="F164" s="111" t="b">
        <v>0</v>
      </c>
      <c r="G164" s="111" t="b">
        <v>0</v>
      </c>
    </row>
    <row r="165" spans="1:7" ht="15">
      <c r="A165" s="113" t="s">
        <v>995</v>
      </c>
      <c r="B165" s="111">
        <v>7</v>
      </c>
      <c r="C165" s="115">
        <v>0.0011445829958152177</v>
      </c>
      <c r="D165" s="111" t="s">
        <v>1990</v>
      </c>
      <c r="E165" s="111" t="b">
        <v>0</v>
      </c>
      <c r="F165" s="111" t="b">
        <v>0</v>
      </c>
      <c r="G165" s="111" t="b">
        <v>0</v>
      </c>
    </row>
    <row r="166" spans="1:7" ht="15">
      <c r="A166" s="113" t="s">
        <v>996</v>
      </c>
      <c r="B166" s="111">
        <v>7</v>
      </c>
      <c r="C166" s="115">
        <v>0.001208848975987227</v>
      </c>
      <c r="D166" s="111" t="s">
        <v>1990</v>
      </c>
      <c r="E166" s="111" t="b">
        <v>0</v>
      </c>
      <c r="F166" s="111" t="b">
        <v>0</v>
      </c>
      <c r="G166" s="111" t="b">
        <v>0</v>
      </c>
    </row>
    <row r="167" spans="1:7" ht="15">
      <c r="A167" s="113" t="s">
        <v>997</v>
      </c>
      <c r="B167" s="111">
        <v>7</v>
      </c>
      <c r="C167" s="115">
        <v>0.0013778888571432568</v>
      </c>
      <c r="D167" s="111" t="s">
        <v>1990</v>
      </c>
      <c r="E167" s="111" t="b">
        <v>0</v>
      </c>
      <c r="F167" s="111" t="b">
        <v>0</v>
      </c>
      <c r="G167" s="111" t="b">
        <v>0</v>
      </c>
    </row>
    <row r="168" spans="1:7" ht="15">
      <c r="A168" s="113" t="s">
        <v>998</v>
      </c>
      <c r="B168" s="111">
        <v>7</v>
      </c>
      <c r="C168" s="115">
        <v>0.001497824561512168</v>
      </c>
      <c r="D168" s="111" t="s">
        <v>1990</v>
      </c>
      <c r="E168" s="111" t="b">
        <v>0</v>
      </c>
      <c r="F168" s="111" t="b">
        <v>0</v>
      </c>
      <c r="G168" s="111" t="b">
        <v>0</v>
      </c>
    </row>
    <row r="169" spans="1:7" ht="15">
      <c r="A169" s="113" t="s">
        <v>999</v>
      </c>
      <c r="B169" s="111">
        <v>7</v>
      </c>
      <c r="C169" s="115">
        <v>0.0011445829958152177</v>
      </c>
      <c r="D169" s="111" t="s">
        <v>1990</v>
      </c>
      <c r="E169" s="111" t="b">
        <v>0</v>
      </c>
      <c r="F169" s="111" t="b">
        <v>0</v>
      </c>
      <c r="G169" s="111" t="b">
        <v>0</v>
      </c>
    </row>
    <row r="170" spans="1:7" ht="15">
      <c r="A170" s="113" t="s">
        <v>1000</v>
      </c>
      <c r="B170" s="111">
        <v>7</v>
      </c>
      <c r="C170" s="115">
        <v>0.0011445829958152177</v>
      </c>
      <c r="D170" s="111" t="s">
        <v>1990</v>
      </c>
      <c r="E170" s="111" t="b">
        <v>0</v>
      </c>
      <c r="F170" s="111" t="b">
        <v>0</v>
      </c>
      <c r="G170" s="111" t="b">
        <v>0</v>
      </c>
    </row>
    <row r="171" spans="1:7" ht="15">
      <c r="A171" s="113" t="s">
        <v>1001</v>
      </c>
      <c r="B171" s="111">
        <v>7</v>
      </c>
      <c r="C171" s="115">
        <v>0.001208848975987227</v>
      </c>
      <c r="D171" s="111" t="s">
        <v>1990</v>
      </c>
      <c r="E171" s="111" t="b">
        <v>0</v>
      </c>
      <c r="F171" s="111" t="b">
        <v>1</v>
      </c>
      <c r="G171" s="111" t="b">
        <v>0</v>
      </c>
    </row>
    <row r="172" spans="1:7" ht="15">
      <c r="A172" s="113" t="s">
        <v>1002</v>
      </c>
      <c r="B172" s="111">
        <v>7</v>
      </c>
      <c r="C172" s="115">
        <v>0.0012848594974262525</v>
      </c>
      <c r="D172" s="111" t="s">
        <v>1990</v>
      </c>
      <c r="E172" s="111" t="b">
        <v>0</v>
      </c>
      <c r="F172" s="111" t="b">
        <v>0</v>
      </c>
      <c r="G172" s="111" t="b">
        <v>0</v>
      </c>
    </row>
    <row r="173" spans="1:7" ht="15">
      <c r="A173" s="113" t="s">
        <v>1003</v>
      </c>
      <c r="B173" s="111">
        <v>7</v>
      </c>
      <c r="C173" s="115">
        <v>0.001497824561512168</v>
      </c>
      <c r="D173" s="111" t="s">
        <v>1990</v>
      </c>
      <c r="E173" s="111" t="b">
        <v>0</v>
      </c>
      <c r="F173" s="111" t="b">
        <v>0</v>
      </c>
      <c r="G173" s="111" t="b">
        <v>0</v>
      </c>
    </row>
    <row r="174" spans="1:7" ht="15">
      <c r="A174" s="113" t="s">
        <v>1004</v>
      </c>
      <c r="B174" s="111">
        <v>7</v>
      </c>
      <c r="C174" s="115">
        <v>0.001208848975987227</v>
      </c>
      <c r="D174" s="111" t="s">
        <v>1990</v>
      </c>
      <c r="E174" s="111" t="b">
        <v>0</v>
      </c>
      <c r="F174" s="111" t="b">
        <v>0</v>
      </c>
      <c r="G174" s="111" t="b">
        <v>0</v>
      </c>
    </row>
    <row r="175" spans="1:7" ht="15">
      <c r="A175" s="113" t="s">
        <v>1005</v>
      </c>
      <c r="B175" s="111">
        <v>7</v>
      </c>
      <c r="C175" s="115">
        <v>0.0012848594974262525</v>
      </c>
      <c r="D175" s="111" t="s">
        <v>1990</v>
      </c>
      <c r="E175" s="111" t="b">
        <v>0</v>
      </c>
      <c r="F175" s="111" t="b">
        <v>0</v>
      </c>
      <c r="G175" s="111" t="b">
        <v>0</v>
      </c>
    </row>
    <row r="176" spans="1:7" ht="15">
      <c r="A176" s="113" t="s">
        <v>1006</v>
      </c>
      <c r="B176" s="111">
        <v>7</v>
      </c>
      <c r="C176" s="115">
        <v>0.0012848594974262525</v>
      </c>
      <c r="D176" s="111" t="s">
        <v>1990</v>
      </c>
      <c r="E176" s="111" t="b">
        <v>0</v>
      </c>
      <c r="F176" s="111" t="b">
        <v>0</v>
      </c>
      <c r="G176" s="111" t="b">
        <v>0</v>
      </c>
    </row>
    <row r="177" spans="1:7" ht="15">
      <c r="A177" s="113" t="s">
        <v>1007</v>
      </c>
      <c r="B177" s="111">
        <v>7</v>
      </c>
      <c r="C177" s="115">
        <v>0.001208848975987227</v>
      </c>
      <c r="D177" s="111" t="s">
        <v>1990</v>
      </c>
      <c r="E177" s="111" t="b">
        <v>0</v>
      </c>
      <c r="F177" s="111" t="b">
        <v>0</v>
      </c>
      <c r="G177" s="111" t="b">
        <v>0</v>
      </c>
    </row>
    <row r="178" spans="1:7" ht="15">
      <c r="A178" s="113" t="s">
        <v>1008</v>
      </c>
      <c r="B178" s="111">
        <v>7</v>
      </c>
      <c r="C178" s="115">
        <v>0.001208848975987227</v>
      </c>
      <c r="D178" s="111" t="s">
        <v>1990</v>
      </c>
      <c r="E178" s="111" t="b">
        <v>0</v>
      </c>
      <c r="F178" s="111" t="b">
        <v>0</v>
      </c>
      <c r="G178" s="111" t="b">
        <v>0</v>
      </c>
    </row>
    <row r="179" spans="1:7" ht="15">
      <c r="A179" s="113" t="s">
        <v>1009</v>
      </c>
      <c r="B179" s="111">
        <v>7</v>
      </c>
      <c r="C179" s="115">
        <v>0.001497824561512168</v>
      </c>
      <c r="D179" s="111" t="s">
        <v>1990</v>
      </c>
      <c r="E179" s="111" t="b">
        <v>0</v>
      </c>
      <c r="F179" s="111" t="b">
        <v>0</v>
      </c>
      <c r="G179" s="111" t="b">
        <v>0</v>
      </c>
    </row>
    <row r="180" spans="1:7" ht="15">
      <c r="A180" s="113" t="s">
        <v>1010</v>
      </c>
      <c r="B180" s="111">
        <v>7</v>
      </c>
      <c r="C180" s="115">
        <v>0.001208848975987227</v>
      </c>
      <c r="D180" s="111" t="s">
        <v>1990</v>
      </c>
      <c r="E180" s="111" t="b">
        <v>0</v>
      </c>
      <c r="F180" s="111" t="b">
        <v>0</v>
      </c>
      <c r="G180" s="111" t="b">
        <v>0</v>
      </c>
    </row>
    <row r="181" spans="1:7" ht="15">
      <c r="A181" s="113" t="s">
        <v>1011</v>
      </c>
      <c r="B181" s="111">
        <v>7</v>
      </c>
      <c r="C181" s="115">
        <v>0.001208848975987227</v>
      </c>
      <c r="D181" s="111" t="s">
        <v>1990</v>
      </c>
      <c r="E181" s="111" t="b">
        <v>0</v>
      </c>
      <c r="F181" s="111" t="b">
        <v>0</v>
      </c>
      <c r="G181" s="111" t="b">
        <v>0</v>
      </c>
    </row>
    <row r="182" spans="1:7" ht="15">
      <c r="A182" s="113" t="s">
        <v>1012</v>
      </c>
      <c r="B182" s="111">
        <v>7</v>
      </c>
      <c r="C182" s="115">
        <v>0.0019558400281931387</v>
      </c>
      <c r="D182" s="111" t="s">
        <v>1990</v>
      </c>
      <c r="E182" s="111" t="b">
        <v>0</v>
      </c>
      <c r="F182" s="111" t="b">
        <v>0</v>
      </c>
      <c r="G182" s="111" t="b">
        <v>0</v>
      </c>
    </row>
    <row r="183" spans="1:7" ht="15">
      <c r="A183" s="113" t="s">
        <v>1013</v>
      </c>
      <c r="B183" s="111">
        <v>7</v>
      </c>
      <c r="C183" s="115">
        <v>0.001208848975987227</v>
      </c>
      <c r="D183" s="111" t="s">
        <v>1990</v>
      </c>
      <c r="E183" s="111" t="b">
        <v>0</v>
      </c>
      <c r="F183" s="111" t="b">
        <v>0</v>
      </c>
      <c r="G183" s="111" t="b">
        <v>0</v>
      </c>
    </row>
    <row r="184" spans="1:7" ht="15">
      <c r="A184" s="113" t="s">
        <v>1014</v>
      </c>
      <c r="B184" s="111">
        <v>7</v>
      </c>
      <c r="C184" s="115">
        <v>0.0019558400281931387</v>
      </c>
      <c r="D184" s="111" t="s">
        <v>1990</v>
      </c>
      <c r="E184" s="111" t="b">
        <v>0</v>
      </c>
      <c r="F184" s="111" t="b">
        <v>0</v>
      </c>
      <c r="G184" s="111" t="b">
        <v>0</v>
      </c>
    </row>
    <row r="185" spans="1:7" ht="15">
      <c r="A185" s="113" t="s">
        <v>1015</v>
      </c>
      <c r="B185" s="111">
        <v>7</v>
      </c>
      <c r="C185" s="115">
        <v>0.0012848594974262525</v>
      </c>
      <c r="D185" s="111" t="s">
        <v>1990</v>
      </c>
      <c r="E185" s="111" t="b">
        <v>0</v>
      </c>
      <c r="F185" s="111" t="b">
        <v>0</v>
      </c>
      <c r="G185" s="111" t="b">
        <v>0</v>
      </c>
    </row>
    <row r="186" spans="1:7" ht="15">
      <c r="A186" s="113" t="s">
        <v>1016</v>
      </c>
      <c r="B186" s="111">
        <v>7</v>
      </c>
      <c r="C186" s="115">
        <v>0.001497824561512168</v>
      </c>
      <c r="D186" s="111" t="s">
        <v>1990</v>
      </c>
      <c r="E186" s="111" t="b">
        <v>0</v>
      </c>
      <c r="F186" s="111" t="b">
        <v>0</v>
      </c>
      <c r="G186" s="111" t="b">
        <v>0</v>
      </c>
    </row>
    <row r="187" spans="1:7" ht="15">
      <c r="A187" s="113" t="s">
        <v>1017</v>
      </c>
      <c r="B187" s="111">
        <v>7</v>
      </c>
      <c r="C187" s="115">
        <v>0.001208848975987227</v>
      </c>
      <c r="D187" s="111" t="s">
        <v>1990</v>
      </c>
      <c r="E187" s="111" t="b">
        <v>0</v>
      </c>
      <c r="F187" s="111" t="b">
        <v>0</v>
      </c>
      <c r="G187" s="111" t="b">
        <v>0</v>
      </c>
    </row>
    <row r="188" spans="1:7" ht="15">
      <c r="A188" s="113" t="s">
        <v>1018</v>
      </c>
      <c r="B188" s="111">
        <v>7</v>
      </c>
      <c r="C188" s="115">
        <v>0.0013778888571432568</v>
      </c>
      <c r="D188" s="111" t="s">
        <v>1990</v>
      </c>
      <c r="E188" s="111" t="b">
        <v>0</v>
      </c>
      <c r="F188" s="111" t="b">
        <v>0</v>
      </c>
      <c r="G188" s="111" t="b">
        <v>0</v>
      </c>
    </row>
    <row r="189" spans="1:7" ht="15">
      <c r="A189" s="113" t="s">
        <v>1019</v>
      </c>
      <c r="B189" s="111">
        <v>7</v>
      </c>
      <c r="C189" s="115">
        <v>0.0019558400281931387</v>
      </c>
      <c r="D189" s="111" t="s">
        <v>1990</v>
      </c>
      <c r="E189" s="111" t="b">
        <v>0</v>
      </c>
      <c r="F189" s="111" t="b">
        <v>0</v>
      </c>
      <c r="G189" s="111" t="b">
        <v>0</v>
      </c>
    </row>
    <row r="190" spans="1:7" ht="15">
      <c r="A190" s="113" t="s">
        <v>1020</v>
      </c>
      <c r="B190" s="111">
        <v>7</v>
      </c>
      <c r="C190" s="115">
        <v>0.0019558400281931387</v>
      </c>
      <c r="D190" s="111" t="s">
        <v>1990</v>
      </c>
      <c r="E190" s="111" t="b">
        <v>0</v>
      </c>
      <c r="F190" s="111" t="b">
        <v>0</v>
      </c>
      <c r="G190" s="111" t="b">
        <v>0</v>
      </c>
    </row>
    <row r="191" spans="1:7" ht="15">
      <c r="A191" s="113" t="s">
        <v>1021</v>
      </c>
      <c r="B191" s="111">
        <v>6</v>
      </c>
      <c r="C191" s="115">
        <v>0.0011810475918370773</v>
      </c>
      <c r="D191" s="111" t="s">
        <v>1990</v>
      </c>
      <c r="E191" s="111" t="b">
        <v>0</v>
      </c>
      <c r="F191" s="111" t="b">
        <v>0</v>
      </c>
      <c r="G191" s="111" t="b">
        <v>0</v>
      </c>
    </row>
    <row r="192" spans="1:7" ht="15">
      <c r="A192" s="113" t="s">
        <v>1022</v>
      </c>
      <c r="B192" s="111">
        <v>6</v>
      </c>
      <c r="C192" s="115">
        <v>0.001036156265131909</v>
      </c>
      <c r="D192" s="111" t="s">
        <v>1990</v>
      </c>
      <c r="E192" s="111" t="b">
        <v>0</v>
      </c>
      <c r="F192" s="111" t="b">
        <v>0</v>
      </c>
      <c r="G192" s="111" t="b">
        <v>0</v>
      </c>
    </row>
    <row r="193" spans="1:7" ht="15">
      <c r="A193" s="113" t="s">
        <v>1023</v>
      </c>
      <c r="B193" s="111">
        <v>6</v>
      </c>
      <c r="C193" s="115">
        <v>0.001036156265131909</v>
      </c>
      <c r="D193" s="111" t="s">
        <v>1990</v>
      </c>
      <c r="E193" s="111" t="b">
        <v>0</v>
      </c>
      <c r="F193" s="111" t="b">
        <v>0</v>
      </c>
      <c r="G193" s="111" t="b">
        <v>0</v>
      </c>
    </row>
    <row r="194" spans="1:7" ht="15">
      <c r="A194" s="113" t="s">
        <v>1024</v>
      </c>
      <c r="B194" s="111">
        <v>6</v>
      </c>
      <c r="C194" s="115">
        <v>0.001036156265131909</v>
      </c>
      <c r="D194" s="111" t="s">
        <v>1990</v>
      </c>
      <c r="E194" s="111" t="b">
        <v>0</v>
      </c>
      <c r="F194" s="111" t="b">
        <v>0</v>
      </c>
      <c r="G194" s="111" t="b">
        <v>0</v>
      </c>
    </row>
    <row r="195" spans="1:7" ht="15">
      <c r="A195" s="113" t="s">
        <v>1025</v>
      </c>
      <c r="B195" s="111">
        <v>6</v>
      </c>
      <c r="C195" s="115">
        <v>0.001036156265131909</v>
      </c>
      <c r="D195" s="111" t="s">
        <v>1990</v>
      </c>
      <c r="E195" s="111" t="b">
        <v>0</v>
      </c>
      <c r="F195" s="111" t="b">
        <v>0</v>
      </c>
      <c r="G195" s="111" t="b">
        <v>0</v>
      </c>
    </row>
    <row r="196" spans="1:7" ht="15">
      <c r="A196" s="113" t="s">
        <v>1026</v>
      </c>
      <c r="B196" s="111">
        <v>6</v>
      </c>
      <c r="C196" s="115">
        <v>0.001036156265131909</v>
      </c>
      <c r="D196" s="111" t="s">
        <v>1990</v>
      </c>
      <c r="E196" s="111" t="b">
        <v>0</v>
      </c>
      <c r="F196" s="111" t="b">
        <v>0</v>
      </c>
      <c r="G196" s="111" t="b">
        <v>0</v>
      </c>
    </row>
    <row r="197" spans="1:7" ht="15">
      <c r="A197" s="113" t="s">
        <v>1027</v>
      </c>
      <c r="B197" s="111">
        <v>6</v>
      </c>
      <c r="C197" s="115">
        <v>0.001428740950858455</v>
      </c>
      <c r="D197" s="111" t="s">
        <v>1990</v>
      </c>
      <c r="E197" s="111" t="b">
        <v>0</v>
      </c>
      <c r="F197" s="111" t="b">
        <v>0</v>
      </c>
      <c r="G197" s="111" t="b">
        <v>0</v>
      </c>
    </row>
    <row r="198" spans="1:7" ht="15">
      <c r="A198" s="113" t="s">
        <v>1028</v>
      </c>
      <c r="B198" s="111">
        <v>6</v>
      </c>
      <c r="C198" s="115">
        <v>0.001428740950858455</v>
      </c>
      <c r="D198" s="111" t="s">
        <v>1990</v>
      </c>
      <c r="E198" s="111" t="b">
        <v>0</v>
      </c>
      <c r="F198" s="111" t="b">
        <v>0</v>
      </c>
      <c r="G198" s="111" t="b">
        <v>0</v>
      </c>
    </row>
    <row r="199" spans="1:7" ht="15">
      <c r="A199" s="113" t="s">
        <v>1029</v>
      </c>
      <c r="B199" s="111">
        <v>6</v>
      </c>
      <c r="C199" s="115">
        <v>0.0011810475918370773</v>
      </c>
      <c r="D199" s="111" t="s">
        <v>1990</v>
      </c>
      <c r="E199" s="111" t="b">
        <v>1</v>
      </c>
      <c r="F199" s="111" t="b">
        <v>0</v>
      </c>
      <c r="G199" s="111" t="b">
        <v>0</v>
      </c>
    </row>
    <row r="200" spans="1:7" ht="15">
      <c r="A200" s="113" t="s">
        <v>1030</v>
      </c>
      <c r="B200" s="111">
        <v>6</v>
      </c>
      <c r="C200" s="115">
        <v>0.001036156265131909</v>
      </c>
      <c r="D200" s="111" t="s">
        <v>1990</v>
      </c>
      <c r="E200" s="111" t="b">
        <v>0</v>
      </c>
      <c r="F200" s="111" t="b">
        <v>0</v>
      </c>
      <c r="G200" s="111" t="b">
        <v>0</v>
      </c>
    </row>
    <row r="201" spans="1:7" ht="15">
      <c r="A201" s="113" t="s">
        <v>1031</v>
      </c>
      <c r="B201" s="111">
        <v>6</v>
      </c>
      <c r="C201" s="115">
        <v>0.0011013081406510735</v>
      </c>
      <c r="D201" s="111" t="s">
        <v>1990</v>
      </c>
      <c r="E201" s="111" t="b">
        <v>0</v>
      </c>
      <c r="F201" s="111" t="b">
        <v>0</v>
      </c>
      <c r="G201" s="111" t="b">
        <v>0</v>
      </c>
    </row>
    <row r="202" spans="1:7" ht="15">
      <c r="A202" s="113" t="s">
        <v>1032</v>
      </c>
      <c r="B202" s="111">
        <v>6</v>
      </c>
      <c r="C202" s="115">
        <v>0.001428740950858455</v>
      </c>
      <c r="D202" s="111" t="s">
        <v>1990</v>
      </c>
      <c r="E202" s="111" t="b">
        <v>0</v>
      </c>
      <c r="F202" s="111" t="b">
        <v>0</v>
      </c>
      <c r="G202" s="111" t="b">
        <v>0</v>
      </c>
    </row>
    <row r="203" spans="1:7" ht="15">
      <c r="A203" s="113" t="s">
        <v>1033</v>
      </c>
      <c r="B203" s="111">
        <v>6</v>
      </c>
      <c r="C203" s="115">
        <v>0.0011013081406510735</v>
      </c>
      <c r="D203" s="111" t="s">
        <v>1990</v>
      </c>
      <c r="E203" s="111" t="b">
        <v>0</v>
      </c>
      <c r="F203" s="111" t="b">
        <v>0</v>
      </c>
      <c r="G203" s="111" t="b">
        <v>0</v>
      </c>
    </row>
    <row r="204" spans="1:7" ht="15">
      <c r="A204" s="113" t="s">
        <v>1034</v>
      </c>
      <c r="B204" s="111">
        <v>6</v>
      </c>
      <c r="C204" s="115">
        <v>0.0012838496241532867</v>
      </c>
      <c r="D204" s="111" t="s">
        <v>1990</v>
      </c>
      <c r="E204" s="111" t="b">
        <v>0</v>
      </c>
      <c r="F204" s="111" t="b">
        <v>0</v>
      </c>
      <c r="G204" s="111" t="b">
        <v>0</v>
      </c>
    </row>
    <row r="205" spans="1:7" ht="15">
      <c r="A205" s="113" t="s">
        <v>1035</v>
      </c>
      <c r="B205" s="111">
        <v>6</v>
      </c>
      <c r="C205" s="115">
        <v>0.001036156265131909</v>
      </c>
      <c r="D205" s="111" t="s">
        <v>1990</v>
      </c>
      <c r="E205" s="111" t="b">
        <v>0</v>
      </c>
      <c r="F205" s="111" t="b">
        <v>0</v>
      </c>
      <c r="G205" s="111" t="b">
        <v>0</v>
      </c>
    </row>
    <row r="206" spans="1:7" ht="15">
      <c r="A206" s="113" t="s">
        <v>1036</v>
      </c>
      <c r="B206" s="111">
        <v>6</v>
      </c>
      <c r="C206" s="115">
        <v>0.0011013081406510735</v>
      </c>
      <c r="D206" s="111" t="s">
        <v>1990</v>
      </c>
      <c r="E206" s="111" t="b">
        <v>0</v>
      </c>
      <c r="F206" s="111" t="b">
        <v>0</v>
      </c>
      <c r="G206" s="111" t="b">
        <v>0</v>
      </c>
    </row>
    <row r="207" spans="1:7" ht="15">
      <c r="A207" s="113" t="s">
        <v>1037</v>
      </c>
      <c r="B207" s="111">
        <v>6</v>
      </c>
      <c r="C207" s="115">
        <v>0.0011810475918370773</v>
      </c>
      <c r="D207" s="111" t="s">
        <v>1990</v>
      </c>
      <c r="E207" s="111" t="b">
        <v>0</v>
      </c>
      <c r="F207" s="111" t="b">
        <v>0</v>
      </c>
      <c r="G207" s="111" t="b">
        <v>0</v>
      </c>
    </row>
    <row r="208" spans="1:7" ht="15">
      <c r="A208" s="113" t="s">
        <v>1038</v>
      </c>
      <c r="B208" s="111">
        <v>6</v>
      </c>
      <c r="C208" s="115">
        <v>0.001036156265131909</v>
      </c>
      <c r="D208" s="111" t="s">
        <v>1990</v>
      </c>
      <c r="E208" s="111" t="b">
        <v>0</v>
      </c>
      <c r="F208" s="111" t="b">
        <v>0</v>
      </c>
      <c r="G208" s="111" t="b">
        <v>0</v>
      </c>
    </row>
    <row r="209" spans="1:7" ht="15">
      <c r="A209" s="113" t="s">
        <v>1039</v>
      </c>
      <c r="B209" s="111">
        <v>6</v>
      </c>
      <c r="C209" s="115">
        <v>0.0011013081406510735</v>
      </c>
      <c r="D209" s="111" t="s">
        <v>1990</v>
      </c>
      <c r="E209" s="111" t="b">
        <v>0</v>
      </c>
      <c r="F209" s="111" t="b">
        <v>0</v>
      </c>
      <c r="G209" s="111" t="b">
        <v>0</v>
      </c>
    </row>
    <row r="210" spans="1:7" ht="15">
      <c r="A210" s="113" t="s">
        <v>1040</v>
      </c>
      <c r="B210" s="111">
        <v>6</v>
      </c>
      <c r="C210" s="115">
        <v>0.0011013081406510735</v>
      </c>
      <c r="D210" s="111" t="s">
        <v>1990</v>
      </c>
      <c r="E210" s="111" t="b">
        <v>0</v>
      </c>
      <c r="F210" s="111" t="b">
        <v>0</v>
      </c>
      <c r="G210" s="111" t="b">
        <v>0</v>
      </c>
    </row>
    <row r="211" spans="1:7" ht="15">
      <c r="A211" s="113" t="s">
        <v>1041</v>
      </c>
      <c r="B211" s="111">
        <v>6</v>
      </c>
      <c r="C211" s="115">
        <v>0.001036156265131909</v>
      </c>
      <c r="D211" s="111" t="s">
        <v>1990</v>
      </c>
      <c r="E211" s="111" t="b">
        <v>0</v>
      </c>
      <c r="F211" s="111" t="b">
        <v>0</v>
      </c>
      <c r="G211" s="111" t="b">
        <v>0</v>
      </c>
    </row>
    <row r="212" spans="1:7" ht="15">
      <c r="A212" s="113" t="s">
        <v>1042</v>
      </c>
      <c r="B212" s="111">
        <v>6</v>
      </c>
      <c r="C212" s="115">
        <v>0.001036156265131909</v>
      </c>
      <c r="D212" s="111" t="s">
        <v>1990</v>
      </c>
      <c r="E212" s="111" t="b">
        <v>0</v>
      </c>
      <c r="F212" s="111" t="b">
        <v>0</v>
      </c>
      <c r="G212" s="111" t="b">
        <v>0</v>
      </c>
    </row>
    <row r="213" spans="1:7" ht="15">
      <c r="A213" s="113" t="s">
        <v>1043</v>
      </c>
      <c r="B213" s="111">
        <v>6</v>
      </c>
      <c r="C213" s="115">
        <v>0.0011013081406510735</v>
      </c>
      <c r="D213" s="111" t="s">
        <v>1990</v>
      </c>
      <c r="E213" s="111" t="b">
        <v>0</v>
      </c>
      <c r="F213" s="111" t="b">
        <v>0</v>
      </c>
      <c r="G213" s="111" t="b">
        <v>0</v>
      </c>
    </row>
    <row r="214" spans="1:7" ht="15">
      <c r="A214" s="113" t="s">
        <v>1044</v>
      </c>
      <c r="B214" s="111">
        <v>6</v>
      </c>
      <c r="C214" s="115">
        <v>0.0011810475918370773</v>
      </c>
      <c r="D214" s="111" t="s">
        <v>1990</v>
      </c>
      <c r="E214" s="111" t="b">
        <v>0</v>
      </c>
      <c r="F214" s="111" t="b">
        <v>0</v>
      </c>
      <c r="G214" s="111" t="b">
        <v>0</v>
      </c>
    </row>
    <row r="215" spans="1:7" ht="15">
      <c r="A215" s="113" t="s">
        <v>1045</v>
      </c>
      <c r="B215" s="111">
        <v>6</v>
      </c>
      <c r="C215" s="115">
        <v>0.001036156265131909</v>
      </c>
      <c r="D215" s="111" t="s">
        <v>1990</v>
      </c>
      <c r="E215" s="111" t="b">
        <v>0</v>
      </c>
      <c r="F215" s="111" t="b">
        <v>0</v>
      </c>
      <c r="G215" s="111" t="b">
        <v>0</v>
      </c>
    </row>
    <row r="216" spans="1:7" ht="15">
      <c r="A216" s="113" t="s">
        <v>1046</v>
      </c>
      <c r="B216" s="111">
        <v>6</v>
      </c>
      <c r="C216" s="115">
        <v>0.0011013081406510735</v>
      </c>
      <c r="D216" s="111" t="s">
        <v>1990</v>
      </c>
      <c r="E216" s="111" t="b">
        <v>0</v>
      </c>
      <c r="F216" s="111" t="b">
        <v>0</v>
      </c>
      <c r="G216" s="111" t="b">
        <v>0</v>
      </c>
    </row>
    <row r="217" spans="1:7" ht="15">
      <c r="A217" s="113" t="s">
        <v>1047</v>
      </c>
      <c r="B217" s="111">
        <v>6</v>
      </c>
      <c r="C217" s="115">
        <v>0.0011013081406510735</v>
      </c>
      <c r="D217" s="111" t="s">
        <v>1990</v>
      </c>
      <c r="E217" s="111" t="b">
        <v>0</v>
      </c>
      <c r="F217" s="111" t="b">
        <v>0</v>
      </c>
      <c r="G217" s="111" t="b">
        <v>0</v>
      </c>
    </row>
    <row r="218" spans="1:7" ht="15">
      <c r="A218" s="113" t="s">
        <v>1048</v>
      </c>
      <c r="B218" s="111">
        <v>6</v>
      </c>
      <c r="C218" s="115">
        <v>0.0011013081406510735</v>
      </c>
      <c r="D218" s="111" t="s">
        <v>1990</v>
      </c>
      <c r="E218" s="111" t="b">
        <v>1</v>
      </c>
      <c r="F218" s="111" t="b">
        <v>0</v>
      </c>
      <c r="G218" s="111" t="b">
        <v>0</v>
      </c>
    </row>
    <row r="219" spans="1:7" ht="15">
      <c r="A219" s="113" t="s">
        <v>1049</v>
      </c>
      <c r="B219" s="111">
        <v>6</v>
      </c>
      <c r="C219" s="115">
        <v>0.0011013081406510735</v>
      </c>
      <c r="D219" s="111" t="s">
        <v>1990</v>
      </c>
      <c r="E219" s="111" t="b">
        <v>0</v>
      </c>
      <c r="F219" s="111" t="b">
        <v>0</v>
      </c>
      <c r="G219" s="111" t="b">
        <v>0</v>
      </c>
    </row>
    <row r="220" spans="1:7" ht="15">
      <c r="A220" s="113" t="s">
        <v>1050</v>
      </c>
      <c r="B220" s="111">
        <v>6</v>
      </c>
      <c r="C220" s="115">
        <v>0.0011810475918370773</v>
      </c>
      <c r="D220" s="111" t="s">
        <v>1990</v>
      </c>
      <c r="E220" s="111" t="b">
        <v>0</v>
      </c>
      <c r="F220" s="111" t="b">
        <v>0</v>
      </c>
      <c r="G220" s="111" t="b">
        <v>0</v>
      </c>
    </row>
    <row r="221" spans="1:7" ht="15">
      <c r="A221" s="113" t="s">
        <v>1051</v>
      </c>
      <c r="B221" s="111">
        <v>6</v>
      </c>
      <c r="C221" s="115">
        <v>0.0011810475918370773</v>
      </c>
      <c r="D221" s="111" t="s">
        <v>1990</v>
      </c>
      <c r="E221" s="111" t="b">
        <v>0</v>
      </c>
      <c r="F221" s="111" t="b">
        <v>0</v>
      </c>
      <c r="G221" s="111" t="b">
        <v>0</v>
      </c>
    </row>
    <row r="222" spans="1:7" ht="15">
      <c r="A222" s="113" t="s">
        <v>1052</v>
      </c>
      <c r="B222" s="111">
        <v>6</v>
      </c>
      <c r="C222" s="115">
        <v>0.001036156265131909</v>
      </c>
      <c r="D222" s="111" t="s">
        <v>1990</v>
      </c>
      <c r="E222" s="111" t="b">
        <v>1</v>
      </c>
      <c r="F222" s="111" t="b">
        <v>0</v>
      </c>
      <c r="G222" s="111" t="b">
        <v>0</v>
      </c>
    </row>
    <row r="223" spans="1:7" ht="15">
      <c r="A223" s="113" t="s">
        <v>1053</v>
      </c>
      <c r="B223" s="111">
        <v>6</v>
      </c>
      <c r="C223" s="115">
        <v>0.0011013081406510735</v>
      </c>
      <c r="D223" s="111" t="s">
        <v>1990</v>
      </c>
      <c r="E223" s="111" t="b">
        <v>0</v>
      </c>
      <c r="F223" s="111" t="b">
        <v>0</v>
      </c>
      <c r="G223" s="111" t="b">
        <v>0</v>
      </c>
    </row>
    <row r="224" spans="1:7" ht="15">
      <c r="A224" s="113" t="s">
        <v>1054</v>
      </c>
      <c r="B224" s="111">
        <v>6</v>
      </c>
      <c r="C224" s="115">
        <v>0.001036156265131909</v>
      </c>
      <c r="D224" s="111" t="s">
        <v>1990</v>
      </c>
      <c r="E224" s="111" t="b">
        <v>0</v>
      </c>
      <c r="F224" s="111" t="b">
        <v>0</v>
      </c>
      <c r="G224" s="111" t="b">
        <v>0</v>
      </c>
    </row>
    <row r="225" spans="1:7" ht="15">
      <c r="A225" s="113" t="s">
        <v>1055</v>
      </c>
      <c r="B225" s="111">
        <v>6</v>
      </c>
      <c r="C225" s="115">
        <v>0.0011013081406510735</v>
      </c>
      <c r="D225" s="111" t="s">
        <v>1990</v>
      </c>
      <c r="E225" s="111" t="b">
        <v>0</v>
      </c>
      <c r="F225" s="111" t="b">
        <v>0</v>
      </c>
      <c r="G225" s="111" t="b">
        <v>0</v>
      </c>
    </row>
    <row r="226" spans="1:7" ht="15">
      <c r="A226" s="113" t="s">
        <v>1056</v>
      </c>
      <c r="B226" s="111">
        <v>6</v>
      </c>
      <c r="C226" s="115">
        <v>0.0011810475918370773</v>
      </c>
      <c r="D226" s="111" t="s">
        <v>1990</v>
      </c>
      <c r="E226" s="111" t="b">
        <v>0</v>
      </c>
      <c r="F226" s="111" t="b">
        <v>0</v>
      </c>
      <c r="G226" s="111" t="b">
        <v>0</v>
      </c>
    </row>
    <row r="227" spans="1:7" ht="15">
      <c r="A227" s="113" t="s">
        <v>1057</v>
      </c>
      <c r="B227" s="111">
        <v>6</v>
      </c>
      <c r="C227" s="115">
        <v>0.001036156265131909</v>
      </c>
      <c r="D227" s="111" t="s">
        <v>1990</v>
      </c>
      <c r="E227" s="111" t="b">
        <v>0</v>
      </c>
      <c r="F227" s="111" t="b">
        <v>0</v>
      </c>
      <c r="G227" s="111" t="b">
        <v>0</v>
      </c>
    </row>
    <row r="228" spans="1:7" ht="15">
      <c r="A228" s="113" t="s">
        <v>1058</v>
      </c>
      <c r="B228" s="111">
        <v>6</v>
      </c>
      <c r="C228" s="115">
        <v>0.001036156265131909</v>
      </c>
      <c r="D228" s="111" t="s">
        <v>1990</v>
      </c>
      <c r="E228" s="111" t="b">
        <v>0</v>
      </c>
      <c r="F228" s="111" t="b">
        <v>0</v>
      </c>
      <c r="G228" s="111" t="b">
        <v>0</v>
      </c>
    </row>
    <row r="229" spans="1:7" ht="15">
      <c r="A229" s="113" t="s">
        <v>1059</v>
      </c>
      <c r="B229" s="111">
        <v>6</v>
      </c>
      <c r="C229" s="115">
        <v>0.001428740950858455</v>
      </c>
      <c r="D229" s="111" t="s">
        <v>1990</v>
      </c>
      <c r="E229" s="111" t="b">
        <v>0</v>
      </c>
      <c r="F229" s="111" t="b">
        <v>0</v>
      </c>
      <c r="G229" s="111" t="b">
        <v>0</v>
      </c>
    </row>
    <row r="230" spans="1:7" ht="15">
      <c r="A230" s="113" t="s">
        <v>1060</v>
      </c>
      <c r="B230" s="111">
        <v>6</v>
      </c>
      <c r="C230" s="115">
        <v>0.001036156265131909</v>
      </c>
      <c r="D230" s="111" t="s">
        <v>1990</v>
      </c>
      <c r="E230" s="111" t="b">
        <v>0</v>
      </c>
      <c r="F230" s="111" t="b">
        <v>0</v>
      </c>
      <c r="G230" s="111" t="b">
        <v>0</v>
      </c>
    </row>
    <row r="231" spans="1:7" ht="15">
      <c r="A231" s="113" t="s">
        <v>1061</v>
      </c>
      <c r="B231" s="111">
        <v>6</v>
      </c>
      <c r="C231" s="115">
        <v>0.0011013081406510735</v>
      </c>
      <c r="D231" s="111" t="s">
        <v>1990</v>
      </c>
      <c r="E231" s="111" t="b">
        <v>0</v>
      </c>
      <c r="F231" s="111" t="b">
        <v>0</v>
      </c>
      <c r="G231" s="111" t="b">
        <v>0</v>
      </c>
    </row>
    <row r="232" spans="1:7" ht="15">
      <c r="A232" s="113" t="s">
        <v>1062</v>
      </c>
      <c r="B232" s="111">
        <v>6</v>
      </c>
      <c r="C232" s="115">
        <v>0.001036156265131909</v>
      </c>
      <c r="D232" s="111" t="s">
        <v>1990</v>
      </c>
      <c r="E232" s="111" t="b">
        <v>0</v>
      </c>
      <c r="F232" s="111" t="b">
        <v>0</v>
      </c>
      <c r="G232" s="111" t="b">
        <v>0</v>
      </c>
    </row>
    <row r="233" spans="1:7" ht="15">
      <c r="A233" s="113" t="s">
        <v>1063</v>
      </c>
      <c r="B233" s="111">
        <v>6</v>
      </c>
      <c r="C233" s="115">
        <v>0.001036156265131909</v>
      </c>
      <c r="D233" s="111" t="s">
        <v>1990</v>
      </c>
      <c r="E233" s="111" t="b">
        <v>1</v>
      </c>
      <c r="F233" s="111" t="b">
        <v>0</v>
      </c>
      <c r="G233" s="111" t="b">
        <v>0</v>
      </c>
    </row>
    <row r="234" spans="1:7" ht="15">
      <c r="A234" s="113" t="s">
        <v>1064</v>
      </c>
      <c r="B234" s="111">
        <v>6</v>
      </c>
      <c r="C234" s="115">
        <v>0.001036156265131909</v>
      </c>
      <c r="D234" s="111" t="s">
        <v>1990</v>
      </c>
      <c r="E234" s="111" t="b">
        <v>0</v>
      </c>
      <c r="F234" s="111" t="b">
        <v>0</v>
      </c>
      <c r="G234" s="111" t="b">
        <v>0</v>
      </c>
    </row>
    <row r="235" spans="1:7" ht="15">
      <c r="A235" s="113" t="s">
        <v>1065</v>
      </c>
      <c r="B235" s="111">
        <v>6</v>
      </c>
      <c r="C235" s="115">
        <v>0.0011013081406510735</v>
      </c>
      <c r="D235" s="111" t="s">
        <v>1990</v>
      </c>
      <c r="E235" s="111" t="b">
        <v>1</v>
      </c>
      <c r="F235" s="111" t="b">
        <v>0</v>
      </c>
      <c r="G235" s="111" t="b">
        <v>0</v>
      </c>
    </row>
    <row r="236" spans="1:7" ht="15">
      <c r="A236" s="113" t="s">
        <v>1066</v>
      </c>
      <c r="B236" s="111">
        <v>6</v>
      </c>
      <c r="C236" s="115">
        <v>0.0012838496241532867</v>
      </c>
      <c r="D236" s="111" t="s">
        <v>1990</v>
      </c>
      <c r="E236" s="111" t="b">
        <v>0</v>
      </c>
      <c r="F236" s="111" t="b">
        <v>0</v>
      </c>
      <c r="G236" s="111" t="b">
        <v>0</v>
      </c>
    </row>
    <row r="237" spans="1:7" ht="15">
      <c r="A237" s="113" t="s">
        <v>1067</v>
      </c>
      <c r="B237" s="111">
        <v>6</v>
      </c>
      <c r="C237" s="115">
        <v>0.0011013081406510735</v>
      </c>
      <c r="D237" s="111" t="s">
        <v>1990</v>
      </c>
      <c r="E237" s="111" t="b">
        <v>0</v>
      </c>
      <c r="F237" s="111" t="b">
        <v>0</v>
      </c>
      <c r="G237" s="111" t="b">
        <v>0</v>
      </c>
    </row>
    <row r="238" spans="1:7" ht="15">
      <c r="A238" s="113" t="s">
        <v>1068</v>
      </c>
      <c r="B238" s="111">
        <v>6</v>
      </c>
      <c r="C238" s="115">
        <v>0.0011013081406510735</v>
      </c>
      <c r="D238" s="111" t="s">
        <v>1990</v>
      </c>
      <c r="E238" s="111" t="b">
        <v>0</v>
      </c>
      <c r="F238" s="111" t="b">
        <v>0</v>
      </c>
      <c r="G238" s="111" t="b">
        <v>0</v>
      </c>
    </row>
    <row r="239" spans="1:7" ht="15">
      <c r="A239" s="113" t="s">
        <v>1069</v>
      </c>
      <c r="B239" s="111">
        <v>6</v>
      </c>
      <c r="C239" s="115">
        <v>0.0011810475918370773</v>
      </c>
      <c r="D239" s="111" t="s">
        <v>1990</v>
      </c>
      <c r="E239" s="111" t="b">
        <v>0</v>
      </c>
      <c r="F239" s="111" t="b">
        <v>0</v>
      </c>
      <c r="G239" s="111" t="b">
        <v>0</v>
      </c>
    </row>
    <row r="240" spans="1:7" ht="15">
      <c r="A240" s="113" t="s">
        <v>1070</v>
      </c>
      <c r="B240" s="111">
        <v>6</v>
      </c>
      <c r="C240" s="115">
        <v>0.0012838496241532867</v>
      </c>
      <c r="D240" s="111" t="s">
        <v>1990</v>
      </c>
      <c r="E240" s="111" t="b">
        <v>0</v>
      </c>
      <c r="F240" s="111" t="b">
        <v>0</v>
      </c>
      <c r="G240" s="111" t="b">
        <v>0</v>
      </c>
    </row>
    <row r="241" spans="1:7" ht="15">
      <c r="A241" s="113" t="s">
        <v>1071</v>
      </c>
      <c r="B241" s="111">
        <v>6</v>
      </c>
      <c r="C241" s="115">
        <v>0.001676434309879833</v>
      </c>
      <c r="D241" s="111" t="s">
        <v>1990</v>
      </c>
      <c r="E241" s="111" t="b">
        <v>0</v>
      </c>
      <c r="F241" s="111" t="b">
        <v>0</v>
      </c>
      <c r="G241" s="111" t="b">
        <v>0</v>
      </c>
    </row>
    <row r="242" spans="1:7" ht="15">
      <c r="A242" s="113" t="s">
        <v>1072</v>
      </c>
      <c r="B242" s="111">
        <v>6</v>
      </c>
      <c r="C242" s="115">
        <v>0.001676434309879833</v>
      </c>
      <c r="D242" s="111" t="s">
        <v>1990</v>
      </c>
      <c r="E242" s="111" t="b">
        <v>0</v>
      </c>
      <c r="F242" s="111" t="b">
        <v>0</v>
      </c>
      <c r="G242" s="111" t="b">
        <v>0</v>
      </c>
    </row>
    <row r="243" spans="1:7" ht="15">
      <c r="A243" s="113" t="s">
        <v>1073</v>
      </c>
      <c r="B243" s="111">
        <v>6</v>
      </c>
      <c r="C243" s="115">
        <v>0.0011013081406510735</v>
      </c>
      <c r="D243" s="111" t="s">
        <v>1990</v>
      </c>
      <c r="E243" s="111" t="b">
        <v>0</v>
      </c>
      <c r="F243" s="111" t="b">
        <v>0</v>
      </c>
      <c r="G243" s="111" t="b">
        <v>0</v>
      </c>
    </row>
    <row r="244" spans="1:7" ht="15">
      <c r="A244" s="113" t="s">
        <v>1074</v>
      </c>
      <c r="B244" s="111">
        <v>6</v>
      </c>
      <c r="C244" s="115">
        <v>0.001036156265131909</v>
      </c>
      <c r="D244" s="111" t="s">
        <v>1990</v>
      </c>
      <c r="E244" s="111" t="b">
        <v>0</v>
      </c>
      <c r="F244" s="111" t="b">
        <v>0</v>
      </c>
      <c r="G244" s="111" t="b">
        <v>0</v>
      </c>
    </row>
    <row r="245" spans="1:7" ht="15">
      <c r="A245" s="113" t="s">
        <v>1075</v>
      </c>
      <c r="B245" s="111">
        <v>6</v>
      </c>
      <c r="C245" s="115">
        <v>0.001036156265131909</v>
      </c>
      <c r="D245" s="111" t="s">
        <v>1990</v>
      </c>
      <c r="E245" s="111" t="b">
        <v>0</v>
      </c>
      <c r="F245" s="111" t="b">
        <v>0</v>
      </c>
      <c r="G245" s="111" t="b">
        <v>0</v>
      </c>
    </row>
    <row r="246" spans="1:7" ht="15">
      <c r="A246" s="113" t="s">
        <v>1076</v>
      </c>
      <c r="B246" s="111">
        <v>6</v>
      </c>
      <c r="C246" s="115">
        <v>0.0011810475918370773</v>
      </c>
      <c r="D246" s="111" t="s">
        <v>1990</v>
      </c>
      <c r="E246" s="111" t="b">
        <v>0</v>
      </c>
      <c r="F246" s="111" t="b">
        <v>0</v>
      </c>
      <c r="G246" s="111" t="b">
        <v>0</v>
      </c>
    </row>
    <row r="247" spans="1:7" ht="15">
      <c r="A247" s="113" t="s">
        <v>1077</v>
      </c>
      <c r="B247" s="111">
        <v>6</v>
      </c>
      <c r="C247" s="115">
        <v>0.001036156265131909</v>
      </c>
      <c r="D247" s="111" t="s">
        <v>1990</v>
      </c>
      <c r="E247" s="111" t="b">
        <v>0</v>
      </c>
      <c r="F247" s="111" t="b">
        <v>0</v>
      </c>
      <c r="G247" s="111" t="b">
        <v>0</v>
      </c>
    </row>
    <row r="248" spans="1:7" ht="15">
      <c r="A248" s="113" t="s">
        <v>1078</v>
      </c>
      <c r="B248" s="111">
        <v>6</v>
      </c>
      <c r="C248" s="115">
        <v>0.0012838496241532867</v>
      </c>
      <c r="D248" s="111" t="s">
        <v>1990</v>
      </c>
      <c r="E248" s="111" t="b">
        <v>1</v>
      </c>
      <c r="F248" s="111" t="b">
        <v>0</v>
      </c>
      <c r="G248" s="111" t="b">
        <v>0</v>
      </c>
    </row>
    <row r="249" spans="1:7" ht="15">
      <c r="A249" s="113" t="s">
        <v>1079</v>
      </c>
      <c r="B249" s="111">
        <v>6</v>
      </c>
      <c r="C249" s="115">
        <v>0.0012838496241532867</v>
      </c>
      <c r="D249" s="111" t="s">
        <v>1990</v>
      </c>
      <c r="E249" s="111" t="b">
        <v>0</v>
      </c>
      <c r="F249" s="111" t="b">
        <v>0</v>
      </c>
      <c r="G249" s="111" t="b">
        <v>0</v>
      </c>
    </row>
    <row r="250" spans="1:7" ht="15">
      <c r="A250" s="113" t="s">
        <v>1080</v>
      </c>
      <c r="B250" s="111">
        <v>6</v>
      </c>
      <c r="C250" s="115">
        <v>0.0011013081406510735</v>
      </c>
      <c r="D250" s="111" t="s">
        <v>1990</v>
      </c>
      <c r="E250" s="111" t="b">
        <v>0</v>
      </c>
      <c r="F250" s="111" t="b">
        <v>0</v>
      </c>
      <c r="G250" s="111" t="b">
        <v>0</v>
      </c>
    </row>
    <row r="251" spans="1:7" ht="15">
      <c r="A251" s="113" t="s">
        <v>1081</v>
      </c>
      <c r="B251" s="111">
        <v>6</v>
      </c>
      <c r="C251" s="115">
        <v>0.001036156265131909</v>
      </c>
      <c r="D251" s="111" t="s">
        <v>1990</v>
      </c>
      <c r="E251" s="111" t="b">
        <v>0</v>
      </c>
      <c r="F251" s="111" t="b">
        <v>0</v>
      </c>
      <c r="G251" s="111" t="b">
        <v>0</v>
      </c>
    </row>
    <row r="252" spans="1:7" ht="15">
      <c r="A252" s="113" t="s">
        <v>1082</v>
      </c>
      <c r="B252" s="111">
        <v>6</v>
      </c>
      <c r="C252" s="115">
        <v>0.001036156265131909</v>
      </c>
      <c r="D252" s="111" t="s">
        <v>1990</v>
      </c>
      <c r="E252" s="111" t="b">
        <v>0</v>
      </c>
      <c r="F252" s="111" t="b">
        <v>0</v>
      </c>
      <c r="G252" s="111" t="b">
        <v>0</v>
      </c>
    </row>
    <row r="253" spans="1:7" ht="15">
      <c r="A253" s="113" t="s">
        <v>1083</v>
      </c>
      <c r="B253" s="111">
        <v>6</v>
      </c>
      <c r="C253" s="115">
        <v>0.001676434309879833</v>
      </c>
      <c r="D253" s="111" t="s">
        <v>1990</v>
      </c>
      <c r="E253" s="111" t="b">
        <v>0</v>
      </c>
      <c r="F253" s="111" t="b">
        <v>0</v>
      </c>
      <c r="G253" s="111" t="b">
        <v>0</v>
      </c>
    </row>
    <row r="254" spans="1:7" ht="15">
      <c r="A254" s="113" t="s">
        <v>1084</v>
      </c>
      <c r="B254" s="111">
        <v>6</v>
      </c>
      <c r="C254" s="115">
        <v>0.0011013081406510735</v>
      </c>
      <c r="D254" s="111" t="s">
        <v>1990</v>
      </c>
      <c r="E254" s="111" t="b">
        <v>0</v>
      </c>
      <c r="F254" s="111" t="b">
        <v>0</v>
      </c>
      <c r="G254" s="111" t="b">
        <v>0</v>
      </c>
    </row>
    <row r="255" spans="1:7" ht="15">
      <c r="A255" s="113" t="s">
        <v>1085</v>
      </c>
      <c r="B255" s="111">
        <v>6</v>
      </c>
      <c r="C255" s="115">
        <v>0.0012838496241532867</v>
      </c>
      <c r="D255" s="111" t="s">
        <v>1990</v>
      </c>
      <c r="E255" s="111" t="b">
        <v>0</v>
      </c>
      <c r="F255" s="111" t="b">
        <v>0</v>
      </c>
      <c r="G255" s="111" t="b">
        <v>0</v>
      </c>
    </row>
    <row r="256" spans="1:7" ht="15">
      <c r="A256" s="113" t="s">
        <v>1086</v>
      </c>
      <c r="B256" s="111">
        <v>6</v>
      </c>
      <c r="C256" s="115">
        <v>0.0011810475918370773</v>
      </c>
      <c r="D256" s="111" t="s">
        <v>1990</v>
      </c>
      <c r="E256" s="111" t="b">
        <v>0</v>
      </c>
      <c r="F256" s="111" t="b">
        <v>0</v>
      </c>
      <c r="G256" s="111" t="b">
        <v>0</v>
      </c>
    </row>
    <row r="257" spans="1:7" ht="15">
      <c r="A257" s="113" t="s">
        <v>1087</v>
      </c>
      <c r="B257" s="111">
        <v>6</v>
      </c>
      <c r="C257" s="115">
        <v>0.001676434309879833</v>
      </c>
      <c r="D257" s="111" t="s">
        <v>1990</v>
      </c>
      <c r="E257" s="111" t="b">
        <v>0</v>
      </c>
      <c r="F257" s="111" t="b">
        <v>0</v>
      </c>
      <c r="G257" s="111" t="b">
        <v>0</v>
      </c>
    </row>
    <row r="258" spans="1:7" ht="15">
      <c r="A258" s="113" t="s">
        <v>1088</v>
      </c>
      <c r="B258" s="111">
        <v>6</v>
      </c>
      <c r="C258" s="115">
        <v>0.0011810475918370773</v>
      </c>
      <c r="D258" s="111" t="s">
        <v>1990</v>
      </c>
      <c r="E258" s="111" t="b">
        <v>0</v>
      </c>
      <c r="F258" s="111" t="b">
        <v>0</v>
      </c>
      <c r="G258" s="111" t="b">
        <v>0</v>
      </c>
    </row>
    <row r="259" spans="1:7" ht="15">
      <c r="A259" s="113" t="s">
        <v>1089</v>
      </c>
      <c r="B259" s="111">
        <v>5</v>
      </c>
      <c r="C259" s="115">
        <v>0.0009842063265308979</v>
      </c>
      <c r="D259" s="111" t="s">
        <v>1990</v>
      </c>
      <c r="E259" s="111" t="b">
        <v>0</v>
      </c>
      <c r="F259" s="111" t="b">
        <v>0</v>
      </c>
      <c r="G259" s="111" t="b">
        <v>0</v>
      </c>
    </row>
    <row r="260" spans="1:7" ht="15">
      <c r="A260" s="113" t="s">
        <v>1090</v>
      </c>
      <c r="B260" s="111">
        <v>5</v>
      </c>
      <c r="C260" s="115">
        <v>0.0010698746867944056</v>
      </c>
      <c r="D260" s="111" t="s">
        <v>1990</v>
      </c>
      <c r="E260" s="111" t="b">
        <v>0</v>
      </c>
      <c r="F260" s="111" t="b">
        <v>0</v>
      </c>
      <c r="G260" s="111" t="b">
        <v>0</v>
      </c>
    </row>
    <row r="261" spans="1:7" ht="15">
      <c r="A261" s="113" t="s">
        <v>1091</v>
      </c>
      <c r="B261" s="111">
        <v>5</v>
      </c>
      <c r="C261" s="115">
        <v>0.0009177567838758947</v>
      </c>
      <c r="D261" s="111" t="s">
        <v>1990</v>
      </c>
      <c r="E261" s="111" t="b">
        <v>0</v>
      </c>
      <c r="F261" s="111" t="b">
        <v>0</v>
      </c>
      <c r="G261" s="111" t="b">
        <v>0</v>
      </c>
    </row>
    <row r="262" spans="1:7" ht="15">
      <c r="A262" s="113" t="s">
        <v>1092</v>
      </c>
      <c r="B262" s="111">
        <v>5</v>
      </c>
      <c r="C262" s="115">
        <v>0.0010698746867944056</v>
      </c>
      <c r="D262" s="111" t="s">
        <v>1990</v>
      </c>
      <c r="E262" s="111" t="b">
        <v>0</v>
      </c>
      <c r="F262" s="111" t="b">
        <v>0</v>
      </c>
      <c r="G262" s="111" t="b">
        <v>0</v>
      </c>
    </row>
    <row r="263" spans="1:7" ht="15">
      <c r="A263" s="113" t="s">
        <v>1093</v>
      </c>
      <c r="B263" s="111">
        <v>5</v>
      </c>
      <c r="C263" s="115">
        <v>0.0009177567838758947</v>
      </c>
      <c r="D263" s="111" t="s">
        <v>1990</v>
      </c>
      <c r="E263" s="111" t="b">
        <v>0</v>
      </c>
      <c r="F263" s="111" t="b">
        <v>0</v>
      </c>
      <c r="G263" s="111" t="b">
        <v>0</v>
      </c>
    </row>
    <row r="264" spans="1:7" ht="15">
      <c r="A264" s="113" t="s">
        <v>1094</v>
      </c>
      <c r="B264" s="111">
        <v>5</v>
      </c>
      <c r="C264" s="115">
        <v>0.0009177567838758947</v>
      </c>
      <c r="D264" s="111" t="s">
        <v>1990</v>
      </c>
      <c r="E264" s="111" t="b">
        <v>0</v>
      </c>
      <c r="F264" s="111" t="b">
        <v>0</v>
      </c>
      <c r="G264" s="111" t="b">
        <v>0</v>
      </c>
    </row>
    <row r="265" spans="1:7" ht="15">
      <c r="A265" s="113" t="s">
        <v>1095</v>
      </c>
      <c r="B265" s="111">
        <v>5</v>
      </c>
      <c r="C265" s="115">
        <v>0.0009842063265308979</v>
      </c>
      <c r="D265" s="111" t="s">
        <v>1990</v>
      </c>
      <c r="E265" s="111" t="b">
        <v>0</v>
      </c>
      <c r="F265" s="111" t="b">
        <v>1</v>
      </c>
      <c r="G265" s="111" t="b">
        <v>0</v>
      </c>
    </row>
    <row r="266" spans="1:7" ht="15">
      <c r="A266" s="113" t="s">
        <v>1096</v>
      </c>
      <c r="B266" s="111">
        <v>5</v>
      </c>
      <c r="C266" s="115">
        <v>0.0009177567838758947</v>
      </c>
      <c r="D266" s="111" t="s">
        <v>1990</v>
      </c>
      <c r="E266" s="111" t="b">
        <v>0</v>
      </c>
      <c r="F266" s="111" t="b">
        <v>0</v>
      </c>
      <c r="G266" s="111" t="b">
        <v>0</v>
      </c>
    </row>
    <row r="267" spans="1:7" ht="15">
      <c r="A267" s="113" t="s">
        <v>1097</v>
      </c>
      <c r="B267" s="111">
        <v>5</v>
      </c>
      <c r="C267" s="115">
        <v>0.0009177567838758947</v>
      </c>
      <c r="D267" s="111" t="s">
        <v>1990</v>
      </c>
      <c r="E267" s="111" t="b">
        <v>0</v>
      </c>
      <c r="F267" s="111" t="b">
        <v>0</v>
      </c>
      <c r="G267" s="111" t="b">
        <v>0</v>
      </c>
    </row>
    <row r="268" spans="1:7" ht="15">
      <c r="A268" s="113" t="s">
        <v>1098</v>
      </c>
      <c r="B268" s="111">
        <v>5</v>
      </c>
      <c r="C268" s="115">
        <v>0.0009177567838758947</v>
      </c>
      <c r="D268" s="111" t="s">
        <v>1990</v>
      </c>
      <c r="E268" s="111" t="b">
        <v>0</v>
      </c>
      <c r="F268" s="111" t="b">
        <v>0</v>
      </c>
      <c r="G268" s="111" t="b">
        <v>0</v>
      </c>
    </row>
    <row r="269" spans="1:7" ht="15">
      <c r="A269" s="113" t="s">
        <v>1099</v>
      </c>
      <c r="B269" s="111">
        <v>5</v>
      </c>
      <c r="C269" s="115">
        <v>0.0009842063265308979</v>
      </c>
      <c r="D269" s="111" t="s">
        <v>1990</v>
      </c>
      <c r="E269" s="111" t="b">
        <v>0</v>
      </c>
      <c r="F269" s="111" t="b">
        <v>0</v>
      </c>
      <c r="G269" s="111" t="b">
        <v>0</v>
      </c>
    </row>
    <row r="270" spans="1:7" ht="15">
      <c r="A270" s="113" t="s">
        <v>1100</v>
      </c>
      <c r="B270" s="111">
        <v>5</v>
      </c>
      <c r="C270" s="115">
        <v>0.0009177567838758947</v>
      </c>
      <c r="D270" s="111" t="s">
        <v>1990</v>
      </c>
      <c r="E270" s="111" t="b">
        <v>0</v>
      </c>
      <c r="F270" s="111" t="b">
        <v>0</v>
      </c>
      <c r="G270" s="111" t="b">
        <v>0</v>
      </c>
    </row>
    <row r="271" spans="1:7" ht="15">
      <c r="A271" s="113" t="s">
        <v>1101</v>
      </c>
      <c r="B271" s="111">
        <v>5</v>
      </c>
      <c r="C271" s="115">
        <v>0.0009177567838758947</v>
      </c>
      <c r="D271" s="111" t="s">
        <v>1990</v>
      </c>
      <c r="E271" s="111" t="b">
        <v>0</v>
      </c>
      <c r="F271" s="111" t="b">
        <v>0</v>
      </c>
      <c r="G271" s="111" t="b">
        <v>0</v>
      </c>
    </row>
    <row r="272" spans="1:7" ht="15">
      <c r="A272" s="113" t="s">
        <v>1102</v>
      </c>
      <c r="B272" s="111">
        <v>5</v>
      </c>
      <c r="C272" s="115">
        <v>0.0009177567838758947</v>
      </c>
      <c r="D272" s="111" t="s">
        <v>1990</v>
      </c>
      <c r="E272" s="111" t="b">
        <v>0</v>
      </c>
      <c r="F272" s="111" t="b">
        <v>0</v>
      </c>
      <c r="G272" s="111" t="b">
        <v>0</v>
      </c>
    </row>
    <row r="273" spans="1:7" ht="15">
      <c r="A273" s="113" t="s">
        <v>1103</v>
      </c>
      <c r="B273" s="111">
        <v>5</v>
      </c>
      <c r="C273" s="115">
        <v>0.0009842063265308979</v>
      </c>
      <c r="D273" s="111" t="s">
        <v>1990</v>
      </c>
      <c r="E273" s="111" t="b">
        <v>0</v>
      </c>
      <c r="F273" s="111" t="b">
        <v>0</v>
      </c>
      <c r="G273" s="111" t="b">
        <v>0</v>
      </c>
    </row>
    <row r="274" spans="1:7" ht="15">
      <c r="A274" s="113" t="s">
        <v>1104</v>
      </c>
      <c r="B274" s="111">
        <v>5</v>
      </c>
      <c r="C274" s="115">
        <v>0.0009177567838758947</v>
      </c>
      <c r="D274" s="111" t="s">
        <v>1990</v>
      </c>
      <c r="E274" s="111" t="b">
        <v>0</v>
      </c>
      <c r="F274" s="111" t="b">
        <v>0</v>
      </c>
      <c r="G274" s="111" t="b">
        <v>0</v>
      </c>
    </row>
    <row r="275" spans="1:7" ht="15">
      <c r="A275" s="113" t="s">
        <v>1105</v>
      </c>
      <c r="B275" s="111">
        <v>5</v>
      </c>
      <c r="C275" s="115">
        <v>0.0009177567838758947</v>
      </c>
      <c r="D275" s="111" t="s">
        <v>1990</v>
      </c>
      <c r="E275" s="111" t="b">
        <v>0</v>
      </c>
      <c r="F275" s="111" t="b">
        <v>0</v>
      </c>
      <c r="G275" s="111" t="b">
        <v>0</v>
      </c>
    </row>
    <row r="276" spans="1:7" ht="15">
      <c r="A276" s="113" t="s">
        <v>1106</v>
      </c>
      <c r="B276" s="111">
        <v>5</v>
      </c>
      <c r="C276" s="115">
        <v>0.0009842063265308979</v>
      </c>
      <c r="D276" s="111" t="s">
        <v>1990</v>
      </c>
      <c r="E276" s="111" t="b">
        <v>0</v>
      </c>
      <c r="F276" s="111" t="b">
        <v>0</v>
      </c>
      <c r="G276" s="111" t="b">
        <v>0</v>
      </c>
    </row>
    <row r="277" spans="1:7" ht="15">
      <c r="A277" s="113" t="s">
        <v>1107</v>
      </c>
      <c r="B277" s="111">
        <v>5</v>
      </c>
      <c r="C277" s="115">
        <v>0.0010698746867944056</v>
      </c>
      <c r="D277" s="111" t="s">
        <v>1990</v>
      </c>
      <c r="E277" s="111" t="b">
        <v>0</v>
      </c>
      <c r="F277" s="111" t="b">
        <v>0</v>
      </c>
      <c r="G277" s="111" t="b">
        <v>0</v>
      </c>
    </row>
    <row r="278" spans="1:7" ht="15">
      <c r="A278" s="113" t="s">
        <v>1108</v>
      </c>
      <c r="B278" s="111">
        <v>5</v>
      </c>
      <c r="C278" s="115">
        <v>0.0009842063265308979</v>
      </c>
      <c r="D278" s="111" t="s">
        <v>1990</v>
      </c>
      <c r="E278" s="111" t="b">
        <v>1</v>
      </c>
      <c r="F278" s="111" t="b">
        <v>0</v>
      </c>
      <c r="G278" s="111" t="b">
        <v>0</v>
      </c>
    </row>
    <row r="279" spans="1:7" ht="15">
      <c r="A279" s="113" t="s">
        <v>1109</v>
      </c>
      <c r="B279" s="111">
        <v>5</v>
      </c>
      <c r="C279" s="115">
        <v>0.0009177567838758947</v>
      </c>
      <c r="D279" s="111" t="s">
        <v>1990</v>
      </c>
      <c r="E279" s="111" t="b">
        <v>0</v>
      </c>
      <c r="F279" s="111" t="b">
        <v>0</v>
      </c>
      <c r="G279" s="111" t="b">
        <v>0</v>
      </c>
    </row>
    <row r="280" spans="1:7" ht="15">
      <c r="A280" s="113" t="s">
        <v>1110</v>
      </c>
      <c r="B280" s="111">
        <v>5</v>
      </c>
      <c r="C280" s="115">
        <v>0.0009177567838758947</v>
      </c>
      <c r="D280" s="111" t="s">
        <v>1990</v>
      </c>
      <c r="E280" s="111" t="b">
        <v>0</v>
      </c>
      <c r="F280" s="111" t="b">
        <v>0</v>
      </c>
      <c r="G280" s="111" t="b">
        <v>0</v>
      </c>
    </row>
    <row r="281" spans="1:7" ht="15">
      <c r="A281" s="113" t="s">
        <v>1111</v>
      </c>
      <c r="B281" s="111">
        <v>5</v>
      </c>
      <c r="C281" s="115">
        <v>0.0009842063265308979</v>
      </c>
      <c r="D281" s="111" t="s">
        <v>1990</v>
      </c>
      <c r="E281" s="111" t="b">
        <v>1</v>
      </c>
      <c r="F281" s="111" t="b">
        <v>0</v>
      </c>
      <c r="G281" s="111" t="b">
        <v>0</v>
      </c>
    </row>
    <row r="282" spans="1:7" ht="15">
      <c r="A282" s="113" t="s">
        <v>1112</v>
      </c>
      <c r="B282" s="111">
        <v>5</v>
      </c>
      <c r="C282" s="115">
        <v>0.0009177567838758947</v>
      </c>
      <c r="D282" s="111" t="s">
        <v>1990</v>
      </c>
      <c r="E282" s="111" t="b">
        <v>0</v>
      </c>
      <c r="F282" s="111" t="b">
        <v>0</v>
      </c>
      <c r="G282" s="111" t="b">
        <v>0</v>
      </c>
    </row>
    <row r="283" spans="1:7" ht="15">
      <c r="A283" s="113" t="s">
        <v>1113</v>
      </c>
      <c r="B283" s="111">
        <v>5</v>
      </c>
      <c r="C283" s="115">
        <v>0.0009842063265308979</v>
      </c>
      <c r="D283" s="111" t="s">
        <v>1990</v>
      </c>
      <c r="E283" s="111" t="b">
        <v>0</v>
      </c>
      <c r="F283" s="111" t="b">
        <v>0</v>
      </c>
      <c r="G283" s="111" t="b">
        <v>0</v>
      </c>
    </row>
    <row r="284" spans="1:7" ht="15">
      <c r="A284" s="113" t="s">
        <v>1114</v>
      </c>
      <c r="B284" s="111">
        <v>5</v>
      </c>
      <c r="C284" s="115">
        <v>0.0009842063265308979</v>
      </c>
      <c r="D284" s="111" t="s">
        <v>1990</v>
      </c>
      <c r="E284" s="111" t="b">
        <v>1</v>
      </c>
      <c r="F284" s="111" t="b">
        <v>0</v>
      </c>
      <c r="G284" s="111" t="b">
        <v>0</v>
      </c>
    </row>
    <row r="285" spans="1:7" ht="15">
      <c r="A285" s="113" t="s">
        <v>1115</v>
      </c>
      <c r="B285" s="111">
        <v>5</v>
      </c>
      <c r="C285" s="115">
        <v>0.0009177567838758947</v>
      </c>
      <c r="D285" s="111" t="s">
        <v>1990</v>
      </c>
      <c r="E285" s="111" t="b">
        <v>0</v>
      </c>
      <c r="F285" s="111" t="b">
        <v>0</v>
      </c>
      <c r="G285" s="111" t="b">
        <v>0</v>
      </c>
    </row>
    <row r="286" spans="1:7" ht="15">
      <c r="A286" s="113" t="s">
        <v>1116</v>
      </c>
      <c r="B286" s="111">
        <v>5</v>
      </c>
      <c r="C286" s="115">
        <v>0.0010698746867944056</v>
      </c>
      <c r="D286" s="111" t="s">
        <v>1990</v>
      </c>
      <c r="E286" s="111" t="b">
        <v>0</v>
      </c>
      <c r="F286" s="111" t="b">
        <v>0</v>
      </c>
      <c r="G286" s="111" t="b">
        <v>0</v>
      </c>
    </row>
    <row r="287" spans="1:7" ht="15">
      <c r="A287" s="113" t="s">
        <v>1117</v>
      </c>
      <c r="B287" s="111">
        <v>5</v>
      </c>
      <c r="C287" s="115">
        <v>0.0009177567838758947</v>
      </c>
      <c r="D287" s="111" t="s">
        <v>1990</v>
      </c>
      <c r="E287" s="111" t="b">
        <v>0</v>
      </c>
      <c r="F287" s="111" t="b">
        <v>0</v>
      </c>
      <c r="G287" s="111" t="b">
        <v>0</v>
      </c>
    </row>
    <row r="288" spans="1:7" ht="15">
      <c r="A288" s="113" t="s">
        <v>1118</v>
      </c>
      <c r="B288" s="111">
        <v>5</v>
      </c>
      <c r="C288" s="115">
        <v>0.0009842063265308979</v>
      </c>
      <c r="D288" s="111" t="s">
        <v>1990</v>
      </c>
      <c r="E288" s="111" t="b">
        <v>0</v>
      </c>
      <c r="F288" s="111" t="b">
        <v>0</v>
      </c>
      <c r="G288" s="111" t="b">
        <v>0</v>
      </c>
    </row>
    <row r="289" spans="1:7" ht="15">
      <c r="A289" s="113" t="s">
        <v>1119</v>
      </c>
      <c r="B289" s="111">
        <v>5</v>
      </c>
      <c r="C289" s="115">
        <v>0.0009177567838758947</v>
      </c>
      <c r="D289" s="111" t="s">
        <v>1990</v>
      </c>
      <c r="E289" s="111" t="b">
        <v>0</v>
      </c>
      <c r="F289" s="111" t="b">
        <v>0</v>
      </c>
      <c r="G289" s="111" t="b">
        <v>0</v>
      </c>
    </row>
    <row r="290" spans="1:7" ht="15">
      <c r="A290" s="113" t="s">
        <v>1120</v>
      </c>
      <c r="B290" s="111">
        <v>5</v>
      </c>
      <c r="C290" s="115">
        <v>0.0009842063265308979</v>
      </c>
      <c r="D290" s="111" t="s">
        <v>1990</v>
      </c>
      <c r="E290" s="111" t="b">
        <v>0</v>
      </c>
      <c r="F290" s="111" t="b">
        <v>0</v>
      </c>
      <c r="G290" s="111" t="b">
        <v>0</v>
      </c>
    </row>
    <row r="291" spans="1:7" ht="15">
      <c r="A291" s="113" t="s">
        <v>1121</v>
      </c>
      <c r="B291" s="111">
        <v>5</v>
      </c>
      <c r="C291" s="115">
        <v>0.0009842063265308979</v>
      </c>
      <c r="D291" s="111" t="s">
        <v>1990</v>
      </c>
      <c r="E291" s="111" t="b">
        <v>0</v>
      </c>
      <c r="F291" s="111" t="b">
        <v>0</v>
      </c>
      <c r="G291" s="111" t="b">
        <v>0</v>
      </c>
    </row>
    <row r="292" spans="1:7" ht="15">
      <c r="A292" s="113" t="s">
        <v>1122</v>
      </c>
      <c r="B292" s="111">
        <v>5</v>
      </c>
      <c r="C292" s="115">
        <v>0.0009177567838758947</v>
      </c>
      <c r="D292" s="111" t="s">
        <v>1990</v>
      </c>
      <c r="E292" s="111" t="b">
        <v>0</v>
      </c>
      <c r="F292" s="111" t="b">
        <v>0</v>
      </c>
      <c r="G292" s="111" t="b">
        <v>0</v>
      </c>
    </row>
    <row r="293" spans="1:7" ht="15">
      <c r="A293" s="113" t="s">
        <v>1123</v>
      </c>
      <c r="B293" s="111">
        <v>5</v>
      </c>
      <c r="C293" s="115">
        <v>0.0013970285915665276</v>
      </c>
      <c r="D293" s="111" t="s">
        <v>1990</v>
      </c>
      <c r="E293" s="111" t="b">
        <v>0</v>
      </c>
      <c r="F293" s="111" t="b">
        <v>0</v>
      </c>
      <c r="G293" s="111" t="b">
        <v>0</v>
      </c>
    </row>
    <row r="294" spans="1:7" ht="15">
      <c r="A294" s="113" t="s">
        <v>1124</v>
      </c>
      <c r="B294" s="111">
        <v>5</v>
      </c>
      <c r="C294" s="115">
        <v>0.0009177567838758947</v>
      </c>
      <c r="D294" s="111" t="s">
        <v>1990</v>
      </c>
      <c r="E294" s="111" t="b">
        <v>0</v>
      </c>
      <c r="F294" s="111" t="b">
        <v>0</v>
      </c>
      <c r="G294" s="111" t="b">
        <v>0</v>
      </c>
    </row>
    <row r="295" spans="1:7" ht="15">
      <c r="A295" s="113" t="s">
        <v>1125</v>
      </c>
      <c r="B295" s="111">
        <v>5</v>
      </c>
      <c r="C295" s="115">
        <v>0.0009177567838758947</v>
      </c>
      <c r="D295" s="111" t="s">
        <v>1990</v>
      </c>
      <c r="E295" s="111" t="b">
        <v>0</v>
      </c>
      <c r="F295" s="111" t="b">
        <v>0</v>
      </c>
      <c r="G295" s="111" t="b">
        <v>0</v>
      </c>
    </row>
    <row r="296" spans="1:7" ht="15">
      <c r="A296" s="113" t="s">
        <v>1126</v>
      </c>
      <c r="B296" s="111">
        <v>5</v>
      </c>
      <c r="C296" s="115">
        <v>0.0009177567838758947</v>
      </c>
      <c r="D296" s="111" t="s">
        <v>1990</v>
      </c>
      <c r="E296" s="111" t="b">
        <v>0</v>
      </c>
      <c r="F296" s="111" t="b">
        <v>0</v>
      </c>
      <c r="G296" s="111" t="b">
        <v>0</v>
      </c>
    </row>
    <row r="297" spans="1:7" ht="15">
      <c r="A297" s="113" t="s">
        <v>1127</v>
      </c>
      <c r="B297" s="111">
        <v>5</v>
      </c>
      <c r="C297" s="115">
        <v>0.0009842063265308979</v>
      </c>
      <c r="D297" s="111" t="s">
        <v>1990</v>
      </c>
      <c r="E297" s="111" t="b">
        <v>0</v>
      </c>
      <c r="F297" s="111" t="b">
        <v>0</v>
      </c>
      <c r="G297" s="111" t="b">
        <v>0</v>
      </c>
    </row>
    <row r="298" spans="1:7" ht="15">
      <c r="A298" s="113" t="s">
        <v>1128</v>
      </c>
      <c r="B298" s="111">
        <v>5</v>
      </c>
      <c r="C298" s="115">
        <v>0.0009177567838758947</v>
      </c>
      <c r="D298" s="111" t="s">
        <v>1990</v>
      </c>
      <c r="E298" s="111" t="b">
        <v>0</v>
      </c>
      <c r="F298" s="111" t="b">
        <v>0</v>
      </c>
      <c r="G298" s="111" t="b">
        <v>0</v>
      </c>
    </row>
    <row r="299" spans="1:7" ht="15">
      <c r="A299" s="113" t="s">
        <v>1129</v>
      </c>
      <c r="B299" s="111">
        <v>5</v>
      </c>
      <c r="C299" s="115">
        <v>0.0009842063265308979</v>
      </c>
      <c r="D299" s="111" t="s">
        <v>1990</v>
      </c>
      <c r="E299" s="111" t="b">
        <v>0</v>
      </c>
      <c r="F299" s="111" t="b">
        <v>0</v>
      </c>
      <c r="G299" s="111" t="b">
        <v>0</v>
      </c>
    </row>
    <row r="300" spans="1:7" ht="15">
      <c r="A300" s="113" t="s">
        <v>1130</v>
      </c>
      <c r="B300" s="111">
        <v>5</v>
      </c>
      <c r="C300" s="115">
        <v>0.0009177567838758947</v>
      </c>
      <c r="D300" s="111" t="s">
        <v>1990</v>
      </c>
      <c r="E300" s="111" t="b">
        <v>0</v>
      </c>
      <c r="F300" s="111" t="b">
        <v>0</v>
      </c>
      <c r="G300" s="111" t="b">
        <v>0</v>
      </c>
    </row>
    <row r="301" spans="1:7" ht="15">
      <c r="A301" s="113" t="s">
        <v>1131</v>
      </c>
      <c r="B301" s="111">
        <v>5</v>
      </c>
      <c r="C301" s="115">
        <v>0.0009177567838758947</v>
      </c>
      <c r="D301" s="111" t="s">
        <v>1990</v>
      </c>
      <c r="E301" s="111" t="b">
        <v>0</v>
      </c>
      <c r="F301" s="111" t="b">
        <v>0</v>
      </c>
      <c r="G301" s="111" t="b">
        <v>0</v>
      </c>
    </row>
    <row r="302" spans="1:7" ht="15">
      <c r="A302" s="113" t="s">
        <v>1132</v>
      </c>
      <c r="B302" s="111">
        <v>5</v>
      </c>
      <c r="C302" s="115">
        <v>0.0009177567838758947</v>
      </c>
      <c r="D302" s="111" t="s">
        <v>1990</v>
      </c>
      <c r="E302" s="111" t="b">
        <v>0</v>
      </c>
      <c r="F302" s="111" t="b">
        <v>0</v>
      </c>
      <c r="G302" s="111" t="b">
        <v>0</v>
      </c>
    </row>
    <row r="303" spans="1:7" ht="15">
      <c r="A303" s="113" t="s">
        <v>1133</v>
      </c>
      <c r="B303" s="111">
        <v>5</v>
      </c>
      <c r="C303" s="115">
        <v>0.0009842063265308979</v>
      </c>
      <c r="D303" s="111" t="s">
        <v>1990</v>
      </c>
      <c r="E303" s="111" t="b">
        <v>0</v>
      </c>
      <c r="F303" s="111" t="b">
        <v>0</v>
      </c>
      <c r="G303" s="111" t="b">
        <v>0</v>
      </c>
    </row>
    <row r="304" spans="1:7" ht="15">
      <c r="A304" s="113" t="s">
        <v>1134</v>
      </c>
      <c r="B304" s="111">
        <v>5</v>
      </c>
      <c r="C304" s="115">
        <v>0.0010698746867944056</v>
      </c>
      <c r="D304" s="111" t="s">
        <v>1990</v>
      </c>
      <c r="E304" s="111" t="b">
        <v>0</v>
      </c>
      <c r="F304" s="111" t="b">
        <v>0</v>
      </c>
      <c r="G304" s="111" t="b">
        <v>0</v>
      </c>
    </row>
    <row r="305" spans="1:7" ht="15">
      <c r="A305" s="113" t="s">
        <v>1135</v>
      </c>
      <c r="B305" s="111">
        <v>5</v>
      </c>
      <c r="C305" s="115">
        <v>0.0010698746867944056</v>
      </c>
      <c r="D305" s="111" t="s">
        <v>1990</v>
      </c>
      <c r="E305" s="111" t="b">
        <v>0</v>
      </c>
      <c r="F305" s="111" t="b">
        <v>0</v>
      </c>
      <c r="G305" s="111" t="b">
        <v>0</v>
      </c>
    </row>
    <row r="306" spans="1:7" ht="15">
      <c r="A306" s="113" t="s">
        <v>1136</v>
      </c>
      <c r="B306" s="111">
        <v>5</v>
      </c>
      <c r="C306" s="115">
        <v>0.0009177567838758947</v>
      </c>
      <c r="D306" s="111" t="s">
        <v>1990</v>
      </c>
      <c r="E306" s="111" t="b">
        <v>0</v>
      </c>
      <c r="F306" s="111" t="b">
        <v>0</v>
      </c>
      <c r="G306" s="111" t="b">
        <v>0</v>
      </c>
    </row>
    <row r="307" spans="1:7" ht="15">
      <c r="A307" s="113" t="s">
        <v>1137</v>
      </c>
      <c r="B307" s="111">
        <v>5</v>
      </c>
      <c r="C307" s="115">
        <v>0.0011906174590487126</v>
      </c>
      <c r="D307" s="111" t="s">
        <v>1990</v>
      </c>
      <c r="E307" s="111" t="b">
        <v>0</v>
      </c>
      <c r="F307" s="111" t="b">
        <v>0</v>
      </c>
      <c r="G307" s="111" t="b">
        <v>0</v>
      </c>
    </row>
    <row r="308" spans="1:7" ht="15">
      <c r="A308" s="113" t="s">
        <v>1138</v>
      </c>
      <c r="B308" s="111">
        <v>5</v>
      </c>
      <c r="C308" s="115">
        <v>0.0009842063265308979</v>
      </c>
      <c r="D308" s="111" t="s">
        <v>1990</v>
      </c>
      <c r="E308" s="111" t="b">
        <v>0</v>
      </c>
      <c r="F308" s="111" t="b">
        <v>0</v>
      </c>
      <c r="G308" s="111" t="b">
        <v>0</v>
      </c>
    </row>
    <row r="309" spans="1:7" ht="15">
      <c r="A309" s="113" t="s">
        <v>1139</v>
      </c>
      <c r="B309" s="111">
        <v>5</v>
      </c>
      <c r="C309" s="115">
        <v>0.0009842063265308979</v>
      </c>
      <c r="D309" s="111" t="s">
        <v>1990</v>
      </c>
      <c r="E309" s="111" t="b">
        <v>0</v>
      </c>
      <c r="F309" s="111" t="b">
        <v>0</v>
      </c>
      <c r="G309" s="111" t="b">
        <v>0</v>
      </c>
    </row>
    <row r="310" spans="1:7" ht="15">
      <c r="A310" s="113" t="s">
        <v>1140</v>
      </c>
      <c r="B310" s="111">
        <v>5</v>
      </c>
      <c r="C310" s="115">
        <v>0.0010698746867944056</v>
      </c>
      <c r="D310" s="111" t="s">
        <v>1990</v>
      </c>
      <c r="E310" s="111" t="b">
        <v>0</v>
      </c>
      <c r="F310" s="111" t="b">
        <v>0</v>
      </c>
      <c r="G310" s="111" t="b">
        <v>0</v>
      </c>
    </row>
    <row r="311" spans="1:7" ht="15">
      <c r="A311" s="113" t="s">
        <v>1141</v>
      </c>
      <c r="B311" s="111">
        <v>5</v>
      </c>
      <c r="C311" s="115">
        <v>0.0009177567838758947</v>
      </c>
      <c r="D311" s="111" t="s">
        <v>1990</v>
      </c>
      <c r="E311" s="111" t="b">
        <v>0</v>
      </c>
      <c r="F311" s="111" t="b">
        <v>0</v>
      </c>
      <c r="G311" s="111" t="b">
        <v>0</v>
      </c>
    </row>
    <row r="312" spans="1:7" ht="15">
      <c r="A312" s="113" t="s">
        <v>1142</v>
      </c>
      <c r="B312" s="111">
        <v>5</v>
      </c>
      <c r="C312" s="115">
        <v>0.0009842063265308979</v>
      </c>
      <c r="D312" s="111" t="s">
        <v>1990</v>
      </c>
      <c r="E312" s="111" t="b">
        <v>0</v>
      </c>
      <c r="F312" s="111" t="b">
        <v>0</v>
      </c>
      <c r="G312" s="111" t="b">
        <v>0</v>
      </c>
    </row>
    <row r="313" spans="1:7" ht="15">
      <c r="A313" s="113" t="s">
        <v>1143</v>
      </c>
      <c r="B313" s="111">
        <v>5</v>
      </c>
      <c r="C313" s="115">
        <v>0.0009177567838758947</v>
      </c>
      <c r="D313" s="111" t="s">
        <v>1990</v>
      </c>
      <c r="E313" s="111" t="b">
        <v>0</v>
      </c>
      <c r="F313" s="111" t="b">
        <v>0</v>
      </c>
      <c r="G313" s="111" t="b">
        <v>0</v>
      </c>
    </row>
    <row r="314" spans="1:7" ht="15">
      <c r="A314" s="113" t="s">
        <v>1144</v>
      </c>
      <c r="B314" s="111">
        <v>5</v>
      </c>
      <c r="C314" s="115">
        <v>0.0013970285915665276</v>
      </c>
      <c r="D314" s="111" t="s">
        <v>1990</v>
      </c>
      <c r="E314" s="111" t="b">
        <v>0</v>
      </c>
      <c r="F314" s="111" t="b">
        <v>0</v>
      </c>
      <c r="G314" s="111" t="b">
        <v>0</v>
      </c>
    </row>
    <row r="315" spans="1:7" ht="15">
      <c r="A315" s="113" t="s">
        <v>1145</v>
      </c>
      <c r="B315" s="111">
        <v>5</v>
      </c>
      <c r="C315" s="115">
        <v>0.0009842063265308979</v>
      </c>
      <c r="D315" s="111" t="s">
        <v>1990</v>
      </c>
      <c r="E315" s="111" t="b">
        <v>0</v>
      </c>
      <c r="F315" s="111" t="b">
        <v>0</v>
      </c>
      <c r="G315" s="111" t="b">
        <v>0</v>
      </c>
    </row>
    <row r="316" spans="1:7" ht="15">
      <c r="A316" s="113" t="s">
        <v>1146</v>
      </c>
      <c r="B316" s="111">
        <v>5</v>
      </c>
      <c r="C316" s="115">
        <v>0.0013970285915665276</v>
      </c>
      <c r="D316" s="111" t="s">
        <v>1990</v>
      </c>
      <c r="E316" s="111" t="b">
        <v>0</v>
      </c>
      <c r="F316" s="111" t="b">
        <v>0</v>
      </c>
      <c r="G316" s="111" t="b">
        <v>0</v>
      </c>
    </row>
    <row r="317" spans="1:7" ht="15">
      <c r="A317" s="113" t="s">
        <v>1147</v>
      </c>
      <c r="B317" s="111">
        <v>5</v>
      </c>
      <c r="C317" s="115">
        <v>0.0010698746867944056</v>
      </c>
      <c r="D317" s="111" t="s">
        <v>1990</v>
      </c>
      <c r="E317" s="111" t="b">
        <v>0</v>
      </c>
      <c r="F317" s="111" t="b">
        <v>0</v>
      </c>
      <c r="G317" s="111" t="b">
        <v>0</v>
      </c>
    </row>
    <row r="318" spans="1:7" ht="15">
      <c r="A318" s="113" t="s">
        <v>1148</v>
      </c>
      <c r="B318" s="111">
        <v>5</v>
      </c>
      <c r="C318" s="115">
        <v>0.0009177567838758947</v>
      </c>
      <c r="D318" s="111" t="s">
        <v>1990</v>
      </c>
      <c r="E318" s="111" t="b">
        <v>0</v>
      </c>
      <c r="F318" s="111" t="b">
        <v>0</v>
      </c>
      <c r="G318" s="111" t="b">
        <v>0</v>
      </c>
    </row>
    <row r="319" spans="1:7" ht="15">
      <c r="A319" s="113" t="s">
        <v>1149</v>
      </c>
      <c r="B319" s="111">
        <v>5</v>
      </c>
      <c r="C319" s="115">
        <v>0.0009177567838758947</v>
      </c>
      <c r="D319" s="111" t="s">
        <v>1990</v>
      </c>
      <c r="E319" s="111" t="b">
        <v>0</v>
      </c>
      <c r="F319" s="111" t="b">
        <v>0</v>
      </c>
      <c r="G319" s="111" t="b">
        <v>0</v>
      </c>
    </row>
    <row r="320" spans="1:7" ht="15">
      <c r="A320" s="113" t="s">
        <v>1150</v>
      </c>
      <c r="B320" s="111">
        <v>5</v>
      </c>
      <c r="C320" s="115">
        <v>0.0013970285915665276</v>
      </c>
      <c r="D320" s="111" t="s">
        <v>1990</v>
      </c>
      <c r="E320" s="111" t="b">
        <v>0</v>
      </c>
      <c r="F320" s="111" t="b">
        <v>0</v>
      </c>
      <c r="G320" s="111" t="b">
        <v>0</v>
      </c>
    </row>
    <row r="321" spans="1:7" ht="15">
      <c r="A321" s="113" t="s">
        <v>1151</v>
      </c>
      <c r="B321" s="111">
        <v>5</v>
      </c>
      <c r="C321" s="115">
        <v>0.0009842063265308979</v>
      </c>
      <c r="D321" s="111" t="s">
        <v>1990</v>
      </c>
      <c r="E321" s="111" t="b">
        <v>0</v>
      </c>
      <c r="F321" s="111" t="b">
        <v>0</v>
      </c>
      <c r="G321" s="111" t="b">
        <v>0</v>
      </c>
    </row>
    <row r="322" spans="1:7" ht="15">
      <c r="A322" s="113" t="s">
        <v>1152</v>
      </c>
      <c r="B322" s="111">
        <v>5</v>
      </c>
      <c r="C322" s="115">
        <v>0.0009842063265308979</v>
      </c>
      <c r="D322" s="111" t="s">
        <v>1990</v>
      </c>
      <c r="E322" s="111" t="b">
        <v>0</v>
      </c>
      <c r="F322" s="111" t="b">
        <v>0</v>
      </c>
      <c r="G322" s="111" t="b">
        <v>0</v>
      </c>
    </row>
    <row r="323" spans="1:7" ht="15">
      <c r="A323" s="113" t="s">
        <v>1153</v>
      </c>
      <c r="B323" s="111">
        <v>5</v>
      </c>
      <c r="C323" s="115">
        <v>0.0011906174590487126</v>
      </c>
      <c r="D323" s="111" t="s">
        <v>1990</v>
      </c>
      <c r="E323" s="111" t="b">
        <v>0</v>
      </c>
      <c r="F323" s="111" t="b">
        <v>0</v>
      </c>
      <c r="G323" s="111" t="b">
        <v>0</v>
      </c>
    </row>
    <row r="324" spans="1:7" ht="15">
      <c r="A324" s="113" t="s">
        <v>1154</v>
      </c>
      <c r="B324" s="111">
        <v>5</v>
      </c>
      <c r="C324" s="115">
        <v>0.0010698746867944056</v>
      </c>
      <c r="D324" s="111" t="s">
        <v>1990</v>
      </c>
      <c r="E324" s="111" t="b">
        <v>1</v>
      </c>
      <c r="F324" s="111" t="b">
        <v>0</v>
      </c>
      <c r="G324" s="111" t="b">
        <v>0</v>
      </c>
    </row>
    <row r="325" spans="1:7" ht="15">
      <c r="A325" s="113" t="s">
        <v>1155</v>
      </c>
      <c r="B325" s="111">
        <v>5</v>
      </c>
      <c r="C325" s="115">
        <v>0.0011906174590487126</v>
      </c>
      <c r="D325" s="111" t="s">
        <v>1990</v>
      </c>
      <c r="E325" s="111" t="b">
        <v>0</v>
      </c>
      <c r="F325" s="111" t="b">
        <v>0</v>
      </c>
      <c r="G325" s="111" t="b">
        <v>0</v>
      </c>
    </row>
    <row r="326" spans="1:7" ht="15">
      <c r="A326" s="113" t="s">
        <v>1156</v>
      </c>
      <c r="B326" s="111">
        <v>5</v>
      </c>
      <c r="C326" s="115">
        <v>0.0010698746867944056</v>
      </c>
      <c r="D326" s="111" t="s">
        <v>1990</v>
      </c>
      <c r="E326" s="111" t="b">
        <v>0</v>
      </c>
      <c r="F326" s="111" t="b">
        <v>0</v>
      </c>
      <c r="G326" s="111" t="b">
        <v>0</v>
      </c>
    </row>
    <row r="327" spans="1:7" ht="15">
      <c r="A327" s="113" t="s">
        <v>1157</v>
      </c>
      <c r="B327" s="111">
        <v>4</v>
      </c>
      <c r="C327" s="115">
        <v>0.0007873650612247183</v>
      </c>
      <c r="D327" s="111" t="s">
        <v>1990</v>
      </c>
      <c r="E327" s="111" t="b">
        <v>0</v>
      </c>
      <c r="F327" s="111" t="b">
        <v>0</v>
      </c>
      <c r="G327" s="111" t="b">
        <v>0</v>
      </c>
    </row>
    <row r="328" spans="1:7" ht="15">
      <c r="A328" s="113" t="s">
        <v>1158</v>
      </c>
      <c r="B328" s="111">
        <v>4</v>
      </c>
      <c r="C328" s="115">
        <v>0.0007873650612247183</v>
      </c>
      <c r="D328" s="111" t="s">
        <v>1990</v>
      </c>
      <c r="E328" s="111" t="b">
        <v>0</v>
      </c>
      <c r="F328" s="111" t="b">
        <v>0</v>
      </c>
      <c r="G328" s="111" t="b">
        <v>0</v>
      </c>
    </row>
    <row r="329" spans="1:7" ht="15">
      <c r="A329" s="113" t="s">
        <v>1159</v>
      </c>
      <c r="B329" s="111">
        <v>4</v>
      </c>
      <c r="C329" s="115">
        <v>0.0009524939672389702</v>
      </c>
      <c r="D329" s="111" t="s">
        <v>1990</v>
      </c>
      <c r="E329" s="111" t="b">
        <v>0</v>
      </c>
      <c r="F329" s="111" t="b">
        <v>0</v>
      </c>
      <c r="G329" s="111" t="b">
        <v>0</v>
      </c>
    </row>
    <row r="330" spans="1:7" ht="15">
      <c r="A330" s="113" t="s">
        <v>1160</v>
      </c>
      <c r="B330" s="111">
        <v>4</v>
      </c>
      <c r="C330" s="115">
        <v>0.0008558997494355245</v>
      </c>
      <c r="D330" s="111" t="s">
        <v>1990</v>
      </c>
      <c r="E330" s="111" t="b">
        <v>0</v>
      </c>
      <c r="F330" s="111" t="b">
        <v>0</v>
      </c>
      <c r="G330" s="111" t="b">
        <v>0</v>
      </c>
    </row>
    <row r="331" spans="1:7" ht="15">
      <c r="A331" s="113" t="s">
        <v>1161</v>
      </c>
      <c r="B331" s="111">
        <v>4</v>
      </c>
      <c r="C331" s="115">
        <v>0.0009524939672389702</v>
      </c>
      <c r="D331" s="111" t="s">
        <v>1990</v>
      </c>
      <c r="E331" s="111" t="b">
        <v>0</v>
      </c>
      <c r="F331" s="111" t="b">
        <v>0</v>
      </c>
      <c r="G331" s="111" t="b">
        <v>0</v>
      </c>
    </row>
    <row r="332" spans="1:7" ht="15">
      <c r="A332" s="113" t="s">
        <v>1162</v>
      </c>
      <c r="B332" s="111">
        <v>4</v>
      </c>
      <c r="C332" s="115">
        <v>0.0007873650612247183</v>
      </c>
      <c r="D332" s="111" t="s">
        <v>1990</v>
      </c>
      <c r="E332" s="111" t="b">
        <v>0</v>
      </c>
      <c r="F332" s="111" t="b">
        <v>0</v>
      </c>
      <c r="G332" s="111" t="b">
        <v>0</v>
      </c>
    </row>
    <row r="333" spans="1:7" ht="15">
      <c r="A333" s="113" t="s">
        <v>1163</v>
      </c>
      <c r="B333" s="111">
        <v>4</v>
      </c>
      <c r="C333" s="115">
        <v>0.0007873650612247183</v>
      </c>
      <c r="D333" s="111" t="s">
        <v>1990</v>
      </c>
      <c r="E333" s="111" t="b">
        <v>0</v>
      </c>
      <c r="F333" s="111" t="b">
        <v>0</v>
      </c>
      <c r="G333" s="111" t="b">
        <v>0</v>
      </c>
    </row>
    <row r="334" spans="1:7" ht="15">
      <c r="A334" s="113" t="s">
        <v>1164</v>
      </c>
      <c r="B334" s="111">
        <v>4</v>
      </c>
      <c r="C334" s="115">
        <v>0.0007873650612247183</v>
      </c>
      <c r="D334" s="111" t="s">
        <v>1990</v>
      </c>
      <c r="E334" s="111" t="b">
        <v>0</v>
      </c>
      <c r="F334" s="111" t="b">
        <v>0</v>
      </c>
      <c r="G334" s="111" t="b">
        <v>0</v>
      </c>
    </row>
    <row r="335" spans="1:7" ht="15">
      <c r="A335" s="113" t="s">
        <v>1165</v>
      </c>
      <c r="B335" s="111">
        <v>4</v>
      </c>
      <c r="C335" s="115">
        <v>0.0009524939672389702</v>
      </c>
      <c r="D335" s="111" t="s">
        <v>1990</v>
      </c>
      <c r="E335" s="111" t="b">
        <v>0</v>
      </c>
      <c r="F335" s="111" t="b">
        <v>0</v>
      </c>
      <c r="G335" s="111" t="b">
        <v>0</v>
      </c>
    </row>
    <row r="336" spans="1:7" ht="15">
      <c r="A336" s="113" t="s">
        <v>1166</v>
      </c>
      <c r="B336" s="111">
        <v>4</v>
      </c>
      <c r="C336" s="115">
        <v>0.0009524939672389702</v>
      </c>
      <c r="D336" s="111" t="s">
        <v>1990</v>
      </c>
      <c r="E336" s="111" t="b">
        <v>0</v>
      </c>
      <c r="F336" s="111" t="b">
        <v>0</v>
      </c>
      <c r="G336" s="111" t="b">
        <v>0</v>
      </c>
    </row>
    <row r="337" spans="1:7" ht="15">
      <c r="A337" s="113" t="s">
        <v>1167</v>
      </c>
      <c r="B337" s="111">
        <v>4</v>
      </c>
      <c r="C337" s="115">
        <v>0.0007873650612247183</v>
      </c>
      <c r="D337" s="111" t="s">
        <v>1990</v>
      </c>
      <c r="E337" s="111" t="b">
        <v>0</v>
      </c>
      <c r="F337" s="111" t="b">
        <v>0</v>
      </c>
      <c r="G337" s="111" t="b">
        <v>0</v>
      </c>
    </row>
    <row r="338" spans="1:7" ht="15">
      <c r="A338" s="113" t="s">
        <v>1168</v>
      </c>
      <c r="B338" s="111">
        <v>4</v>
      </c>
      <c r="C338" s="115">
        <v>0.0008558997494355245</v>
      </c>
      <c r="D338" s="111" t="s">
        <v>1990</v>
      </c>
      <c r="E338" s="111" t="b">
        <v>1</v>
      </c>
      <c r="F338" s="111" t="b">
        <v>0</v>
      </c>
      <c r="G338" s="111" t="b">
        <v>0</v>
      </c>
    </row>
    <row r="339" spans="1:7" ht="15">
      <c r="A339" s="113" t="s">
        <v>1169</v>
      </c>
      <c r="B339" s="111">
        <v>4</v>
      </c>
      <c r="C339" s="115">
        <v>0.0007873650612247183</v>
      </c>
      <c r="D339" s="111" t="s">
        <v>1990</v>
      </c>
      <c r="E339" s="111" t="b">
        <v>0</v>
      </c>
      <c r="F339" s="111" t="b">
        <v>0</v>
      </c>
      <c r="G339" s="111" t="b">
        <v>0</v>
      </c>
    </row>
    <row r="340" spans="1:7" ht="15">
      <c r="A340" s="113" t="s">
        <v>1170</v>
      </c>
      <c r="B340" s="111">
        <v>4</v>
      </c>
      <c r="C340" s="115">
        <v>0.0007873650612247183</v>
      </c>
      <c r="D340" s="111" t="s">
        <v>1990</v>
      </c>
      <c r="E340" s="111" t="b">
        <v>0</v>
      </c>
      <c r="F340" s="111" t="b">
        <v>0</v>
      </c>
      <c r="G340" s="111" t="b">
        <v>0</v>
      </c>
    </row>
    <row r="341" spans="1:7" ht="15">
      <c r="A341" s="113" t="s">
        <v>1171</v>
      </c>
      <c r="B341" s="111">
        <v>4</v>
      </c>
      <c r="C341" s="115">
        <v>0.0007873650612247183</v>
      </c>
      <c r="D341" s="111" t="s">
        <v>1990</v>
      </c>
      <c r="E341" s="111" t="b">
        <v>1</v>
      </c>
      <c r="F341" s="111" t="b">
        <v>0</v>
      </c>
      <c r="G341" s="111" t="b">
        <v>0</v>
      </c>
    </row>
    <row r="342" spans="1:7" ht="15">
      <c r="A342" s="113" t="s">
        <v>1172</v>
      </c>
      <c r="B342" s="111">
        <v>4</v>
      </c>
      <c r="C342" s="115">
        <v>0.0007873650612247183</v>
      </c>
      <c r="D342" s="111" t="s">
        <v>1990</v>
      </c>
      <c r="E342" s="111" t="b">
        <v>0</v>
      </c>
      <c r="F342" s="111" t="b">
        <v>0</v>
      </c>
      <c r="G342" s="111" t="b">
        <v>0</v>
      </c>
    </row>
    <row r="343" spans="1:7" ht="15">
      <c r="A343" s="113" t="s">
        <v>1173</v>
      </c>
      <c r="B343" s="111">
        <v>4</v>
      </c>
      <c r="C343" s="115">
        <v>0.0007873650612247183</v>
      </c>
      <c r="D343" s="111" t="s">
        <v>1990</v>
      </c>
      <c r="E343" s="111" t="b">
        <v>0</v>
      </c>
      <c r="F343" s="111" t="b">
        <v>0</v>
      </c>
      <c r="G343" s="111" t="b">
        <v>0</v>
      </c>
    </row>
    <row r="344" spans="1:7" ht="15">
      <c r="A344" s="113" t="s">
        <v>1174</v>
      </c>
      <c r="B344" s="111">
        <v>4</v>
      </c>
      <c r="C344" s="115">
        <v>0.0009524939672389702</v>
      </c>
      <c r="D344" s="111" t="s">
        <v>1990</v>
      </c>
      <c r="E344" s="111" t="b">
        <v>0</v>
      </c>
      <c r="F344" s="111" t="b">
        <v>0</v>
      </c>
      <c r="G344" s="111" t="b">
        <v>0</v>
      </c>
    </row>
    <row r="345" spans="1:7" ht="15">
      <c r="A345" s="113" t="s">
        <v>1175</v>
      </c>
      <c r="B345" s="111">
        <v>4</v>
      </c>
      <c r="C345" s="115">
        <v>0.0007873650612247183</v>
      </c>
      <c r="D345" s="111" t="s">
        <v>1990</v>
      </c>
      <c r="E345" s="111" t="b">
        <v>0</v>
      </c>
      <c r="F345" s="111" t="b">
        <v>0</v>
      </c>
      <c r="G345" s="111" t="b">
        <v>0</v>
      </c>
    </row>
    <row r="346" spans="1:7" ht="15">
      <c r="A346" s="113" t="s">
        <v>1176</v>
      </c>
      <c r="B346" s="111">
        <v>4</v>
      </c>
      <c r="C346" s="115">
        <v>0.0008558997494355245</v>
      </c>
      <c r="D346" s="111" t="s">
        <v>1990</v>
      </c>
      <c r="E346" s="111" t="b">
        <v>0</v>
      </c>
      <c r="F346" s="111" t="b">
        <v>0</v>
      </c>
      <c r="G346" s="111" t="b">
        <v>0</v>
      </c>
    </row>
    <row r="347" spans="1:7" ht="15">
      <c r="A347" s="113" t="s">
        <v>1177</v>
      </c>
      <c r="B347" s="111">
        <v>4</v>
      </c>
      <c r="C347" s="115">
        <v>0.0007873650612247183</v>
      </c>
      <c r="D347" s="111" t="s">
        <v>1990</v>
      </c>
      <c r="E347" s="111" t="b">
        <v>0</v>
      </c>
      <c r="F347" s="111" t="b">
        <v>1</v>
      </c>
      <c r="G347" s="111" t="b">
        <v>0</v>
      </c>
    </row>
    <row r="348" spans="1:7" ht="15">
      <c r="A348" s="113" t="s">
        <v>1178</v>
      </c>
      <c r="B348" s="111">
        <v>4</v>
      </c>
      <c r="C348" s="115">
        <v>0.0007873650612247183</v>
      </c>
      <c r="D348" s="111" t="s">
        <v>1990</v>
      </c>
      <c r="E348" s="111" t="b">
        <v>0</v>
      </c>
      <c r="F348" s="111" t="b">
        <v>0</v>
      </c>
      <c r="G348" s="111" t="b">
        <v>0</v>
      </c>
    </row>
    <row r="349" spans="1:7" ht="15">
      <c r="A349" s="113" t="s">
        <v>1179</v>
      </c>
      <c r="B349" s="111">
        <v>4</v>
      </c>
      <c r="C349" s="115">
        <v>0.0008558997494355245</v>
      </c>
      <c r="D349" s="111" t="s">
        <v>1990</v>
      </c>
      <c r="E349" s="111" t="b">
        <v>0</v>
      </c>
      <c r="F349" s="111" t="b">
        <v>0</v>
      </c>
      <c r="G349" s="111" t="b">
        <v>0</v>
      </c>
    </row>
    <row r="350" spans="1:7" ht="15">
      <c r="A350" s="113" t="s">
        <v>1180</v>
      </c>
      <c r="B350" s="111">
        <v>4</v>
      </c>
      <c r="C350" s="115">
        <v>0.0009524939672389702</v>
      </c>
      <c r="D350" s="111" t="s">
        <v>1990</v>
      </c>
      <c r="E350" s="111" t="b">
        <v>0</v>
      </c>
      <c r="F350" s="111" t="b">
        <v>0</v>
      </c>
      <c r="G350" s="111" t="b">
        <v>0</v>
      </c>
    </row>
    <row r="351" spans="1:7" ht="15">
      <c r="A351" s="113" t="s">
        <v>1181</v>
      </c>
      <c r="B351" s="111">
        <v>4</v>
      </c>
      <c r="C351" s="115">
        <v>0.0008558997494355245</v>
      </c>
      <c r="D351" s="111" t="s">
        <v>1990</v>
      </c>
      <c r="E351" s="111" t="b">
        <v>0</v>
      </c>
      <c r="F351" s="111" t="b">
        <v>0</v>
      </c>
      <c r="G351" s="111" t="b">
        <v>0</v>
      </c>
    </row>
    <row r="352" spans="1:7" ht="15">
      <c r="A352" s="113" t="s">
        <v>1182</v>
      </c>
      <c r="B352" s="111">
        <v>4</v>
      </c>
      <c r="C352" s="115">
        <v>0.0009524939672389702</v>
      </c>
      <c r="D352" s="111" t="s">
        <v>1990</v>
      </c>
      <c r="E352" s="111" t="b">
        <v>1</v>
      </c>
      <c r="F352" s="111" t="b">
        <v>0</v>
      </c>
      <c r="G352" s="111" t="b">
        <v>0</v>
      </c>
    </row>
    <row r="353" spans="1:7" ht="15">
      <c r="A353" s="113" t="s">
        <v>1183</v>
      </c>
      <c r="B353" s="111">
        <v>4</v>
      </c>
      <c r="C353" s="115">
        <v>0.0007873650612247183</v>
      </c>
      <c r="D353" s="111" t="s">
        <v>1990</v>
      </c>
      <c r="E353" s="111" t="b">
        <v>0</v>
      </c>
      <c r="F353" s="111" t="b">
        <v>0</v>
      </c>
      <c r="G353" s="111" t="b">
        <v>0</v>
      </c>
    </row>
    <row r="354" spans="1:7" ht="15">
      <c r="A354" s="113" t="s">
        <v>1184</v>
      </c>
      <c r="B354" s="111">
        <v>4</v>
      </c>
      <c r="C354" s="115">
        <v>0.0007873650612247183</v>
      </c>
      <c r="D354" s="111" t="s">
        <v>1990</v>
      </c>
      <c r="E354" s="111" t="b">
        <v>0</v>
      </c>
      <c r="F354" s="111" t="b">
        <v>0</v>
      </c>
      <c r="G354" s="111" t="b">
        <v>0</v>
      </c>
    </row>
    <row r="355" spans="1:7" ht="15">
      <c r="A355" s="113" t="s">
        <v>1185</v>
      </c>
      <c r="B355" s="111">
        <v>4</v>
      </c>
      <c r="C355" s="115">
        <v>0.0007873650612247183</v>
      </c>
      <c r="D355" s="111" t="s">
        <v>1990</v>
      </c>
      <c r="E355" s="111" t="b">
        <v>0</v>
      </c>
      <c r="F355" s="111" t="b">
        <v>0</v>
      </c>
      <c r="G355" s="111" t="b">
        <v>0</v>
      </c>
    </row>
    <row r="356" spans="1:7" ht="15">
      <c r="A356" s="113" t="s">
        <v>1186</v>
      </c>
      <c r="B356" s="111">
        <v>4</v>
      </c>
      <c r="C356" s="115">
        <v>0.0008558997494355245</v>
      </c>
      <c r="D356" s="111" t="s">
        <v>1990</v>
      </c>
      <c r="E356" s="111" t="b">
        <v>0</v>
      </c>
      <c r="F356" s="111" t="b">
        <v>0</v>
      </c>
      <c r="G356" s="111" t="b">
        <v>0</v>
      </c>
    </row>
    <row r="357" spans="1:7" ht="15">
      <c r="A357" s="113" t="s">
        <v>1187</v>
      </c>
      <c r="B357" s="111">
        <v>4</v>
      </c>
      <c r="C357" s="115">
        <v>0.0007873650612247183</v>
      </c>
      <c r="D357" s="111" t="s">
        <v>1990</v>
      </c>
      <c r="E357" s="111" t="b">
        <v>0</v>
      </c>
      <c r="F357" s="111" t="b">
        <v>1</v>
      </c>
      <c r="G357" s="111" t="b">
        <v>0</v>
      </c>
    </row>
    <row r="358" spans="1:7" ht="15">
      <c r="A358" s="113" t="s">
        <v>1188</v>
      </c>
      <c r="B358" s="111">
        <v>4</v>
      </c>
      <c r="C358" s="115">
        <v>0.0008558997494355245</v>
      </c>
      <c r="D358" s="111" t="s">
        <v>1990</v>
      </c>
      <c r="E358" s="111" t="b">
        <v>0</v>
      </c>
      <c r="F358" s="111" t="b">
        <v>0</v>
      </c>
      <c r="G358" s="111" t="b">
        <v>0</v>
      </c>
    </row>
    <row r="359" spans="1:7" ht="15">
      <c r="A359" s="113" t="s">
        <v>1189</v>
      </c>
      <c r="B359" s="111">
        <v>4</v>
      </c>
      <c r="C359" s="115">
        <v>0.0007873650612247183</v>
      </c>
      <c r="D359" s="111" t="s">
        <v>1990</v>
      </c>
      <c r="E359" s="111" t="b">
        <v>0</v>
      </c>
      <c r="F359" s="111" t="b">
        <v>0</v>
      </c>
      <c r="G359" s="111" t="b">
        <v>0</v>
      </c>
    </row>
    <row r="360" spans="1:7" ht="15">
      <c r="A360" s="113" t="s">
        <v>1190</v>
      </c>
      <c r="B360" s="111">
        <v>4</v>
      </c>
      <c r="C360" s="115">
        <v>0.0008558997494355245</v>
      </c>
      <c r="D360" s="111" t="s">
        <v>1990</v>
      </c>
      <c r="E360" s="111" t="b">
        <v>0</v>
      </c>
      <c r="F360" s="111" t="b">
        <v>0</v>
      </c>
      <c r="G360" s="111" t="b">
        <v>0</v>
      </c>
    </row>
    <row r="361" spans="1:7" ht="15">
      <c r="A361" s="113" t="s">
        <v>1191</v>
      </c>
      <c r="B361" s="111">
        <v>4</v>
      </c>
      <c r="C361" s="115">
        <v>0.0007873650612247183</v>
      </c>
      <c r="D361" s="111" t="s">
        <v>1990</v>
      </c>
      <c r="E361" s="111" t="b">
        <v>0</v>
      </c>
      <c r="F361" s="111" t="b">
        <v>0</v>
      </c>
      <c r="G361" s="111" t="b">
        <v>0</v>
      </c>
    </row>
    <row r="362" spans="1:7" ht="15">
      <c r="A362" s="113" t="s">
        <v>1192</v>
      </c>
      <c r="B362" s="111">
        <v>4</v>
      </c>
      <c r="C362" s="115">
        <v>0.0007873650612247183</v>
      </c>
      <c r="D362" s="111" t="s">
        <v>1990</v>
      </c>
      <c r="E362" s="111" t="b">
        <v>0</v>
      </c>
      <c r="F362" s="111" t="b">
        <v>0</v>
      </c>
      <c r="G362" s="111" t="b">
        <v>0</v>
      </c>
    </row>
    <row r="363" spans="1:7" ht="15">
      <c r="A363" s="113" t="s">
        <v>1193</v>
      </c>
      <c r="B363" s="111">
        <v>4</v>
      </c>
      <c r="C363" s="115">
        <v>0.0009524939672389702</v>
      </c>
      <c r="D363" s="111" t="s">
        <v>1990</v>
      </c>
      <c r="E363" s="111" t="b">
        <v>0</v>
      </c>
      <c r="F363" s="111" t="b">
        <v>0</v>
      </c>
      <c r="G363" s="111" t="b">
        <v>0</v>
      </c>
    </row>
    <row r="364" spans="1:7" ht="15">
      <c r="A364" s="113" t="s">
        <v>1194</v>
      </c>
      <c r="B364" s="111">
        <v>4</v>
      </c>
      <c r="C364" s="115">
        <v>0.0007873650612247183</v>
      </c>
      <c r="D364" s="111" t="s">
        <v>1990</v>
      </c>
      <c r="E364" s="111" t="b">
        <v>0</v>
      </c>
      <c r="F364" s="111" t="b">
        <v>0</v>
      </c>
      <c r="G364" s="111" t="b">
        <v>0</v>
      </c>
    </row>
    <row r="365" spans="1:7" ht="15">
      <c r="A365" s="113" t="s">
        <v>1195</v>
      </c>
      <c r="B365" s="111">
        <v>4</v>
      </c>
      <c r="C365" s="115">
        <v>0.0007873650612247183</v>
      </c>
      <c r="D365" s="111" t="s">
        <v>1990</v>
      </c>
      <c r="E365" s="111" t="b">
        <v>0</v>
      </c>
      <c r="F365" s="111" t="b">
        <v>0</v>
      </c>
      <c r="G365" s="111" t="b">
        <v>0</v>
      </c>
    </row>
    <row r="366" spans="1:7" ht="15">
      <c r="A366" s="113" t="s">
        <v>1196</v>
      </c>
      <c r="B366" s="111">
        <v>4</v>
      </c>
      <c r="C366" s="115">
        <v>0.0007873650612247183</v>
      </c>
      <c r="D366" s="111" t="s">
        <v>1990</v>
      </c>
      <c r="E366" s="111" t="b">
        <v>0</v>
      </c>
      <c r="F366" s="111" t="b">
        <v>0</v>
      </c>
      <c r="G366" s="111" t="b">
        <v>0</v>
      </c>
    </row>
    <row r="367" spans="1:7" ht="15">
      <c r="A367" s="113" t="s">
        <v>1197</v>
      </c>
      <c r="B367" s="111">
        <v>4</v>
      </c>
      <c r="C367" s="115">
        <v>0.0009524939672389702</v>
      </c>
      <c r="D367" s="111" t="s">
        <v>1990</v>
      </c>
      <c r="E367" s="111" t="b">
        <v>0</v>
      </c>
      <c r="F367" s="111" t="b">
        <v>0</v>
      </c>
      <c r="G367" s="111" t="b">
        <v>0</v>
      </c>
    </row>
    <row r="368" spans="1:7" ht="15">
      <c r="A368" s="113" t="s">
        <v>1198</v>
      </c>
      <c r="B368" s="111">
        <v>4</v>
      </c>
      <c r="C368" s="115">
        <v>0.0009524939672389702</v>
      </c>
      <c r="D368" s="111" t="s">
        <v>1990</v>
      </c>
      <c r="E368" s="111" t="b">
        <v>0</v>
      </c>
      <c r="F368" s="111" t="b">
        <v>0</v>
      </c>
      <c r="G368" s="111" t="b">
        <v>0</v>
      </c>
    </row>
    <row r="369" spans="1:7" ht="15">
      <c r="A369" s="113" t="s">
        <v>1199</v>
      </c>
      <c r="B369" s="111">
        <v>4</v>
      </c>
      <c r="C369" s="115">
        <v>0.0008558997494355245</v>
      </c>
      <c r="D369" s="111" t="s">
        <v>1990</v>
      </c>
      <c r="E369" s="111" t="b">
        <v>0</v>
      </c>
      <c r="F369" s="111" t="b">
        <v>0</v>
      </c>
      <c r="G369" s="111" t="b">
        <v>0</v>
      </c>
    </row>
    <row r="370" spans="1:7" ht="15">
      <c r="A370" s="113" t="s">
        <v>1200</v>
      </c>
      <c r="B370" s="111">
        <v>4</v>
      </c>
      <c r="C370" s="115">
        <v>0.0007873650612247183</v>
      </c>
      <c r="D370" s="111" t="s">
        <v>1990</v>
      </c>
      <c r="E370" s="111" t="b">
        <v>0</v>
      </c>
      <c r="F370" s="111" t="b">
        <v>0</v>
      </c>
      <c r="G370" s="111" t="b">
        <v>0</v>
      </c>
    </row>
    <row r="371" spans="1:7" ht="15">
      <c r="A371" s="113" t="s">
        <v>1201</v>
      </c>
      <c r="B371" s="111">
        <v>4</v>
      </c>
      <c r="C371" s="115">
        <v>0.0008558997494355245</v>
      </c>
      <c r="D371" s="111" t="s">
        <v>1990</v>
      </c>
      <c r="E371" s="111" t="b">
        <v>0</v>
      </c>
      <c r="F371" s="111" t="b">
        <v>0</v>
      </c>
      <c r="G371" s="111" t="b">
        <v>0</v>
      </c>
    </row>
    <row r="372" spans="1:7" ht="15">
      <c r="A372" s="113" t="s">
        <v>1202</v>
      </c>
      <c r="B372" s="111">
        <v>4</v>
      </c>
      <c r="C372" s="115">
        <v>0.0007873650612247183</v>
      </c>
      <c r="D372" s="111" t="s">
        <v>1990</v>
      </c>
      <c r="E372" s="111" t="b">
        <v>0</v>
      </c>
      <c r="F372" s="111" t="b">
        <v>0</v>
      </c>
      <c r="G372" s="111" t="b">
        <v>0</v>
      </c>
    </row>
    <row r="373" spans="1:7" ht="15">
      <c r="A373" s="113" t="s">
        <v>1203</v>
      </c>
      <c r="B373" s="111">
        <v>4</v>
      </c>
      <c r="C373" s="115">
        <v>0.0007873650612247183</v>
      </c>
      <c r="D373" s="111" t="s">
        <v>1990</v>
      </c>
      <c r="E373" s="111" t="b">
        <v>0</v>
      </c>
      <c r="F373" s="111" t="b">
        <v>0</v>
      </c>
      <c r="G373" s="111" t="b">
        <v>0</v>
      </c>
    </row>
    <row r="374" spans="1:7" ht="15">
      <c r="A374" s="113" t="s">
        <v>1204</v>
      </c>
      <c r="B374" s="111">
        <v>4</v>
      </c>
      <c r="C374" s="115">
        <v>0.0007873650612247183</v>
      </c>
      <c r="D374" s="111" t="s">
        <v>1990</v>
      </c>
      <c r="E374" s="111" t="b">
        <v>0</v>
      </c>
      <c r="F374" s="111" t="b">
        <v>0</v>
      </c>
      <c r="G374" s="111" t="b">
        <v>0</v>
      </c>
    </row>
    <row r="375" spans="1:7" ht="15">
      <c r="A375" s="113" t="s">
        <v>1205</v>
      </c>
      <c r="B375" s="111">
        <v>4</v>
      </c>
      <c r="C375" s="115">
        <v>0.0007873650612247183</v>
      </c>
      <c r="D375" s="111" t="s">
        <v>1990</v>
      </c>
      <c r="E375" s="111" t="b">
        <v>0</v>
      </c>
      <c r="F375" s="111" t="b">
        <v>0</v>
      </c>
      <c r="G375" s="111" t="b">
        <v>0</v>
      </c>
    </row>
    <row r="376" spans="1:7" ht="15">
      <c r="A376" s="113" t="s">
        <v>1206</v>
      </c>
      <c r="B376" s="111">
        <v>4</v>
      </c>
      <c r="C376" s="115">
        <v>0.0007873650612247183</v>
      </c>
      <c r="D376" s="111" t="s">
        <v>1990</v>
      </c>
      <c r="E376" s="111" t="b">
        <v>0</v>
      </c>
      <c r="F376" s="111" t="b">
        <v>0</v>
      </c>
      <c r="G376" s="111" t="b">
        <v>0</v>
      </c>
    </row>
    <row r="377" spans="1:7" ht="15">
      <c r="A377" s="113" t="s">
        <v>1207</v>
      </c>
      <c r="B377" s="111">
        <v>4</v>
      </c>
      <c r="C377" s="115">
        <v>0.0007873650612247183</v>
      </c>
      <c r="D377" s="111" t="s">
        <v>1990</v>
      </c>
      <c r="E377" s="111" t="b">
        <v>1</v>
      </c>
      <c r="F377" s="111" t="b">
        <v>0</v>
      </c>
      <c r="G377" s="111" t="b">
        <v>0</v>
      </c>
    </row>
    <row r="378" spans="1:7" ht="15">
      <c r="A378" s="113" t="s">
        <v>1208</v>
      </c>
      <c r="B378" s="111">
        <v>4</v>
      </c>
      <c r="C378" s="115">
        <v>0.0007873650612247183</v>
      </c>
      <c r="D378" s="111" t="s">
        <v>1990</v>
      </c>
      <c r="E378" s="111" t="b">
        <v>0</v>
      </c>
      <c r="F378" s="111" t="b">
        <v>0</v>
      </c>
      <c r="G378" s="111" t="b">
        <v>0</v>
      </c>
    </row>
    <row r="379" spans="1:7" ht="15">
      <c r="A379" s="113" t="s">
        <v>1209</v>
      </c>
      <c r="B379" s="111">
        <v>4</v>
      </c>
      <c r="C379" s="115">
        <v>0.0007873650612247183</v>
      </c>
      <c r="D379" s="111" t="s">
        <v>1990</v>
      </c>
      <c r="E379" s="111" t="b">
        <v>0</v>
      </c>
      <c r="F379" s="111" t="b">
        <v>0</v>
      </c>
      <c r="G379" s="111" t="b">
        <v>0</v>
      </c>
    </row>
    <row r="380" spans="1:7" ht="15">
      <c r="A380" s="113" t="s">
        <v>1210</v>
      </c>
      <c r="B380" s="111">
        <v>4</v>
      </c>
      <c r="C380" s="115">
        <v>0.0008558997494355245</v>
      </c>
      <c r="D380" s="111" t="s">
        <v>1990</v>
      </c>
      <c r="E380" s="111" t="b">
        <v>0</v>
      </c>
      <c r="F380" s="111" t="b">
        <v>0</v>
      </c>
      <c r="G380" s="111" t="b">
        <v>0</v>
      </c>
    </row>
    <row r="381" spans="1:7" ht="15">
      <c r="A381" s="113" t="s">
        <v>1211</v>
      </c>
      <c r="B381" s="111">
        <v>4</v>
      </c>
      <c r="C381" s="115">
        <v>0.0007873650612247183</v>
      </c>
      <c r="D381" s="111" t="s">
        <v>1990</v>
      </c>
      <c r="E381" s="111" t="b">
        <v>0</v>
      </c>
      <c r="F381" s="111" t="b">
        <v>0</v>
      </c>
      <c r="G381" s="111" t="b">
        <v>0</v>
      </c>
    </row>
    <row r="382" spans="1:7" ht="15">
      <c r="A382" s="113" t="s">
        <v>1212</v>
      </c>
      <c r="B382" s="111">
        <v>4</v>
      </c>
      <c r="C382" s="115">
        <v>0.0008558997494355245</v>
      </c>
      <c r="D382" s="111" t="s">
        <v>1990</v>
      </c>
      <c r="E382" s="111" t="b">
        <v>0</v>
      </c>
      <c r="F382" s="111" t="b">
        <v>0</v>
      </c>
      <c r="G382" s="111" t="b">
        <v>0</v>
      </c>
    </row>
    <row r="383" spans="1:7" ht="15">
      <c r="A383" s="113" t="s">
        <v>1213</v>
      </c>
      <c r="B383" s="111">
        <v>4</v>
      </c>
      <c r="C383" s="115">
        <v>0.0007873650612247183</v>
      </c>
      <c r="D383" s="111" t="s">
        <v>1990</v>
      </c>
      <c r="E383" s="111" t="b">
        <v>0</v>
      </c>
      <c r="F383" s="111" t="b">
        <v>0</v>
      </c>
      <c r="G383" s="111" t="b">
        <v>0</v>
      </c>
    </row>
    <row r="384" spans="1:7" ht="15">
      <c r="A384" s="113" t="s">
        <v>1214</v>
      </c>
      <c r="B384" s="111">
        <v>4</v>
      </c>
      <c r="C384" s="115">
        <v>0.0008558997494355245</v>
      </c>
      <c r="D384" s="111" t="s">
        <v>1990</v>
      </c>
      <c r="E384" s="111" t="b">
        <v>0</v>
      </c>
      <c r="F384" s="111" t="b">
        <v>0</v>
      </c>
      <c r="G384" s="111" t="b">
        <v>0</v>
      </c>
    </row>
    <row r="385" spans="1:7" ht="15">
      <c r="A385" s="113" t="s">
        <v>1215</v>
      </c>
      <c r="B385" s="111">
        <v>4</v>
      </c>
      <c r="C385" s="115">
        <v>0.0007873650612247183</v>
      </c>
      <c r="D385" s="111" t="s">
        <v>1990</v>
      </c>
      <c r="E385" s="111" t="b">
        <v>0</v>
      </c>
      <c r="F385" s="111" t="b">
        <v>1</v>
      </c>
      <c r="G385" s="111" t="b">
        <v>0</v>
      </c>
    </row>
    <row r="386" spans="1:7" ht="15">
      <c r="A386" s="113" t="s">
        <v>1216</v>
      </c>
      <c r="B386" s="111">
        <v>4</v>
      </c>
      <c r="C386" s="115">
        <v>0.001117622873253222</v>
      </c>
      <c r="D386" s="111" t="s">
        <v>1990</v>
      </c>
      <c r="E386" s="111" t="b">
        <v>0</v>
      </c>
      <c r="F386" s="111" t="b">
        <v>0</v>
      </c>
      <c r="G386" s="111" t="b">
        <v>0</v>
      </c>
    </row>
    <row r="387" spans="1:7" ht="15">
      <c r="A387" s="113" t="s">
        <v>1217</v>
      </c>
      <c r="B387" s="111">
        <v>4</v>
      </c>
      <c r="C387" s="115">
        <v>0.0007873650612247183</v>
      </c>
      <c r="D387" s="111" t="s">
        <v>1990</v>
      </c>
      <c r="E387" s="111" t="b">
        <v>1</v>
      </c>
      <c r="F387" s="111" t="b">
        <v>0</v>
      </c>
      <c r="G387" s="111" t="b">
        <v>0</v>
      </c>
    </row>
    <row r="388" spans="1:7" ht="15">
      <c r="A388" s="113" t="s">
        <v>1218</v>
      </c>
      <c r="B388" s="111">
        <v>4</v>
      </c>
      <c r="C388" s="115">
        <v>0.001117622873253222</v>
      </c>
      <c r="D388" s="111" t="s">
        <v>1990</v>
      </c>
      <c r="E388" s="111" t="b">
        <v>0</v>
      </c>
      <c r="F388" s="111" t="b">
        <v>0</v>
      </c>
      <c r="G388" s="111" t="b">
        <v>0</v>
      </c>
    </row>
    <row r="389" spans="1:7" ht="15">
      <c r="A389" s="113" t="s">
        <v>1219</v>
      </c>
      <c r="B389" s="111">
        <v>4</v>
      </c>
      <c r="C389" s="115">
        <v>0.0007873650612247183</v>
      </c>
      <c r="D389" s="111" t="s">
        <v>1990</v>
      </c>
      <c r="E389" s="111" t="b">
        <v>0</v>
      </c>
      <c r="F389" s="111" t="b">
        <v>0</v>
      </c>
      <c r="G389" s="111" t="b">
        <v>0</v>
      </c>
    </row>
    <row r="390" spans="1:7" ht="15">
      <c r="A390" s="113" t="s">
        <v>1220</v>
      </c>
      <c r="B390" s="111">
        <v>4</v>
      </c>
      <c r="C390" s="115">
        <v>0.0009524939672389702</v>
      </c>
      <c r="D390" s="111" t="s">
        <v>1990</v>
      </c>
      <c r="E390" s="111" t="b">
        <v>0</v>
      </c>
      <c r="F390" s="111" t="b">
        <v>0</v>
      </c>
      <c r="G390" s="111" t="b">
        <v>0</v>
      </c>
    </row>
    <row r="391" spans="1:7" ht="15">
      <c r="A391" s="113" t="s">
        <v>1221</v>
      </c>
      <c r="B391" s="111">
        <v>4</v>
      </c>
      <c r="C391" s="115">
        <v>0.001117622873253222</v>
      </c>
      <c r="D391" s="111" t="s">
        <v>1990</v>
      </c>
      <c r="E391" s="111" t="b">
        <v>0</v>
      </c>
      <c r="F391" s="111" t="b">
        <v>0</v>
      </c>
      <c r="G391" s="111" t="b">
        <v>0</v>
      </c>
    </row>
    <row r="392" spans="1:7" ht="15">
      <c r="A392" s="113" t="s">
        <v>1222</v>
      </c>
      <c r="B392" s="111">
        <v>4</v>
      </c>
      <c r="C392" s="115">
        <v>0.0009524939672389702</v>
      </c>
      <c r="D392" s="111" t="s">
        <v>1990</v>
      </c>
      <c r="E392" s="111" t="b">
        <v>0</v>
      </c>
      <c r="F392" s="111" t="b">
        <v>0</v>
      </c>
      <c r="G392" s="111" t="b">
        <v>0</v>
      </c>
    </row>
    <row r="393" spans="1:7" ht="15">
      <c r="A393" s="113" t="s">
        <v>1223</v>
      </c>
      <c r="B393" s="111">
        <v>4</v>
      </c>
      <c r="C393" s="115">
        <v>0.0007873650612247183</v>
      </c>
      <c r="D393" s="111" t="s">
        <v>1990</v>
      </c>
      <c r="E393" s="111" t="b">
        <v>0</v>
      </c>
      <c r="F393" s="111" t="b">
        <v>0</v>
      </c>
      <c r="G393" s="111" t="b">
        <v>0</v>
      </c>
    </row>
    <row r="394" spans="1:7" ht="15">
      <c r="A394" s="113" t="s">
        <v>1224</v>
      </c>
      <c r="B394" s="111">
        <v>4</v>
      </c>
      <c r="C394" s="115">
        <v>0.001117622873253222</v>
      </c>
      <c r="D394" s="111" t="s">
        <v>1990</v>
      </c>
      <c r="E394" s="111" t="b">
        <v>0</v>
      </c>
      <c r="F394" s="111" t="b">
        <v>0</v>
      </c>
      <c r="G394" s="111" t="b">
        <v>0</v>
      </c>
    </row>
    <row r="395" spans="1:7" ht="15">
      <c r="A395" s="113" t="s">
        <v>1225</v>
      </c>
      <c r="B395" s="111">
        <v>4</v>
      </c>
      <c r="C395" s="115">
        <v>0.0008558997494355245</v>
      </c>
      <c r="D395" s="111" t="s">
        <v>1990</v>
      </c>
      <c r="E395" s="111" t="b">
        <v>0</v>
      </c>
      <c r="F395" s="111" t="b">
        <v>0</v>
      </c>
      <c r="G395" s="111" t="b">
        <v>0</v>
      </c>
    </row>
    <row r="396" spans="1:7" ht="15">
      <c r="A396" s="113" t="s">
        <v>1226</v>
      </c>
      <c r="B396" s="111">
        <v>4</v>
      </c>
      <c r="C396" s="115">
        <v>0.0008558997494355245</v>
      </c>
      <c r="D396" s="111" t="s">
        <v>1990</v>
      </c>
      <c r="E396" s="111" t="b">
        <v>0</v>
      </c>
      <c r="F396" s="111" t="b">
        <v>0</v>
      </c>
      <c r="G396" s="111" t="b">
        <v>0</v>
      </c>
    </row>
    <row r="397" spans="1:7" ht="15">
      <c r="A397" s="113" t="s">
        <v>1227</v>
      </c>
      <c r="B397" s="111">
        <v>4</v>
      </c>
      <c r="C397" s="115">
        <v>0.0009524939672389702</v>
      </c>
      <c r="D397" s="111" t="s">
        <v>1990</v>
      </c>
      <c r="E397" s="111" t="b">
        <v>0</v>
      </c>
      <c r="F397" s="111" t="b">
        <v>1</v>
      </c>
      <c r="G397" s="111" t="b">
        <v>0</v>
      </c>
    </row>
    <row r="398" spans="1:7" ht="15">
      <c r="A398" s="113" t="s">
        <v>1228</v>
      </c>
      <c r="B398" s="111">
        <v>4</v>
      </c>
      <c r="C398" s="115">
        <v>0.0008558997494355245</v>
      </c>
      <c r="D398" s="111" t="s">
        <v>1990</v>
      </c>
      <c r="E398" s="111" t="b">
        <v>0</v>
      </c>
      <c r="F398" s="111" t="b">
        <v>0</v>
      </c>
      <c r="G398" s="111" t="b">
        <v>0</v>
      </c>
    </row>
    <row r="399" spans="1:7" ht="15">
      <c r="A399" s="113" t="s">
        <v>1229</v>
      </c>
      <c r="B399" s="111">
        <v>4</v>
      </c>
      <c r="C399" s="115">
        <v>0.0007873650612247183</v>
      </c>
      <c r="D399" s="111" t="s">
        <v>1990</v>
      </c>
      <c r="E399" s="111" t="b">
        <v>0</v>
      </c>
      <c r="F399" s="111" t="b">
        <v>0</v>
      </c>
      <c r="G399" s="111" t="b">
        <v>0</v>
      </c>
    </row>
    <row r="400" spans="1:7" ht="15">
      <c r="A400" s="113" t="s">
        <v>1230</v>
      </c>
      <c r="B400" s="111">
        <v>4</v>
      </c>
      <c r="C400" s="115">
        <v>0.0007873650612247183</v>
      </c>
      <c r="D400" s="111" t="s">
        <v>1990</v>
      </c>
      <c r="E400" s="111" t="b">
        <v>0</v>
      </c>
      <c r="F400" s="111" t="b">
        <v>0</v>
      </c>
      <c r="G400" s="111" t="b">
        <v>0</v>
      </c>
    </row>
    <row r="401" spans="1:7" ht="15">
      <c r="A401" s="113" t="s">
        <v>1231</v>
      </c>
      <c r="B401" s="111">
        <v>4</v>
      </c>
      <c r="C401" s="115">
        <v>0.0008558997494355245</v>
      </c>
      <c r="D401" s="111" t="s">
        <v>1990</v>
      </c>
      <c r="E401" s="111" t="b">
        <v>0</v>
      </c>
      <c r="F401" s="111" t="b">
        <v>0</v>
      </c>
      <c r="G401" s="111" t="b">
        <v>0</v>
      </c>
    </row>
    <row r="402" spans="1:7" ht="15">
      <c r="A402" s="113" t="s">
        <v>1232</v>
      </c>
      <c r="B402" s="111">
        <v>4</v>
      </c>
      <c r="C402" s="115">
        <v>0.0007873650612247183</v>
      </c>
      <c r="D402" s="111" t="s">
        <v>1990</v>
      </c>
      <c r="E402" s="111" t="b">
        <v>0</v>
      </c>
      <c r="F402" s="111" t="b">
        <v>0</v>
      </c>
      <c r="G402" s="111" t="b">
        <v>0</v>
      </c>
    </row>
    <row r="403" spans="1:7" ht="15">
      <c r="A403" s="113" t="s">
        <v>1233</v>
      </c>
      <c r="B403" s="111">
        <v>4</v>
      </c>
      <c r="C403" s="115">
        <v>0.0007873650612247183</v>
      </c>
      <c r="D403" s="111" t="s">
        <v>1990</v>
      </c>
      <c r="E403" s="111" t="b">
        <v>0</v>
      </c>
      <c r="F403" s="111" t="b">
        <v>0</v>
      </c>
      <c r="G403" s="111" t="b">
        <v>0</v>
      </c>
    </row>
    <row r="404" spans="1:7" ht="15">
      <c r="A404" s="113" t="s">
        <v>1234</v>
      </c>
      <c r="B404" s="111">
        <v>4</v>
      </c>
      <c r="C404" s="115">
        <v>0.0007873650612247183</v>
      </c>
      <c r="D404" s="111" t="s">
        <v>1990</v>
      </c>
      <c r="E404" s="111" t="b">
        <v>0</v>
      </c>
      <c r="F404" s="111" t="b">
        <v>0</v>
      </c>
      <c r="G404" s="111" t="b">
        <v>0</v>
      </c>
    </row>
    <row r="405" spans="1:7" ht="15">
      <c r="A405" s="113" t="s">
        <v>1235</v>
      </c>
      <c r="B405" s="111">
        <v>4</v>
      </c>
      <c r="C405" s="115">
        <v>0.0009524939672389702</v>
      </c>
      <c r="D405" s="111" t="s">
        <v>1990</v>
      </c>
      <c r="E405" s="111" t="b">
        <v>0</v>
      </c>
      <c r="F405" s="111" t="b">
        <v>0</v>
      </c>
      <c r="G405" s="111" t="b">
        <v>0</v>
      </c>
    </row>
    <row r="406" spans="1:7" ht="15">
      <c r="A406" s="113" t="s">
        <v>1236</v>
      </c>
      <c r="B406" s="111">
        <v>4</v>
      </c>
      <c r="C406" s="115">
        <v>0.0007873650612247183</v>
      </c>
      <c r="D406" s="111" t="s">
        <v>1990</v>
      </c>
      <c r="E406" s="111" t="b">
        <v>0</v>
      </c>
      <c r="F406" s="111" t="b">
        <v>0</v>
      </c>
      <c r="G406" s="111" t="b">
        <v>0</v>
      </c>
    </row>
    <row r="407" spans="1:7" ht="15">
      <c r="A407" s="113" t="s">
        <v>1237</v>
      </c>
      <c r="B407" s="111">
        <v>4</v>
      </c>
      <c r="C407" s="115">
        <v>0.0007873650612247183</v>
      </c>
      <c r="D407" s="111" t="s">
        <v>1990</v>
      </c>
      <c r="E407" s="111" t="b">
        <v>0</v>
      </c>
      <c r="F407" s="111" t="b">
        <v>0</v>
      </c>
      <c r="G407" s="111" t="b">
        <v>0</v>
      </c>
    </row>
    <row r="408" spans="1:7" ht="15">
      <c r="A408" s="113" t="s">
        <v>1238</v>
      </c>
      <c r="B408" s="111">
        <v>4</v>
      </c>
      <c r="C408" s="115">
        <v>0.0007873650612247183</v>
      </c>
      <c r="D408" s="111" t="s">
        <v>1990</v>
      </c>
      <c r="E408" s="111" t="b">
        <v>0</v>
      </c>
      <c r="F408" s="111" t="b">
        <v>0</v>
      </c>
      <c r="G408" s="111" t="b">
        <v>0</v>
      </c>
    </row>
    <row r="409" spans="1:7" ht="15">
      <c r="A409" s="113" t="s">
        <v>1239</v>
      </c>
      <c r="B409" s="111">
        <v>4</v>
      </c>
      <c r="C409" s="115">
        <v>0.0009524939672389702</v>
      </c>
      <c r="D409" s="111" t="s">
        <v>1990</v>
      </c>
      <c r="E409" s="111" t="b">
        <v>0</v>
      </c>
      <c r="F409" s="111" t="b">
        <v>0</v>
      </c>
      <c r="G409" s="111" t="b">
        <v>0</v>
      </c>
    </row>
    <row r="410" spans="1:7" ht="15">
      <c r="A410" s="113" t="s">
        <v>1240</v>
      </c>
      <c r="B410" s="111">
        <v>4</v>
      </c>
      <c r="C410" s="115">
        <v>0.0009524939672389702</v>
      </c>
      <c r="D410" s="111" t="s">
        <v>1990</v>
      </c>
      <c r="E410" s="111" t="b">
        <v>0</v>
      </c>
      <c r="F410" s="111" t="b">
        <v>0</v>
      </c>
      <c r="G410" s="111" t="b">
        <v>0</v>
      </c>
    </row>
    <row r="411" spans="1:7" ht="15">
      <c r="A411" s="113" t="s">
        <v>1241</v>
      </c>
      <c r="B411" s="111">
        <v>4</v>
      </c>
      <c r="C411" s="115">
        <v>0.0009524939672389702</v>
      </c>
      <c r="D411" s="111" t="s">
        <v>1990</v>
      </c>
      <c r="E411" s="111" t="b">
        <v>0</v>
      </c>
      <c r="F411" s="111" t="b">
        <v>0</v>
      </c>
      <c r="G411" s="111" t="b">
        <v>0</v>
      </c>
    </row>
    <row r="412" spans="1:7" ht="15">
      <c r="A412" s="113" t="s">
        <v>1242</v>
      </c>
      <c r="B412" s="111">
        <v>4</v>
      </c>
      <c r="C412" s="115">
        <v>0.0007873650612247183</v>
      </c>
      <c r="D412" s="111" t="s">
        <v>1990</v>
      </c>
      <c r="E412" s="111" t="b">
        <v>0</v>
      </c>
      <c r="F412" s="111" t="b">
        <v>0</v>
      </c>
      <c r="G412" s="111" t="b">
        <v>0</v>
      </c>
    </row>
    <row r="413" spans="1:7" ht="15">
      <c r="A413" s="113" t="s">
        <v>1243</v>
      </c>
      <c r="B413" s="111">
        <v>4</v>
      </c>
      <c r="C413" s="115">
        <v>0.0007873650612247183</v>
      </c>
      <c r="D413" s="111" t="s">
        <v>1990</v>
      </c>
      <c r="E413" s="111" t="b">
        <v>0</v>
      </c>
      <c r="F413" s="111" t="b">
        <v>0</v>
      </c>
      <c r="G413" s="111" t="b">
        <v>0</v>
      </c>
    </row>
    <row r="414" spans="1:7" ht="15">
      <c r="A414" s="113" t="s">
        <v>1244</v>
      </c>
      <c r="B414" s="111">
        <v>4</v>
      </c>
      <c r="C414" s="115">
        <v>0.0009524939672389702</v>
      </c>
      <c r="D414" s="111" t="s">
        <v>1990</v>
      </c>
      <c r="E414" s="111" t="b">
        <v>0</v>
      </c>
      <c r="F414" s="111" t="b">
        <v>0</v>
      </c>
      <c r="G414" s="111" t="b">
        <v>0</v>
      </c>
    </row>
    <row r="415" spans="1:7" ht="15">
      <c r="A415" s="113" t="s">
        <v>1245</v>
      </c>
      <c r="B415" s="111">
        <v>4</v>
      </c>
      <c r="C415" s="115">
        <v>0.0008558997494355245</v>
      </c>
      <c r="D415" s="111" t="s">
        <v>1990</v>
      </c>
      <c r="E415" s="111" t="b">
        <v>0</v>
      </c>
      <c r="F415" s="111" t="b">
        <v>1</v>
      </c>
      <c r="G415" s="111" t="b">
        <v>0</v>
      </c>
    </row>
    <row r="416" spans="1:7" ht="15">
      <c r="A416" s="113" t="s">
        <v>1246</v>
      </c>
      <c r="B416" s="111">
        <v>4</v>
      </c>
      <c r="C416" s="115">
        <v>0.0009524939672389702</v>
      </c>
      <c r="D416" s="111" t="s">
        <v>1990</v>
      </c>
      <c r="E416" s="111" t="b">
        <v>0</v>
      </c>
      <c r="F416" s="111" t="b">
        <v>0</v>
      </c>
      <c r="G416" s="111" t="b">
        <v>0</v>
      </c>
    </row>
    <row r="417" spans="1:7" ht="15">
      <c r="A417" s="113" t="s">
        <v>1247</v>
      </c>
      <c r="B417" s="111">
        <v>4</v>
      </c>
      <c r="C417" s="115">
        <v>0.0008558997494355245</v>
      </c>
      <c r="D417" s="111" t="s">
        <v>1990</v>
      </c>
      <c r="E417" s="111" t="b">
        <v>0</v>
      </c>
      <c r="F417" s="111" t="b">
        <v>0</v>
      </c>
      <c r="G417" s="111" t="b">
        <v>0</v>
      </c>
    </row>
    <row r="418" spans="1:7" ht="15">
      <c r="A418" s="113" t="s">
        <v>1248</v>
      </c>
      <c r="B418" s="111">
        <v>4</v>
      </c>
      <c r="C418" s="115">
        <v>0.0008558997494355245</v>
      </c>
      <c r="D418" s="111" t="s">
        <v>1990</v>
      </c>
      <c r="E418" s="111" t="b">
        <v>0</v>
      </c>
      <c r="F418" s="111" t="b">
        <v>0</v>
      </c>
      <c r="G418" s="111" t="b">
        <v>0</v>
      </c>
    </row>
    <row r="419" spans="1:7" ht="15">
      <c r="A419" s="113" t="s">
        <v>1249</v>
      </c>
      <c r="B419" s="111">
        <v>4</v>
      </c>
      <c r="C419" s="115">
        <v>0.0009524939672389702</v>
      </c>
      <c r="D419" s="111" t="s">
        <v>1990</v>
      </c>
      <c r="E419" s="111" t="b">
        <v>0</v>
      </c>
      <c r="F419" s="111" t="b">
        <v>0</v>
      </c>
      <c r="G419" s="111" t="b">
        <v>0</v>
      </c>
    </row>
    <row r="420" spans="1:7" ht="15">
      <c r="A420" s="113" t="s">
        <v>1250</v>
      </c>
      <c r="B420" s="111">
        <v>4</v>
      </c>
      <c r="C420" s="115">
        <v>0.001117622873253222</v>
      </c>
      <c r="D420" s="111" t="s">
        <v>1990</v>
      </c>
      <c r="E420" s="111" t="b">
        <v>0</v>
      </c>
      <c r="F420" s="111" t="b">
        <v>0</v>
      </c>
      <c r="G420" s="111" t="b">
        <v>0</v>
      </c>
    </row>
    <row r="421" spans="1:7" ht="15">
      <c r="A421" s="113" t="s">
        <v>1251</v>
      </c>
      <c r="B421" s="111">
        <v>4</v>
      </c>
      <c r="C421" s="115">
        <v>0.0007873650612247183</v>
      </c>
      <c r="D421" s="111" t="s">
        <v>1990</v>
      </c>
      <c r="E421" s="111" t="b">
        <v>1</v>
      </c>
      <c r="F421" s="111" t="b">
        <v>0</v>
      </c>
      <c r="G421" s="111" t="b">
        <v>0</v>
      </c>
    </row>
    <row r="422" spans="1:7" ht="15">
      <c r="A422" s="113" t="s">
        <v>1252</v>
      </c>
      <c r="B422" s="111">
        <v>4</v>
      </c>
      <c r="C422" s="115">
        <v>0.0008558997494355245</v>
      </c>
      <c r="D422" s="111" t="s">
        <v>1990</v>
      </c>
      <c r="E422" s="111" t="b">
        <v>0</v>
      </c>
      <c r="F422" s="111" t="b">
        <v>0</v>
      </c>
      <c r="G422" s="111" t="b">
        <v>0</v>
      </c>
    </row>
    <row r="423" spans="1:7" ht="15">
      <c r="A423" s="113" t="s">
        <v>1253</v>
      </c>
      <c r="B423" s="111">
        <v>4</v>
      </c>
      <c r="C423" s="115">
        <v>0.0008558997494355245</v>
      </c>
      <c r="D423" s="111" t="s">
        <v>1990</v>
      </c>
      <c r="E423" s="111" t="b">
        <v>0</v>
      </c>
      <c r="F423" s="111" t="b">
        <v>0</v>
      </c>
      <c r="G423" s="111" t="b">
        <v>0</v>
      </c>
    </row>
    <row r="424" spans="1:7" ht="15">
      <c r="A424" s="113" t="s">
        <v>1254</v>
      </c>
      <c r="B424" s="111">
        <v>4</v>
      </c>
      <c r="C424" s="115">
        <v>0.0008558997494355245</v>
      </c>
      <c r="D424" s="111" t="s">
        <v>1990</v>
      </c>
      <c r="E424" s="111" t="b">
        <v>0</v>
      </c>
      <c r="F424" s="111" t="b">
        <v>0</v>
      </c>
      <c r="G424" s="111" t="b">
        <v>0</v>
      </c>
    </row>
    <row r="425" spans="1:7" ht="15">
      <c r="A425" s="113" t="s">
        <v>1255</v>
      </c>
      <c r="B425" s="111">
        <v>4</v>
      </c>
      <c r="C425" s="115">
        <v>0.0007873650612247183</v>
      </c>
      <c r="D425" s="111" t="s">
        <v>1990</v>
      </c>
      <c r="E425" s="111" t="b">
        <v>0</v>
      </c>
      <c r="F425" s="111" t="b">
        <v>0</v>
      </c>
      <c r="G425" s="111" t="b">
        <v>0</v>
      </c>
    </row>
    <row r="426" spans="1:7" ht="15">
      <c r="A426" s="113" t="s">
        <v>1256</v>
      </c>
      <c r="B426" s="111">
        <v>4</v>
      </c>
      <c r="C426" s="115">
        <v>0.0008558997494355245</v>
      </c>
      <c r="D426" s="111" t="s">
        <v>1990</v>
      </c>
      <c r="E426" s="111" t="b">
        <v>0</v>
      </c>
      <c r="F426" s="111" t="b">
        <v>0</v>
      </c>
      <c r="G426" s="111" t="b">
        <v>0</v>
      </c>
    </row>
    <row r="427" spans="1:7" ht="15">
      <c r="A427" s="113" t="s">
        <v>1257</v>
      </c>
      <c r="B427" s="111">
        <v>4</v>
      </c>
      <c r="C427" s="115">
        <v>0.001117622873253222</v>
      </c>
      <c r="D427" s="111" t="s">
        <v>1990</v>
      </c>
      <c r="E427" s="111" t="b">
        <v>0</v>
      </c>
      <c r="F427" s="111" t="b">
        <v>0</v>
      </c>
      <c r="G427" s="111" t="b">
        <v>0</v>
      </c>
    </row>
    <row r="428" spans="1:7" ht="15">
      <c r="A428" s="113" t="s">
        <v>1258</v>
      </c>
      <c r="B428" s="111">
        <v>4</v>
      </c>
      <c r="C428" s="115">
        <v>0.0007873650612247183</v>
      </c>
      <c r="D428" s="111" t="s">
        <v>1990</v>
      </c>
      <c r="E428" s="111" t="b">
        <v>0</v>
      </c>
      <c r="F428" s="111" t="b">
        <v>0</v>
      </c>
      <c r="G428" s="111" t="b">
        <v>0</v>
      </c>
    </row>
    <row r="429" spans="1:7" ht="15">
      <c r="A429" s="113" t="s">
        <v>1259</v>
      </c>
      <c r="B429" s="111">
        <v>4</v>
      </c>
      <c r="C429" s="115">
        <v>0.0007873650612247183</v>
      </c>
      <c r="D429" s="111" t="s">
        <v>1990</v>
      </c>
      <c r="E429" s="111" t="b">
        <v>0</v>
      </c>
      <c r="F429" s="111" t="b">
        <v>0</v>
      </c>
      <c r="G429" s="111" t="b">
        <v>0</v>
      </c>
    </row>
    <row r="430" spans="1:7" ht="15">
      <c r="A430" s="113" t="s">
        <v>1260</v>
      </c>
      <c r="B430" s="111">
        <v>4</v>
      </c>
      <c r="C430" s="115">
        <v>0.001117622873253222</v>
      </c>
      <c r="D430" s="111" t="s">
        <v>1990</v>
      </c>
      <c r="E430" s="111" t="b">
        <v>0</v>
      </c>
      <c r="F430" s="111" t="b">
        <v>0</v>
      </c>
      <c r="G430" s="111" t="b">
        <v>0</v>
      </c>
    </row>
    <row r="431" spans="1:7" ht="15">
      <c r="A431" s="113" t="s">
        <v>1261</v>
      </c>
      <c r="B431" s="111">
        <v>4</v>
      </c>
      <c r="C431" s="115">
        <v>0.0009524939672389702</v>
      </c>
      <c r="D431" s="111" t="s">
        <v>1990</v>
      </c>
      <c r="E431" s="111" t="b">
        <v>0</v>
      </c>
      <c r="F431" s="111" t="b">
        <v>0</v>
      </c>
      <c r="G431" s="111" t="b">
        <v>0</v>
      </c>
    </row>
    <row r="432" spans="1:7" ht="15">
      <c r="A432" s="113" t="s">
        <v>1262</v>
      </c>
      <c r="B432" s="111">
        <v>4</v>
      </c>
      <c r="C432" s="115">
        <v>0.0007873650612247183</v>
      </c>
      <c r="D432" s="111" t="s">
        <v>1990</v>
      </c>
      <c r="E432" s="111" t="b">
        <v>1</v>
      </c>
      <c r="F432" s="111" t="b">
        <v>0</v>
      </c>
      <c r="G432" s="111" t="b">
        <v>0</v>
      </c>
    </row>
    <row r="433" spans="1:7" ht="15">
      <c r="A433" s="113" t="s">
        <v>1263</v>
      </c>
      <c r="B433" s="111">
        <v>4</v>
      </c>
      <c r="C433" s="115">
        <v>0.0009524939672389702</v>
      </c>
      <c r="D433" s="111" t="s">
        <v>1990</v>
      </c>
      <c r="E433" s="111" t="b">
        <v>0</v>
      </c>
      <c r="F433" s="111" t="b">
        <v>0</v>
      </c>
      <c r="G433" s="111" t="b">
        <v>0</v>
      </c>
    </row>
    <row r="434" spans="1:7" ht="15">
      <c r="A434" s="113" t="s">
        <v>1264</v>
      </c>
      <c r="B434" s="111">
        <v>4</v>
      </c>
      <c r="C434" s="115">
        <v>0.0009524939672389702</v>
      </c>
      <c r="D434" s="111" t="s">
        <v>1990</v>
      </c>
      <c r="E434" s="111" t="b">
        <v>0</v>
      </c>
      <c r="F434" s="111" t="b">
        <v>0</v>
      </c>
      <c r="G434" s="111" t="b">
        <v>0</v>
      </c>
    </row>
    <row r="435" spans="1:7" ht="15">
      <c r="A435" s="113" t="s">
        <v>1265</v>
      </c>
      <c r="B435" s="111">
        <v>4</v>
      </c>
      <c r="C435" s="115">
        <v>0.0009524939672389702</v>
      </c>
      <c r="D435" s="111" t="s">
        <v>1990</v>
      </c>
      <c r="E435" s="111" t="b">
        <v>0</v>
      </c>
      <c r="F435" s="111" t="b">
        <v>0</v>
      </c>
      <c r="G435" s="111" t="b">
        <v>0</v>
      </c>
    </row>
    <row r="436" spans="1:7" ht="15">
      <c r="A436" s="113" t="s">
        <v>1266</v>
      </c>
      <c r="B436" s="111">
        <v>4</v>
      </c>
      <c r="C436" s="115">
        <v>0.0008558997494355245</v>
      </c>
      <c r="D436" s="111" t="s">
        <v>1990</v>
      </c>
      <c r="E436" s="111" t="b">
        <v>0</v>
      </c>
      <c r="F436" s="111" t="b">
        <v>0</v>
      </c>
      <c r="G436" s="111" t="b">
        <v>0</v>
      </c>
    </row>
    <row r="437" spans="1:7" ht="15">
      <c r="A437" s="113" t="s">
        <v>1267</v>
      </c>
      <c r="B437" s="111">
        <v>4</v>
      </c>
      <c r="C437" s="115">
        <v>0.0009524939672389702</v>
      </c>
      <c r="D437" s="111" t="s">
        <v>1990</v>
      </c>
      <c r="E437" s="111" t="b">
        <v>0</v>
      </c>
      <c r="F437" s="111" t="b">
        <v>0</v>
      </c>
      <c r="G437" s="111" t="b">
        <v>0</v>
      </c>
    </row>
    <row r="438" spans="1:7" ht="15">
      <c r="A438" s="113" t="s">
        <v>1268</v>
      </c>
      <c r="B438" s="111">
        <v>4</v>
      </c>
      <c r="C438" s="115">
        <v>0.0009524939672389702</v>
      </c>
      <c r="D438" s="111" t="s">
        <v>1990</v>
      </c>
      <c r="E438" s="111" t="b">
        <v>0</v>
      </c>
      <c r="F438" s="111" t="b">
        <v>0</v>
      </c>
      <c r="G438" s="111" t="b">
        <v>0</v>
      </c>
    </row>
    <row r="439" spans="1:7" ht="15">
      <c r="A439" s="113" t="s">
        <v>1269</v>
      </c>
      <c r="B439" s="111">
        <v>4</v>
      </c>
      <c r="C439" s="115">
        <v>0.0009524939672389702</v>
      </c>
      <c r="D439" s="111" t="s">
        <v>1990</v>
      </c>
      <c r="E439" s="111" t="b">
        <v>0</v>
      </c>
      <c r="F439" s="111" t="b">
        <v>0</v>
      </c>
      <c r="G439" s="111" t="b">
        <v>0</v>
      </c>
    </row>
    <row r="440" spans="1:7" ht="15">
      <c r="A440" s="113" t="s">
        <v>1270</v>
      </c>
      <c r="B440" s="111">
        <v>4</v>
      </c>
      <c r="C440" s="115">
        <v>0.001117622873253222</v>
      </c>
      <c r="D440" s="111" t="s">
        <v>1990</v>
      </c>
      <c r="E440" s="111" t="b">
        <v>0</v>
      </c>
      <c r="F440" s="111" t="b">
        <v>1</v>
      </c>
      <c r="G440" s="111" t="b">
        <v>0</v>
      </c>
    </row>
    <row r="441" spans="1:7" ht="15">
      <c r="A441" s="113" t="s">
        <v>1271</v>
      </c>
      <c r="B441" s="111">
        <v>4</v>
      </c>
      <c r="C441" s="115">
        <v>0.001117622873253222</v>
      </c>
      <c r="D441" s="111" t="s">
        <v>1990</v>
      </c>
      <c r="E441" s="111" t="b">
        <v>0</v>
      </c>
      <c r="F441" s="111" t="b">
        <v>1</v>
      </c>
      <c r="G441" s="111" t="b">
        <v>0</v>
      </c>
    </row>
    <row r="442" spans="1:7" ht="15">
      <c r="A442" s="113" t="s">
        <v>1272</v>
      </c>
      <c r="B442" s="111">
        <v>4</v>
      </c>
      <c r="C442" s="115">
        <v>0.0009524939672389702</v>
      </c>
      <c r="D442" s="111" t="s">
        <v>1990</v>
      </c>
      <c r="E442" s="111" t="b">
        <v>0</v>
      </c>
      <c r="F442" s="111" t="b">
        <v>0</v>
      </c>
      <c r="G442" s="111" t="b">
        <v>0</v>
      </c>
    </row>
    <row r="443" spans="1:7" ht="15">
      <c r="A443" s="113" t="s">
        <v>1273</v>
      </c>
      <c r="B443" s="111">
        <v>4</v>
      </c>
      <c r="C443" s="115">
        <v>0.001117622873253222</v>
      </c>
      <c r="D443" s="111" t="s">
        <v>1990</v>
      </c>
      <c r="E443" s="111" t="b">
        <v>0</v>
      </c>
      <c r="F443" s="111" t="b">
        <v>0</v>
      </c>
      <c r="G443" s="111" t="b">
        <v>0</v>
      </c>
    </row>
    <row r="444" spans="1:7" ht="15">
      <c r="A444" s="113" t="s">
        <v>1274</v>
      </c>
      <c r="B444" s="111">
        <v>4</v>
      </c>
      <c r="C444" s="115">
        <v>0.0009524939672389702</v>
      </c>
      <c r="D444" s="111" t="s">
        <v>1990</v>
      </c>
      <c r="E444" s="111" t="b">
        <v>0</v>
      </c>
      <c r="F444" s="111" t="b">
        <v>0</v>
      </c>
      <c r="G444" s="111" t="b">
        <v>0</v>
      </c>
    </row>
    <row r="445" spans="1:7" ht="15">
      <c r="A445" s="113" t="s">
        <v>1275</v>
      </c>
      <c r="B445" s="111">
        <v>4</v>
      </c>
      <c r="C445" s="115">
        <v>0.0009524939672389702</v>
      </c>
      <c r="D445" s="111" t="s">
        <v>1990</v>
      </c>
      <c r="E445" s="111" t="b">
        <v>0</v>
      </c>
      <c r="F445" s="111" t="b">
        <v>0</v>
      </c>
      <c r="G445" s="111" t="b">
        <v>0</v>
      </c>
    </row>
    <row r="446" spans="1:7" ht="15">
      <c r="A446" s="113" t="s">
        <v>1276</v>
      </c>
      <c r="B446" s="111">
        <v>4</v>
      </c>
      <c r="C446" s="115">
        <v>0.001117622873253222</v>
      </c>
      <c r="D446" s="111" t="s">
        <v>1990</v>
      </c>
      <c r="E446" s="111" t="b">
        <v>0</v>
      </c>
      <c r="F446" s="111" t="b">
        <v>0</v>
      </c>
      <c r="G446" s="111" t="b">
        <v>0</v>
      </c>
    </row>
    <row r="447" spans="1:7" ht="15">
      <c r="A447" s="113" t="s">
        <v>1277</v>
      </c>
      <c r="B447" s="111">
        <v>4</v>
      </c>
      <c r="C447" s="115">
        <v>0.001117622873253222</v>
      </c>
      <c r="D447" s="111" t="s">
        <v>1990</v>
      </c>
      <c r="E447" s="111" t="b">
        <v>0</v>
      </c>
      <c r="F447" s="111" t="b">
        <v>0</v>
      </c>
      <c r="G447" s="111" t="b">
        <v>0</v>
      </c>
    </row>
    <row r="448" spans="1:7" ht="15">
      <c r="A448" s="113" t="s">
        <v>1278</v>
      </c>
      <c r="B448" s="111">
        <v>4</v>
      </c>
      <c r="C448" s="115">
        <v>0.001117622873253222</v>
      </c>
      <c r="D448" s="111" t="s">
        <v>1990</v>
      </c>
      <c r="E448" s="111" t="b">
        <v>0</v>
      </c>
      <c r="F448" s="111" t="b">
        <v>0</v>
      </c>
      <c r="G448" s="111" t="b">
        <v>0</v>
      </c>
    </row>
    <row r="449" spans="1:7" ht="15">
      <c r="A449" s="113" t="s">
        <v>1279</v>
      </c>
      <c r="B449" s="111">
        <v>4</v>
      </c>
      <c r="C449" s="115">
        <v>0.001117622873253222</v>
      </c>
      <c r="D449" s="111" t="s">
        <v>1990</v>
      </c>
      <c r="E449" s="111" t="b">
        <v>0</v>
      </c>
      <c r="F449" s="111" t="b">
        <v>0</v>
      </c>
      <c r="G449" s="111" t="b">
        <v>0</v>
      </c>
    </row>
    <row r="450" spans="1:7" ht="15">
      <c r="A450" s="113" t="s">
        <v>1280</v>
      </c>
      <c r="B450" s="111">
        <v>4</v>
      </c>
      <c r="C450" s="115">
        <v>0.001117622873253222</v>
      </c>
      <c r="D450" s="111" t="s">
        <v>1990</v>
      </c>
      <c r="E450" s="111" t="b">
        <v>0</v>
      </c>
      <c r="F450" s="111" t="b">
        <v>0</v>
      </c>
      <c r="G450" s="111" t="b">
        <v>0</v>
      </c>
    </row>
    <row r="451" spans="1:7" ht="15">
      <c r="A451" s="113" t="s">
        <v>1281</v>
      </c>
      <c r="B451" s="111">
        <v>3</v>
      </c>
      <c r="C451" s="115">
        <v>0.0006419248120766433</v>
      </c>
      <c r="D451" s="111" t="s">
        <v>1990</v>
      </c>
      <c r="E451" s="111" t="b">
        <v>0</v>
      </c>
      <c r="F451" s="111" t="b">
        <v>0</v>
      </c>
      <c r="G451" s="111" t="b">
        <v>0</v>
      </c>
    </row>
    <row r="452" spans="1:7" ht="15">
      <c r="A452" s="113" t="s">
        <v>1282</v>
      </c>
      <c r="B452" s="111">
        <v>3</v>
      </c>
      <c r="C452" s="115">
        <v>0.0006419248120766433</v>
      </c>
      <c r="D452" s="111" t="s">
        <v>1990</v>
      </c>
      <c r="E452" s="111" t="b">
        <v>0</v>
      </c>
      <c r="F452" s="111" t="b">
        <v>0</v>
      </c>
      <c r="G452" s="111" t="b">
        <v>0</v>
      </c>
    </row>
    <row r="453" spans="1:7" ht="15">
      <c r="A453" s="113" t="s">
        <v>1283</v>
      </c>
      <c r="B453" s="111">
        <v>3</v>
      </c>
      <c r="C453" s="115">
        <v>0.0006419248120766433</v>
      </c>
      <c r="D453" s="111" t="s">
        <v>1990</v>
      </c>
      <c r="E453" s="111" t="b">
        <v>1</v>
      </c>
      <c r="F453" s="111" t="b">
        <v>0</v>
      </c>
      <c r="G453" s="111" t="b">
        <v>0</v>
      </c>
    </row>
    <row r="454" spans="1:7" ht="15">
      <c r="A454" s="113" t="s">
        <v>1284</v>
      </c>
      <c r="B454" s="111">
        <v>3</v>
      </c>
      <c r="C454" s="115">
        <v>0.0006419248120766433</v>
      </c>
      <c r="D454" s="111" t="s">
        <v>1990</v>
      </c>
      <c r="E454" s="111" t="b">
        <v>0</v>
      </c>
      <c r="F454" s="111" t="b">
        <v>0</v>
      </c>
      <c r="G454" s="111" t="b">
        <v>0</v>
      </c>
    </row>
    <row r="455" spans="1:7" ht="15">
      <c r="A455" s="113" t="s">
        <v>1285</v>
      </c>
      <c r="B455" s="111">
        <v>3</v>
      </c>
      <c r="C455" s="115">
        <v>0.0006419248120766433</v>
      </c>
      <c r="D455" s="111" t="s">
        <v>1990</v>
      </c>
      <c r="E455" s="111" t="b">
        <v>0</v>
      </c>
      <c r="F455" s="111" t="b">
        <v>0</v>
      </c>
      <c r="G455" s="111" t="b">
        <v>0</v>
      </c>
    </row>
    <row r="456" spans="1:7" ht="15">
      <c r="A456" s="113" t="s">
        <v>1286</v>
      </c>
      <c r="B456" s="111">
        <v>3</v>
      </c>
      <c r="C456" s="115">
        <v>0.0006419248120766433</v>
      </c>
      <c r="D456" s="111" t="s">
        <v>1990</v>
      </c>
      <c r="E456" s="111" t="b">
        <v>0</v>
      </c>
      <c r="F456" s="111" t="b">
        <v>0</v>
      </c>
      <c r="G456" s="111" t="b">
        <v>0</v>
      </c>
    </row>
    <row r="457" spans="1:7" ht="15">
      <c r="A457" s="113" t="s">
        <v>1287</v>
      </c>
      <c r="B457" s="111">
        <v>3</v>
      </c>
      <c r="C457" s="115">
        <v>0.0006419248120766433</v>
      </c>
      <c r="D457" s="111" t="s">
        <v>1990</v>
      </c>
      <c r="E457" s="111" t="b">
        <v>0</v>
      </c>
      <c r="F457" s="111" t="b">
        <v>0</v>
      </c>
      <c r="G457" s="111" t="b">
        <v>0</v>
      </c>
    </row>
    <row r="458" spans="1:7" ht="15">
      <c r="A458" s="113" t="s">
        <v>1288</v>
      </c>
      <c r="B458" s="111">
        <v>3</v>
      </c>
      <c r="C458" s="115">
        <v>0.0006419248120766433</v>
      </c>
      <c r="D458" s="111" t="s">
        <v>1990</v>
      </c>
      <c r="E458" s="111" t="b">
        <v>1</v>
      </c>
      <c r="F458" s="111" t="b">
        <v>0</v>
      </c>
      <c r="G458" s="111" t="b">
        <v>0</v>
      </c>
    </row>
    <row r="459" spans="1:7" ht="15">
      <c r="A459" s="113" t="s">
        <v>1289</v>
      </c>
      <c r="B459" s="111">
        <v>3</v>
      </c>
      <c r="C459" s="115">
        <v>0.0006419248120766433</v>
      </c>
      <c r="D459" s="111" t="s">
        <v>1990</v>
      </c>
      <c r="E459" s="111" t="b">
        <v>0</v>
      </c>
      <c r="F459" s="111" t="b">
        <v>0</v>
      </c>
      <c r="G459" s="111" t="b">
        <v>0</v>
      </c>
    </row>
    <row r="460" spans="1:7" ht="15">
      <c r="A460" s="113" t="s">
        <v>1290</v>
      </c>
      <c r="B460" s="111">
        <v>3</v>
      </c>
      <c r="C460" s="115">
        <v>0.0006419248120766433</v>
      </c>
      <c r="D460" s="111" t="s">
        <v>1990</v>
      </c>
      <c r="E460" s="111" t="b">
        <v>0</v>
      </c>
      <c r="F460" s="111" t="b">
        <v>0</v>
      </c>
      <c r="G460" s="111" t="b">
        <v>0</v>
      </c>
    </row>
    <row r="461" spans="1:7" ht="15">
      <c r="A461" s="113" t="s">
        <v>1291</v>
      </c>
      <c r="B461" s="111">
        <v>3</v>
      </c>
      <c r="C461" s="115">
        <v>0.0006419248120766433</v>
      </c>
      <c r="D461" s="111" t="s">
        <v>1990</v>
      </c>
      <c r="E461" s="111" t="b">
        <v>0</v>
      </c>
      <c r="F461" s="111" t="b">
        <v>0</v>
      </c>
      <c r="G461" s="111" t="b">
        <v>0</v>
      </c>
    </row>
    <row r="462" spans="1:7" ht="15">
      <c r="A462" s="113" t="s">
        <v>1292</v>
      </c>
      <c r="B462" s="111">
        <v>3</v>
      </c>
      <c r="C462" s="115">
        <v>0.0006419248120766433</v>
      </c>
      <c r="D462" s="111" t="s">
        <v>1990</v>
      </c>
      <c r="E462" s="111" t="b">
        <v>0</v>
      </c>
      <c r="F462" s="111" t="b">
        <v>0</v>
      </c>
      <c r="G462" s="111" t="b">
        <v>0</v>
      </c>
    </row>
    <row r="463" spans="1:7" ht="15">
      <c r="A463" s="113" t="s">
        <v>1293</v>
      </c>
      <c r="B463" s="111">
        <v>3</v>
      </c>
      <c r="C463" s="115">
        <v>0.0006419248120766433</v>
      </c>
      <c r="D463" s="111" t="s">
        <v>1990</v>
      </c>
      <c r="E463" s="111" t="b">
        <v>1</v>
      </c>
      <c r="F463" s="111" t="b">
        <v>0</v>
      </c>
      <c r="G463" s="111" t="b">
        <v>0</v>
      </c>
    </row>
    <row r="464" spans="1:7" ht="15">
      <c r="A464" s="113" t="s">
        <v>1294</v>
      </c>
      <c r="B464" s="111">
        <v>3</v>
      </c>
      <c r="C464" s="115">
        <v>0.0006419248120766433</v>
      </c>
      <c r="D464" s="111" t="s">
        <v>1990</v>
      </c>
      <c r="E464" s="111" t="b">
        <v>0</v>
      </c>
      <c r="F464" s="111" t="b">
        <v>0</v>
      </c>
      <c r="G464" s="111" t="b">
        <v>0</v>
      </c>
    </row>
    <row r="465" spans="1:7" ht="15">
      <c r="A465" s="113" t="s">
        <v>1295</v>
      </c>
      <c r="B465" s="111">
        <v>3</v>
      </c>
      <c r="C465" s="115">
        <v>0.0006419248120766433</v>
      </c>
      <c r="D465" s="111" t="s">
        <v>1990</v>
      </c>
      <c r="E465" s="111" t="b">
        <v>0</v>
      </c>
      <c r="F465" s="111" t="b">
        <v>0</v>
      </c>
      <c r="G465" s="111" t="b">
        <v>0</v>
      </c>
    </row>
    <row r="466" spans="1:7" ht="15">
      <c r="A466" s="113" t="s">
        <v>1296</v>
      </c>
      <c r="B466" s="111">
        <v>3</v>
      </c>
      <c r="C466" s="115">
        <v>0.0006419248120766433</v>
      </c>
      <c r="D466" s="111" t="s">
        <v>1990</v>
      </c>
      <c r="E466" s="111" t="b">
        <v>0</v>
      </c>
      <c r="F466" s="111" t="b">
        <v>0</v>
      </c>
      <c r="G466" s="111" t="b">
        <v>0</v>
      </c>
    </row>
    <row r="467" spans="1:7" ht="15">
      <c r="A467" s="113" t="s">
        <v>1297</v>
      </c>
      <c r="B467" s="111">
        <v>3</v>
      </c>
      <c r="C467" s="115">
        <v>0.0006419248120766433</v>
      </c>
      <c r="D467" s="111" t="s">
        <v>1990</v>
      </c>
      <c r="E467" s="111" t="b">
        <v>0</v>
      </c>
      <c r="F467" s="111" t="b">
        <v>0</v>
      </c>
      <c r="G467" s="111" t="b">
        <v>0</v>
      </c>
    </row>
    <row r="468" spans="1:7" ht="15">
      <c r="A468" s="113" t="s">
        <v>1298</v>
      </c>
      <c r="B468" s="111">
        <v>3</v>
      </c>
      <c r="C468" s="115">
        <v>0.0006419248120766433</v>
      </c>
      <c r="D468" s="111" t="s">
        <v>1990</v>
      </c>
      <c r="E468" s="111" t="b">
        <v>0</v>
      </c>
      <c r="F468" s="111" t="b">
        <v>0</v>
      </c>
      <c r="G468" s="111" t="b">
        <v>0</v>
      </c>
    </row>
    <row r="469" spans="1:7" ht="15">
      <c r="A469" s="113" t="s">
        <v>1299</v>
      </c>
      <c r="B469" s="111">
        <v>3</v>
      </c>
      <c r="C469" s="115">
        <v>0.0007143704754292275</v>
      </c>
      <c r="D469" s="111" t="s">
        <v>1990</v>
      </c>
      <c r="E469" s="111" t="b">
        <v>0</v>
      </c>
      <c r="F469" s="111" t="b">
        <v>0</v>
      </c>
      <c r="G469" s="111" t="b">
        <v>0</v>
      </c>
    </row>
    <row r="470" spans="1:7" ht="15">
      <c r="A470" s="113" t="s">
        <v>1300</v>
      </c>
      <c r="B470" s="111">
        <v>3</v>
      </c>
      <c r="C470" s="115">
        <v>0.0006419248120766433</v>
      </c>
      <c r="D470" s="111" t="s">
        <v>1990</v>
      </c>
      <c r="E470" s="111" t="b">
        <v>0</v>
      </c>
      <c r="F470" s="111" t="b">
        <v>0</v>
      </c>
      <c r="G470" s="111" t="b">
        <v>0</v>
      </c>
    </row>
    <row r="471" spans="1:7" ht="15">
      <c r="A471" s="113" t="s">
        <v>1301</v>
      </c>
      <c r="B471" s="111">
        <v>3</v>
      </c>
      <c r="C471" s="115">
        <v>0.0006419248120766433</v>
      </c>
      <c r="D471" s="111" t="s">
        <v>1990</v>
      </c>
      <c r="E471" s="111" t="b">
        <v>0</v>
      </c>
      <c r="F471" s="111" t="b">
        <v>1</v>
      </c>
      <c r="G471" s="111" t="b">
        <v>0</v>
      </c>
    </row>
    <row r="472" spans="1:7" ht="15">
      <c r="A472" s="113" t="s">
        <v>1302</v>
      </c>
      <c r="B472" s="111">
        <v>3</v>
      </c>
      <c r="C472" s="115">
        <v>0.0007143704754292275</v>
      </c>
      <c r="D472" s="111" t="s">
        <v>1990</v>
      </c>
      <c r="E472" s="111" t="b">
        <v>0</v>
      </c>
      <c r="F472" s="111" t="b">
        <v>0</v>
      </c>
      <c r="G472" s="111" t="b">
        <v>0</v>
      </c>
    </row>
    <row r="473" spans="1:7" ht="15">
      <c r="A473" s="113" t="s">
        <v>1303</v>
      </c>
      <c r="B473" s="111">
        <v>3</v>
      </c>
      <c r="C473" s="115">
        <v>0.0006419248120766433</v>
      </c>
      <c r="D473" s="111" t="s">
        <v>1990</v>
      </c>
      <c r="E473" s="111" t="b">
        <v>0</v>
      </c>
      <c r="F473" s="111" t="b">
        <v>0</v>
      </c>
      <c r="G473" s="111" t="b">
        <v>0</v>
      </c>
    </row>
    <row r="474" spans="1:7" ht="15">
      <c r="A474" s="113" t="s">
        <v>1304</v>
      </c>
      <c r="B474" s="111">
        <v>3</v>
      </c>
      <c r="C474" s="115">
        <v>0.0006419248120766433</v>
      </c>
      <c r="D474" s="111" t="s">
        <v>1990</v>
      </c>
      <c r="E474" s="111" t="b">
        <v>0</v>
      </c>
      <c r="F474" s="111" t="b">
        <v>0</v>
      </c>
      <c r="G474" s="111" t="b">
        <v>0</v>
      </c>
    </row>
    <row r="475" spans="1:7" ht="15">
      <c r="A475" s="113" t="s">
        <v>1305</v>
      </c>
      <c r="B475" s="111">
        <v>3</v>
      </c>
      <c r="C475" s="115">
        <v>0.0006419248120766433</v>
      </c>
      <c r="D475" s="111" t="s">
        <v>1990</v>
      </c>
      <c r="E475" s="111" t="b">
        <v>0</v>
      </c>
      <c r="F475" s="111" t="b">
        <v>0</v>
      </c>
      <c r="G475" s="111" t="b">
        <v>0</v>
      </c>
    </row>
    <row r="476" spans="1:7" ht="15">
      <c r="A476" s="113" t="s">
        <v>1306</v>
      </c>
      <c r="B476" s="111">
        <v>3</v>
      </c>
      <c r="C476" s="115">
        <v>0.0006419248120766433</v>
      </c>
      <c r="D476" s="111" t="s">
        <v>1990</v>
      </c>
      <c r="E476" s="111" t="b">
        <v>0</v>
      </c>
      <c r="F476" s="111" t="b">
        <v>0</v>
      </c>
      <c r="G476" s="111" t="b">
        <v>0</v>
      </c>
    </row>
    <row r="477" spans="1:7" ht="15">
      <c r="A477" s="113" t="s">
        <v>1307</v>
      </c>
      <c r="B477" s="111">
        <v>3</v>
      </c>
      <c r="C477" s="115">
        <v>0.0006419248120766433</v>
      </c>
      <c r="D477" s="111" t="s">
        <v>1990</v>
      </c>
      <c r="E477" s="111" t="b">
        <v>0</v>
      </c>
      <c r="F477" s="111" t="b">
        <v>0</v>
      </c>
      <c r="G477" s="111" t="b">
        <v>0</v>
      </c>
    </row>
    <row r="478" spans="1:7" ht="15">
      <c r="A478" s="113" t="s">
        <v>1308</v>
      </c>
      <c r="B478" s="111">
        <v>3</v>
      </c>
      <c r="C478" s="115">
        <v>0.0007143704754292275</v>
      </c>
      <c r="D478" s="111" t="s">
        <v>1990</v>
      </c>
      <c r="E478" s="111" t="b">
        <v>0</v>
      </c>
      <c r="F478" s="111" t="b">
        <v>0</v>
      </c>
      <c r="G478" s="111" t="b">
        <v>0</v>
      </c>
    </row>
    <row r="479" spans="1:7" ht="15">
      <c r="A479" s="113" t="s">
        <v>1309</v>
      </c>
      <c r="B479" s="111">
        <v>3</v>
      </c>
      <c r="C479" s="115">
        <v>0.0007143704754292275</v>
      </c>
      <c r="D479" s="111" t="s">
        <v>1990</v>
      </c>
      <c r="E479" s="111" t="b">
        <v>0</v>
      </c>
      <c r="F479" s="111" t="b">
        <v>0</v>
      </c>
      <c r="G479" s="111" t="b">
        <v>0</v>
      </c>
    </row>
    <row r="480" spans="1:7" ht="15">
      <c r="A480" s="113" t="s">
        <v>1310</v>
      </c>
      <c r="B480" s="111">
        <v>3</v>
      </c>
      <c r="C480" s="115">
        <v>0.0007143704754292275</v>
      </c>
      <c r="D480" s="111" t="s">
        <v>1990</v>
      </c>
      <c r="E480" s="111" t="b">
        <v>1</v>
      </c>
      <c r="F480" s="111" t="b">
        <v>0</v>
      </c>
      <c r="G480" s="111" t="b">
        <v>0</v>
      </c>
    </row>
    <row r="481" spans="1:7" ht="15">
      <c r="A481" s="113" t="s">
        <v>1311</v>
      </c>
      <c r="B481" s="111">
        <v>3</v>
      </c>
      <c r="C481" s="115">
        <v>0.0006419248120766433</v>
      </c>
      <c r="D481" s="111" t="s">
        <v>1990</v>
      </c>
      <c r="E481" s="111" t="b">
        <v>0</v>
      </c>
      <c r="F481" s="111" t="b">
        <v>0</v>
      </c>
      <c r="G481" s="111" t="b">
        <v>0</v>
      </c>
    </row>
    <row r="482" spans="1:7" ht="15">
      <c r="A482" s="113" t="s">
        <v>1312</v>
      </c>
      <c r="B482" s="111">
        <v>3</v>
      </c>
      <c r="C482" s="115">
        <v>0.0006419248120766433</v>
      </c>
      <c r="D482" s="111" t="s">
        <v>1990</v>
      </c>
      <c r="E482" s="111" t="b">
        <v>0</v>
      </c>
      <c r="F482" s="111" t="b">
        <v>0</v>
      </c>
      <c r="G482" s="111" t="b">
        <v>0</v>
      </c>
    </row>
    <row r="483" spans="1:7" ht="15">
      <c r="A483" s="113" t="s">
        <v>1313</v>
      </c>
      <c r="B483" s="111">
        <v>3</v>
      </c>
      <c r="C483" s="115">
        <v>0.0006419248120766433</v>
      </c>
      <c r="D483" s="111" t="s">
        <v>1990</v>
      </c>
      <c r="E483" s="111" t="b">
        <v>0</v>
      </c>
      <c r="F483" s="111" t="b">
        <v>0</v>
      </c>
      <c r="G483" s="111" t="b">
        <v>0</v>
      </c>
    </row>
    <row r="484" spans="1:7" ht="15">
      <c r="A484" s="113" t="s">
        <v>1314</v>
      </c>
      <c r="B484" s="111">
        <v>3</v>
      </c>
      <c r="C484" s="115">
        <v>0.0006419248120766433</v>
      </c>
      <c r="D484" s="111" t="s">
        <v>1990</v>
      </c>
      <c r="E484" s="111" t="b">
        <v>0</v>
      </c>
      <c r="F484" s="111" t="b">
        <v>0</v>
      </c>
      <c r="G484" s="111" t="b">
        <v>0</v>
      </c>
    </row>
    <row r="485" spans="1:7" ht="15">
      <c r="A485" s="113" t="s">
        <v>1315</v>
      </c>
      <c r="B485" s="111">
        <v>3</v>
      </c>
      <c r="C485" s="115">
        <v>0.0006419248120766433</v>
      </c>
      <c r="D485" s="111" t="s">
        <v>1990</v>
      </c>
      <c r="E485" s="111" t="b">
        <v>0</v>
      </c>
      <c r="F485" s="111" t="b">
        <v>0</v>
      </c>
      <c r="G485" s="111" t="b">
        <v>0</v>
      </c>
    </row>
    <row r="486" spans="1:7" ht="15">
      <c r="A486" s="113" t="s">
        <v>1316</v>
      </c>
      <c r="B486" s="111">
        <v>3</v>
      </c>
      <c r="C486" s="115">
        <v>0.0006419248120766433</v>
      </c>
      <c r="D486" s="111" t="s">
        <v>1990</v>
      </c>
      <c r="E486" s="111" t="b">
        <v>0</v>
      </c>
      <c r="F486" s="111" t="b">
        <v>1</v>
      </c>
      <c r="G486" s="111" t="b">
        <v>0</v>
      </c>
    </row>
    <row r="487" spans="1:7" ht="15">
      <c r="A487" s="113" t="s">
        <v>1317</v>
      </c>
      <c r="B487" s="111">
        <v>3</v>
      </c>
      <c r="C487" s="115">
        <v>0.0006419248120766433</v>
      </c>
      <c r="D487" s="111" t="s">
        <v>1990</v>
      </c>
      <c r="E487" s="111" t="b">
        <v>0</v>
      </c>
      <c r="F487" s="111" t="b">
        <v>0</v>
      </c>
      <c r="G487" s="111" t="b">
        <v>0</v>
      </c>
    </row>
    <row r="488" spans="1:7" ht="15">
      <c r="A488" s="113" t="s">
        <v>1318</v>
      </c>
      <c r="B488" s="111">
        <v>3</v>
      </c>
      <c r="C488" s="115">
        <v>0.0007143704754292275</v>
      </c>
      <c r="D488" s="111" t="s">
        <v>1990</v>
      </c>
      <c r="E488" s="111" t="b">
        <v>0</v>
      </c>
      <c r="F488" s="111" t="b">
        <v>0</v>
      </c>
      <c r="G488" s="111" t="b">
        <v>0</v>
      </c>
    </row>
    <row r="489" spans="1:7" ht="15">
      <c r="A489" s="113" t="s">
        <v>1319</v>
      </c>
      <c r="B489" s="111">
        <v>3</v>
      </c>
      <c r="C489" s="115">
        <v>0.0006419248120766433</v>
      </c>
      <c r="D489" s="111" t="s">
        <v>1990</v>
      </c>
      <c r="E489" s="111" t="b">
        <v>0</v>
      </c>
      <c r="F489" s="111" t="b">
        <v>0</v>
      </c>
      <c r="G489" s="111" t="b">
        <v>0</v>
      </c>
    </row>
    <row r="490" spans="1:7" ht="15">
      <c r="A490" s="113" t="s">
        <v>1320</v>
      </c>
      <c r="B490" s="111">
        <v>3</v>
      </c>
      <c r="C490" s="115">
        <v>0.0006419248120766433</v>
      </c>
      <c r="D490" s="111" t="s">
        <v>1990</v>
      </c>
      <c r="E490" s="111" t="b">
        <v>0</v>
      </c>
      <c r="F490" s="111" t="b">
        <v>0</v>
      </c>
      <c r="G490" s="111" t="b">
        <v>0</v>
      </c>
    </row>
    <row r="491" spans="1:7" ht="15">
      <c r="A491" s="113" t="s">
        <v>1321</v>
      </c>
      <c r="B491" s="111">
        <v>3</v>
      </c>
      <c r="C491" s="115">
        <v>0.0006419248120766433</v>
      </c>
      <c r="D491" s="111" t="s">
        <v>1990</v>
      </c>
      <c r="E491" s="111" t="b">
        <v>0</v>
      </c>
      <c r="F491" s="111" t="b">
        <v>0</v>
      </c>
      <c r="G491" s="111" t="b">
        <v>0</v>
      </c>
    </row>
    <row r="492" spans="1:7" ht="15">
      <c r="A492" s="113" t="s">
        <v>1322</v>
      </c>
      <c r="B492" s="111">
        <v>3</v>
      </c>
      <c r="C492" s="115">
        <v>0.0006419248120766433</v>
      </c>
      <c r="D492" s="111" t="s">
        <v>1990</v>
      </c>
      <c r="E492" s="111" t="b">
        <v>0</v>
      </c>
      <c r="F492" s="111" t="b">
        <v>0</v>
      </c>
      <c r="G492" s="111" t="b">
        <v>0</v>
      </c>
    </row>
    <row r="493" spans="1:7" ht="15">
      <c r="A493" s="113" t="s">
        <v>1323</v>
      </c>
      <c r="B493" s="111">
        <v>3</v>
      </c>
      <c r="C493" s="115">
        <v>0.0006419248120766433</v>
      </c>
      <c r="D493" s="111" t="s">
        <v>1990</v>
      </c>
      <c r="E493" s="111" t="b">
        <v>0</v>
      </c>
      <c r="F493" s="111" t="b">
        <v>0</v>
      </c>
      <c r="G493" s="111" t="b">
        <v>0</v>
      </c>
    </row>
    <row r="494" spans="1:7" ht="15">
      <c r="A494" s="113" t="s">
        <v>1324</v>
      </c>
      <c r="B494" s="111">
        <v>3</v>
      </c>
      <c r="C494" s="115">
        <v>0.0006419248120766433</v>
      </c>
      <c r="D494" s="111" t="s">
        <v>1990</v>
      </c>
      <c r="E494" s="111" t="b">
        <v>0</v>
      </c>
      <c r="F494" s="111" t="b">
        <v>0</v>
      </c>
      <c r="G494" s="111" t="b">
        <v>0</v>
      </c>
    </row>
    <row r="495" spans="1:7" ht="15">
      <c r="A495" s="113" t="s">
        <v>1325</v>
      </c>
      <c r="B495" s="111">
        <v>3</v>
      </c>
      <c r="C495" s="115">
        <v>0.0006419248120766433</v>
      </c>
      <c r="D495" s="111" t="s">
        <v>1990</v>
      </c>
      <c r="E495" s="111" t="b">
        <v>0</v>
      </c>
      <c r="F495" s="111" t="b">
        <v>0</v>
      </c>
      <c r="G495" s="111" t="b">
        <v>0</v>
      </c>
    </row>
    <row r="496" spans="1:7" ht="15">
      <c r="A496" s="113" t="s">
        <v>1326</v>
      </c>
      <c r="B496" s="111">
        <v>3</v>
      </c>
      <c r="C496" s="115">
        <v>0.0006419248120766433</v>
      </c>
      <c r="D496" s="111" t="s">
        <v>1990</v>
      </c>
      <c r="E496" s="111" t="b">
        <v>0</v>
      </c>
      <c r="F496" s="111" t="b">
        <v>0</v>
      </c>
      <c r="G496" s="111" t="b">
        <v>0</v>
      </c>
    </row>
    <row r="497" spans="1:7" ht="15">
      <c r="A497" s="113" t="s">
        <v>1327</v>
      </c>
      <c r="B497" s="111">
        <v>3</v>
      </c>
      <c r="C497" s="115">
        <v>0.0006419248120766433</v>
      </c>
      <c r="D497" s="111" t="s">
        <v>1990</v>
      </c>
      <c r="E497" s="111" t="b">
        <v>0</v>
      </c>
      <c r="F497" s="111" t="b">
        <v>0</v>
      </c>
      <c r="G497" s="111" t="b">
        <v>0</v>
      </c>
    </row>
    <row r="498" spans="1:7" ht="15">
      <c r="A498" s="113" t="s">
        <v>1328</v>
      </c>
      <c r="B498" s="111">
        <v>3</v>
      </c>
      <c r="C498" s="115">
        <v>0.0006419248120766433</v>
      </c>
      <c r="D498" s="111" t="s">
        <v>1990</v>
      </c>
      <c r="E498" s="111" t="b">
        <v>0</v>
      </c>
      <c r="F498" s="111" t="b">
        <v>0</v>
      </c>
      <c r="G498" s="111" t="b">
        <v>0</v>
      </c>
    </row>
    <row r="499" spans="1:7" ht="15">
      <c r="A499" s="113" t="s">
        <v>1329</v>
      </c>
      <c r="B499" s="111">
        <v>3</v>
      </c>
      <c r="C499" s="115">
        <v>0.0007143704754292275</v>
      </c>
      <c r="D499" s="111" t="s">
        <v>1990</v>
      </c>
      <c r="E499" s="111" t="b">
        <v>0</v>
      </c>
      <c r="F499" s="111" t="b">
        <v>0</v>
      </c>
      <c r="G499" s="111" t="b">
        <v>0</v>
      </c>
    </row>
    <row r="500" spans="1:7" ht="15">
      <c r="A500" s="113" t="s">
        <v>1330</v>
      </c>
      <c r="B500" s="111">
        <v>3</v>
      </c>
      <c r="C500" s="115">
        <v>0.0006419248120766433</v>
      </c>
      <c r="D500" s="111" t="s">
        <v>1990</v>
      </c>
      <c r="E500" s="111" t="b">
        <v>0</v>
      </c>
      <c r="F500" s="111" t="b">
        <v>0</v>
      </c>
      <c r="G500" s="111" t="b">
        <v>0</v>
      </c>
    </row>
    <row r="501" spans="1:7" ht="15">
      <c r="A501" s="113" t="s">
        <v>1331</v>
      </c>
      <c r="B501" s="111">
        <v>3</v>
      </c>
      <c r="C501" s="115">
        <v>0.0006419248120766433</v>
      </c>
      <c r="D501" s="111" t="s">
        <v>1990</v>
      </c>
      <c r="E501" s="111" t="b">
        <v>0</v>
      </c>
      <c r="F501" s="111" t="b">
        <v>0</v>
      </c>
      <c r="G501" s="111" t="b">
        <v>0</v>
      </c>
    </row>
    <row r="502" spans="1:7" ht="15">
      <c r="A502" s="113" t="s">
        <v>1332</v>
      </c>
      <c r="B502" s="111">
        <v>3</v>
      </c>
      <c r="C502" s="115">
        <v>0.0006419248120766433</v>
      </c>
      <c r="D502" s="111" t="s">
        <v>1990</v>
      </c>
      <c r="E502" s="111" t="b">
        <v>0</v>
      </c>
      <c r="F502" s="111" t="b">
        <v>0</v>
      </c>
      <c r="G502" s="111" t="b">
        <v>0</v>
      </c>
    </row>
    <row r="503" spans="1:7" ht="15">
      <c r="A503" s="113" t="s">
        <v>1333</v>
      </c>
      <c r="B503" s="111">
        <v>3</v>
      </c>
      <c r="C503" s="115">
        <v>0.0007143704754292275</v>
      </c>
      <c r="D503" s="111" t="s">
        <v>1990</v>
      </c>
      <c r="E503" s="111" t="b">
        <v>0</v>
      </c>
      <c r="F503" s="111" t="b">
        <v>0</v>
      </c>
      <c r="G503" s="111" t="b">
        <v>0</v>
      </c>
    </row>
    <row r="504" spans="1:7" ht="15">
      <c r="A504" s="113" t="s">
        <v>1334</v>
      </c>
      <c r="B504" s="111">
        <v>3</v>
      </c>
      <c r="C504" s="115">
        <v>0.0008382171549399165</v>
      </c>
      <c r="D504" s="111" t="s">
        <v>1990</v>
      </c>
      <c r="E504" s="111" t="b">
        <v>0</v>
      </c>
      <c r="F504" s="111" t="b">
        <v>0</v>
      </c>
      <c r="G504" s="111" t="b">
        <v>0</v>
      </c>
    </row>
    <row r="505" spans="1:7" ht="15">
      <c r="A505" s="113" t="s">
        <v>1335</v>
      </c>
      <c r="B505" s="111">
        <v>3</v>
      </c>
      <c r="C505" s="115">
        <v>0.0007143704754292275</v>
      </c>
      <c r="D505" s="111" t="s">
        <v>1990</v>
      </c>
      <c r="E505" s="111" t="b">
        <v>0</v>
      </c>
      <c r="F505" s="111" t="b">
        <v>0</v>
      </c>
      <c r="G505" s="111" t="b">
        <v>0</v>
      </c>
    </row>
    <row r="506" spans="1:7" ht="15">
      <c r="A506" s="113" t="s">
        <v>1336</v>
      </c>
      <c r="B506" s="111">
        <v>3</v>
      </c>
      <c r="C506" s="115">
        <v>0.0007143704754292275</v>
      </c>
      <c r="D506" s="111" t="s">
        <v>1990</v>
      </c>
      <c r="E506" s="111" t="b">
        <v>0</v>
      </c>
      <c r="F506" s="111" t="b">
        <v>0</v>
      </c>
      <c r="G506" s="111" t="b">
        <v>0</v>
      </c>
    </row>
    <row r="507" spans="1:7" ht="15">
      <c r="A507" s="113" t="s">
        <v>1337</v>
      </c>
      <c r="B507" s="111">
        <v>3</v>
      </c>
      <c r="C507" s="115">
        <v>0.0008382171549399165</v>
      </c>
      <c r="D507" s="111" t="s">
        <v>1990</v>
      </c>
      <c r="E507" s="111" t="b">
        <v>0</v>
      </c>
      <c r="F507" s="111" t="b">
        <v>0</v>
      </c>
      <c r="G507" s="111" t="b">
        <v>0</v>
      </c>
    </row>
    <row r="508" spans="1:7" ht="15">
      <c r="A508" s="113" t="s">
        <v>1338</v>
      </c>
      <c r="B508" s="111">
        <v>3</v>
      </c>
      <c r="C508" s="115">
        <v>0.0006419248120766433</v>
      </c>
      <c r="D508" s="111" t="s">
        <v>1990</v>
      </c>
      <c r="E508" s="111" t="b">
        <v>0</v>
      </c>
      <c r="F508" s="111" t="b">
        <v>1</v>
      </c>
      <c r="G508" s="111" t="b">
        <v>0</v>
      </c>
    </row>
    <row r="509" spans="1:7" ht="15">
      <c r="A509" s="113" t="s">
        <v>1339</v>
      </c>
      <c r="B509" s="111">
        <v>3</v>
      </c>
      <c r="C509" s="115">
        <v>0.0006419248120766433</v>
      </c>
      <c r="D509" s="111" t="s">
        <v>1990</v>
      </c>
      <c r="E509" s="111" t="b">
        <v>0</v>
      </c>
      <c r="F509" s="111" t="b">
        <v>0</v>
      </c>
      <c r="G509" s="111" t="b">
        <v>0</v>
      </c>
    </row>
    <row r="510" spans="1:7" ht="15">
      <c r="A510" s="113" t="s">
        <v>1340</v>
      </c>
      <c r="B510" s="111">
        <v>3</v>
      </c>
      <c r="C510" s="115">
        <v>0.0007143704754292275</v>
      </c>
      <c r="D510" s="111" t="s">
        <v>1990</v>
      </c>
      <c r="E510" s="111" t="b">
        <v>0</v>
      </c>
      <c r="F510" s="111" t="b">
        <v>0</v>
      </c>
      <c r="G510" s="111" t="b">
        <v>0</v>
      </c>
    </row>
    <row r="511" spans="1:7" ht="15">
      <c r="A511" s="113" t="s">
        <v>1341</v>
      </c>
      <c r="B511" s="111">
        <v>3</v>
      </c>
      <c r="C511" s="115">
        <v>0.0006419248120766433</v>
      </c>
      <c r="D511" s="111" t="s">
        <v>1990</v>
      </c>
      <c r="E511" s="111" t="b">
        <v>0</v>
      </c>
      <c r="F511" s="111" t="b">
        <v>0</v>
      </c>
      <c r="G511" s="111" t="b">
        <v>0</v>
      </c>
    </row>
    <row r="512" spans="1:7" ht="15">
      <c r="A512" s="113" t="s">
        <v>1342</v>
      </c>
      <c r="B512" s="111">
        <v>3</v>
      </c>
      <c r="C512" s="115">
        <v>0.0006419248120766433</v>
      </c>
      <c r="D512" s="111" t="s">
        <v>1990</v>
      </c>
      <c r="E512" s="111" t="b">
        <v>0</v>
      </c>
      <c r="F512" s="111" t="b">
        <v>0</v>
      </c>
      <c r="G512" s="111" t="b">
        <v>0</v>
      </c>
    </row>
    <row r="513" spans="1:7" ht="15">
      <c r="A513" s="113" t="s">
        <v>1343</v>
      </c>
      <c r="B513" s="111">
        <v>3</v>
      </c>
      <c r="C513" s="115">
        <v>0.0006419248120766433</v>
      </c>
      <c r="D513" s="111" t="s">
        <v>1990</v>
      </c>
      <c r="E513" s="111" t="b">
        <v>0</v>
      </c>
      <c r="F513" s="111" t="b">
        <v>0</v>
      </c>
      <c r="G513" s="111" t="b">
        <v>0</v>
      </c>
    </row>
    <row r="514" spans="1:7" ht="15">
      <c r="A514" s="113" t="s">
        <v>1344</v>
      </c>
      <c r="B514" s="111">
        <v>3</v>
      </c>
      <c r="C514" s="115">
        <v>0.0006419248120766433</v>
      </c>
      <c r="D514" s="111" t="s">
        <v>1990</v>
      </c>
      <c r="E514" s="111" t="b">
        <v>0</v>
      </c>
      <c r="F514" s="111" t="b">
        <v>0</v>
      </c>
      <c r="G514" s="111" t="b">
        <v>0</v>
      </c>
    </row>
    <row r="515" spans="1:7" ht="15">
      <c r="A515" s="113" t="s">
        <v>1345</v>
      </c>
      <c r="B515" s="111">
        <v>3</v>
      </c>
      <c r="C515" s="115">
        <v>0.0007143704754292275</v>
      </c>
      <c r="D515" s="111" t="s">
        <v>1990</v>
      </c>
      <c r="E515" s="111" t="b">
        <v>0</v>
      </c>
      <c r="F515" s="111" t="b">
        <v>0</v>
      </c>
      <c r="G515" s="111" t="b">
        <v>0</v>
      </c>
    </row>
    <row r="516" spans="1:7" ht="15">
      <c r="A516" s="113" t="s">
        <v>1346</v>
      </c>
      <c r="B516" s="111">
        <v>3</v>
      </c>
      <c r="C516" s="115">
        <v>0.0006419248120766433</v>
      </c>
      <c r="D516" s="111" t="s">
        <v>1990</v>
      </c>
      <c r="E516" s="111" t="b">
        <v>0</v>
      </c>
      <c r="F516" s="111" t="b">
        <v>0</v>
      </c>
      <c r="G516" s="111" t="b">
        <v>0</v>
      </c>
    </row>
    <row r="517" spans="1:7" ht="15">
      <c r="A517" s="113" t="s">
        <v>1347</v>
      </c>
      <c r="B517" s="111">
        <v>3</v>
      </c>
      <c r="C517" s="115">
        <v>0.0006419248120766433</v>
      </c>
      <c r="D517" s="111" t="s">
        <v>1990</v>
      </c>
      <c r="E517" s="111" t="b">
        <v>0</v>
      </c>
      <c r="F517" s="111" t="b">
        <v>0</v>
      </c>
      <c r="G517" s="111" t="b">
        <v>0</v>
      </c>
    </row>
    <row r="518" spans="1:7" ht="15">
      <c r="A518" s="113" t="s">
        <v>1348</v>
      </c>
      <c r="B518" s="111">
        <v>3</v>
      </c>
      <c r="C518" s="115">
        <v>0.0006419248120766433</v>
      </c>
      <c r="D518" s="111" t="s">
        <v>1990</v>
      </c>
      <c r="E518" s="111" t="b">
        <v>1</v>
      </c>
      <c r="F518" s="111" t="b">
        <v>0</v>
      </c>
      <c r="G518" s="111" t="b">
        <v>0</v>
      </c>
    </row>
    <row r="519" spans="1:7" ht="15">
      <c r="A519" s="113" t="s">
        <v>1349</v>
      </c>
      <c r="B519" s="111">
        <v>3</v>
      </c>
      <c r="C519" s="115">
        <v>0.0006419248120766433</v>
      </c>
      <c r="D519" s="111" t="s">
        <v>1990</v>
      </c>
      <c r="E519" s="111" t="b">
        <v>0</v>
      </c>
      <c r="F519" s="111" t="b">
        <v>0</v>
      </c>
      <c r="G519" s="111" t="b">
        <v>0</v>
      </c>
    </row>
    <row r="520" spans="1:7" ht="15">
      <c r="A520" s="113" t="s">
        <v>1350</v>
      </c>
      <c r="B520" s="111">
        <v>3</v>
      </c>
      <c r="C520" s="115">
        <v>0.0006419248120766433</v>
      </c>
      <c r="D520" s="111" t="s">
        <v>1990</v>
      </c>
      <c r="E520" s="111" t="b">
        <v>0</v>
      </c>
      <c r="F520" s="111" t="b">
        <v>0</v>
      </c>
      <c r="G520" s="111" t="b">
        <v>0</v>
      </c>
    </row>
    <row r="521" spans="1:7" ht="15">
      <c r="A521" s="113" t="s">
        <v>1351</v>
      </c>
      <c r="B521" s="111">
        <v>3</v>
      </c>
      <c r="C521" s="115">
        <v>0.0006419248120766433</v>
      </c>
      <c r="D521" s="111" t="s">
        <v>1990</v>
      </c>
      <c r="E521" s="111" t="b">
        <v>0</v>
      </c>
      <c r="F521" s="111" t="b">
        <v>0</v>
      </c>
      <c r="G521" s="111" t="b">
        <v>0</v>
      </c>
    </row>
    <row r="522" spans="1:7" ht="15">
      <c r="A522" s="113" t="s">
        <v>1352</v>
      </c>
      <c r="B522" s="111">
        <v>3</v>
      </c>
      <c r="C522" s="115">
        <v>0.0006419248120766433</v>
      </c>
      <c r="D522" s="111" t="s">
        <v>1990</v>
      </c>
      <c r="E522" s="111" t="b">
        <v>0</v>
      </c>
      <c r="F522" s="111" t="b">
        <v>0</v>
      </c>
      <c r="G522" s="111" t="b">
        <v>0</v>
      </c>
    </row>
    <row r="523" spans="1:7" ht="15">
      <c r="A523" s="113" t="s">
        <v>1353</v>
      </c>
      <c r="B523" s="111">
        <v>3</v>
      </c>
      <c r="C523" s="115">
        <v>0.0007143704754292275</v>
      </c>
      <c r="D523" s="111" t="s">
        <v>1990</v>
      </c>
      <c r="E523" s="111" t="b">
        <v>0</v>
      </c>
      <c r="F523" s="111" t="b">
        <v>0</v>
      </c>
      <c r="G523" s="111" t="b">
        <v>0</v>
      </c>
    </row>
    <row r="524" spans="1:7" ht="15">
      <c r="A524" s="113" t="s">
        <v>1354</v>
      </c>
      <c r="B524" s="111">
        <v>3</v>
      </c>
      <c r="C524" s="115">
        <v>0.0008382171549399165</v>
      </c>
      <c r="D524" s="111" t="s">
        <v>1990</v>
      </c>
      <c r="E524" s="111" t="b">
        <v>0</v>
      </c>
      <c r="F524" s="111" t="b">
        <v>0</v>
      </c>
      <c r="G524" s="111" t="b">
        <v>0</v>
      </c>
    </row>
    <row r="525" spans="1:7" ht="15">
      <c r="A525" s="113" t="s">
        <v>1355</v>
      </c>
      <c r="B525" s="111">
        <v>3</v>
      </c>
      <c r="C525" s="115">
        <v>0.0006419248120766433</v>
      </c>
      <c r="D525" s="111" t="s">
        <v>1990</v>
      </c>
      <c r="E525" s="111" t="b">
        <v>0</v>
      </c>
      <c r="F525" s="111" t="b">
        <v>0</v>
      </c>
      <c r="G525" s="111" t="b">
        <v>0</v>
      </c>
    </row>
    <row r="526" spans="1:7" ht="15">
      <c r="A526" s="113" t="s">
        <v>1356</v>
      </c>
      <c r="B526" s="111">
        <v>3</v>
      </c>
      <c r="C526" s="115">
        <v>0.0007143704754292275</v>
      </c>
      <c r="D526" s="111" t="s">
        <v>1990</v>
      </c>
      <c r="E526" s="111" t="b">
        <v>0</v>
      </c>
      <c r="F526" s="111" t="b">
        <v>0</v>
      </c>
      <c r="G526" s="111" t="b">
        <v>0</v>
      </c>
    </row>
    <row r="527" spans="1:7" ht="15">
      <c r="A527" s="113" t="s">
        <v>1357</v>
      </c>
      <c r="B527" s="111">
        <v>3</v>
      </c>
      <c r="C527" s="115">
        <v>0.0008382171549399165</v>
      </c>
      <c r="D527" s="111" t="s">
        <v>1990</v>
      </c>
      <c r="E527" s="111" t="b">
        <v>0</v>
      </c>
      <c r="F527" s="111" t="b">
        <v>0</v>
      </c>
      <c r="G527" s="111" t="b">
        <v>0</v>
      </c>
    </row>
    <row r="528" spans="1:7" ht="15">
      <c r="A528" s="113" t="s">
        <v>1358</v>
      </c>
      <c r="B528" s="111">
        <v>3</v>
      </c>
      <c r="C528" s="115">
        <v>0.0006419248120766433</v>
      </c>
      <c r="D528" s="111" t="s">
        <v>1990</v>
      </c>
      <c r="E528" s="111" t="b">
        <v>0</v>
      </c>
      <c r="F528" s="111" t="b">
        <v>0</v>
      </c>
      <c r="G528" s="111" t="b">
        <v>0</v>
      </c>
    </row>
    <row r="529" spans="1:7" ht="15">
      <c r="A529" s="113" t="s">
        <v>1359</v>
      </c>
      <c r="B529" s="111">
        <v>3</v>
      </c>
      <c r="C529" s="115">
        <v>0.0007143704754292275</v>
      </c>
      <c r="D529" s="111" t="s">
        <v>1990</v>
      </c>
      <c r="E529" s="111" t="b">
        <v>0</v>
      </c>
      <c r="F529" s="111" t="b">
        <v>0</v>
      </c>
      <c r="G529" s="111" t="b">
        <v>0</v>
      </c>
    </row>
    <row r="530" spans="1:7" ht="15">
      <c r="A530" s="113" t="s">
        <v>1360</v>
      </c>
      <c r="B530" s="111">
        <v>3</v>
      </c>
      <c r="C530" s="115">
        <v>0.0007143704754292275</v>
      </c>
      <c r="D530" s="111" t="s">
        <v>1990</v>
      </c>
      <c r="E530" s="111" t="b">
        <v>0</v>
      </c>
      <c r="F530" s="111" t="b">
        <v>1</v>
      </c>
      <c r="G530" s="111" t="b">
        <v>0</v>
      </c>
    </row>
    <row r="531" spans="1:7" ht="15">
      <c r="A531" s="113" t="s">
        <v>1361</v>
      </c>
      <c r="B531" s="111">
        <v>3</v>
      </c>
      <c r="C531" s="115">
        <v>0.0006419248120766433</v>
      </c>
      <c r="D531" s="111" t="s">
        <v>1990</v>
      </c>
      <c r="E531" s="111" t="b">
        <v>0</v>
      </c>
      <c r="F531" s="111" t="b">
        <v>0</v>
      </c>
      <c r="G531" s="111" t="b">
        <v>0</v>
      </c>
    </row>
    <row r="532" spans="1:7" ht="15">
      <c r="A532" s="113" t="s">
        <v>1362</v>
      </c>
      <c r="B532" s="111">
        <v>3</v>
      </c>
      <c r="C532" s="115">
        <v>0.0007143704754292275</v>
      </c>
      <c r="D532" s="111" t="s">
        <v>1990</v>
      </c>
      <c r="E532" s="111" t="b">
        <v>0</v>
      </c>
      <c r="F532" s="111" t="b">
        <v>0</v>
      </c>
      <c r="G532" s="111" t="b">
        <v>0</v>
      </c>
    </row>
    <row r="533" spans="1:7" ht="15">
      <c r="A533" s="113" t="s">
        <v>1363</v>
      </c>
      <c r="B533" s="111">
        <v>3</v>
      </c>
      <c r="C533" s="115">
        <v>0.0008382171549399165</v>
      </c>
      <c r="D533" s="111" t="s">
        <v>1990</v>
      </c>
      <c r="E533" s="111" t="b">
        <v>0</v>
      </c>
      <c r="F533" s="111" t="b">
        <v>0</v>
      </c>
      <c r="G533" s="111" t="b">
        <v>0</v>
      </c>
    </row>
    <row r="534" spans="1:7" ht="15">
      <c r="A534" s="113" t="s">
        <v>1364</v>
      </c>
      <c r="B534" s="111">
        <v>3</v>
      </c>
      <c r="C534" s="115">
        <v>0.0008382171549399165</v>
      </c>
      <c r="D534" s="111" t="s">
        <v>1990</v>
      </c>
      <c r="E534" s="111" t="b">
        <v>0</v>
      </c>
      <c r="F534" s="111" t="b">
        <v>0</v>
      </c>
      <c r="G534" s="111" t="b">
        <v>0</v>
      </c>
    </row>
    <row r="535" spans="1:7" ht="15">
      <c r="A535" s="113" t="s">
        <v>1365</v>
      </c>
      <c r="B535" s="111">
        <v>3</v>
      </c>
      <c r="C535" s="115">
        <v>0.0006419248120766433</v>
      </c>
      <c r="D535" s="111" t="s">
        <v>1990</v>
      </c>
      <c r="E535" s="111" t="b">
        <v>0</v>
      </c>
      <c r="F535" s="111" t="b">
        <v>0</v>
      </c>
      <c r="G535" s="111" t="b">
        <v>0</v>
      </c>
    </row>
    <row r="536" spans="1:7" ht="15">
      <c r="A536" s="113" t="s">
        <v>1366</v>
      </c>
      <c r="B536" s="111">
        <v>3</v>
      </c>
      <c r="C536" s="115">
        <v>0.0008382171549399165</v>
      </c>
      <c r="D536" s="111" t="s">
        <v>1990</v>
      </c>
      <c r="E536" s="111" t="b">
        <v>0</v>
      </c>
      <c r="F536" s="111" t="b">
        <v>0</v>
      </c>
      <c r="G536" s="111" t="b">
        <v>0</v>
      </c>
    </row>
    <row r="537" spans="1:7" ht="15">
      <c r="A537" s="113" t="s">
        <v>1367</v>
      </c>
      <c r="B537" s="111">
        <v>3</v>
      </c>
      <c r="C537" s="115">
        <v>0.0007143704754292275</v>
      </c>
      <c r="D537" s="111" t="s">
        <v>1990</v>
      </c>
      <c r="E537" s="111" t="b">
        <v>0</v>
      </c>
      <c r="F537" s="111" t="b">
        <v>0</v>
      </c>
      <c r="G537" s="111" t="b">
        <v>0</v>
      </c>
    </row>
    <row r="538" spans="1:7" ht="15">
      <c r="A538" s="113" t="s">
        <v>1368</v>
      </c>
      <c r="B538" s="111">
        <v>3</v>
      </c>
      <c r="C538" s="115">
        <v>0.0006419248120766433</v>
      </c>
      <c r="D538" s="111" t="s">
        <v>1990</v>
      </c>
      <c r="E538" s="111" t="b">
        <v>0</v>
      </c>
      <c r="F538" s="111" t="b">
        <v>0</v>
      </c>
      <c r="G538" s="111" t="b">
        <v>0</v>
      </c>
    </row>
    <row r="539" spans="1:7" ht="15">
      <c r="A539" s="113" t="s">
        <v>1369</v>
      </c>
      <c r="B539" s="111">
        <v>3</v>
      </c>
      <c r="C539" s="115">
        <v>0.0007143704754292275</v>
      </c>
      <c r="D539" s="111" t="s">
        <v>1990</v>
      </c>
      <c r="E539" s="111" t="b">
        <v>0</v>
      </c>
      <c r="F539" s="111" t="b">
        <v>0</v>
      </c>
      <c r="G539" s="111" t="b">
        <v>0</v>
      </c>
    </row>
    <row r="540" spans="1:7" ht="15">
      <c r="A540" s="113" t="s">
        <v>1370</v>
      </c>
      <c r="B540" s="111">
        <v>3</v>
      </c>
      <c r="C540" s="115">
        <v>0.0006419248120766433</v>
      </c>
      <c r="D540" s="111" t="s">
        <v>1990</v>
      </c>
      <c r="E540" s="111" t="b">
        <v>0</v>
      </c>
      <c r="F540" s="111" t="b">
        <v>0</v>
      </c>
      <c r="G540" s="111" t="b">
        <v>0</v>
      </c>
    </row>
    <row r="541" spans="1:7" ht="15">
      <c r="A541" s="113" t="s">
        <v>1371</v>
      </c>
      <c r="B541" s="111">
        <v>3</v>
      </c>
      <c r="C541" s="115">
        <v>0.0008382171549399165</v>
      </c>
      <c r="D541" s="111" t="s">
        <v>1990</v>
      </c>
      <c r="E541" s="111" t="b">
        <v>0</v>
      </c>
      <c r="F541" s="111" t="b">
        <v>0</v>
      </c>
      <c r="G541" s="111" t="b">
        <v>0</v>
      </c>
    </row>
    <row r="542" spans="1:7" ht="15">
      <c r="A542" s="113" t="s">
        <v>1372</v>
      </c>
      <c r="B542" s="111">
        <v>3</v>
      </c>
      <c r="C542" s="115">
        <v>0.0008382171549399165</v>
      </c>
      <c r="D542" s="111" t="s">
        <v>1990</v>
      </c>
      <c r="E542" s="111" t="b">
        <v>0</v>
      </c>
      <c r="F542" s="111" t="b">
        <v>0</v>
      </c>
      <c r="G542" s="111" t="b">
        <v>0</v>
      </c>
    </row>
    <row r="543" spans="1:7" ht="15">
      <c r="A543" s="113" t="s">
        <v>1373</v>
      </c>
      <c r="B543" s="111">
        <v>3</v>
      </c>
      <c r="C543" s="115">
        <v>0.0006419248120766433</v>
      </c>
      <c r="D543" s="111" t="s">
        <v>1990</v>
      </c>
      <c r="E543" s="111" t="b">
        <v>0</v>
      </c>
      <c r="F543" s="111" t="b">
        <v>0</v>
      </c>
      <c r="G543" s="111" t="b">
        <v>0</v>
      </c>
    </row>
    <row r="544" spans="1:7" ht="15">
      <c r="A544" s="113" t="s">
        <v>1374</v>
      </c>
      <c r="B544" s="111">
        <v>3</v>
      </c>
      <c r="C544" s="115">
        <v>0.0006419248120766433</v>
      </c>
      <c r="D544" s="111" t="s">
        <v>1990</v>
      </c>
      <c r="E544" s="111" t="b">
        <v>0</v>
      </c>
      <c r="F544" s="111" t="b">
        <v>0</v>
      </c>
      <c r="G544" s="111" t="b">
        <v>0</v>
      </c>
    </row>
    <row r="545" spans="1:7" ht="15">
      <c r="A545" s="113" t="s">
        <v>1375</v>
      </c>
      <c r="B545" s="111">
        <v>3</v>
      </c>
      <c r="C545" s="115">
        <v>0.0007143704754292275</v>
      </c>
      <c r="D545" s="111" t="s">
        <v>1990</v>
      </c>
      <c r="E545" s="111" t="b">
        <v>1</v>
      </c>
      <c r="F545" s="111" t="b">
        <v>0</v>
      </c>
      <c r="G545" s="111" t="b">
        <v>0</v>
      </c>
    </row>
    <row r="546" spans="1:7" ht="15">
      <c r="A546" s="113" t="s">
        <v>1376</v>
      </c>
      <c r="B546" s="111">
        <v>3</v>
      </c>
      <c r="C546" s="115">
        <v>0.0006419248120766433</v>
      </c>
      <c r="D546" s="111" t="s">
        <v>1990</v>
      </c>
      <c r="E546" s="111" t="b">
        <v>0</v>
      </c>
      <c r="F546" s="111" t="b">
        <v>0</v>
      </c>
      <c r="G546" s="111" t="b">
        <v>0</v>
      </c>
    </row>
    <row r="547" spans="1:7" ht="15">
      <c r="A547" s="113" t="s">
        <v>1377</v>
      </c>
      <c r="B547" s="111">
        <v>3</v>
      </c>
      <c r="C547" s="115">
        <v>0.0008382171549399165</v>
      </c>
      <c r="D547" s="111" t="s">
        <v>1990</v>
      </c>
      <c r="E547" s="111" t="b">
        <v>0</v>
      </c>
      <c r="F547" s="111" t="b">
        <v>0</v>
      </c>
      <c r="G547" s="111" t="b">
        <v>0</v>
      </c>
    </row>
    <row r="548" spans="1:7" ht="15">
      <c r="A548" s="113" t="s">
        <v>1378</v>
      </c>
      <c r="B548" s="111">
        <v>3</v>
      </c>
      <c r="C548" s="115">
        <v>0.0008382171549399165</v>
      </c>
      <c r="D548" s="111" t="s">
        <v>1990</v>
      </c>
      <c r="E548" s="111" t="b">
        <v>0</v>
      </c>
      <c r="F548" s="111" t="b">
        <v>0</v>
      </c>
      <c r="G548" s="111" t="b">
        <v>0</v>
      </c>
    </row>
    <row r="549" spans="1:7" ht="15">
      <c r="A549" s="113" t="s">
        <v>1379</v>
      </c>
      <c r="B549" s="111">
        <v>3</v>
      </c>
      <c r="C549" s="115">
        <v>0.0008382171549399165</v>
      </c>
      <c r="D549" s="111" t="s">
        <v>1990</v>
      </c>
      <c r="E549" s="111" t="b">
        <v>0</v>
      </c>
      <c r="F549" s="111" t="b">
        <v>0</v>
      </c>
      <c r="G549" s="111" t="b">
        <v>0</v>
      </c>
    </row>
    <row r="550" spans="1:7" ht="15">
      <c r="A550" s="113" t="s">
        <v>1380</v>
      </c>
      <c r="B550" s="111">
        <v>3</v>
      </c>
      <c r="C550" s="115">
        <v>0.0006419248120766433</v>
      </c>
      <c r="D550" s="111" t="s">
        <v>1990</v>
      </c>
      <c r="E550" s="111" t="b">
        <v>0</v>
      </c>
      <c r="F550" s="111" t="b">
        <v>0</v>
      </c>
      <c r="G550" s="111" t="b">
        <v>0</v>
      </c>
    </row>
    <row r="551" spans="1:7" ht="15">
      <c r="A551" s="113" t="s">
        <v>1381</v>
      </c>
      <c r="B551" s="111">
        <v>3</v>
      </c>
      <c r="C551" s="115">
        <v>0.0006419248120766433</v>
      </c>
      <c r="D551" s="111" t="s">
        <v>1990</v>
      </c>
      <c r="E551" s="111" t="b">
        <v>0</v>
      </c>
      <c r="F551" s="111" t="b">
        <v>0</v>
      </c>
      <c r="G551" s="111" t="b">
        <v>0</v>
      </c>
    </row>
    <row r="552" spans="1:7" ht="15">
      <c r="A552" s="113" t="s">
        <v>1382</v>
      </c>
      <c r="B552" s="111">
        <v>3</v>
      </c>
      <c r="C552" s="115">
        <v>0.0006419248120766433</v>
      </c>
      <c r="D552" s="111" t="s">
        <v>1990</v>
      </c>
      <c r="E552" s="111" t="b">
        <v>0</v>
      </c>
      <c r="F552" s="111" t="b">
        <v>0</v>
      </c>
      <c r="G552" s="111" t="b">
        <v>0</v>
      </c>
    </row>
    <row r="553" spans="1:7" ht="15">
      <c r="A553" s="113" t="s">
        <v>1383</v>
      </c>
      <c r="B553" s="111">
        <v>3</v>
      </c>
      <c r="C553" s="115">
        <v>0.0006419248120766433</v>
      </c>
      <c r="D553" s="111" t="s">
        <v>1990</v>
      </c>
      <c r="E553" s="111" t="b">
        <v>0</v>
      </c>
      <c r="F553" s="111" t="b">
        <v>0</v>
      </c>
      <c r="G553" s="111" t="b">
        <v>0</v>
      </c>
    </row>
    <row r="554" spans="1:7" ht="15">
      <c r="A554" s="113" t="s">
        <v>1384</v>
      </c>
      <c r="B554" s="111">
        <v>3</v>
      </c>
      <c r="C554" s="115">
        <v>0.0007143704754292275</v>
      </c>
      <c r="D554" s="111" t="s">
        <v>1990</v>
      </c>
      <c r="E554" s="111" t="b">
        <v>0</v>
      </c>
      <c r="F554" s="111" t="b">
        <v>0</v>
      </c>
      <c r="G554" s="111" t="b">
        <v>0</v>
      </c>
    </row>
    <row r="555" spans="1:7" ht="15">
      <c r="A555" s="113" t="s">
        <v>1385</v>
      </c>
      <c r="B555" s="111">
        <v>3</v>
      </c>
      <c r="C555" s="115">
        <v>0.0006419248120766433</v>
      </c>
      <c r="D555" s="111" t="s">
        <v>1990</v>
      </c>
      <c r="E555" s="111" t="b">
        <v>1</v>
      </c>
      <c r="F555" s="111" t="b">
        <v>0</v>
      </c>
      <c r="G555" s="111" t="b">
        <v>0</v>
      </c>
    </row>
    <row r="556" spans="1:7" ht="15">
      <c r="A556" s="113" t="s">
        <v>1386</v>
      </c>
      <c r="B556" s="111">
        <v>3</v>
      </c>
      <c r="C556" s="115">
        <v>0.0006419248120766433</v>
      </c>
      <c r="D556" s="111" t="s">
        <v>1990</v>
      </c>
      <c r="E556" s="111" t="b">
        <v>0</v>
      </c>
      <c r="F556" s="111" t="b">
        <v>0</v>
      </c>
      <c r="G556" s="111" t="b">
        <v>0</v>
      </c>
    </row>
    <row r="557" spans="1:7" ht="15">
      <c r="A557" s="113" t="s">
        <v>1387</v>
      </c>
      <c r="B557" s="111">
        <v>3</v>
      </c>
      <c r="C557" s="115">
        <v>0.0007143704754292275</v>
      </c>
      <c r="D557" s="111" t="s">
        <v>1990</v>
      </c>
      <c r="E557" s="111" t="b">
        <v>0</v>
      </c>
      <c r="F557" s="111" t="b">
        <v>0</v>
      </c>
      <c r="G557" s="111" t="b">
        <v>0</v>
      </c>
    </row>
    <row r="558" spans="1:7" ht="15">
      <c r="A558" s="113" t="s">
        <v>1388</v>
      </c>
      <c r="B558" s="111">
        <v>3</v>
      </c>
      <c r="C558" s="115">
        <v>0.0007143704754292275</v>
      </c>
      <c r="D558" s="111" t="s">
        <v>1990</v>
      </c>
      <c r="E558" s="111" t="b">
        <v>0</v>
      </c>
      <c r="F558" s="111" t="b">
        <v>0</v>
      </c>
      <c r="G558" s="111" t="b">
        <v>0</v>
      </c>
    </row>
    <row r="559" spans="1:7" ht="15">
      <c r="A559" s="113" t="s">
        <v>1389</v>
      </c>
      <c r="B559" s="111">
        <v>3</v>
      </c>
      <c r="C559" s="115">
        <v>0.0006419248120766433</v>
      </c>
      <c r="D559" s="111" t="s">
        <v>1990</v>
      </c>
      <c r="E559" s="111" t="b">
        <v>0</v>
      </c>
      <c r="F559" s="111" t="b">
        <v>0</v>
      </c>
      <c r="G559" s="111" t="b">
        <v>0</v>
      </c>
    </row>
    <row r="560" spans="1:7" ht="15">
      <c r="A560" s="113" t="s">
        <v>1390</v>
      </c>
      <c r="B560" s="111">
        <v>3</v>
      </c>
      <c r="C560" s="115">
        <v>0.0007143704754292275</v>
      </c>
      <c r="D560" s="111" t="s">
        <v>1990</v>
      </c>
      <c r="E560" s="111" t="b">
        <v>0</v>
      </c>
      <c r="F560" s="111" t="b">
        <v>0</v>
      </c>
      <c r="G560" s="111" t="b">
        <v>0</v>
      </c>
    </row>
    <row r="561" spans="1:7" ht="15">
      <c r="A561" s="113" t="s">
        <v>1391</v>
      </c>
      <c r="B561" s="111">
        <v>3</v>
      </c>
      <c r="C561" s="115">
        <v>0.0007143704754292275</v>
      </c>
      <c r="D561" s="111" t="s">
        <v>1990</v>
      </c>
      <c r="E561" s="111" t="b">
        <v>0</v>
      </c>
      <c r="F561" s="111" t="b">
        <v>0</v>
      </c>
      <c r="G561" s="111" t="b">
        <v>0</v>
      </c>
    </row>
    <row r="562" spans="1:7" ht="15">
      <c r="A562" s="113" t="s">
        <v>1392</v>
      </c>
      <c r="B562" s="111">
        <v>3</v>
      </c>
      <c r="C562" s="115">
        <v>0.0007143704754292275</v>
      </c>
      <c r="D562" s="111" t="s">
        <v>1990</v>
      </c>
      <c r="E562" s="111" t="b">
        <v>0</v>
      </c>
      <c r="F562" s="111" t="b">
        <v>0</v>
      </c>
      <c r="G562" s="111" t="b">
        <v>0</v>
      </c>
    </row>
    <row r="563" spans="1:7" ht="15">
      <c r="A563" s="113" t="s">
        <v>1393</v>
      </c>
      <c r="B563" s="111">
        <v>3</v>
      </c>
      <c r="C563" s="115">
        <v>0.0006419248120766433</v>
      </c>
      <c r="D563" s="111" t="s">
        <v>1990</v>
      </c>
      <c r="E563" s="111" t="b">
        <v>0</v>
      </c>
      <c r="F563" s="111" t="b">
        <v>0</v>
      </c>
      <c r="G563" s="111" t="b">
        <v>0</v>
      </c>
    </row>
    <row r="564" spans="1:7" ht="15">
      <c r="A564" s="113" t="s">
        <v>1394</v>
      </c>
      <c r="B564" s="111">
        <v>3</v>
      </c>
      <c r="C564" s="115">
        <v>0.0006419248120766433</v>
      </c>
      <c r="D564" s="111" t="s">
        <v>1990</v>
      </c>
      <c r="E564" s="111" t="b">
        <v>0</v>
      </c>
      <c r="F564" s="111" t="b">
        <v>0</v>
      </c>
      <c r="G564" s="111" t="b">
        <v>0</v>
      </c>
    </row>
    <row r="565" spans="1:7" ht="15">
      <c r="A565" s="113" t="s">
        <v>1395</v>
      </c>
      <c r="B565" s="111">
        <v>3</v>
      </c>
      <c r="C565" s="115">
        <v>0.0006419248120766433</v>
      </c>
      <c r="D565" s="111" t="s">
        <v>1990</v>
      </c>
      <c r="E565" s="111" t="b">
        <v>0</v>
      </c>
      <c r="F565" s="111" t="b">
        <v>0</v>
      </c>
      <c r="G565" s="111" t="b">
        <v>0</v>
      </c>
    </row>
    <row r="566" spans="1:7" ht="15">
      <c r="A566" s="113" t="s">
        <v>1396</v>
      </c>
      <c r="B566" s="111">
        <v>3</v>
      </c>
      <c r="C566" s="115">
        <v>0.0006419248120766433</v>
      </c>
      <c r="D566" s="111" t="s">
        <v>1990</v>
      </c>
      <c r="E566" s="111" t="b">
        <v>1</v>
      </c>
      <c r="F566" s="111" t="b">
        <v>0</v>
      </c>
      <c r="G566" s="111" t="b">
        <v>0</v>
      </c>
    </row>
    <row r="567" spans="1:7" ht="15">
      <c r="A567" s="113" t="s">
        <v>1397</v>
      </c>
      <c r="B567" s="111">
        <v>3</v>
      </c>
      <c r="C567" s="115">
        <v>0.0007143704754292275</v>
      </c>
      <c r="D567" s="111" t="s">
        <v>1990</v>
      </c>
      <c r="E567" s="111" t="b">
        <v>0</v>
      </c>
      <c r="F567" s="111" t="b">
        <v>0</v>
      </c>
      <c r="G567" s="111" t="b">
        <v>0</v>
      </c>
    </row>
    <row r="568" spans="1:7" ht="15">
      <c r="A568" s="113" t="s">
        <v>1398</v>
      </c>
      <c r="B568" s="111">
        <v>3</v>
      </c>
      <c r="C568" s="115">
        <v>0.0007143704754292275</v>
      </c>
      <c r="D568" s="111" t="s">
        <v>1990</v>
      </c>
      <c r="E568" s="111" t="b">
        <v>0</v>
      </c>
      <c r="F568" s="111" t="b">
        <v>0</v>
      </c>
      <c r="G568" s="111" t="b">
        <v>0</v>
      </c>
    </row>
    <row r="569" spans="1:7" ht="15">
      <c r="A569" s="113" t="s">
        <v>1399</v>
      </c>
      <c r="B569" s="111">
        <v>3</v>
      </c>
      <c r="C569" s="115">
        <v>0.0007143704754292275</v>
      </c>
      <c r="D569" s="111" t="s">
        <v>1990</v>
      </c>
      <c r="E569" s="111" t="b">
        <v>0</v>
      </c>
      <c r="F569" s="111" t="b">
        <v>0</v>
      </c>
      <c r="G569" s="111" t="b">
        <v>0</v>
      </c>
    </row>
    <row r="570" spans="1:7" ht="15">
      <c r="A570" s="113" t="s">
        <v>1400</v>
      </c>
      <c r="B570" s="111">
        <v>3</v>
      </c>
      <c r="C570" s="115">
        <v>0.0008382171549399165</v>
      </c>
      <c r="D570" s="111" t="s">
        <v>1990</v>
      </c>
      <c r="E570" s="111" t="b">
        <v>0</v>
      </c>
      <c r="F570" s="111" t="b">
        <v>0</v>
      </c>
      <c r="G570" s="111" t="b">
        <v>0</v>
      </c>
    </row>
    <row r="571" spans="1:7" ht="15">
      <c r="A571" s="113" t="s">
        <v>1401</v>
      </c>
      <c r="B571" s="111">
        <v>3</v>
      </c>
      <c r="C571" s="115">
        <v>0.0007143704754292275</v>
      </c>
      <c r="D571" s="111" t="s">
        <v>1990</v>
      </c>
      <c r="E571" s="111" t="b">
        <v>0</v>
      </c>
      <c r="F571" s="111" t="b">
        <v>0</v>
      </c>
      <c r="G571" s="111" t="b">
        <v>0</v>
      </c>
    </row>
    <row r="572" spans="1:7" ht="15">
      <c r="A572" s="113" t="s">
        <v>1402</v>
      </c>
      <c r="B572" s="111">
        <v>3</v>
      </c>
      <c r="C572" s="115">
        <v>0.0006419248120766433</v>
      </c>
      <c r="D572" s="111" t="s">
        <v>1990</v>
      </c>
      <c r="E572" s="111" t="b">
        <v>0</v>
      </c>
      <c r="F572" s="111" t="b">
        <v>0</v>
      </c>
      <c r="G572" s="111" t="b">
        <v>0</v>
      </c>
    </row>
    <row r="573" spans="1:7" ht="15">
      <c r="A573" s="113" t="s">
        <v>1403</v>
      </c>
      <c r="B573" s="111">
        <v>3</v>
      </c>
      <c r="C573" s="115">
        <v>0.0008382171549399165</v>
      </c>
      <c r="D573" s="111" t="s">
        <v>1990</v>
      </c>
      <c r="E573" s="111" t="b">
        <v>0</v>
      </c>
      <c r="F573" s="111" t="b">
        <v>0</v>
      </c>
      <c r="G573" s="111" t="b">
        <v>0</v>
      </c>
    </row>
    <row r="574" spans="1:7" ht="15">
      <c r="A574" s="113" t="s">
        <v>1404</v>
      </c>
      <c r="B574" s="111">
        <v>3</v>
      </c>
      <c r="C574" s="115">
        <v>0.0007143704754292275</v>
      </c>
      <c r="D574" s="111" t="s">
        <v>1990</v>
      </c>
      <c r="E574" s="111" t="b">
        <v>0</v>
      </c>
      <c r="F574" s="111" t="b">
        <v>0</v>
      </c>
      <c r="G574" s="111" t="b">
        <v>0</v>
      </c>
    </row>
    <row r="575" spans="1:7" ht="15">
      <c r="A575" s="113" t="s">
        <v>1405</v>
      </c>
      <c r="B575" s="111">
        <v>3</v>
      </c>
      <c r="C575" s="115">
        <v>0.0006419248120766433</v>
      </c>
      <c r="D575" s="111" t="s">
        <v>1990</v>
      </c>
      <c r="E575" s="111" t="b">
        <v>0</v>
      </c>
      <c r="F575" s="111" t="b">
        <v>0</v>
      </c>
      <c r="G575" s="111" t="b">
        <v>0</v>
      </c>
    </row>
    <row r="576" spans="1:7" ht="15">
      <c r="A576" s="113" t="s">
        <v>1406</v>
      </c>
      <c r="B576" s="111">
        <v>3</v>
      </c>
      <c r="C576" s="115">
        <v>0.0006419248120766433</v>
      </c>
      <c r="D576" s="111" t="s">
        <v>1990</v>
      </c>
      <c r="E576" s="111" t="b">
        <v>0</v>
      </c>
      <c r="F576" s="111" t="b">
        <v>0</v>
      </c>
      <c r="G576" s="111" t="b">
        <v>0</v>
      </c>
    </row>
    <row r="577" spans="1:7" ht="15">
      <c r="A577" s="113" t="s">
        <v>1407</v>
      </c>
      <c r="B577" s="111">
        <v>3</v>
      </c>
      <c r="C577" s="115">
        <v>0.0008382171549399165</v>
      </c>
      <c r="D577" s="111" t="s">
        <v>1990</v>
      </c>
      <c r="E577" s="111" t="b">
        <v>0</v>
      </c>
      <c r="F577" s="111" t="b">
        <v>0</v>
      </c>
      <c r="G577" s="111" t="b">
        <v>0</v>
      </c>
    </row>
    <row r="578" spans="1:7" ht="15">
      <c r="A578" s="113" t="s">
        <v>1408</v>
      </c>
      <c r="B578" s="111">
        <v>3</v>
      </c>
      <c r="C578" s="115">
        <v>0.0007143704754292275</v>
      </c>
      <c r="D578" s="111" t="s">
        <v>1990</v>
      </c>
      <c r="E578" s="111" t="b">
        <v>0</v>
      </c>
      <c r="F578" s="111" t="b">
        <v>0</v>
      </c>
      <c r="G578" s="111" t="b">
        <v>0</v>
      </c>
    </row>
    <row r="579" spans="1:7" ht="15">
      <c r="A579" s="113" t="s">
        <v>1409</v>
      </c>
      <c r="B579" s="111">
        <v>3</v>
      </c>
      <c r="C579" s="115">
        <v>0.0008382171549399165</v>
      </c>
      <c r="D579" s="111" t="s">
        <v>1990</v>
      </c>
      <c r="E579" s="111" t="b">
        <v>0</v>
      </c>
      <c r="F579" s="111" t="b">
        <v>0</v>
      </c>
      <c r="G579" s="111" t="b">
        <v>0</v>
      </c>
    </row>
    <row r="580" spans="1:7" ht="15">
      <c r="A580" s="113" t="s">
        <v>1410</v>
      </c>
      <c r="B580" s="111">
        <v>3</v>
      </c>
      <c r="C580" s="115">
        <v>0.0007143704754292275</v>
      </c>
      <c r="D580" s="111" t="s">
        <v>1990</v>
      </c>
      <c r="E580" s="111" t="b">
        <v>0</v>
      </c>
      <c r="F580" s="111" t="b">
        <v>0</v>
      </c>
      <c r="G580" s="111" t="b">
        <v>0</v>
      </c>
    </row>
    <row r="581" spans="1:7" ht="15">
      <c r="A581" s="113" t="s">
        <v>1411</v>
      </c>
      <c r="B581" s="111">
        <v>3</v>
      </c>
      <c r="C581" s="115">
        <v>0.0007143704754292275</v>
      </c>
      <c r="D581" s="111" t="s">
        <v>1990</v>
      </c>
      <c r="E581" s="111" t="b">
        <v>0</v>
      </c>
      <c r="F581" s="111" t="b">
        <v>1</v>
      </c>
      <c r="G581" s="111" t="b">
        <v>0</v>
      </c>
    </row>
    <row r="582" spans="1:7" ht="15">
      <c r="A582" s="113" t="s">
        <v>1412</v>
      </c>
      <c r="B582" s="111">
        <v>3</v>
      </c>
      <c r="C582" s="115">
        <v>0.0008382171549399165</v>
      </c>
      <c r="D582" s="111" t="s">
        <v>1990</v>
      </c>
      <c r="E582" s="111" t="b">
        <v>0</v>
      </c>
      <c r="F582" s="111" t="b">
        <v>0</v>
      </c>
      <c r="G582" s="111" t="b">
        <v>0</v>
      </c>
    </row>
    <row r="583" spans="1:7" ht="15">
      <c r="A583" s="113" t="s">
        <v>1413</v>
      </c>
      <c r="B583" s="111">
        <v>3</v>
      </c>
      <c r="C583" s="115">
        <v>0.0007143704754292275</v>
      </c>
      <c r="D583" s="111" t="s">
        <v>1990</v>
      </c>
      <c r="E583" s="111" t="b">
        <v>0</v>
      </c>
      <c r="F583" s="111" t="b">
        <v>0</v>
      </c>
      <c r="G583" s="111" t="b">
        <v>0</v>
      </c>
    </row>
    <row r="584" spans="1:7" ht="15">
      <c r="A584" s="113" t="s">
        <v>1414</v>
      </c>
      <c r="B584" s="111">
        <v>3</v>
      </c>
      <c r="C584" s="115">
        <v>0.0006419248120766433</v>
      </c>
      <c r="D584" s="111" t="s">
        <v>1990</v>
      </c>
      <c r="E584" s="111" t="b">
        <v>0</v>
      </c>
      <c r="F584" s="111" t="b">
        <v>0</v>
      </c>
      <c r="G584" s="111" t="b">
        <v>0</v>
      </c>
    </row>
    <row r="585" spans="1:7" ht="15">
      <c r="A585" s="113" t="s">
        <v>1415</v>
      </c>
      <c r="B585" s="111">
        <v>3</v>
      </c>
      <c r="C585" s="115">
        <v>0.0006419248120766433</v>
      </c>
      <c r="D585" s="111" t="s">
        <v>1990</v>
      </c>
      <c r="E585" s="111" t="b">
        <v>0</v>
      </c>
      <c r="F585" s="111" t="b">
        <v>0</v>
      </c>
      <c r="G585" s="111" t="b">
        <v>0</v>
      </c>
    </row>
    <row r="586" spans="1:7" ht="15">
      <c r="A586" s="113" t="s">
        <v>1416</v>
      </c>
      <c r="B586" s="111">
        <v>3</v>
      </c>
      <c r="C586" s="115">
        <v>0.0008382171549399165</v>
      </c>
      <c r="D586" s="111" t="s">
        <v>1990</v>
      </c>
      <c r="E586" s="111" t="b">
        <v>0</v>
      </c>
      <c r="F586" s="111" t="b">
        <v>0</v>
      </c>
      <c r="G586" s="111" t="b">
        <v>0</v>
      </c>
    </row>
    <row r="587" spans="1:7" ht="15">
      <c r="A587" s="113" t="s">
        <v>1417</v>
      </c>
      <c r="B587" s="111">
        <v>3</v>
      </c>
      <c r="C587" s="115">
        <v>0.0007143704754292275</v>
      </c>
      <c r="D587" s="111" t="s">
        <v>1990</v>
      </c>
      <c r="E587" s="111" t="b">
        <v>0</v>
      </c>
      <c r="F587" s="111" t="b">
        <v>0</v>
      </c>
      <c r="G587" s="111" t="b">
        <v>0</v>
      </c>
    </row>
    <row r="588" spans="1:7" ht="15">
      <c r="A588" s="113" t="s">
        <v>1418</v>
      </c>
      <c r="B588" s="111">
        <v>3</v>
      </c>
      <c r="C588" s="115">
        <v>0.0006419248120766433</v>
      </c>
      <c r="D588" s="111" t="s">
        <v>1990</v>
      </c>
      <c r="E588" s="111" t="b">
        <v>0</v>
      </c>
      <c r="F588" s="111" t="b">
        <v>0</v>
      </c>
      <c r="G588" s="111" t="b">
        <v>0</v>
      </c>
    </row>
    <row r="589" spans="1:7" ht="15">
      <c r="A589" s="113" t="s">
        <v>1419</v>
      </c>
      <c r="B589" s="111">
        <v>3</v>
      </c>
      <c r="C589" s="115">
        <v>0.0007143704754292275</v>
      </c>
      <c r="D589" s="111" t="s">
        <v>1990</v>
      </c>
      <c r="E589" s="111" t="b">
        <v>0</v>
      </c>
      <c r="F589" s="111" t="b">
        <v>0</v>
      </c>
      <c r="G589" s="111" t="b">
        <v>0</v>
      </c>
    </row>
    <row r="590" spans="1:7" ht="15">
      <c r="A590" s="113" t="s">
        <v>1420</v>
      </c>
      <c r="B590" s="111">
        <v>3</v>
      </c>
      <c r="C590" s="115">
        <v>0.0006419248120766433</v>
      </c>
      <c r="D590" s="111" t="s">
        <v>1990</v>
      </c>
      <c r="E590" s="111" t="b">
        <v>0</v>
      </c>
      <c r="F590" s="111" t="b">
        <v>0</v>
      </c>
      <c r="G590" s="111" t="b">
        <v>0</v>
      </c>
    </row>
    <row r="591" spans="1:7" ht="15">
      <c r="A591" s="113" t="s">
        <v>1421</v>
      </c>
      <c r="B591" s="111">
        <v>3</v>
      </c>
      <c r="C591" s="115">
        <v>0.0007143704754292275</v>
      </c>
      <c r="D591" s="111" t="s">
        <v>1990</v>
      </c>
      <c r="E591" s="111" t="b">
        <v>0</v>
      </c>
      <c r="F591" s="111" t="b">
        <v>0</v>
      </c>
      <c r="G591" s="111" t="b">
        <v>0</v>
      </c>
    </row>
    <row r="592" spans="1:7" ht="15">
      <c r="A592" s="113" t="s">
        <v>1422</v>
      </c>
      <c r="B592" s="111">
        <v>3</v>
      </c>
      <c r="C592" s="115">
        <v>0.0007143704754292275</v>
      </c>
      <c r="D592" s="111" t="s">
        <v>1990</v>
      </c>
      <c r="E592" s="111" t="b">
        <v>0</v>
      </c>
      <c r="F592" s="111" t="b">
        <v>0</v>
      </c>
      <c r="G592" s="111" t="b">
        <v>0</v>
      </c>
    </row>
    <row r="593" spans="1:7" ht="15">
      <c r="A593" s="113" t="s">
        <v>1423</v>
      </c>
      <c r="B593" s="111">
        <v>3</v>
      </c>
      <c r="C593" s="115">
        <v>0.0006419248120766433</v>
      </c>
      <c r="D593" s="111" t="s">
        <v>1990</v>
      </c>
      <c r="E593" s="111" t="b">
        <v>0</v>
      </c>
      <c r="F593" s="111" t="b">
        <v>0</v>
      </c>
      <c r="G593" s="111" t="b">
        <v>0</v>
      </c>
    </row>
    <row r="594" spans="1:7" ht="15">
      <c r="A594" s="113" t="s">
        <v>1424</v>
      </c>
      <c r="B594" s="111">
        <v>3</v>
      </c>
      <c r="C594" s="115">
        <v>0.0006419248120766433</v>
      </c>
      <c r="D594" s="111" t="s">
        <v>1990</v>
      </c>
      <c r="E594" s="111" t="b">
        <v>0</v>
      </c>
      <c r="F594" s="111" t="b">
        <v>0</v>
      </c>
      <c r="G594" s="111" t="b">
        <v>0</v>
      </c>
    </row>
    <row r="595" spans="1:7" ht="15">
      <c r="A595" s="113" t="s">
        <v>1425</v>
      </c>
      <c r="B595" s="111">
        <v>3</v>
      </c>
      <c r="C595" s="115">
        <v>0.0006419248120766433</v>
      </c>
      <c r="D595" s="111" t="s">
        <v>1990</v>
      </c>
      <c r="E595" s="111" t="b">
        <v>0</v>
      </c>
      <c r="F595" s="111" t="b">
        <v>0</v>
      </c>
      <c r="G595" s="111" t="b">
        <v>0</v>
      </c>
    </row>
    <row r="596" spans="1:7" ht="15">
      <c r="A596" s="113" t="s">
        <v>1426</v>
      </c>
      <c r="B596" s="111">
        <v>3</v>
      </c>
      <c r="C596" s="115">
        <v>0.0006419248120766433</v>
      </c>
      <c r="D596" s="111" t="s">
        <v>1990</v>
      </c>
      <c r="E596" s="111" t="b">
        <v>0</v>
      </c>
      <c r="F596" s="111" t="b">
        <v>0</v>
      </c>
      <c r="G596" s="111" t="b">
        <v>0</v>
      </c>
    </row>
    <row r="597" spans="1:7" ht="15">
      <c r="A597" s="113" t="s">
        <v>1427</v>
      </c>
      <c r="B597" s="111">
        <v>3</v>
      </c>
      <c r="C597" s="115">
        <v>0.0006419248120766433</v>
      </c>
      <c r="D597" s="111" t="s">
        <v>1990</v>
      </c>
      <c r="E597" s="111" t="b">
        <v>0</v>
      </c>
      <c r="F597" s="111" t="b">
        <v>0</v>
      </c>
      <c r="G597" s="111" t="b">
        <v>0</v>
      </c>
    </row>
    <row r="598" spans="1:7" ht="15">
      <c r="A598" s="113" t="s">
        <v>1428</v>
      </c>
      <c r="B598" s="111">
        <v>3</v>
      </c>
      <c r="C598" s="115">
        <v>0.0006419248120766433</v>
      </c>
      <c r="D598" s="111" t="s">
        <v>1990</v>
      </c>
      <c r="E598" s="111" t="b">
        <v>1</v>
      </c>
      <c r="F598" s="111" t="b">
        <v>0</v>
      </c>
      <c r="G598" s="111" t="b">
        <v>0</v>
      </c>
    </row>
    <row r="599" spans="1:7" ht="15">
      <c r="A599" s="113" t="s">
        <v>1429</v>
      </c>
      <c r="B599" s="111">
        <v>3</v>
      </c>
      <c r="C599" s="115">
        <v>0.0006419248120766433</v>
      </c>
      <c r="D599" s="111" t="s">
        <v>1990</v>
      </c>
      <c r="E599" s="111" t="b">
        <v>0</v>
      </c>
      <c r="F599" s="111" t="b">
        <v>0</v>
      </c>
      <c r="G599" s="111" t="b">
        <v>0</v>
      </c>
    </row>
    <row r="600" spans="1:7" ht="15">
      <c r="A600" s="113" t="s">
        <v>1430</v>
      </c>
      <c r="B600" s="111">
        <v>3</v>
      </c>
      <c r="C600" s="115">
        <v>0.0006419248120766433</v>
      </c>
      <c r="D600" s="111" t="s">
        <v>1990</v>
      </c>
      <c r="E600" s="111" t="b">
        <v>0</v>
      </c>
      <c r="F600" s="111" t="b">
        <v>0</v>
      </c>
      <c r="G600" s="111" t="b">
        <v>0</v>
      </c>
    </row>
    <row r="601" spans="1:7" ht="15">
      <c r="A601" s="113" t="s">
        <v>1431</v>
      </c>
      <c r="B601" s="111">
        <v>3</v>
      </c>
      <c r="C601" s="115">
        <v>0.0006419248120766433</v>
      </c>
      <c r="D601" s="111" t="s">
        <v>1990</v>
      </c>
      <c r="E601" s="111" t="b">
        <v>0</v>
      </c>
      <c r="F601" s="111" t="b">
        <v>0</v>
      </c>
      <c r="G601" s="111" t="b">
        <v>0</v>
      </c>
    </row>
    <row r="602" spans="1:7" ht="15">
      <c r="A602" s="113" t="s">
        <v>1432</v>
      </c>
      <c r="B602" s="111">
        <v>3</v>
      </c>
      <c r="C602" s="115">
        <v>0.0006419248120766433</v>
      </c>
      <c r="D602" s="111" t="s">
        <v>1990</v>
      </c>
      <c r="E602" s="111" t="b">
        <v>0</v>
      </c>
      <c r="F602" s="111" t="b">
        <v>0</v>
      </c>
      <c r="G602" s="111" t="b">
        <v>0</v>
      </c>
    </row>
    <row r="603" spans="1:7" ht="15">
      <c r="A603" s="113" t="s">
        <v>1433</v>
      </c>
      <c r="B603" s="111">
        <v>3</v>
      </c>
      <c r="C603" s="115">
        <v>0.0006419248120766433</v>
      </c>
      <c r="D603" s="111" t="s">
        <v>1990</v>
      </c>
      <c r="E603" s="111" t="b">
        <v>0</v>
      </c>
      <c r="F603" s="111" t="b">
        <v>0</v>
      </c>
      <c r="G603" s="111" t="b">
        <v>0</v>
      </c>
    </row>
    <row r="604" spans="1:7" ht="15">
      <c r="A604" s="113" t="s">
        <v>1434</v>
      </c>
      <c r="B604" s="111">
        <v>3</v>
      </c>
      <c r="C604" s="115">
        <v>0.0006419248120766433</v>
      </c>
      <c r="D604" s="111" t="s">
        <v>1990</v>
      </c>
      <c r="E604" s="111" t="b">
        <v>0</v>
      </c>
      <c r="F604" s="111" t="b">
        <v>0</v>
      </c>
      <c r="G604" s="111" t="b">
        <v>0</v>
      </c>
    </row>
    <row r="605" spans="1:7" ht="15">
      <c r="A605" s="113" t="s">
        <v>1435</v>
      </c>
      <c r="B605" s="111">
        <v>3</v>
      </c>
      <c r="C605" s="115">
        <v>0.0006419248120766433</v>
      </c>
      <c r="D605" s="111" t="s">
        <v>1990</v>
      </c>
      <c r="E605" s="111" t="b">
        <v>1</v>
      </c>
      <c r="F605" s="111" t="b">
        <v>0</v>
      </c>
      <c r="G605" s="111" t="b">
        <v>0</v>
      </c>
    </row>
    <row r="606" spans="1:7" ht="15">
      <c r="A606" s="113" t="s">
        <v>1436</v>
      </c>
      <c r="B606" s="111">
        <v>3</v>
      </c>
      <c r="C606" s="115">
        <v>0.0006419248120766433</v>
      </c>
      <c r="D606" s="111" t="s">
        <v>1990</v>
      </c>
      <c r="E606" s="111" t="b">
        <v>0</v>
      </c>
      <c r="F606" s="111" t="b">
        <v>0</v>
      </c>
      <c r="G606" s="111" t="b">
        <v>0</v>
      </c>
    </row>
    <row r="607" spans="1:7" ht="15">
      <c r="A607" s="113" t="s">
        <v>1437</v>
      </c>
      <c r="B607" s="111">
        <v>3</v>
      </c>
      <c r="C607" s="115">
        <v>0.0006419248120766433</v>
      </c>
      <c r="D607" s="111" t="s">
        <v>1990</v>
      </c>
      <c r="E607" s="111" t="b">
        <v>1</v>
      </c>
      <c r="F607" s="111" t="b">
        <v>0</v>
      </c>
      <c r="G607" s="111" t="b">
        <v>0</v>
      </c>
    </row>
    <row r="608" spans="1:7" ht="15">
      <c r="A608" s="113" t="s">
        <v>1438</v>
      </c>
      <c r="B608" s="111">
        <v>3</v>
      </c>
      <c r="C608" s="115">
        <v>0.0008382171549399165</v>
      </c>
      <c r="D608" s="111" t="s">
        <v>1990</v>
      </c>
      <c r="E608" s="111" t="b">
        <v>0</v>
      </c>
      <c r="F608" s="111" t="b">
        <v>0</v>
      </c>
      <c r="G608" s="111" t="b">
        <v>0</v>
      </c>
    </row>
    <row r="609" spans="1:7" ht="15">
      <c r="A609" s="113" t="s">
        <v>1439</v>
      </c>
      <c r="B609" s="111">
        <v>3</v>
      </c>
      <c r="C609" s="115">
        <v>0.0007143704754292275</v>
      </c>
      <c r="D609" s="111" t="s">
        <v>1990</v>
      </c>
      <c r="E609" s="111" t="b">
        <v>0</v>
      </c>
      <c r="F609" s="111" t="b">
        <v>0</v>
      </c>
      <c r="G609" s="111" t="b">
        <v>0</v>
      </c>
    </row>
    <row r="610" spans="1:7" ht="15">
      <c r="A610" s="113" t="s">
        <v>1440</v>
      </c>
      <c r="B610" s="111">
        <v>3</v>
      </c>
      <c r="C610" s="115">
        <v>0.0006419248120766433</v>
      </c>
      <c r="D610" s="111" t="s">
        <v>1990</v>
      </c>
      <c r="E610" s="111" t="b">
        <v>0</v>
      </c>
      <c r="F610" s="111" t="b">
        <v>0</v>
      </c>
      <c r="G610" s="111" t="b">
        <v>0</v>
      </c>
    </row>
    <row r="611" spans="1:7" ht="15">
      <c r="A611" s="113" t="s">
        <v>1441</v>
      </c>
      <c r="B611" s="111">
        <v>3</v>
      </c>
      <c r="C611" s="115">
        <v>0.0006419248120766433</v>
      </c>
      <c r="D611" s="111" t="s">
        <v>1990</v>
      </c>
      <c r="E611" s="111" t="b">
        <v>0</v>
      </c>
      <c r="F611" s="111" t="b">
        <v>0</v>
      </c>
      <c r="G611" s="111" t="b">
        <v>0</v>
      </c>
    </row>
    <row r="612" spans="1:7" ht="15">
      <c r="A612" s="113" t="s">
        <v>1442</v>
      </c>
      <c r="B612" s="111">
        <v>3</v>
      </c>
      <c r="C612" s="115">
        <v>0.0007143704754292275</v>
      </c>
      <c r="D612" s="111" t="s">
        <v>1990</v>
      </c>
      <c r="E612" s="111" t="b">
        <v>0</v>
      </c>
      <c r="F612" s="111" t="b">
        <v>0</v>
      </c>
      <c r="G612" s="111" t="b">
        <v>0</v>
      </c>
    </row>
    <row r="613" spans="1:7" ht="15">
      <c r="A613" s="113" t="s">
        <v>1443</v>
      </c>
      <c r="B613" s="111">
        <v>3</v>
      </c>
      <c r="C613" s="115">
        <v>0.0007143704754292275</v>
      </c>
      <c r="D613" s="111" t="s">
        <v>1990</v>
      </c>
      <c r="E613" s="111" t="b">
        <v>0</v>
      </c>
      <c r="F613" s="111" t="b">
        <v>0</v>
      </c>
      <c r="G613" s="111" t="b">
        <v>0</v>
      </c>
    </row>
    <row r="614" spans="1:7" ht="15">
      <c r="A614" s="113" t="s">
        <v>1444</v>
      </c>
      <c r="B614" s="111">
        <v>3</v>
      </c>
      <c r="C614" s="115">
        <v>0.0006419248120766433</v>
      </c>
      <c r="D614" s="111" t="s">
        <v>1990</v>
      </c>
      <c r="E614" s="111" t="b">
        <v>0</v>
      </c>
      <c r="F614" s="111" t="b">
        <v>0</v>
      </c>
      <c r="G614" s="111" t="b">
        <v>0</v>
      </c>
    </row>
    <row r="615" spans="1:7" ht="15">
      <c r="A615" s="113" t="s">
        <v>1445</v>
      </c>
      <c r="B615" s="111">
        <v>3</v>
      </c>
      <c r="C615" s="115">
        <v>0.0008382171549399165</v>
      </c>
      <c r="D615" s="111" t="s">
        <v>1990</v>
      </c>
      <c r="E615" s="111" t="b">
        <v>0</v>
      </c>
      <c r="F615" s="111" t="b">
        <v>0</v>
      </c>
      <c r="G615" s="111" t="b">
        <v>0</v>
      </c>
    </row>
    <row r="616" spans="1:7" ht="15">
      <c r="A616" s="113" t="s">
        <v>1446</v>
      </c>
      <c r="B616" s="111">
        <v>3</v>
      </c>
      <c r="C616" s="115">
        <v>0.0008382171549399165</v>
      </c>
      <c r="D616" s="111" t="s">
        <v>1990</v>
      </c>
      <c r="E616" s="111" t="b">
        <v>0</v>
      </c>
      <c r="F616" s="111" t="b">
        <v>0</v>
      </c>
      <c r="G616" s="111" t="b">
        <v>0</v>
      </c>
    </row>
    <row r="617" spans="1:7" ht="15">
      <c r="A617" s="113" t="s">
        <v>1447</v>
      </c>
      <c r="B617" s="111">
        <v>3</v>
      </c>
      <c r="C617" s="115">
        <v>0.0006419248120766433</v>
      </c>
      <c r="D617" s="111" t="s">
        <v>1990</v>
      </c>
      <c r="E617" s="111" t="b">
        <v>0</v>
      </c>
      <c r="F617" s="111" t="b">
        <v>0</v>
      </c>
      <c r="G617" s="111" t="b">
        <v>0</v>
      </c>
    </row>
    <row r="618" spans="1:7" ht="15">
      <c r="A618" s="113" t="s">
        <v>1448</v>
      </c>
      <c r="B618" s="111">
        <v>3</v>
      </c>
      <c r="C618" s="115">
        <v>0.0007143704754292275</v>
      </c>
      <c r="D618" s="111" t="s">
        <v>1990</v>
      </c>
      <c r="E618" s="111" t="b">
        <v>0</v>
      </c>
      <c r="F618" s="111" t="b">
        <v>0</v>
      </c>
      <c r="G618" s="111" t="b">
        <v>0</v>
      </c>
    </row>
    <row r="619" spans="1:7" ht="15">
      <c r="A619" s="113" t="s">
        <v>1449</v>
      </c>
      <c r="B619" s="111">
        <v>3</v>
      </c>
      <c r="C619" s="115">
        <v>0.0006419248120766433</v>
      </c>
      <c r="D619" s="111" t="s">
        <v>1990</v>
      </c>
      <c r="E619" s="111" t="b">
        <v>0</v>
      </c>
      <c r="F619" s="111" t="b">
        <v>0</v>
      </c>
      <c r="G619" s="111" t="b">
        <v>0</v>
      </c>
    </row>
    <row r="620" spans="1:7" ht="15">
      <c r="A620" s="113" t="s">
        <v>1450</v>
      </c>
      <c r="B620" s="111">
        <v>3</v>
      </c>
      <c r="C620" s="115">
        <v>0.0008382171549399165</v>
      </c>
      <c r="D620" s="111" t="s">
        <v>1990</v>
      </c>
      <c r="E620" s="111" t="b">
        <v>0</v>
      </c>
      <c r="F620" s="111" t="b">
        <v>0</v>
      </c>
      <c r="G620" s="111" t="b">
        <v>0</v>
      </c>
    </row>
    <row r="621" spans="1:7" ht="15">
      <c r="A621" s="113" t="s">
        <v>1451</v>
      </c>
      <c r="B621" s="111">
        <v>3</v>
      </c>
      <c r="C621" s="115">
        <v>0.0006419248120766433</v>
      </c>
      <c r="D621" s="111" t="s">
        <v>1990</v>
      </c>
      <c r="E621" s="111" t="b">
        <v>1</v>
      </c>
      <c r="F621" s="111" t="b">
        <v>0</v>
      </c>
      <c r="G621" s="111" t="b">
        <v>0</v>
      </c>
    </row>
    <row r="622" spans="1:7" ht="15">
      <c r="A622" s="113" t="s">
        <v>1452</v>
      </c>
      <c r="B622" s="111">
        <v>3</v>
      </c>
      <c r="C622" s="115">
        <v>0.0007143704754292275</v>
      </c>
      <c r="D622" s="111" t="s">
        <v>1990</v>
      </c>
      <c r="E622" s="111" t="b">
        <v>0</v>
      </c>
      <c r="F622" s="111" t="b">
        <v>0</v>
      </c>
      <c r="G622" s="111" t="b">
        <v>0</v>
      </c>
    </row>
    <row r="623" spans="1:7" ht="15">
      <c r="A623" s="113" t="s">
        <v>1453</v>
      </c>
      <c r="B623" s="111">
        <v>3</v>
      </c>
      <c r="C623" s="115">
        <v>0.0007143704754292275</v>
      </c>
      <c r="D623" s="111" t="s">
        <v>1990</v>
      </c>
      <c r="E623" s="111" t="b">
        <v>0</v>
      </c>
      <c r="F623" s="111" t="b">
        <v>0</v>
      </c>
      <c r="G623" s="111" t="b">
        <v>0</v>
      </c>
    </row>
    <row r="624" spans="1:7" ht="15">
      <c r="A624" s="113" t="s">
        <v>1454</v>
      </c>
      <c r="B624" s="111">
        <v>3</v>
      </c>
      <c r="C624" s="115">
        <v>0.0006419248120766433</v>
      </c>
      <c r="D624" s="111" t="s">
        <v>1990</v>
      </c>
      <c r="E624" s="111" t="b">
        <v>0</v>
      </c>
      <c r="F624" s="111" t="b">
        <v>0</v>
      </c>
      <c r="G624" s="111" t="b">
        <v>0</v>
      </c>
    </row>
    <row r="625" spans="1:7" ht="15">
      <c r="A625" s="113" t="s">
        <v>1455</v>
      </c>
      <c r="B625" s="111">
        <v>3</v>
      </c>
      <c r="C625" s="115">
        <v>0.0006419248120766433</v>
      </c>
      <c r="D625" s="111" t="s">
        <v>1990</v>
      </c>
      <c r="E625" s="111" t="b">
        <v>0</v>
      </c>
      <c r="F625" s="111" t="b">
        <v>0</v>
      </c>
      <c r="G625" s="111" t="b">
        <v>0</v>
      </c>
    </row>
    <row r="626" spans="1:7" ht="15">
      <c r="A626" s="113" t="s">
        <v>1456</v>
      </c>
      <c r="B626" s="111">
        <v>3</v>
      </c>
      <c r="C626" s="115">
        <v>0.0006419248120766433</v>
      </c>
      <c r="D626" s="111" t="s">
        <v>1990</v>
      </c>
      <c r="E626" s="111" t="b">
        <v>0</v>
      </c>
      <c r="F626" s="111" t="b">
        <v>0</v>
      </c>
      <c r="G626" s="111" t="b">
        <v>0</v>
      </c>
    </row>
    <row r="627" spans="1:7" ht="15">
      <c r="A627" s="113" t="s">
        <v>1457</v>
      </c>
      <c r="B627" s="111">
        <v>3</v>
      </c>
      <c r="C627" s="115">
        <v>0.0007143704754292275</v>
      </c>
      <c r="D627" s="111" t="s">
        <v>1990</v>
      </c>
      <c r="E627" s="111" t="b">
        <v>0</v>
      </c>
      <c r="F627" s="111" t="b">
        <v>0</v>
      </c>
      <c r="G627" s="111" t="b">
        <v>0</v>
      </c>
    </row>
    <row r="628" spans="1:7" ht="15">
      <c r="A628" s="113" t="s">
        <v>1458</v>
      </c>
      <c r="B628" s="111">
        <v>3</v>
      </c>
      <c r="C628" s="115">
        <v>0.0007143704754292275</v>
      </c>
      <c r="D628" s="111" t="s">
        <v>1990</v>
      </c>
      <c r="E628" s="111" t="b">
        <v>0</v>
      </c>
      <c r="F628" s="111" t="b">
        <v>0</v>
      </c>
      <c r="G628" s="111" t="b">
        <v>0</v>
      </c>
    </row>
    <row r="629" spans="1:7" ht="15">
      <c r="A629" s="113" t="s">
        <v>1459</v>
      </c>
      <c r="B629" s="111">
        <v>3</v>
      </c>
      <c r="C629" s="115">
        <v>0.0006419248120766433</v>
      </c>
      <c r="D629" s="111" t="s">
        <v>1990</v>
      </c>
      <c r="E629" s="111" t="b">
        <v>0</v>
      </c>
      <c r="F629" s="111" t="b">
        <v>0</v>
      </c>
      <c r="G629" s="111" t="b">
        <v>0</v>
      </c>
    </row>
    <row r="630" spans="1:7" ht="15">
      <c r="A630" s="113" t="s">
        <v>1460</v>
      </c>
      <c r="B630" s="111">
        <v>3</v>
      </c>
      <c r="C630" s="115">
        <v>0.0007143704754292275</v>
      </c>
      <c r="D630" s="111" t="s">
        <v>1990</v>
      </c>
      <c r="E630" s="111" t="b">
        <v>0</v>
      </c>
      <c r="F630" s="111" t="b">
        <v>0</v>
      </c>
      <c r="G630" s="111" t="b">
        <v>0</v>
      </c>
    </row>
    <row r="631" spans="1:7" ht="15">
      <c r="A631" s="113" t="s">
        <v>1461</v>
      </c>
      <c r="B631" s="111">
        <v>3</v>
      </c>
      <c r="C631" s="115">
        <v>0.0006419248120766433</v>
      </c>
      <c r="D631" s="111" t="s">
        <v>1990</v>
      </c>
      <c r="E631" s="111" t="b">
        <v>0</v>
      </c>
      <c r="F631" s="111" t="b">
        <v>0</v>
      </c>
      <c r="G631" s="111" t="b">
        <v>0</v>
      </c>
    </row>
    <row r="632" spans="1:7" ht="15">
      <c r="A632" s="113" t="s">
        <v>1462</v>
      </c>
      <c r="B632" s="111">
        <v>3</v>
      </c>
      <c r="C632" s="115">
        <v>0.0006419248120766433</v>
      </c>
      <c r="D632" s="111" t="s">
        <v>1990</v>
      </c>
      <c r="E632" s="111" t="b">
        <v>0</v>
      </c>
      <c r="F632" s="111" t="b">
        <v>0</v>
      </c>
      <c r="G632" s="111" t="b">
        <v>0</v>
      </c>
    </row>
    <row r="633" spans="1:7" ht="15">
      <c r="A633" s="113" t="s">
        <v>1463</v>
      </c>
      <c r="B633" s="111">
        <v>3</v>
      </c>
      <c r="C633" s="115">
        <v>0.0006419248120766433</v>
      </c>
      <c r="D633" s="111" t="s">
        <v>1990</v>
      </c>
      <c r="E633" s="111" t="b">
        <v>0</v>
      </c>
      <c r="F633" s="111" t="b">
        <v>0</v>
      </c>
      <c r="G633" s="111" t="b">
        <v>0</v>
      </c>
    </row>
    <row r="634" spans="1:7" ht="15">
      <c r="A634" s="113" t="s">
        <v>1464</v>
      </c>
      <c r="B634" s="111">
        <v>3</v>
      </c>
      <c r="C634" s="115">
        <v>0.0006419248120766433</v>
      </c>
      <c r="D634" s="111" t="s">
        <v>1990</v>
      </c>
      <c r="E634" s="111" t="b">
        <v>0</v>
      </c>
      <c r="F634" s="111" t="b">
        <v>0</v>
      </c>
      <c r="G634" s="111" t="b">
        <v>0</v>
      </c>
    </row>
    <row r="635" spans="1:7" ht="15">
      <c r="A635" s="113" t="s">
        <v>1465</v>
      </c>
      <c r="B635" s="111">
        <v>3</v>
      </c>
      <c r="C635" s="115">
        <v>0.0006419248120766433</v>
      </c>
      <c r="D635" s="111" t="s">
        <v>1990</v>
      </c>
      <c r="E635" s="111" t="b">
        <v>0</v>
      </c>
      <c r="F635" s="111" t="b">
        <v>0</v>
      </c>
      <c r="G635" s="111" t="b">
        <v>0</v>
      </c>
    </row>
    <row r="636" spans="1:7" ht="15">
      <c r="A636" s="113" t="s">
        <v>1466</v>
      </c>
      <c r="B636" s="111">
        <v>3</v>
      </c>
      <c r="C636" s="115">
        <v>0.0006419248120766433</v>
      </c>
      <c r="D636" s="111" t="s">
        <v>1990</v>
      </c>
      <c r="E636" s="111" t="b">
        <v>0</v>
      </c>
      <c r="F636" s="111" t="b">
        <v>0</v>
      </c>
      <c r="G636" s="111" t="b">
        <v>0</v>
      </c>
    </row>
    <row r="637" spans="1:7" ht="15">
      <c r="A637" s="113" t="s">
        <v>1467</v>
      </c>
      <c r="B637" s="111">
        <v>3</v>
      </c>
      <c r="C637" s="115">
        <v>0.0006419248120766433</v>
      </c>
      <c r="D637" s="111" t="s">
        <v>1990</v>
      </c>
      <c r="E637" s="111" t="b">
        <v>0</v>
      </c>
      <c r="F637" s="111" t="b">
        <v>0</v>
      </c>
      <c r="G637" s="111" t="b">
        <v>0</v>
      </c>
    </row>
    <row r="638" spans="1:7" ht="15">
      <c r="A638" s="113" t="s">
        <v>1468</v>
      </c>
      <c r="B638" s="111">
        <v>3</v>
      </c>
      <c r="C638" s="115">
        <v>0.0008382171549399165</v>
      </c>
      <c r="D638" s="111" t="s">
        <v>1990</v>
      </c>
      <c r="E638" s="111" t="b">
        <v>0</v>
      </c>
      <c r="F638" s="111" t="b">
        <v>0</v>
      </c>
      <c r="G638" s="111" t="b">
        <v>0</v>
      </c>
    </row>
    <row r="639" spans="1:7" ht="15">
      <c r="A639" s="113" t="s">
        <v>1469</v>
      </c>
      <c r="B639" s="111">
        <v>3</v>
      </c>
      <c r="C639" s="115">
        <v>0.0006419248120766433</v>
      </c>
      <c r="D639" s="111" t="s">
        <v>1990</v>
      </c>
      <c r="E639" s="111" t="b">
        <v>0</v>
      </c>
      <c r="F639" s="111" t="b">
        <v>0</v>
      </c>
      <c r="G639" s="111" t="b">
        <v>0</v>
      </c>
    </row>
    <row r="640" spans="1:7" ht="15">
      <c r="A640" s="113" t="s">
        <v>1470</v>
      </c>
      <c r="B640" s="111">
        <v>3</v>
      </c>
      <c r="C640" s="115">
        <v>0.0008382171549399165</v>
      </c>
      <c r="D640" s="111" t="s">
        <v>1990</v>
      </c>
      <c r="E640" s="111" t="b">
        <v>0</v>
      </c>
      <c r="F640" s="111" t="b">
        <v>0</v>
      </c>
      <c r="G640" s="111" t="b">
        <v>0</v>
      </c>
    </row>
    <row r="641" spans="1:7" ht="15">
      <c r="A641" s="113" t="s">
        <v>1471</v>
      </c>
      <c r="B641" s="111">
        <v>3</v>
      </c>
      <c r="C641" s="115">
        <v>0.0006419248120766433</v>
      </c>
      <c r="D641" s="111" t="s">
        <v>1990</v>
      </c>
      <c r="E641" s="111" t="b">
        <v>0</v>
      </c>
      <c r="F641" s="111" t="b">
        <v>0</v>
      </c>
      <c r="G641" s="111" t="b">
        <v>0</v>
      </c>
    </row>
    <row r="642" spans="1:7" ht="15">
      <c r="A642" s="113" t="s">
        <v>1472</v>
      </c>
      <c r="B642" s="111">
        <v>3</v>
      </c>
      <c r="C642" s="115">
        <v>0.0008382171549399165</v>
      </c>
      <c r="D642" s="111" t="s">
        <v>1990</v>
      </c>
      <c r="E642" s="111" t="b">
        <v>0</v>
      </c>
      <c r="F642" s="111" t="b">
        <v>0</v>
      </c>
      <c r="G642" s="111" t="b">
        <v>0</v>
      </c>
    </row>
    <row r="643" spans="1:7" ht="15">
      <c r="A643" s="113" t="s">
        <v>1473</v>
      </c>
      <c r="B643" s="111">
        <v>3</v>
      </c>
      <c r="C643" s="115">
        <v>0.0007143704754292275</v>
      </c>
      <c r="D643" s="111" t="s">
        <v>1990</v>
      </c>
      <c r="E643" s="111" t="b">
        <v>0</v>
      </c>
      <c r="F643" s="111" t="b">
        <v>0</v>
      </c>
      <c r="G643" s="111" t="b">
        <v>0</v>
      </c>
    </row>
    <row r="644" spans="1:7" ht="15">
      <c r="A644" s="113" t="s">
        <v>1474</v>
      </c>
      <c r="B644" s="111">
        <v>3</v>
      </c>
      <c r="C644" s="115">
        <v>0.0008382171549399165</v>
      </c>
      <c r="D644" s="111" t="s">
        <v>1990</v>
      </c>
      <c r="E644" s="111" t="b">
        <v>0</v>
      </c>
      <c r="F644" s="111" t="b">
        <v>0</v>
      </c>
      <c r="G644" s="111" t="b">
        <v>0</v>
      </c>
    </row>
    <row r="645" spans="1:7" ht="15">
      <c r="A645" s="113" t="s">
        <v>1475</v>
      </c>
      <c r="B645" s="111">
        <v>3</v>
      </c>
      <c r="C645" s="115">
        <v>0.0007143704754292275</v>
      </c>
      <c r="D645" s="111" t="s">
        <v>1990</v>
      </c>
      <c r="E645" s="111" t="b">
        <v>0</v>
      </c>
      <c r="F645" s="111" t="b">
        <v>0</v>
      </c>
      <c r="G645" s="111" t="b">
        <v>0</v>
      </c>
    </row>
    <row r="646" spans="1:7" ht="15">
      <c r="A646" s="113" t="s">
        <v>1476</v>
      </c>
      <c r="B646" s="111">
        <v>3</v>
      </c>
      <c r="C646" s="115">
        <v>0.0007143704754292275</v>
      </c>
      <c r="D646" s="111" t="s">
        <v>1990</v>
      </c>
      <c r="E646" s="111" t="b">
        <v>0</v>
      </c>
      <c r="F646" s="111" t="b">
        <v>0</v>
      </c>
      <c r="G646" s="111" t="b">
        <v>0</v>
      </c>
    </row>
    <row r="647" spans="1:7" ht="15">
      <c r="A647" s="113" t="s">
        <v>1477</v>
      </c>
      <c r="B647" s="111">
        <v>3</v>
      </c>
      <c r="C647" s="115">
        <v>0.0008382171549399165</v>
      </c>
      <c r="D647" s="111" t="s">
        <v>1990</v>
      </c>
      <c r="E647" s="111" t="b">
        <v>0</v>
      </c>
      <c r="F647" s="111" t="b">
        <v>0</v>
      </c>
      <c r="G647" s="111" t="b">
        <v>0</v>
      </c>
    </row>
    <row r="648" spans="1:7" ht="15">
      <c r="A648" s="113" t="s">
        <v>1478</v>
      </c>
      <c r="B648" s="111">
        <v>3</v>
      </c>
      <c r="C648" s="115">
        <v>0.0007143704754292275</v>
      </c>
      <c r="D648" s="111" t="s">
        <v>1990</v>
      </c>
      <c r="E648" s="111" t="b">
        <v>0</v>
      </c>
      <c r="F648" s="111" t="b">
        <v>0</v>
      </c>
      <c r="G648" s="111" t="b">
        <v>0</v>
      </c>
    </row>
    <row r="649" spans="1:7" ht="15">
      <c r="A649" s="113" t="s">
        <v>1479</v>
      </c>
      <c r="B649" s="111">
        <v>3</v>
      </c>
      <c r="C649" s="115">
        <v>0.0008382171549399165</v>
      </c>
      <c r="D649" s="111" t="s">
        <v>1990</v>
      </c>
      <c r="E649" s="111" t="b">
        <v>0</v>
      </c>
      <c r="F649" s="111" t="b">
        <v>0</v>
      </c>
      <c r="G649" s="111" t="b">
        <v>0</v>
      </c>
    </row>
    <row r="650" spans="1:7" ht="15">
      <c r="A650" s="113" t="s">
        <v>1480</v>
      </c>
      <c r="B650" s="111">
        <v>3</v>
      </c>
      <c r="C650" s="115">
        <v>0.0007143704754292275</v>
      </c>
      <c r="D650" s="111" t="s">
        <v>1990</v>
      </c>
      <c r="E650" s="111" t="b">
        <v>0</v>
      </c>
      <c r="F650" s="111" t="b">
        <v>0</v>
      </c>
      <c r="G650" s="111" t="b">
        <v>0</v>
      </c>
    </row>
    <row r="651" spans="1:7" ht="15">
      <c r="A651" s="113" t="s">
        <v>1481</v>
      </c>
      <c r="B651" s="111">
        <v>3</v>
      </c>
      <c r="C651" s="115">
        <v>0.0008382171549399165</v>
      </c>
      <c r="D651" s="111" t="s">
        <v>1990</v>
      </c>
      <c r="E651" s="111" t="b">
        <v>0</v>
      </c>
      <c r="F651" s="111" t="b">
        <v>0</v>
      </c>
      <c r="G651" s="111" t="b">
        <v>0</v>
      </c>
    </row>
    <row r="652" spans="1:7" ht="15">
      <c r="A652" s="113" t="s">
        <v>1482</v>
      </c>
      <c r="B652" s="111">
        <v>3</v>
      </c>
      <c r="C652" s="115">
        <v>0.0008382171549399165</v>
      </c>
      <c r="D652" s="111" t="s">
        <v>1990</v>
      </c>
      <c r="E652" s="111" t="b">
        <v>0</v>
      </c>
      <c r="F652" s="111" t="b">
        <v>0</v>
      </c>
      <c r="G652" s="111" t="b">
        <v>0</v>
      </c>
    </row>
    <row r="653" spans="1:7" ht="15">
      <c r="A653" s="113" t="s">
        <v>1483</v>
      </c>
      <c r="B653" s="111">
        <v>3</v>
      </c>
      <c r="C653" s="115">
        <v>0.0006419248120766433</v>
      </c>
      <c r="D653" s="111" t="s">
        <v>1990</v>
      </c>
      <c r="E653" s="111" t="b">
        <v>0</v>
      </c>
      <c r="F653" s="111" t="b">
        <v>0</v>
      </c>
      <c r="G653" s="111" t="b">
        <v>0</v>
      </c>
    </row>
    <row r="654" spans="1:7" ht="15">
      <c r="A654" s="113" t="s">
        <v>1484</v>
      </c>
      <c r="B654" s="111">
        <v>3</v>
      </c>
      <c r="C654" s="115">
        <v>0.0008382171549399165</v>
      </c>
      <c r="D654" s="111" t="s">
        <v>1990</v>
      </c>
      <c r="E654" s="111" t="b">
        <v>0</v>
      </c>
      <c r="F654" s="111" t="b">
        <v>0</v>
      </c>
      <c r="G654" s="111" t="b">
        <v>0</v>
      </c>
    </row>
    <row r="655" spans="1:7" ht="15">
      <c r="A655" s="113" t="s">
        <v>1485</v>
      </c>
      <c r="B655" s="111">
        <v>3</v>
      </c>
      <c r="C655" s="115">
        <v>0.0008382171549399165</v>
      </c>
      <c r="D655" s="111" t="s">
        <v>1990</v>
      </c>
      <c r="E655" s="111" t="b">
        <v>0</v>
      </c>
      <c r="F655" s="111" t="b">
        <v>0</v>
      </c>
      <c r="G655" s="111" t="b">
        <v>0</v>
      </c>
    </row>
    <row r="656" spans="1:7" ht="15">
      <c r="A656" s="113" t="s">
        <v>1486</v>
      </c>
      <c r="B656" s="111">
        <v>3</v>
      </c>
      <c r="C656" s="115">
        <v>0.0007143704754292275</v>
      </c>
      <c r="D656" s="111" t="s">
        <v>1990</v>
      </c>
      <c r="E656" s="111" t="b">
        <v>0</v>
      </c>
      <c r="F656" s="111" t="b">
        <v>0</v>
      </c>
      <c r="G656" s="111" t="b">
        <v>0</v>
      </c>
    </row>
    <row r="657" spans="1:7" ht="15">
      <c r="A657" s="113" t="s">
        <v>1487</v>
      </c>
      <c r="B657" s="111">
        <v>3</v>
      </c>
      <c r="C657" s="115">
        <v>0.0007143704754292275</v>
      </c>
      <c r="D657" s="111" t="s">
        <v>1990</v>
      </c>
      <c r="E657" s="111" t="b">
        <v>0</v>
      </c>
      <c r="F657" s="111" t="b">
        <v>0</v>
      </c>
      <c r="G657" s="111" t="b">
        <v>0</v>
      </c>
    </row>
    <row r="658" spans="1:7" ht="15">
      <c r="A658" s="113" t="s">
        <v>1488</v>
      </c>
      <c r="B658" s="111">
        <v>3</v>
      </c>
      <c r="C658" s="115">
        <v>0.0007143704754292275</v>
      </c>
      <c r="D658" s="111" t="s">
        <v>1990</v>
      </c>
      <c r="E658" s="111" t="b">
        <v>1</v>
      </c>
      <c r="F658" s="111" t="b">
        <v>0</v>
      </c>
      <c r="G658" s="111" t="b">
        <v>0</v>
      </c>
    </row>
    <row r="659" spans="1:7" ht="15">
      <c r="A659" s="113" t="s">
        <v>1489</v>
      </c>
      <c r="B659" s="111">
        <v>3</v>
      </c>
      <c r="C659" s="115">
        <v>0.0008382171549399165</v>
      </c>
      <c r="D659" s="111" t="s">
        <v>1990</v>
      </c>
      <c r="E659" s="111" t="b">
        <v>0</v>
      </c>
      <c r="F659" s="111" t="b">
        <v>0</v>
      </c>
      <c r="G659" s="111" t="b">
        <v>0</v>
      </c>
    </row>
    <row r="660" spans="1:7" ht="15">
      <c r="A660" s="113" t="s">
        <v>1490</v>
      </c>
      <c r="B660" s="111">
        <v>3</v>
      </c>
      <c r="C660" s="115">
        <v>0.0008382171549399165</v>
      </c>
      <c r="D660" s="111" t="s">
        <v>1990</v>
      </c>
      <c r="E660" s="111" t="b">
        <v>0</v>
      </c>
      <c r="F660" s="111" t="b">
        <v>0</v>
      </c>
      <c r="G660" s="111" t="b">
        <v>0</v>
      </c>
    </row>
    <row r="661" spans="1:7" ht="15">
      <c r="A661" s="113" t="s">
        <v>1491</v>
      </c>
      <c r="B661" s="111">
        <v>3</v>
      </c>
      <c r="C661" s="115">
        <v>0.0007143704754292275</v>
      </c>
      <c r="D661" s="111" t="s">
        <v>1990</v>
      </c>
      <c r="E661" s="111" t="b">
        <v>0</v>
      </c>
      <c r="F661" s="111" t="b">
        <v>0</v>
      </c>
      <c r="G661" s="111" t="b">
        <v>0</v>
      </c>
    </row>
    <row r="662" spans="1:7" ht="15">
      <c r="A662" s="113" t="s">
        <v>1492</v>
      </c>
      <c r="B662" s="111">
        <v>3</v>
      </c>
      <c r="C662" s="115">
        <v>0.0007143704754292275</v>
      </c>
      <c r="D662" s="111" t="s">
        <v>1990</v>
      </c>
      <c r="E662" s="111" t="b">
        <v>0</v>
      </c>
      <c r="F662" s="111" t="b">
        <v>0</v>
      </c>
      <c r="G662" s="111" t="b">
        <v>0</v>
      </c>
    </row>
    <row r="663" spans="1:7" ht="15">
      <c r="A663" s="113" t="s">
        <v>1493</v>
      </c>
      <c r="B663" s="111">
        <v>3</v>
      </c>
      <c r="C663" s="115">
        <v>0.0007143704754292275</v>
      </c>
      <c r="D663" s="111" t="s">
        <v>1990</v>
      </c>
      <c r="E663" s="111" t="b">
        <v>0</v>
      </c>
      <c r="F663" s="111" t="b">
        <v>0</v>
      </c>
      <c r="G663" s="111" t="b">
        <v>0</v>
      </c>
    </row>
    <row r="664" spans="1:7" ht="15">
      <c r="A664" s="113" t="s">
        <v>1494</v>
      </c>
      <c r="B664" s="111">
        <v>3</v>
      </c>
      <c r="C664" s="115">
        <v>0.0007143704754292275</v>
      </c>
      <c r="D664" s="111" t="s">
        <v>1990</v>
      </c>
      <c r="E664" s="111" t="b">
        <v>0</v>
      </c>
      <c r="F664" s="111" t="b">
        <v>0</v>
      </c>
      <c r="G664" s="111" t="b">
        <v>0</v>
      </c>
    </row>
    <row r="665" spans="1:7" ht="15">
      <c r="A665" s="113" t="s">
        <v>1495</v>
      </c>
      <c r="B665" s="111">
        <v>3</v>
      </c>
      <c r="C665" s="115">
        <v>0.0008382171549399165</v>
      </c>
      <c r="D665" s="111" t="s">
        <v>1990</v>
      </c>
      <c r="E665" s="111" t="b">
        <v>0</v>
      </c>
      <c r="F665" s="111" t="b">
        <v>0</v>
      </c>
      <c r="G665" s="111" t="b">
        <v>0</v>
      </c>
    </row>
    <row r="666" spans="1:7" ht="15">
      <c r="A666" s="113" t="s">
        <v>1496</v>
      </c>
      <c r="B666" s="111">
        <v>3</v>
      </c>
      <c r="C666" s="115">
        <v>0.0008382171549399165</v>
      </c>
      <c r="D666" s="111" t="s">
        <v>1990</v>
      </c>
      <c r="E666" s="111" t="b">
        <v>0</v>
      </c>
      <c r="F666" s="111" t="b">
        <v>0</v>
      </c>
      <c r="G666" s="111" t="b">
        <v>0</v>
      </c>
    </row>
    <row r="667" spans="1:7" ht="15">
      <c r="A667" s="113" t="s">
        <v>1497</v>
      </c>
      <c r="B667" s="111">
        <v>3</v>
      </c>
      <c r="C667" s="115">
        <v>0.0008382171549399165</v>
      </c>
      <c r="D667" s="111" t="s">
        <v>1990</v>
      </c>
      <c r="E667" s="111" t="b">
        <v>0</v>
      </c>
      <c r="F667" s="111" t="b">
        <v>0</v>
      </c>
      <c r="G667" s="111" t="b">
        <v>0</v>
      </c>
    </row>
    <row r="668" spans="1:7" ht="15">
      <c r="A668" s="113" t="s">
        <v>1498</v>
      </c>
      <c r="B668" s="111">
        <v>3</v>
      </c>
      <c r="C668" s="115">
        <v>0.0007143704754292275</v>
      </c>
      <c r="D668" s="111" t="s">
        <v>1990</v>
      </c>
      <c r="E668" s="111" t="b">
        <v>0</v>
      </c>
      <c r="F668" s="111" t="b">
        <v>0</v>
      </c>
      <c r="G668" s="111" t="b">
        <v>0</v>
      </c>
    </row>
    <row r="669" spans="1:7" ht="15">
      <c r="A669" s="113" t="s">
        <v>1499</v>
      </c>
      <c r="B669" s="111">
        <v>3</v>
      </c>
      <c r="C669" s="115">
        <v>0.0008382171549399165</v>
      </c>
      <c r="D669" s="111" t="s">
        <v>1990</v>
      </c>
      <c r="E669" s="111" t="b">
        <v>0</v>
      </c>
      <c r="F669" s="111" t="b">
        <v>0</v>
      </c>
      <c r="G669" s="111" t="b">
        <v>0</v>
      </c>
    </row>
    <row r="670" spans="1:7" ht="15">
      <c r="A670" s="113" t="s">
        <v>1500</v>
      </c>
      <c r="B670" s="111">
        <v>3</v>
      </c>
      <c r="C670" s="115">
        <v>0.0008382171549399165</v>
      </c>
      <c r="D670" s="111" t="s">
        <v>1990</v>
      </c>
      <c r="E670" s="111" t="b">
        <v>0</v>
      </c>
      <c r="F670" s="111" t="b">
        <v>0</v>
      </c>
      <c r="G670" s="111" t="b">
        <v>0</v>
      </c>
    </row>
    <row r="671" spans="1:7" ht="15">
      <c r="A671" s="113" t="s">
        <v>1501</v>
      </c>
      <c r="B671" s="111">
        <v>3</v>
      </c>
      <c r="C671" s="115">
        <v>0.0008382171549399165</v>
      </c>
      <c r="D671" s="111" t="s">
        <v>1990</v>
      </c>
      <c r="E671" s="111" t="b">
        <v>0</v>
      </c>
      <c r="F671" s="111" t="b">
        <v>0</v>
      </c>
      <c r="G671" s="111" t="b">
        <v>0</v>
      </c>
    </row>
    <row r="672" spans="1:7" ht="15">
      <c r="A672" s="113" t="s">
        <v>1502</v>
      </c>
      <c r="B672" s="111">
        <v>3</v>
      </c>
      <c r="C672" s="115">
        <v>0.0008382171549399165</v>
      </c>
      <c r="D672" s="111" t="s">
        <v>1990</v>
      </c>
      <c r="E672" s="111" t="b">
        <v>0</v>
      </c>
      <c r="F672" s="111" t="b">
        <v>0</v>
      </c>
      <c r="G672" s="111" t="b">
        <v>0</v>
      </c>
    </row>
    <row r="673" spans="1:7" ht="15">
      <c r="A673" s="113" t="s">
        <v>1503</v>
      </c>
      <c r="B673" s="111">
        <v>3</v>
      </c>
      <c r="C673" s="115">
        <v>0.0008382171549399165</v>
      </c>
      <c r="D673" s="111" t="s">
        <v>1990</v>
      </c>
      <c r="E673" s="111" t="b">
        <v>0</v>
      </c>
      <c r="F673" s="111" t="b">
        <v>0</v>
      </c>
      <c r="G673" s="111" t="b">
        <v>0</v>
      </c>
    </row>
    <row r="674" spans="1:7" ht="15">
      <c r="A674" s="113" t="s">
        <v>1504</v>
      </c>
      <c r="B674" s="111">
        <v>3</v>
      </c>
      <c r="C674" s="115">
        <v>0.0007143704754292275</v>
      </c>
      <c r="D674" s="111" t="s">
        <v>1990</v>
      </c>
      <c r="E674" s="111" t="b">
        <v>0</v>
      </c>
      <c r="F674" s="111" t="b">
        <v>0</v>
      </c>
      <c r="G674" s="111" t="b">
        <v>0</v>
      </c>
    </row>
    <row r="675" spans="1:7" ht="15">
      <c r="A675" s="113" t="s">
        <v>1505</v>
      </c>
      <c r="B675" s="111">
        <v>2</v>
      </c>
      <c r="C675" s="115">
        <v>0.0004762469836194851</v>
      </c>
      <c r="D675" s="111" t="s">
        <v>1990</v>
      </c>
      <c r="E675" s="111" t="b">
        <v>0</v>
      </c>
      <c r="F675" s="111" t="b">
        <v>0</v>
      </c>
      <c r="G675" s="111" t="b">
        <v>0</v>
      </c>
    </row>
    <row r="676" spans="1:7" ht="15">
      <c r="A676" s="113" t="s">
        <v>1506</v>
      </c>
      <c r="B676" s="111">
        <v>2</v>
      </c>
      <c r="C676" s="115">
        <v>0.0004762469836194851</v>
      </c>
      <c r="D676" s="111" t="s">
        <v>1990</v>
      </c>
      <c r="E676" s="111" t="b">
        <v>0</v>
      </c>
      <c r="F676" s="111" t="b">
        <v>0</v>
      </c>
      <c r="G676" s="111" t="b">
        <v>0</v>
      </c>
    </row>
    <row r="677" spans="1:7" ht="15">
      <c r="A677" s="113" t="s">
        <v>1507</v>
      </c>
      <c r="B677" s="111">
        <v>2</v>
      </c>
      <c r="C677" s="115">
        <v>0.0004762469836194851</v>
      </c>
      <c r="D677" s="111" t="s">
        <v>1990</v>
      </c>
      <c r="E677" s="111" t="b">
        <v>0</v>
      </c>
      <c r="F677" s="111" t="b">
        <v>0</v>
      </c>
      <c r="G677" s="111" t="b">
        <v>0</v>
      </c>
    </row>
    <row r="678" spans="1:7" ht="15">
      <c r="A678" s="113" t="s">
        <v>1508</v>
      </c>
      <c r="B678" s="111">
        <v>2</v>
      </c>
      <c r="C678" s="115">
        <v>0.0004762469836194851</v>
      </c>
      <c r="D678" s="111" t="s">
        <v>1990</v>
      </c>
      <c r="E678" s="111" t="b">
        <v>0</v>
      </c>
      <c r="F678" s="111" t="b">
        <v>1</v>
      </c>
      <c r="G678" s="111" t="b">
        <v>0</v>
      </c>
    </row>
    <row r="679" spans="1:7" ht="15">
      <c r="A679" s="113" t="s">
        <v>1509</v>
      </c>
      <c r="B679" s="111">
        <v>2</v>
      </c>
      <c r="C679" s="115">
        <v>0.0004762469836194851</v>
      </c>
      <c r="D679" s="111" t="s">
        <v>1990</v>
      </c>
      <c r="E679" s="111" t="b">
        <v>0</v>
      </c>
      <c r="F679" s="111" t="b">
        <v>1</v>
      </c>
      <c r="G679" s="111" t="b">
        <v>0</v>
      </c>
    </row>
    <row r="680" spans="1:7" ht="15">
      <c r="A680" s="113" t="s">
        <v>1510</v>
      </c>
      <c r="B680" s="111">
        <v>2</v>
      </c>
      <c r="C680" s="115">
        <v>0.0004762469836194851</v>
      </c>
      <c r="D680" s="111" t="s">
        <v>1990</v>
      </c>
      <c r="E680" s="111" t="b">
        <v>0</v>
      </c>
      <c r="F680" s="111" t="b">
        <v>1</v>
      </c>
      <c r="G680" s="111" t="b">
        <v>0</v>
      </c>
    </row>
    <row r="681" spans="1:7" ht="15">
      <c r="A681" s="113" t="s">
        <v>1511</v>
      </c>
      <c r="B681" s="111">
        <v>2</v>
      </c>
      <c r="C681" s="115">
        <v>0.0004762469836194851</v>
      </c>
      <c r="D681" s="111" t="s">
        <v>1990</v>
      </c>
      <c r="E681" s="111" t="b">
        <v>0</v>
      </c>
      <c r="F681" s="111" t="b">
        <v>0</v>
      </c>
      <c r="G681" s="111" t="b">
        <v>0</v>
      </c>
    </row>
    <row r="682" spans="1:7" ht="15">
      <c r="A682" s="113" t="s">
        <v>1512</v>
      </c>
      <c r="B682" s="111">
        <v>2</v>
      </c>
      <c r="C682" s="115">
        <v>0.0004762469836194851</v>
      </c>
      <c r="D682" s="111" t="s">
        <v>1990</v>
      </c>
      <c r="E682" s="111" t="b">
        <v>1</v>
      </c>
      <c r="F682" s="111" t="b">
        <v>0</v>
      </c>
      <c r="G682" s="111" t="b">
        <v>0</v>
      </c>
    </row>
    <row r="683" spans="1:7" ht="15">
      <c r="A683" s="113" t="s">
        <v>1513</v>
      </c>
      <c r="B683" s="111">
        <v>2</v>
      </c>
      <c r="C683" s="115">
        <v>0.0004762469836194851</v>
      </c>
      <c r="D683" s="111" t="s">
        <v>1990</v>
      </c>
      <c r="E683" s="111" t="b">
        <v>0</v>
      </c>
      <c r="F683" s="111" t="b">
        <v>0</v>
      </c>
      <c r="G683" s="111" t="b">
        <v>0</v>
      </c>
    </row>
    <row r="684" spans="1:7" ht="15">
      <c r="A684" s="113" t="s">
        <v>1514</v>
      </c>
      <c r="B684" s="111">
        <v>2</v>
      </c>
      <c r="C684" s="115">
        <v>0.0004762469836194851</v>
      </c>
      <c r="D684" s="111" t="s">
        <v>1990</v>
      </c>
      <c r="E684" s="111" t="b">
        <v>0</v>
      </c>
      <c r="F684" s="111" t="b">
        <v>0</v>
      </c>
      <c r="G684" s="111" t="b">
        <v>0</v>
      </c>
    </row>
    <row r="685" spans="1:7" ht="15">
      <c r="A685" s="113" t="s">
        <v>1515</v>
      </c>
      <c r="B685" s="111">
        <v>2</v>
      </c>
      <c r="C685" s="115">
        <v>0.0004762469836194851</v>
      </c>
      <c r="D685" s="111" t="s">
        <v>1990</v>
      </c>
      <c r="E685" s="111" t="b">
        <v>0</v>
      </c>
      <c r="F685" s="111" t="b">
        <v>0</v>
      </c>
      <c r="G685" s="111" t="b">
        <v>0</v>
      </c>
    </row>
    <row r="686" spans="1:7" ht="15">
      <c r="A686" s="113" t="s">
        <v>1516</v>
      </c>
      <c r="B686" s="111">
        <v>2</v>
      </c>
      <c r="C686" s="115">
        <v>0.0004762469836194851</v>
      </c>
      <c r="D686" s="111" t="s">
        <v>1990</v>
      </c>
      <c r="E686" s="111" t="b">
        <v>0</v>
      </c>
      <c r="F686" s="111" t="b">
        <v>0</v>
      </c>
      <c r="G686" s="111" t="b">
        <v>0</v>
      </c>
    </row>
    <row r="687" spans="1:7" ht="15">
      <c r="A687" s="113" t="s">
        <v>1517</v>
      </c>
      <c r="B687" s="111">
        <v>2</v>
      </c>
      <c r="C687" s="115">
        <v>0.0004762469836194851</v>
      </c>
      <c r="D687" s="111" t="s">
        <v>1990</v>
      </c>
      <c r="E687" s="111" t="b">
        <v>0</v>
      </c>
      <c r="F687" s="111" t="b">
        <v>0</v>
      </c>
      <c r="G687" s="111" t="b">
        <v>0</v>
      </c>
    </row>
    <row r="688" spans="1:7" ht="15">
      <c r="A688" s="113" t="s">
        <v>1518</v>
      </c>
      <c r="B688" s="111">
        <v>2</v>
      </c>
      <c r="C688" s="115">
        <v>0.0004762469836194851</v>
      </c>
      <c r="D688" s="111" t="s">
        <v>1990</v>
      </c>
      <c r="E688" s="111" t="b">
        <v>1</v>
      </c>
      <c r="F688" s="111" t="b">
        <v>0</v>
      </c>
      <c r="G688" s="111" t="b">
        <v>0</v>
      </c>
    </row>
    <row r="689" spans="1:7" ht="15">
      <c r="A689" s="113" t="s">
        <v>1519</v>
      </c>
      <c r="B689" s="111">
        <v>2</v>
      </c>
      <c r="C689" s="115">
        <v>0.0004762469836194851</v>
      </c>
      <c r="D689" s="111" t="s">
        <v>1990</v>
      </c>
      <c r="E689" s="111" t="b">
        <v>0</v>
      </c>
      <c r="F689" s="111" t="b">
        <v>0</v>
      </c>
      <c r="G689" s="111" t="b">
        <v>0</v>
      </c>
    </row>
    <row r="690" spans="1:7" ht="15">
      <c r="A690" s="113" t="s">
        <v>1520</v>
      </c>
      <c r="B690" s="111">
        <v>2</v>
      </c>
      <c r="C690" s="115">
        <v>0.0004762469836194851</v>
      </c>
      <c r="D690" s="111" t="s">
        <v>1990</v>
      </c>
      <c r="E690" s="111" t="b">
        <v>0</v>
      </c>
      <c r="F690" s="111" t="b">
        <v>0</v>
      </c>
      <c r="G690" s="111" t="b">
        <v>0</v>
      </c>
    </row>
    <row r="691" spans="1:7" ht="15">
      <c r="A691" s="113" t="s">
        <v>1521</v>
      </c>
      <c r="B691" s="111">
        <v>2</v>
      </c>
      <c r="C691" s="115">
        <v>0.0004762469836194851</v>
      </c>
      <c r="D691" s="111" t="s">
        <v>1990</v>
      </c>
      <c r="E691" s="111" t="b">
        <v>0</v>
      </c>
      <c r="F691" s="111" t="b">
        <v>0</v>
      </c>
      <c r="G691" s="111" t="b">
        <v>0</v>
      </c>
    </row>
    <row r="692" spans="1:7" ht="15">
      <c r="A692" s="113" t="s">
        <v>1522</v>
      </c>
      <c r="B692" s="111">
        <v>2</v>
      </c>
      <c r="C692" s="115">
        <v>0.0004762469836194851</v>
      </c>
      <c r="D692" s="111" t="s">
        <v>1990</v>
      </c>
      <c r="E692" s="111" t="b">
        <v>0</v>
      </c>
      <c r="F692" s="111" t="b">
        <v>0</v>
      </c>
      <c r="G692" s="111" t="b">
        <v>0</v>
      </c>
    </row>
    <row r="693" spans="1:7" ht="15">
      <c r="A693" s="113" t="s">
        <v>1523</v>
      </c>
      <c r="B693" s="111">
        <v>2</v>
      </c>
      <c r="C693" s="115">
        <v>0.0004762469836194851</v>
      </c>
      <c r="D693" s="111" t="s">
        <v>1990</v>
      </c>
      <c r="E693" s="111" t="b">
        <v>0</v>
      </c>
      <c r="F693" s="111" t="b">
        <v>0</v>
      </c>
      <c r="G693" s="111" t="b">
        <v>0</v>
      </c>
    </row>
    <row r="694" spans="1:7" ht="15">
      <c r="A694" s="113" t="s">
        <v>1524</v>
      </c>
      <c r="B694" s="111">
        <v>2</v>
      </c>
      <c r="C694" s="115">
        <v>0.0004762469836194851</v>
      </c>
      <c r="D694" s="111" t="s">
        <v>1990</v>
      </c>
      <c r="E694" s="111" t="b">
        <v>0</v>
      </c>
      <c r="F694" s="111" t="b">
        <v>0</v>
      </c>
      <c r="G694" s="111" t="b">
        <v>0</v>
      </c>
    </row>
    <row r="695" spans="1:7" ht="15">
      <c r="A695" s="113" t="s">
        <v>1525</v>
      </c>
      <c r="B695" s="111">
        <v>2</v>
      </c>
      <c r="C695" s="115">
        <v>0.0004762469836194851</v>
      </c>
      <c r="D695" s="111" t="s">
        <v>1990</v>
      </c>
      <c r="E695" s="111" t="b">
        <v>0</v>
      </c>
      <c r="F695" s="111" t="b">
        <v>0</v>
      </c>
      <c r="G695" s="111" t="b">
        <v>0</v>
      </c>
    </row>
    <row r="696" spans="1:7" ht="15">
      <c r="A696" s="113" t="s">
        <v>1526</v>
      </c>
      <c r="B696" s="111">
        <v>2</v>
      </c>
      <c r="C696" s="115">
        <v>0.0004762469836194851</v>
      </c>
      <c r="D696" s="111" t="s">
        <v>1990</v>
      </c>
      <c r="E696" s="111" t="b">
        <v>0</v>
      </c>
      <c r="F696" s="111" t="b">
        <v>0</v>
      </c>
      <c r="G696" s="111" t="b">
        <v>0</v>
      </c>
    </row>
    <row r="697" spans="1:7" ht="15">
      <c r="A697" s="113" t="s">
        <v>1527</v>
      </c>
      <c r="B697" s="111">
        <v>2</v>
      </c>
      <c r="C697" s="115">
        <v>0.0004762469836194851</v>
      </c>
      <c r="D697" s="111" t="s">
        <v>1990</v>
      </c>
      <c r="E697" s="111" t="b">
        <v>0</v>
      </c>
      <c r="F697" s="111" t="b">
        <v>0</v>
      </c>
      <c r="G697" s="111" t="b">
        <v>0</v>
      </c>
    </row>
    <row r="698" spans="1:7" ht="15">
      <c r="A698" s="113" t="s">
        <v>1528</v>
      </c>
      <c r="B698" s="111">
        <v>2</v>
      </c>
      <c r="C698" s="115">
        <v>0.0004762469836194851</v>
      </c>
      <c r="D698" s="111" t="s">
        <v>1990</v>
      </c>
      <c r="E698" s="111" t="b">
        <v>0</v>
      </c>
      <c r="F698" s="111" t="b">
        <v>0</v>
      </c>
      <c r="G698" s="111" t="b">
        <v>0</v>
      </c>
    </row>
    <row r="699" spans="1:7" ht="15">
      <c r="A699" s="113" t="s">
        <v>1529</v>
      </c>
      <c r="B699" s="111">
        <v>2</v>
      </c>
      <c r="C699" s="115">
        <v>0.0004762469836194851</v>
      </c>
      <c r="D699" s="111" t="s">
        <v>1990</v>
      </c>
      <c r="E699" s="111" t="b">
        <v>0</v>
      </c>
      <c r="F699" s="111" t="b">
        <v>0</v>
      </c>
      <c r="G699" s="111" t="b">
        <v>0</v>
      </c>
    </row>
    <row r="700" spans="1:7" ht="15">
      <c r="A700" s="113" t="s">
        <v>1530</v>
      </c>
      <c r="B700" s="111">
        <v>2</v>
      </c>
      <c r="C700" s="115">
        <v>0.0004762469836194851</v>
      </c>
      <c r="D700" s="111" t="s">
        <v>1990</v>
      </c>
      <c r="E700" s="111" t="b">
        <v>1</v>
      </c>
      <c r="F700" s="111" t="b">
        <v>0</v>
      </c>
      <c r="G700" s="111" t="b">
        <v>0</v>
      </c>
    </row>
    <row r="701" spans="1:7" ht="15">
      <c r="A701" s="113" t="s">
        <v>1531</v>
      </c>
      <c r="B701" s="111">
        <v>2</v>
      </c>
      <c r="C701" s="115">
        <v>0.0004762469836194851</v>
      </c>
      <c r="D701" s="111" t="s">
        <v>1990</v>
      </c>
      <c r="E701" s="111" t="b">
        <v>0</v>
      </c>
      <c r="F701" s="111" t="b">
        <v>0</v>
      </c>
      <c r="G701" s="111" t="b">
        <v>0</v>
      </c>
    </row>
    <row r="702" spans="1:7" ht="15">
      <c r="A702" s="113" t="s">
        <v>1532</v>
      </c>
      <c r="B702" s="111">
        <v>2</v>
      </c>
      <c r="C702" s="115">
        <v>0.0004762469836194851</v>
      </c>
      <c r="D702" s="111" t="s">
        <v>1990</v>
      </c>
      <c r="E702" s="111" t="b">
        <v>0</v>
      </c>
      <c r="F702" s="111" t="b">
        <v>0</v>
      </c>
      <c r="G702" s="111" t="b">
        <v>0</v>
      </c>
    </row>
    <row r="703" spans="1:7" ht="15">
      <c r="A703" s="113" t="s">
        <v>1533</v>
      </c>
      <c r="B703" s="111">
        <v>2</v>
      </c>
      <c r="C703" s="115">
        <v>0.0004762469836194851</v>
      </c>
      <c r="D703" s="111" t="s">
        <v>1990</v>
      </c>
      <c r="E703" s="111" t="b">
        <v>0</v>
      </c>
      <c r="F703" s="111" t="b">
        <v>0</v>
      </c>
      <c r="G703" s="111" t="b">
        <v>0</v>
      </c>
    </row>
    <row r="704" spans="1:7" ht="15">
      <c r="A704" s="113" t="s">
        <v>1534</v>
      </c>
      <c r="B704" s="111">
        <v>2</v>
      </c>
      <c r="C704" s="115">
        <v>0.0004762469836194851</v>
      </c>
      <c r="D704" s="111" t="s">
        <v>1990</v>
      </c>
      <c r="E704" s="111" t="b">
        <v>0</v>
      </c>
      <c r="F704" s="111" t="b">
        <v>0</v>
      </c>
      <c r="G704" s="111" t="b">
        <v>0</v>
      </c>
    </row>
    <row r="705" spans="1:7" ht="15">
      <c r="A705" s="113" t="s">
        <v>1535</v>
      </c>
      <c r="B705" s="111">
        <v>2</v>
      </c>
      <c r="C705" s="115">
        <v>0.0004762469836194851</v>
      </c>
      <c r="D705" s="111" t="s">
        <v>1990</v>
      </c>
      <c r="E705" s="111" t="b">
        <v>0</v>
      </c>
      <c r="F705" s="111" t="b">
        <v>0</v>
      </c>
      <c r="G705" s="111" t="b">
        <v>0</v>
      </c>
    </row>
    <row r="706" spans="1:7" ht="15">
      <c r="A706" s="113" t="s">
        <v>1536</v>
      </c>
      <c r="B706" s="111">
        <v>2</v>
      </c>
      <c r="C706" s="115">
        <v>0.0004762469836194851</v>
      </c>
      <c r="D706" s="111" t="s">
        <v>1990</v>
      </c>
      <c r="E706" s="111" t="b">
        <v>0</v>
      </c>
      <c r="F706" s="111" t="b">
        <v>0</v>
      </c>
      <c r="G706" s="111" t="b">
        <v>0</v>
      </c>
    </row>
    <row r="707" spans="1:7" ht="15">
      <c r="A707" s="113" t="s">
        <v>1537</v>
      </c>
      <c r="B707" s="111">
        <v>2</v>
      </c>
      <c r="C707" s="115">
        <v>0.0004762469836194851</v>
      </c>
      <c r="D707" s="111" t="s">
        <v>1990</v>
      </c>
      <c r="E707" s="111" t="b">
        <v>0</v>
      </c>
      <c r="F707" s="111" t="b">
        <v>0</v>
      </c>
      <c r="G707" s="111" t="b">
        <v>0</v>
      </c>
    </row>
    <row r="708" spans="1:7" ht="15">
      <c r="A708" s="113" t="s">
        <v>1538</v>
      </c>
      <c r="B708" s="111">
        <v>2</v>
      </c>
      <c r="C708" s="115">
        <v>0.0004762469836194851</v>
      </c>
      <c r="D708" s="111" t="s">
        <v>1990</v>
      </c>
      <c r="E708" s="111" t="b">
        <v>0</v>
      </c>
      <c r="F708" s="111" t="b">
        <v>1</v>
      </c>
      <c r="G708" s="111" t="b">
        <v>0</v>
      </c>
    </row>
    <row r="709" spans="1:7" ht="15">
      <c r="A709" s="113" t="s">
        <v>1539</v>
      </c>
      <c r="B709" s="111">
        <v>2</v>
      </c>
      <c r="C709" s="115">
        <v>0.0004762469836194851</v>
      </c>
      <c r="D709" s="111" t="s">
        <v>1990</v>
      </c>
      <c r="E709" s="111" t="b">
        <v>0</v>
      </c>
      <c r="F709" s="111" t="b">
        <v>0</v>
      </c>
      <c r="G709" s="111" t="b">
        <v>0</v>
      </c>
    </row>
    <row r="710" spans="1:7" ht="15">
      <c r="A710" s="113" t="s">
        <v>1540</v>
      </c>
      <c r="B710" s="111">
        <v>2</v>
      </c>
      <c r="C710" s="115">
        <v>0.0004762469836194851</v>
      </c>
      <c r="D710" s="111" t="s">
        <v>1990</v>
      </c>
      <c r="E710" s="111" t="b">
        <v>0</v>
      </c>
      <c r="F710" s="111" t="b">
        <v>0</v>
      </c>
      <c r="G710" s="111" t="b">
        <v>0</v>
      </c>
    </row>
    <row r="711" spans="1:7" ht="15">
      <c r="A711" s="113" t="s">
        <v>1541</v>
      </c>
      <c r="B711" s="111">
        <v>2</v>
      </c>
      <c r="C711" s="115">
        <v>0.0004762469836194851</v>
      </c>
      <c r="D711" s="111" t="s">
        <v>1990</v>
      </c>
      <c r="E711" s="111" t="b">
        <v>0</v>
      </c>
      <c r="F711" s="111" t="b">
        <v>0</v>
      </c>
      <c r="G711" s="111" t="b">
        <v>0</v>
      </c>
    </row>
    <row r="712" spans="1:7" ht="15">
      <c r="A712" s="113" t="s">
        <v>1542</v>
      </c>
      <c r="B712" s="111">
        <v>2</v>
      </c>
      <c r="C712" s="115">
        <v>0.0004762469836194851</v>
      </c>
      <c r="D712" s="111" t="s">
        <v>1990</v>
      </c>
      <c r="E712" s="111" t="b">
        <v>0</v>
      </c>
      <c r="F712" s="111" t="b">
        <v>0</v>
      </c>
      <c r="G712" s="111" t="b">
        <v>0</v>
      </c>
    </row>
    <row r="713" spans="1:7" ht="15">
      <c r="A713" s="113" t="s">
        <v>1543</v>
      </c>
      <c r="B713" s="111">
        <v>2</v>
      </c>
      <c r="C713" s="115">
        <v>0.000558811436626611</v>
      </c>
      <c r="D713" s="111" t="s">
        <v>1990</v>
      </c>
      <c r="E713" s="111" t="b">
        <v>0</v>
      </c>
      <c r="F713" s="111" t="b">
        <v>0</v>
      </c>
      <c r="G713" s="111" t="b">
        <v>0</v>
      </c>
    </row>
    <row r="714" spans="1:7" ht="15">
      <c r="A714" s="113" t="s">
        <v>1544</v>
      </c>
      <c r="B714" s="111">
        <v>2</v>
      </c>
      <c r="C714" s="115">
        <v>0.0004762469836194851</v>
      </c>
      <c r="D714" s="111" t="s">
        <v>1990</v>
      </c>
      <c r="E714" s="111" t="b">
        <v>0</v>
      </c>
      <c r="F714" s="111" t="b">
        <v>0</v>
      </c>
      <c r="G714" s="111" t="b">
        <v>0</v>
      </c>
    </row>
    <row r="715" spans="1:7" ht="15">
      <c r="A715" s="113" t="s">
        <v>1545</v>
      </c>
      <c r="B715" s="111">
        <v>2</v>
      </c>
      <c r="C715" s="115">
        <v>0.0004762469836194851</v>
      </c>
      <c r="D715" s="111" t="s">
        <v>1990</v>
      </c>
      <c r="E715" s="111" t="b">
        <v>0</v>
      </c>
      <c r="F715" s="111" t="b">
        <v>0</v>
      </c>
      <c r="G715" s="111" t="b">
        <v>0</v>
      </c>
    </row>
    <row r="716" spans="1:7" ht="15">
      <c r="A716" s="113" t="s">
        <v>1546</v>
      </c>
      <c r="B716" s="111">
        <v>2</v>
      </c>
      <c r="C716" s="115">
        <v>0.0004762469836194851</v>
      </c>
      <c r="D716" s="111" t="s">
        <v>1990</v>
      </c>
      <c r="E716" s="111" t="b">
        <v>1</v>
      </c>
      <c r="F716" s="111" t="b">
        <v>0</v>
      </c>
      <c r="G716" s="111" t="b">
        <v>0</v>
      </c>
    </row>
    <row r="717" spans="1:7" ht="15">
      <c r="A717" s="113" t="s">
        <v>1547</v>
      </c>
      <c r="B717" s="111">
        <v>2</v>
      </c>
      <c r="C717" s="115">
        <v>0.0004762469836194851</v>
      </c>
      <c r="D717" s="111" t="s">
        <v>1990</v>
      </c>
      <c r="E717" s="111" t="b">
        <v>0</v>
      </c>
      <c r="F717" s="111" t="b">
        <v>0</v>
      </c>
      <c r="G717" s="111" t="b">
        <v>0</v>
      </c>
    </row>
    <row r="718" spans="1:7" ht="15">
      <c r="A718" s="113" t="s">
        <v>1548</v>
      </c>
      <c r="B718" s="111">
        <v>2</v>
      </c>
      <c r="C718" s="115">
        <v>0.0004762469836194851</v>
      </c>
      <c r="D718" s="111" t="s">
        <v>1990</v>
      </c>
      <c r="E718" s="111" t="b">
        <v>0</v>
      </c>
      <c r="F718" s="111" t="b">
        <v>0</v>
      </c>
      <c r="G718" s="111" t="b">
        <v>0</v>
      </c>
    </row>
    <row r="719" spans="1:7" ht="15">
      <c r="A719" s="113" t="s">
        <v>1549</v>
      </c>
      <c r="B719" s="111">
        <v>2</v>
      </c>
      <c r="C719" s="115">
        <v>0.0004762469836194851</v>
      </c>
      <c r="D719" s="111" t="s">
        <v>1990</v>
      </c>
      <c r="E719" s="111" t="b">
        <v>0</v>
      </c>
      <c r="F719" s="111" t="b">
        <v>0</v>
      </c>
      <c r="G719" s="111" t="b">
        <v>0</v>
      </c>
    </row>
    <row r="720" spans="1:7" ht="15">
      <c r="A720" s="113" t="s">
        <v>1550</v>
      </c>
      <c r="B720" s="111">
        <v>2</v>
      </c>
      <c r="C720" s="115">
        <v>0.0004762469836194851</v>
      </c>
      <c r="D720" s="111" t="s">
        <v>1990</v>
      </c>
      <c r="E720" s="111" t="b">
        <v>0</v>
      </c>
      <c r="F720" s="111" t="b">
        <v>0</v>
      </c>
      <c r="G720" s="111" t="b">
        <v>0</v>
      </c>
    </row>
    <row r="721" spans="1:7" ht="15">
      <c r="A721" s="113" t="s">
        <v>1551</v>
      </c>
      <c r="B721" s="111">
        <v>2</v>
      </c>
      <c r="C721" s="115">
        <v>0.0004762469836194851</v>
      </c>
      <c r="D721" s="111" t="s">
        <v>1990</v>
      </c>
      <c r="E721" s="111" t="b">
        <v>0</v>
      </c>
      <c r="F721" s="111" t="b">
        <v>0</v>
      </c>
      <c r="G721" s="111" t="b">
        <v>0</v>
      </c>
    </row>
    <row r="722" spans="1:7" ht="15">
      <c r="A722" s="113" t="s">
        <v>1552</v>
      </c>
      <c r="B722" s="111">
        <v>2</v>
      </c>
      <c r="C722" s="115">
        <v>0.0004762469836194851</v>
      </c>
      <c r="D722" s="111" t="s">
        <v>1990</v>
      </c>
      <c r="E722" s="111" t="b">
        <v>0</v>
      </c>
      <c r="F722" s="111" t="b">
        <v>0</v>
      </c>
      <c r="G722" s="111" t="b">
        <v>0</v>
      </c>
    </row>
    <row r="723" spans="1:7" ht="15">
      <c r="A723" s="113" t="s">
        <v>1553</v>
      </c>
      <c r="B723" s="111">
        <v>2</v>
      </c>
      <c r="C723" s="115">
        <v>0.0004762469836194851</v>
      </c>
      <c r="D723" s="111" t="s">
        <v>1990</v>
      </c>
      <c r="E723" s="111" t="b">
        <v>0</v>
      </c>
      <c r="F723" s="111" t="b">
        <v>0</v>
      </c>
      <c r="G723" s="111" t="b">
        <v>0</v>
      </c>
    </row>
    <row r="724" spans="1:7" ht="15">
      <c r="A724" s="113" t="s">
        <v>1554</v>
      </c>
      <c r="B724" s="111">
        <v>2</v>
      </c>
      <c r="C724" s="115">
        <v>0.0004762469836194851</v>
      </c>
      <c r="D724" s="111" t="s">
        <v>1990</v>
      </c>
      <c r="E724" s="111" t="b">
        <v>0</v>
      </c>
      <c r="F724" s="111" t="b">
        <v>0</v>
      </c>
      <c r="G724" s="111" t="b">
        <v>0</v>
      </c>
    </row>
    <row r="725" spans="1:7" ht="15">
      <c r="A725" s="113" t="s">
        <v>1555</v>
      </c>
      <c r="B725" s="111">
        <v>2</v>
      </c>
      <c r="C725" s="115">
        <v>0.0004762469836194851</v>
      </c>
      <c r="D725" s="111" t="s">
        <v>1990</v>
      </c>
      <c r="E725" s="111" t="b">
        <v>0</v>
      </c>
      <c r="F725" s="111" t="b">
        <v>0</v>
      </c>
      <c r="G725" s="111" t="b">
        <v>0</v>
      </c>
    </row>
    <row r="726" spans="1:7" ht="15">
      <c r="A726" s="113" t="s">
        <v>1556</v>
      </c>
      <c r="B726" s="111">
        <v>2</v>
      </c>
      <c r="C726" s="115">
        <v>0.0004762469836194851</v>
      </c>
      <c r="D726" s="111" t="s">
        <v>1990</v>
      </c>
      <c r="E726" s="111" t="b">
        <v>0</v>
      </c>
      <c r="F726" s="111" t="b">
        <v>0</v>
      </c>
      <c r="G726" s="111" t="b">
        <v>0</v>
      </c>
    </row>
    <row r="727" spans="1:7" ht="15">
      <c r="A727" s="113" t="s">
        <v>1557</v>
      </c>
      <c r="B727" s="111">
        <v>2</v>
      </c>
      <c r="C727" s="115">
        <v>0.0004762469836194851</v>
      </c>
      <c r="D727" s="111" t="s">
        <v>1990</v>
      </c>
      <c r="E727" s="111" t="b">
        <v>0</v>
      </c>
      <c r="F727" s="111" t="b">
        <v>0</v>
      </c>
      <c r="G727" s="111" t="b">
        <v>0</v>
      </c>
    </row>
    <row r="728" spans="1:7" ht="15">
      <c r="A728" s="113" t="s">
        <v>1558</v>
      </c>
      <c r="B728" s="111">
        <v>2</v>
      </c>
      <c r="C728" s="115">
        <v>0.0004762469836194851</v>
      </c>
      <c r="D728" s="111" t="s">
        <v>1990</v>
      </c>
      <c r="E728" s="111" t="b">
        <v>0</v>
      </c>
      <c r="F728" s="111" t="b">
        <v>1</v>
      </c>
      <c r="G728" s="111" t="b">
        <v>0</v>
      </c>
    </row>
    <row r="729" spans="1:7" ht="15">
      <c r="A729" s="113" t="s">
        <v>1559</v>
      </c>
      <c r="B729" s="111">
        <v>2</v>
      </c>
      <c r="C729" s="115">
        <v>0.0004762469836194851</v>
      </c>
      <c r="D729" s="111" t="s">
        <v>1990</v>
      </c>
      <c r="E729" s="111" t="b">
        <v>0</v>
      </c>
      <c r="F729" s="111" t="b">
        <v>0</v>
      </c>
      <c r="G729" s="111" t="b">
        <v>0</v>
      </c>
    </row>
    <row r="730" spans="1:7" ht="15">
      <c r="A730" s="113" t="s">
        <v>1560</v>
      </c>
      <c r="B730" s="111">
        <v>2</v>
      </c>
      <c r="C730" s="115">
        <v>0.0004762469836194851</v>
      </c>
      <c r="D730" s="111" t="s">
        <v>1990</v>
      </c>
      <c r="E730" s="111" t="b">
        <v>0</v>
      </c>
      <c r="F730" s="111" t="b">
        <v>0</v>
      </c>
      <c r="G730" s="111" t="b">
        <v>0</v>
      </c>
    </row>
    <row r="731" spans="1:7" ht="15">
      <c r="A731" s="113" t="s">
        <v>1561</v>
      </c>
      <c r="B731" s="111">
        <v>2</v>
      </c>
      <c r="C731" s="115">
        <v>0.0004762469836194851</v>
      </c>
      <c r="D731" s="111" t="s">
        <v>1990</v>
      </c>
      <c r="E731" s="111" t="b">
        <v>0</v>
      </c>
      <c r="F731" s="111" t="b">
        <v>0</v>
      </c>
      <c r="G731" s="111" t="b">
        <v>0</v>
      </c>
    </row>
    <row r="732" spans="1:7" ht="15">
      <c r="A732" s="113" t="s">
        <v>1562</v>
      </c>
      <c r="B732" s="111">
        <v>2</v>
      </c>
      <c r="C732" s="115">
        <v>0.000558811436626611</v>
      </c>
      <c r="D732" s="111" t="s">
        <v>1990</v>
      </c>
      <c r="E732" s="111" t="b">
        <v>0</v>
      </c>
      <c r="F732" s="111" t="b">
        <v>0</v>
      </c>
      <c r="G732" s="111" t="b">
        <v>0</v>
      </c>
    </row>
    <row r="733" spans="1:7" ht="15">
      <c r="A733" s="113" t="s">
        <v>1563</v>
      </c>
      <c r="B733" s="111">
        <v>2</v>
      </c>
      <c r="C733" s="115">
        <v>0.0004762469836194851</v>
      </c>
      <c r="D733" s="111" t="s">
        <v>1990</v>
      </c>
      <c r="E733" s="111" t="b">
        <v>0</v>
      </c>
      <c r="F733" s="111" t="b">
        <v>0</v>
      </c>
      <c r="G733" s="111" t="b">
        <v>0</v>
      </c>
    </row>
    <row r="734" spans="1:7" ht="15">
      <c r="A734" s="113" t="s">
        <v>1564</v>
      </c>
      <c r="B734" s="111">
        <v>2</v>
      </c>
      <c r="C734" s="115">
        <v>0.0004762469836194851</v>
      </c>
      <c r="D734" s="111" t="s">
        <v>1990</v>
      </c>
      <c r="E734" s="111" t="b">
        <v>0</v>
      </c>
      <c r="F734" s="111" t="b">
        <v>0</v>
      </c>
      <c r="G734" s="111" t="b">
        <v>0</v>
      </c>
    </row>
    <row r="735" spans="1:7" ht="15">
      <c r="A735" s="113" t="s">
        <v>1565</v>
      </c>
      <c r="B735" s="111">
        <v>2</v>
      </c>
      <c r="C735" s="115">
        <v>0.0004762469836194851</v>
      </c>
      <c r="D735" s="111" t="s">
        <v>1990</v>
      </c>
      <c r="E735" s="111" t="b">
        <v>0</v>
      </c>
      <c r="F735" s="111" t="b">
        <v>0</v>
      </c>
      <c r="G735" s="111" t="b">
        <v>0</v>
      </c>
    </row>
    <row r="736" spans="1:7" ht="15">
      <c r="A736" s="113" t="s">
        <v>1566</v>
      </c>
      <c r="B736" s="111">
        <v>2</v>
      </c>
      <c r="C736" s="115">
        <v>0.0004762469836194851</v>
      </c>
      <c r="D736" s="111" t="s">
        <v>1990</v>
      </c>
      <c r="E736" s="111" t="b">
        <v>0</v>
      </c>
      <c r="F736" s="111" t="b">
        <v>0</v>
      </c>
      <c r="G736" s="111" t="b">
        <v>0</v>
      </c>
    </row>
    <row r="737" spans="1:7" ht="15">
      <c r="A737" s="113" t="s">
        <v>1567</v>
      </c>
      <c r="B737" s="111">
        <v>2</v>
      </c>
      <c r="C737" s="115">
        <v>0.0004762469836194851</v>
      </c>
      <c r="D737" s="111" t="s">
        <v>1990</v>
      </c>
      <c r="E737" s="111" t="b">
        <v>0</v>
      </c>
      <c r="F737" s="111" t="b">
        <v>0</v>
      </c>
      <c r="G737" s="111" t="b">
        <v>0</v>
      </c>
    </row>
    <row r="738" spans="1:7" ht="15">
      <c r="A738" s="113" t="s">
        <v>1568</v>
      </c>
      <c r="B738" s="111">
        <v>2</v>
      </c>
      <c r="C738" s="115">
        <v>0.0004762469836194851</v>
      </c>
      <c r="D738" s="111" t="s">
        <v>1990</v>
      </c>
      <c r="E738" s="111" t="b">
        <v>0</v>
      </c>
      <c r="F738" s="111" t="b">
        <v>0</v>
      </c>
      <c r="G738" s="111" t="b">
        <v>0</v>
      </c>
    </row>
    <row r="739" spans="1:7" ht="15">
      <c r="A739" s="113" t="s">
        <v>1569</v>
      </c>
      <c r="B739" s="111">
        <v>2</v>
      </c>
      <c r="C739" s="115">
        <v>0.0004762469836194851</v>
      </c>
      <c r="D739" s="111" t="s">
        <v>1990</v>
      </c>
      <c r="E739" s="111" t="b">
        <v>0</v>
      </c>
      <c r="F739" s="111" t="b">
        <v>0</v>
      </c>
      <c r="G739" s="111" t="b">
        <v>0</v>
      </c>
    </row>
    <row r="740" spans="1:7" ht="15">
      <c r="A740" s="113" t="s">
        <v>1570</v>
      </c>
      <c r="B740" s="111">
        <v>2</v>
      </c>
      <c r="C740" s="115">
        <v>0.0004762469836194851</v>
      </c>
      <c r="D740" s="111" t="s">
        <v>1990</v>
      </c>
      <c r="E740" s="111" t="b">
        <v>0</v>
      </c>
      <c r="F740" s="111" t="b">
        <v>0</v>
      </c>
      <c r="G740" s="111" t="b">
        <v>0</v>
      </c>
    </row>
    <row r="741" spans="1:7" ht="15">
      <c r="A741" s="113" t="s">
        <v>1571</v>
      </c>
      <c r="B741" s="111">
        <v>2</v>
      </c>
      <c r="C741" s="115">
        <v>0.0004762469836194851</v>
      </c>
      <c r="D741" s="111" t="s">
        <v>1990</v>
      </c>
      <c r="E741" s="111" t="b">
        <v>0</v>
      </c>
      <c r="F741" s="111" t="b">
        <v>0</v>
      </c>
      <c r="G741" s="111" t="b">
        <v>0</v>
      </c>
    </row>
    <row r="742" spans="1:7" ht="15">
      <c r="A742" s="113" t="s">
        <v>1572</v>
      </c>
      <c r="B742" s="111">
        <v>2</v>
      </c>
      <c r="C742" s="115">
        <v>0.0004762469836194851</v>
      </c>
      <c r="D742" s="111" t="s">
        <v>1990</v>
      </c>
      <c r="E742" s="111" t="b">
        <v>0</v>
      </c>
      <c r="F742" s="111" t="b">
        <v>0</v>
      </c>
      <c r="G742" s="111" t="b">
        <v>0</v>
      </c>
    </row>
    <row r="743" spans="1:7" ht="15">
      <c r="A743" s="113" t="s">
        <v>1573</v>
      </c>
      <c r="B743" s="111">
        <v>2</v>
      </c>
      <c r="C743" s="115">
        <v>0.0004762469836194851</v>
      </c>
      <c r="D743" s="111" t="s">
        <v>1990</v>
      </c>
      <c r="E743" s="111" t="b">
        <v>0</v>
      </c>
      <c r="F743" s="111" t="b">
        <v>0</v>
      </c>
      <c r="G743" s="111" t="b">
        <v>0</v>
      </c>
    </row>
    <row r="744" spans="1:7" ht="15">
      <c r="A744" s="113" t="s">
        <v>1574</v>
      </c>
      <c r="B744" s="111">
        <v>2</v>
      </c>
      <c r="C744" s="115">
        <v>0.0004762469836194851</v>
      </c>
      <c r="D744" s="111" t="s">
        <v>1990</v>
      </c>
      <c r="E744" s="111" t="b">
        <v>0</v>
      </c>
      <c r="F744" s="111" t="b">
        <v>1</v>
      </c>
      <c r="G744" s="111" t="b">
        <v>0</v>
      </c>
    </row>
    <row r="745" spans="1:7" ht="15">
      <c r="A745" s="113" t="s">
        <v>1575</v>
      </c>
      <c r="B745" s="111">
        <v>2</v>
      </c>
      <c r="C745" s="115">
        <v>0.0004762469836194851</v>
      </c>
      <c r="D745" s="111" t="s">
        <v>1990</v>
      </c>
      <c r="E745" s="111" t="b">
        <v>0</v>
      </c>
      <c r="F745" s="111" t="b">
        <v>0</v>
      </c>
      <c r="G745" s="111" t="b">
        <v>0</v>
      </c>
    </row>
    <row r="746" spans="1:7" ht="15">
      <c r="A746" s="113" t="s">
        <v>1576</v>
      </c>
      <c r="B746" s="111">
        <v>2</v>
      </c>
      <c r="C746" s="115">
        <v>0.0004762469836194851</v>
      </c>
      <c r="D746" s="111" t="s">
        <v>1990</v>
      </c>
      <c r="E746" s="111" t="b">
        <v>0</v>
      </c>
      <c r="F746" s="111" t="b">
        <v>0</v>
      </c>
      <c r="G746" s="111" t="b">
        <v>0</v>
      </c>
    </row>
    <row r="747" spans="1:7" ht="15">
      <c r="A747" s="113" t="s">
        <v>1577</v>
      </c>
      <c r="B747" s="111">
        <v>2</v>
      </c>
      <c r="C747" s="115">
        <v>0.000558811436626611</v>
      </c>
      <c r="D747" s="111" t="s">
        <v>1990</v>
      </c>
      <c r="E747" s="111" t="b">
        <v>0</v>
      </c>
      <c r="F747" s="111" t="b">
        <v>0</v>
      </c>
      <c r="G747" s="111" t="b">
        <v>0</v>
      </c>
    </row>
    <row r="748" spans="1:7" ht="15">
      <c r="A748" s="113" t="s">
        <v>1578</v>
      </c>
      <c r="B748" s="111">
        <v>2</v>
      </c>
      <c r="C748" s="115">
        <v>0.0004762469836194851</v>
      </c>
      <c r="D748" s="111" t="s">
        <v>1990</v>
      </c>
      <c r="E748" s="111" t="b">
        <v>0</v>
      </c>
      <c r="F748" s="111" t="b">
        <v>0</v>
      </c>
      <c r="G748" s="111" t="b">
        <v>0</v>
      </c>
    </row>
    <row r="749" spans="1:7" ht="15">
      <c r="A749" s="113" t="s">
        <v>1579</v>
      </c>
      <c r="B749" s="111">
        <v>2</v>
      </c>
      <c r="C749" s="115">
        <v>0.0004762469836194851</v>
      </c>
      <c r="D749" s="111" t="s">
        <v>1990</v>
      </c>
      <c r="E749" s="111" t="b">
        <v>0</v>
      </c>
      <c r="F749" s="111" t="b">
        <v>0</v>
      </c>
      <c r="G749" s="111" t="b">
        <v>0</v>
      </c>
    </row>
    <row r="750" spans="1:7" ht="15">
      <c r="A750" s="113" t="s">
        <v>1580</v>
      </c>
      <c r="B750" s="111">
        <v>2</v>
      </c>
      <c r="C750" s="115">
        <v>0.0004762469836194851</v>
      </c>
      <c r="D750" s="111" t="s">
        <v>1990</v>
      </c>
      <c r="E750" s="111" t="b">
        <v>0</v>
      </c>
      <c r="F750" s="111" t="b">
        <v>0</v>
      </c>
      <c r="G750" s="111" t="b">
        <v>0</v>
      </c>
    </row>
    <row r="751" spans="1:7" ht="15">
      <c r="A751" s="113" t="s">
        <v>1581</v>
      </c>
      <c r="B751" s="111">
        <v>2</v>
      </c>
      <c r="C751" s="115">
        <v>0.0004762469836194851</v>
      </c>
      <c r="D751" s="111" t="s">
        <v>1990</v>
      </c>
      <c r="E751" s="111" t="b">
        <v>0</v>
      </c>
      <c r="F751" s="111" t="b">
        <v>0</v>
      </c>
      <c r="G751" s="111" t="b">
        <v>0</v>
      </c>
    </row>
    <row r="752" spans="1:7" ht="15">
      <c r="A752" s="113" t="s">
        <v>1582</v>
      </c>
      <c r="B752" s="111">
        <v>2</v>
      </c>
      <c r="C752" s="115">
        <v>0.0004762469836194851</v>
      </c>
      <c r="D752" s="111" t="s">
        <v>1990</v>
      </c>
      <c r="E752" s="111" t="b">
        <v>0</v>
      </c>
      <c r="F752" s="111" t="b">
        <v>0</v>
      </c>
      <c r="G752" s="111" t="b">
        <v>0</v>
      </c>
    </row>
    <row r="753" spans="1:7" ht="15">
      <c r="A753" s="113" t="s">
        <v>1583</v>
      </c>
      <c r="B753" s="111">
        <v>2</v>
      </c>
      <c r="C753" s="115">
        <v>0.0004762469836194851</v>
      </c>
      <c r="D753" s="111" t="s">
        <v>1990</v>
      </c>
      <c r="E753" s="111" t="b">
        <v>0</v>
      </c>
      <c r="F753" s="111" t="b">
        <v>0</v>
      </c>
      <c r="G753" s="111" t="b">
        <v>0</v>
      </c>
    </row>
    <row r="754" spans="1:7" ht="15">
      <c r="A754" s="113" t="s">
        <v>1584</v>
      </c>
      <c r="B754" s="111">
        <v>2</v>
      </c>
      <c r="C754" s="115">
        <v>0.0004762469836194851</v>
      </c>
      <c r="D754" s="111" t="s">
        <v>1990</v>
      </c>
      <c r="E754" s="111" t="b">
        <v>1</v>
      </c>
      <c r="F754" s="111" t="b">
        <v>0</v>
      </c>
      <c r="G754" s="111" t="b">
        <v>0</v>
      </c>
    </row>
    <row r="755" spans="1:7" ht="15">
      <c r="A755" s="113" t="s">
        <v>1585</v>
      </c>
      <c r="B755" s="111">
        <v>2</v>
      </c>
      <c r="C755" s="115">
        <v>0.0004762469836194851</v>
      </c>
      <c r="D755" s="111" t="s">
        <v>1990</v>
      </c>
      <c r="E755" s="111" t="b">
        <v>0</v>
      </c>
      <c r="F755" s="111" t="b">
        <v>0</v>
      </c>
      <c r="G755" s="111" t="b">
        <v>0</v>
      </c>
    </row>
    <row r="756" spans="1:7" ht="15">
      <c r="A756" s="113" t="s">
        <v>1586</v>
      </c>
      <c r="B756" s="111">
        <v>2</v>
      </c>
      <c r="C756" s="115">
        <v>0.0004762469836194851</v>
      </c>
      <c r="D756" s="111" t="s">
        <v>1990</v>
      </c>
      <c r="E756" s="111" t="b">
        <v>0</v>
      </c>
      <c r="F756" s="111" t="b">
        <v>0</v>
      </c>
      <c r="G756" s="111" t="b">
        <v>0</v>
      </c>
    </row>
    <row r="757" spans="1:7" ht="15">
      <c r="A757" s="113" t="s">
        <v>1587</v>
      </c>
      <c r="B757" s="111">
        <v>2</v>
      </c>
      <c r="C757" s="115">
        <v>0.0004762469836194851</v>
      </c>
      <c r="D757" s="111" t="s">
        <v>1990</v>
      </c>
      <c r="E757" s="111" t="b">
        <v>0</v>
      </c>
      <c r="F757" s="111" t="b">
        <v>0</v>
      </c>
      <c r="G757" s="111" t="b">
        <v>0</v>
      </c>
    </row>
    <row r="758" spans="1:7" ht="15">
      <c r="A758" s="113" t="s">
        <v>1588</v>
      </c>
      <c r="B758" s="111">
        <v>2</v>
      </c>
      <c r="C758" s="115">
        <v>0.000558811436626611</v>
      </c>
      <c r="D758" s="111" t="s">
        <v>1990</v>
      </c>
      <c r="E758" s="111" t="b">
        <v>0</v>
      </c>
      <c r="F758" s="111" t="b">
        <v>0</v>
      </c>
      <c r="G758" s="111" t="b">
        <v>0</v>
      </c>
    </row>
    <row r="759" spans="1:7" ht="15">
      <c r="A759" s="113" t="s">
        <v>1589</v>
      </c>
      <c r="B759" s="111">
        <v>2</v>
      </c>
      <c r="C759" s="115">
        <v>0.0004762469836194851</v>
      </c>
      <c r="D759" s="111" t="s">
        <v>1990</v>
      </c>
      <c r="E759" s="111" t="b">
        <v>1</v>
      </c>
      <c r="F759" s="111" t="b">
        <v>0</v>
      </c>
      <c r="G759" s="111" t="b">
        <v>0</v>
      </c>
    </row>
    <row r="760" spans="1:7" ht="15">
      <c r="A760" s="113" t="s">
        <v>1590</v>
      </c>
      <c r="B760" s="111">
        <v>2</v>
      </c>
      <c r="C760" s="115">
        <v>0.0004762469836194851</v>
      </c>
      <c r="D760" s="111" t="s">
        <v>1990</v>
      </c>
      <c r="E760" s="111" t="b">
        <v>0</v>
      </c>
      <c r="F760" s="111" t="b">
        <v>0</v>
      </c>
      <c r="G760" s="111" t="b">
        <v>0</v>
      </c>
    </row>
    <row r="761" spans="1:7" ht="15">
      <c r="A761" s="113" t="s">
        <v>1591</v>
      </c>
      <c r="B761" s="111">
        <v>2</v>
      </c>
      <c r="C761" s="115">
        <v>0.000558811436626611</v>
      </c>
      <c r="D761" s="111" t="s">
        <v>1990</v>
      </c>
      <c r="E761" s="111" t="b">
        <v>0</v>
      </c>
      <c r="F761" s="111" t="b">
        <v>0</v>
      </c>
      <c r="G761" s="111" t="b">
        <v>0</v>
      </c>
    </row>
    <row r="762" spans="1:7" ht="15">
      <c r="A762" s="113" t="s">
        <v>1592</v>
      </c>
      <c r="B762" s="111">
        <v>2</v>
      </c>
      <c r="C762" s="115">
        <v>0.0004762469836194851</v>
      </c>
      <c r="D762" s="111" t="s">
        <v>1990</v>
      </c>
      <c r="E762" s="111" t="b">
        <v>0</v>
      </c>
      <c r="F762" s="111" t="b">
        <v>0</v>
      </c>
      <c r="G762" s="111" t="b">
        <v>0</v>
      </c>
    </row>
    <row r="763" spans="1:7" ht="15">
      <c r="A763" s="113" t="s">
        <v>1593</v>
      </c>
      <c r="B763" s="111">
        <v>2</v>
      </c>
      <c r="C763" s="115">
        <v>0.0004762469836194851</v>
      </c>
      <c r="D763" s="111" t="s">
        <v>1990</v>
      </c>
      <c r="E763" s="111" t="b">
        <v>0</v>
      </c>
      <c r="F763" s="111" t="b">
        <v>0</v>
      </c>
      <c r="G763" s="111" t="b">
        <v>0</v>
      </c>
    </row>
    <row r="764" spans="1:7" ht="15">
      <c r="A764" s="113" t="s">
        <v>1594</v>
      </c>
      <c r="B764" s="111">
        <v>2</v>
      </c>
      <c r="C764" s="115">
        <v>0.0004762469836194851</v>
      </c>
      <c r="D764" s="111" t="s">
        <v>1990</v>
      </c>
      <c r="E764" s="111" t="b">
        <v>0</v>
      </c>
      <c r="F764" s="111" t="b">
        <v>0</v>
      </c>
      <c r="G764" s="111" t="b">
        <v>0</v>
      </c>
    </row>
    <row r="765" spans="1:7" ht="15">
      <c r="A765" s="113" t="s">
        <v>1595</v>
      </c>
      <c r="B765" s="111">
        <v>2</v>
      </c>
      <c r="C765" s="115">
        <v>0.0004762469836194851</v>
      </c>
      <c r="D765" s="111" t="s">
        <v>1990</v>
      </c>
      <c r="E765" s="111" t="b">
        <v>0</v>
      </c>
      <c r="F765" s="111" t="b">
        <v>0</v>
      </c>
      <c r="G765" s="111" t="b">
        <v>0</v>
      </c>
    </row>
    <row r="766" spans="1:7" ht="15">
      <c r="A766" s="113" t="s">
        <v>1596</v>
      </c>
      <c r="B766" s="111">
        <v>2</v>
      </c>
      <c r="C766" s="115">
        <v>0.0004762469836194851</v>
      </c>
      <c r="D766" s="111" t="s">
        <v>1990</v>
      </c>
      <c r="E766" s="111" t="b">
        <v>0</v>
      </c>
      <c r="F766" s="111" t="b">
        <v>0</v>
      </c>
      <c r="G766" s="111" t="b">
        <v>0</v>
      </c>
    </row>
    <row r="767" spans="1:7" ht="15">
      <c r="A767" s="113" t="s">
        <v>1597</v>
      </c>
      <c r="B767" s="111">
        <v>2</v>
      </c>
      <c r="C767" s="115">
        <v>0.0004762469836194851</v>
      </c>
      <c r="D767" s="111" t="s">
        <v>1990</v>
      </c>
      <c r="E767" s="111" t="b">
        <v>0</v>
      </c>
      <c r="F767" s="111" t="b">
        <v>0</v>
      </c>
      <c r="G767" s="111" t="b">
        <v>0</v>
      </c>
    </row>
    <row r="768" spans="1:7" ht="15">
      <c r="A768" s="113" t="s">
        <v>1598</v>
      </c>
      <c r="B768" s="111">
        <v>2</v>
      </c>
      <c r="C768" s="115">
        <v>0.0004762469836194851</v>
      </c>
      <c r="D768" s="111" t="s">
        <v>1990</v>
      </c>
      <c r="E768" s="111" t="b">
        <v>0</v>
      </c>
      <c r="F768" s="111" t="b">
        <v>0</v>
      </c>
      <c r="G768" s="111" t="b">
        <v>0</v>
      </c>
    </row>
    <row r="769" spans="1:7" ht="15">
      <c r="A769" s="113" t="s">
        <v>1599</v>
      </c>
      <c r="B769" s="111">
        <v>2</v>
      </c>
      <c r="C769" s="115">
        <v>0.0004762469836194851</v>
      </c>
      <c r="D769" s="111" t="s">
        <v>1990</v>
      </c>
      <c r="E769" s="111" t="b">
        <v>0</v>
      </c>
      <c r="F769" s="111" t="b">
        <v>1</v>
      </c>
      <c r="G769" s="111" t="b">
        <v>0</v>
      </c>
    </row>
    <row r="770" spans="1:7" ht="15">
      <c r="A770" s="113" t="s">
        <v>1600</v>
      </c>
      <c r="B770" s="111">
        <v>2</v>
      </c>
      <c r="C770" s="115">
        <v>0.0004762469836194851</v>
      </c>
      <c r="D770" s="111" t="s">
        <v>1990</v>
      </c>
      <c r="E770" s="111" t="b">
        <v>0</v>
      </c>
      <c r="F770" s="111" t="b">
        <v>0</v>
      </c>
      <c r="G770" s="111" t="b">
        <v>0</v>
      </c>
    </row>
    <row r="771" spans="1:7" ht="15">
      <c r="A771" s="113" t="s">
        <v>1601</v>
      </c>
      <c r="B771" s="111">
        <v>2</v>
      </c>
      <c r="C771" s="115">
        <v>0.0004762469836194851</v>
      </c>
      <c r="D771" s="111" t="s">
        <v>1990</v>
      </c>
      <c r="E771" s="111" t="b">
        <v>0</v>
      </c>
      <c r="F771" s="111" t="b">
        <v>0</v>
      </c>
      <c r="G771" s="111" t="b">
        <v>0</v>
      </c>
    </row>
    <row r="772" spans="1:7" ht="15">
      <c r="A772" s="113" t="s">
        <v>1602</v>
      </c>
      <c r="B772" s="111">
        <v>2</v>
      </c>
      <c r="C772" s="115">
        <v>0.0004762469836194851</v>
      </c>
      <c r="D772" s="111" t="s">
        <v>1990</v>
      </c>
      <c r="E772" s="111" t="b">
        <v>0</v>
      </c>
      <c r="F772" s="111" t="b">
        <v>0</v>
      </c>
      <c r="G772" s="111" t="b">
        <v>0</v>
      </c>
    </row>
    <row r="773" spans="1:7" ht="15">
      <c r="A773" s="113" t="s">
        <v>1603</v>
      </c>
      <c r="B773" s="111">
        <v>2</v>
      </c>
      <c r="C773" s="115">
        <v>0.000558811436626611</v>
      </c>
      <c r="D773" s="111" t="s">
        <v>1990</v>
      </c>
      <c r="E773" s="111" t="b">
        <v>0</v>
      </c>
      <c r="F773" s="111" t="b">
        <v>0</v>
      </c>
      <c r="G773" s="111" t="b">
        <v>0</v>
      </c>
    </row>
    <row r="774" spans="1:7" ht="15">
      <c r="A774" s="113" t="s">
        <v>1604</v>
      </c>
      <c r="B774" s="111">
        <v>2</v>
      </c>
      <c r="C774" s="115">
        <v>0.0004762469836194851</v>
      </c>
      <c r="D774" s="111" t="s">
        <v>1990</v>
      </c>
      <c r="E774" s="111" t="b">
        <v>1</v>
      </c>
      <c r="F774" s="111" t="b">
        <v>0</v>
      </c>
      <c r="G774" s="111" t="b">
        <v>0</v>
      </c>
    </row>
    <row r="775" spans="1:7" ht="15">
      <c r="A775" s="113" t="s">
        <v>1605</v>
      </c>
      <c r="B775" s="111">
        <v>2</v>
      </c>
      <c r="C775" s="115">
        <v>0.0004762469836194851</v>
      </c>
      <c r="D775" s="111" t="s">
        <v>1990</v>
      </c>
      <c r="E775" s="111" t="b">
        <v>0</v>
      </c>
      <c r="F775" s="111" t="b">
        <v>0</v>
      </c>
      <c r="G775" s="111" t="b">
        <v>0</v>
      </c>
    </row>
    <row r="776" spans="1:7" ht="15">
      <c r="A776" s="113" t="s">
        <v>1606</v>
      </c>
      <c r="B776" s="111">
        <v>2</v>
      </c>
      <c r="C776" s="115">
        <v>0.0004762469836194851</v>
      </c>
      <c r="D776" s="111" t="s">
        <v>1990</v>
      </c>
      <c r="E776" s="111" t="b">
        <v>0</v>
      </c>
      <c r="F776" s="111" t="b">
        <v>0</v>
      </c>
      <c r="G776" s="111" t="b">
        <v>0</v>
      </c>
    </row>
    <row r="777" spans="1:7" ht="15">
      <c r="A777" s="113" t="s">
        <v>1607</v>
      </c>
      <c r="B777" s="111">
        <v>2</v>
      </c>
      <c r="C777" s="115">
        <v>0.0004762469836194851</v>
      </c>
      <c r="D777" s="111" t="s">
        <v>1990</v>
      </c>
      <c r="E777" s="111" t="b">
        <v>0</v>
      </c>
      <c r="F777" s="111" t="b">
        <v>0</v>
      </c>
      <c r="G777" s="111" t="b">
        <v>0</v>
      </c>
    </row>
    <row r="778" spans="1:7" ht="15">
      <c r="A778" s="113" t="s">
        <v>1608</v>
      </c>
      <c r="B778" s="111">
        <v>2</v>
      </c>
      <c r="C778" s="115">
        <v>0.000558811436626611</v>
      </c>
      <c r="D778" s="111" t="s">
        <v>1990</v>
      </c>
      <c r="E778" s="111" t="b">
        <v>0</v>
      </c>
      <c r="F778" s="111" t="b">
        <v>0</v>
      </c>
      <c r="G778" s="111" t="b">
        <v>0</v>
      </c>
    </row>
    <row r="779" spans="1:7" ht="15">
      <c r="A779" s="113" t="s">
        <v>1609</v>
      </c>
      <c r="B779" s="111">
        <v>2</v>
      </c>
      <c r="C779" s="115">
        <v>0.0004762469836194851</v>
      </c>
      <c r="D779" s="111" t="s">
        <v>1990</v>
      </c>
      <c r="E779" s="111" t="b">
        <v>0</v>
      </c>
      <c r="F779" s="111" t="b">
        <v>0</v>
      </c>
      <c r="G779" s="111" t="b">
        <v>0</v>
      </c>
    </row>
    <row r="780" spans="1:7" ht="15">
      <c r="A780" s="113" t="s">
        <v>1610</v>
      </c>
      <c r="B780" s="111">
        <v>2</v>
      </c>
      <c r="C780" s="115">
        <v>0.0004762469836194851</v>
      </c>
      <c r="D780" s="111" t="s">
        <v>1990</v>
      </c>
      <c r="E780" s="111" t="b">
        <v>0</v>
      </c>
      <c r="F780" s="111" t="b">
        <v>0</v>
      </c>
      <c r="G780" s="111" t="b">
        <v>0</v>
      </c>
    </row>
    <row r="781" spans="1:7" ht="15">
      <c r="A781" s="113" t="s">
        <v>1611</v>
      </c>
      <c r="B781" s="111">
        <v>2</v>
      </c>
      <c r="C781" s="115">
        <v>0.000558811436626611</v>
      </c>
      <c r="D781" s="111" t="s">
        <v>1990</v>
      </c>
      <c r="E781" s="111" t="b">
        <v>0</v>
      </c>
      <c r="F781" s="111" t="b">
        <v>0</v>
      </c>
      <c r="G781" s="111" t="b">
        <v>0</v>
      </c>
    </row>
    <row r="782" spans="1:7" ht="15">
      <c r="A782" s="113" t="s">
        <v>1612</v>
      </c>
      <c r="B782" s="111">
        <v>2</v>
      </c>
      <c r="C782" s="115">
        <v>0.000558811436626611</v>
      </c>
      <c r="D782" s="111" t="s">
        <v>1990</v>
      </c>
      <c r="E782" s="111" t="b">
        <v>0</v>
      </c>
      <c r="F782" s="111" t="b">
        <v>0</v>
      </c>
      <c r="G782" s="111" t="b">
        <v>0</v>
      </c>
    </row>
    <row r="783" spans="1:7" ht="15">
      <c r="A783" s="113" t="s">
        <v>1613</v>
      </c>
      <c r="B783" s="111">
        <v>2</v>
      </c>
      <c r="C783" s="115">
        <v>0.0004762469836194851</v>
      </c>
      <c r="D783" s="111" t="s">
        <v>1990</v>
      </c>
      <c r="E783" s="111" t="b">
        <v>0</v>
      </c>
      <c r="F783" s="111" t="b">
        <v>0</v>
      </c>
      <c r="G783" s="111" t="b">
        <v>0</v>
      </c>
    </row>
    <row r="784" spans="1:7" ht="15">
      <c r="A784" s="113" t="s">
        <v>1614</v>
      </c>
      <c r="B784" s="111">
        <v>2</v>
      </c>
      <c r="C784" s="115">
        <v>0.000558811436626611</v>
      </c>
      <c r="D784" s="111" t="s">
        <v>1990</v>
      </c>
      <c r="E784" s="111" t="b">
        <v>0</v>
      </c>
      <c r="F784" s="111" t="b">
        <v>0</v>
      </c>
      <c r="G784" s="111" t="b">
        <v>0</v>
      </c>
    </row>
    <row r="785" spans="1:7" ht="15">
      <c r="A785" s="113" t="s">
        <v>1615</v>
      </c>
      <c r="B785" s="111">
        <v>2</v>
      </c>
      <c r="C785" s="115">
        <v>0.000558811436626611</v>
      </c>
      <c r="D785" s="111" t="s">
        <v>1990</v>
      </c>
      <c r="E785" s="111" t="b">
        <v>0</v>
      </c>
      <c r="F785" s="111" t="b">
        <v>0</v>
      </c>
      <c r="G785" s="111" t="b">
        <v>0</v>
      </c>
    </row>
    <row r="786" spans="1:7" ht="15">
      <c r="A786" s="113" t="s">
        <v>1616</v>
      </c>
      <c r="B786" s="111">
        <v>2</v>
      </c>
      <c r="C786" s="115">
        <v>0.0004762469836194851</v>
      </c>
      <c r="D786" s="111" t="s">
        <v>1990</v>
      </c>
      <c r="E786" s="111" t="b">
        <v>0</v>
      </c>
      <c r="F786" s="111" t="b">
        <v>1</v>
      </c>
      <c r="G786" s="111" t="b">
        <v>0</v>
      </c>
    </row>
    <row r="787" spans="1:7" ht="15">
      <c r="A787" s="113" t="s">
        <v>1617</v>
      </c>
      <c r="B787" s="111">
        <v>2</v>
      </c>
      <c r="C787" s="115">
        <v>0.0004762469836194851</v>
      </c>
      <c r="D787" s="111" t="s">
        <v>1990</v>
      </c>
      <c r="E787" s="111" t="b">
        <v>0</v>
      </c>
      <c r="F787" s="111" t="b">
        <v>1</v>
      </c>
      <c r="G787" s="111" t="b">
        <v>0</v>
      </c>
    </row>
    <row r="788" spans="1:7" ht="15">
      <c r="A788" s="113" t="s">
        <v>1618</v>
      </c>
      <c r="B788" s="111">
        <v>2</v>
      </c>
      <c r="C788" s="115">
        <v>0.000558811436626611</v>
      </c>
      <c r="D788" s="111" t="s">
        <v>1990</v>
      </c>
      <c r="E788" s="111" t="b">
        <v>0</v>
      </c>
      <c r="F788" s="111" t="b">
        <v>0</v>
      </c>
      <c r="G788" s="111" t="b">
        <v>0</v>
      </c>
    </row>
    <row r="789" spans="1:7" ht="15">
      <c r="A789" s="113" t="s">
        <v>1619</v>
      </c>
      <c r="B789" s="111">
        <v>2</v>
      </c>
      <c r="C789" s="115">
        <v>0.000558811436626611</v>
      </c>
      <c r="D789" s="111" t="s">
        <v>1990</v>
      </c>
      <c r="E789" s="111" t="b">
        <v>0</v>
      </c>
      <c r="F789" s="111" t="b">
        <v>0</v>
      </c>
      <c r="G789" s="111" t="b">
        <v>0</v>
      </c>
    </row>
    <row r="790" spans="1:7" ht="15">
      <c r="A790" s="113" t="s">
        <v>1620</v>
      </c>
      <c r="B790" s="111">
        <v>2</v>
      </c>
      <c r="C790" s="115">
        <v>0.000558811436626611</v>
      </c>
      <c r="D790" s="111" t="s">
        <v>1990</v>
      </c>
      <c r="E790" s="111" t="b">
        <v>0</v>
      </c>
      <c r="F790" s="111" t="b">
        <v>0</v>
      </c>
      <c r="G790" s="111" t="b">
        <v>0</v>
      </c>
    </row>
    <row r="791" spans="1:7" ht="15">
      <c r="A791" s="113" t="s">
        <v>1621</v>
      </c>
      <c r="B791" s="111">
        <v>2</v>
      </c>
      <c r="C791" s="115">
        <v>0.0004762469836194851</v>
      </c>
      <c r="D791" s="111" t="s">
        <v>1990</v>
      </c>
      <c r="E791" s="111" t="b">
        <v>0</v>
      </c>
      <c r="F791" s="111" t="b">
        <v>0</v>
      </c>
      <c r="G791" s="111" t="b">
        <v>0</v>
      </c>
    </row>
    <row r="792" spans="1:7" ht="15">
      <c r="A792" s="113" t="s">
        <v>1622</v>
      </c>
      <c r="B792" s="111">
        <v>2</v>
      </c>
      <c r="C792" s="115">
        <v>0.0004762469836194851</v>
      </c>
      <c r="D792" s="111" t="s">
        <v>1990</v>
      </c>
      <c r="E792" s="111" t="b">
        <v>0</v>
      </c>
      <c r="F792" s="111" t="b">
        <v>0</v>
      </c>
      <c r="G792" s="111" t="b">
        <v>0</v>
      </c>
    </row>
    <row r="793" spans="1:7" ht="15">
      <c r="A793" s="113" t="s">
        <v>1623</v>
      </c>
      <c r="B793" s="111">
        <v>2</v>
      </c>
      <c r="C793" s="115">
        <v>0.0004762469836194851</v>
      </c>
      <c r="D793" s="111" t="s">
        <v>1990</v>
      </c>
      <c r="E793" s="111" t="b">
        <v>0</v>
      </c>
      <c r="F793" s="111" t="b">
        <v>0</v>
      </c>
      <c r="G793" s="111" t="b">
        <v>0</v>
      </c>
    </row>
    <row r="794" spans="1:7" ht="15">
      <c r="A794" s="113" t="s">
        <v>1624</v>
      </c>
      <c r="B794" s="111">
        <v>2</v>
      </c>
      <c r="C794" s="115">
        <v>0.0004762469836194851</v>
      </c>
      <c r="D794" s="111" t="s">
        <v>1990</v>
      </c>
      <c r="E794" s="111" t="b">
        <v>0</v>
      </c>
      <c r="F794" s="111" t="b">
        <v>0</v>
      </c>
      <c r="G794" s="111" t="b">
        <v>0</v>
      </c>
    </row>
    <row r="795" spans="1:7" ht="15">
      <c r="A795" s="113" t="s">
        <v>1625</v>
      </c>
      <c r="B795" s="111">
        <v>2</v>
      </c>
      <c r="C795" s="115">
        <v>0.0004762469836194851</v>
      </c>
      <c r="D795" s="111" t="s">
        <v>1990</v>
      </c>
      <c r="E795" s="111" t="b">
        <v>0</v>
      </c>
      <c r="F795" s="111" t="b">
        <v>0</v>
      </c>
      <c r="G795" s="111" t="b">
        <v>0</v>
      </c>
    </row>
    <row r="796" spans="1:7" ht="15">
      <c r="A796" s="113" t="s">
        <v>1626</v>
      </c>
      <c r="B796" s="111">
        <v>2</v>
      </c>
      <c r="C796" s="115">
        <v>0.0004762469836194851</v>
      </c>
      <c r="D796" s="111" t="s">
        <v>1990</v>
      </c>
      <c r="E796" s="111" t="b">
        <v>0</v>
      </c>
      <c r="F796" s="111" t="b">
        <v>0</v>
      </c>
      <c r="G796" s="111" t="b">
        <v>0</v>
      </c>
    </row>
    <row r="797" spans="1:7" ht="15">
      <c r="A797" s="113" t="s">
        <v>1627</v>
      </c>
      <c r="B797" s="111">
        <v>2</v>
      </c>
      <c r="C797" s="115">
        <v>0.0004762469836194851</v>
      </c>
      <c r="D797" s="111" t="s">
        <v>1990</v>
      </c>
      <c r="E797" s="111" t="b">
        <v>0</v>
      </c>
      <c r="F797" s="111" t="b">
        <v>0</v>
      </c>
      <c r="G797" s="111" t="b">
        <v>0</v>
      </c>
    </row>
    <row r="798" spans="1:7" ht="15">
      <c r="A798" s="113" t="s">
        <v>1628</v>
      </c>
      <c r="B798" s="111">
        <v>2</v>
      </c>
      <c r="C798" s="115">
        <v>0.0004762469836194851</v>
      </c>
      <c r="D798" s="111" t="s">
        <v>1990</v>
      </c>
      <c r="E798" s="111" t="b">
        <v>0</v>
      </c>
      <c r="F798" s="111" t="b">
        <v>0</v>
      </c>
      <c r="G798" s="111" t="b">
        <v>0</v>
      </c>
    </row>
    <row r="799" spans="1:7" ht="15">
      <c r="A799" s="113" t="s">
        <v>1629</v>
      </c>
      <c r="B799" s="111">
        <v>2</v>
      </c>
      <c r="C799" s="115">
        <v>0.0004762469836194851</v>
      </c>
      <c r="D799" s="111" t="s">
        <v>1990</v>
      </c>
      <c r="E799" s="111" t="b">
        <v>0</v>
      </c>
      <c r="F799" s="111" t="b">
        <v>0</v>
      </c>
      <c r="G799" s="111" t="b">
        <v>0</v>
      </c>
    </row>
    <row r="800" spans="1:7" ht="15">
      <c r="A800" s="113" t="s">
        <v>1630</v>
      </c>
      <c r="B800" s="111">
        <v>2</v>
      </c>
      <c r="C800" s="115">
        <v>0.0004762469836194851</v>
      </c>
      <c r="D800" s="111" t="s">
        <v>1990</v>
      </c>
      <c r="E800" s="111" t="b">
        <v>0</v>
      </c>
      <c r="F800" s="111" t="b">
        <v>0</v>
      </c>
      <c r="G800" s="111" t="b">
        <v>0</v>
      </c>
    </row>
    <row r="801" spans="1:7" ht="15">
      <c r="A801" s="113" t="s">
        <v>1631</v>
      </c>
      <c r="B801" s="111">
        <v>2</v>
      </c>
      <c r="C801" s="115">
        <v>0.0004762469836194851</v>
      </c>
      <c r="D801" s="111" t="s">
        <v>1990</v>
      </c>
      <c r="E801" s="111" t="b">
        <v>0</v>
      </c>
      <c r="F801" s="111" t="b">
        <v>0</v>
      </c>
      <c r="G801" s="111" t="b">
        <v>0</v>
      </c>
    </row>
    <row r="802" spans="1:7" ht="15">
      <c r="A802" s="113" t="s">
        <v>1632</v>
      </c>
      <c r="B802" s="111">
        <v>2</v>
      </c>
      <c r="C802" s="115">
        <v>0.0004762469836194851</v>
      </c>
      <c r="D802" s="111" t="s">
        <v>1990</v>
      </c>
      <c r="E802" s="111" t="b">
        <v>0</v>
      </c>
      <c r="F802" s="111" t="b">
        <v>0</v>
      </c>
      <c r="G802" s="111" t="b">
        <v>0</v>
      </c>
    </row>
    <row r="803" spans="1:7" ht="15">
      <c r="A803" s="113" t="s">
        <v>1633</v>
      </c>
      <c r="B803" s="111">
        <v>2</v>
      </c>
      <c r="C803" s="115">
        <v>0.0004762469836194851</v>
      </c>
      <c r="D803" s="111" t="s">
        <v>1990</v>
      </c>
      <c r="E803" s="111" t="b">
        <v>0</v>
      </c>
      <c r="F803" s="111" t="b">
        <v>1</v>
      </c>
      <c r="G803" s="111" t="b">
        <v>0</v>
      </c>
    </row>
    <row r="804" spans="1:7" ht="15">
      <c r="A804" s="113" t="s">
        <v>1634</v>
      </c>
      <c r="B804" s="111">
        <v>2</v>
      </c>
      <c r="C804" s="115">
        <v>0.0004762469836194851</v>
      </c>
      <c r="D804" s="111" t="s">
        <v>1990</v>
      </c>
      <c r="E804" s="111" t="b">
        <v>0</v>
      </c>
      <c r="F804" s="111" t="b">
        <v>1</v>
      </c>
      <c r="G804" s="111" t="b">
        <v>0</v>
      </c>
    </row>
    <row r="805" spans="1:7" ht="15">
      <c r="A805" s="113" t="s">
        <v>1635</v>
      </c>
      <c r="B805" s="111">
        <v>2</v>
      </c>
      <c r="C805" s="115">
        <v>0.0004762469836194851</v>
      </c>
      <c r="D805" s="111" t="s">
        <v>1990</v>
      </c>
      <c r="E805" s="111" t="b">
        <v>0</v>
      </c>
      <c r="F805" s="111" t="b">
        <v>0</v>
      </c>
      <c r="G805" s="111" t="b">
        <v>0</v>
      </c>
    </row>
    <row r="806" spans="1:7" ht="15">
      <c r="A806" s="113" t="s">
        <v>1636</v>
      </c>
      <c r="B806" s="111">
        <v>2</v>
      </c>
      <c r="C806" s="115">
        <v>0.0004762469836194851</v>
      </c>
      <c r="D806" s="111" t="s">
        <v>1990</v>
      </c>
      <c r="E806" s="111" t="b">
        <v>0</v>
      </c>
      <c r="F806" s="111" t="b">
        <v>0</v>
      </c>
      <c r="G806" s="111" t="b">
        <v>0</v>
      </c>
    </row>
    <row r="807" spans="1:7" ht="15">
      <c r="A807" s="113" t="s">
        <v>1637</v>
      </c>
      <c r="B807" s="111">
        <v>2</v>
      </c>
      <c r="C807" s="115">
        <v>0.0004762469836194851</v>
      </c>
      <c r="D807" s="111" t="s">
        <v>1990</v>
      </c>
      <c r="E807" s="111" t="b">
        <v>0</v>
      </c>
      <c r="F807" s="111" t="b">
        <v>0</v>
      </c>
      <c r="G807" s="111" t="b">
        <v>0</v>
      </c>
    </row>
    <row r="808" spans="1:7" ht="15">
      <c r="A808" s="113" t="s">
        <v>1638</v>
      </c>
      <c r="B808" s="111">
        <v>2</v>
      </c>
      <c r="C808" s="115">
        <v>0.0004762469836194851</v>
      </c>
      <c r="D808" s="111" t="s">
        <v>1990</v>
      </c>
      <c r="E808" s="111" t="b">
        <v>0</v>
      </c>
      <c r="F808" s="111" t="b">
        <v>0</v>
      </c>
      <c r="G808" s="111" t="b">
        <v>0</v>
      </c>
    </row>
    <row r="809" spans="1:7" ht="15">
      <c r="A809" s="113" t="s">
        <v>1639</v>
      </c>
      <c r="B809" s="111">
        <v>2</v>
      </c>
      <c r="C809" s="115">
        <v>0.000558811436626611</v>
      </c>
      <c r="D809" s="111" t="s">
        <v>1990</v>
      </c>
      <c r="E809" s="111" t="b">
        <v>0</v>
      </c>
      <c r="F809" s="111" t="b">
        <v>0</v>
      </c>
      <c r="G809" s="111" t="b">
        <v>0</v>
      </c>
    </row>
    <row r="810" spans="1:7" ht="15">
      <c r="A810" s="113" t="s">
        <v>1640</v>
      </c>
      <c r="B810" s="111">
        <v>2</v>
      </c>
      <c r="C810" s="115">
        <v>0.000558811436626611</v>
      </c>
      <c r="D810" s="111" t="s">
        <v>1990</v>
      </c>
      <c r="E810" s="111" t="b">
        <v>0</v>
      </c>
      <c r="F810" s="111" t="b">
        <v>0</v>
      </c>
      <c r="G810" s="111" t="b">
        <v>0</v>
      </c>
    </row>
    <row r="811" spans="1:7" ht="15">
      <c r="A811" s="113" t="s">
        <v>1641</v>
      </c>
      <c r="B811" s="111">
        <v>2</v>
      </c>
      <c r="C811" s="115">
        <v>0.000558811436626611</v>
      </c>
      <c r="D811" s="111" t="s">
        <v>1990</v>
      </c>
      <c r="E811" s="111" t="b">
        <v>0</v>
      </c>
      <c r="F811" s="111" t="b">
        <v>0</v>
      </c>
      <c r="G811" s="111" t="b">
        <v>0</v>
      </c>
    </row>
    <row r="812" spans="1:7" ht="15">
      <c r="A812" s="113" t="s">
        <v>1642</v>
      </c>
      <c r="B812" s="111">
        <v>2</v>
      </c>
      <c r="C812" s="115">
        <v>0.0004762469836194851</v>
      </c>
      <c r="D812" s="111" t="s">
        <v>1990</v>
      </c>
      <c r="E812" s="111" t="b">
        <v>0</v>
      </c>
      <c r="F812" s="111" t="b">
        <v>0</v>
      </c>
      <c r="G812" s="111" t="b">
        <v>0</v>
      </c>
    </row>
    <row r="813" spans="1:7" ht="15">
      <c r="A813" s="113" t="s">
        <v>1643</v>
      </c>
      <c r="B813" s="111">
        <v>2</v>
      </c>
      <c r="C813" s="115">
        <v>0.0004762469836194851</v>
      </c>
      <c r="D813" s="111" t="s">
        <v>1990</v>
      </c>
      <c r="E813" s="111" t="b">
        <v>0</v>
      </c>
      <c r="F813" s="111" t="b">
        <v>0</v>
      </c>
      <c r="G813" s="111" t="b">
        <v>0</v>
      </c>
    </row>
    <row r="814" spans="1:7" ht="15">
      <c r="A814" s="113" t="s">
        <v>1644</v>
      </c>
      <c r="B814" s="111">
        <v>2</v>
      </c>
      <c r="C814" s="115">
        <v>0.000558811436626611</v>
      </c>
      <c r="D814" s="111" t="s">
        <v>1990</v>
      </c>
      <c r="E814" s="111" t="b">
        <v>0</v>
      </c>
      <c r="F814" s="111" t="b">
        <v>0</v>
      </c>
      <c r="G814" s="111" t="b">
        <v>0</v>
      </c>
    </row>
    <row r="815" spans="1:7" ht="15">
      <c r="A815" s="113" t="s">
        <v>1645</v>
      </c>
      <c r="B815" s="111">
        <v>2</v>
      </c>
      <c r="C815" s="115">
        <v>0.0004762469836194851</v>
      </c>
      <c r="D815" s="111" t="s">
        <v>1990</v>
      </c>
      <c r="E815" s="111" t="b">
        <v>0</v>
      </c>
      <c r="F815" s="111" t="b">
        <v>0</v>
      </c>
      <c r="G815" s="111" t="b">
        <v>0</v>
      </c>
    </row>
    <row r="816" spans="1:7" ht="15">
      <c r="A816" s="113" t="s">
        <v>1646</v>
      </c>
      <c r="B816" s="111">
        <v>2</v>
      </c>
      <c r="C816" s="115">
        <v>0.000558811436626611</v>
      </c>
      <c r="D816" s="111" t="s">
        <v>1990</v>
      </c>
      <c r="E816" s="111" t="b">
        <v>0</v>
      </c>
      <c r="F816" s="111" t="b">
        <v>0</v>
      </c>
      <c r="G816" s="111" t="b">
        <v>0</v>
      </c>
    </row>
    <row r="817" spans="1:7" ht="15">
      <c r="A817" s="113" t="s">
        <v>1647</v>
      </c>
      <c r="B817" s="111">
        <v>2</v>
      </c>
      <c r="C817" s="115">
        <v>0.0004762469836194851</v>
      </c>
      <c r="D817" s="111" t="s">
        <v>1990</v>
      </c>
      <c r="E817" s="111" t="b">
        <v>0</v>
      </c>
      <c r="F817" s="111" t="b">
        <v>0</v>
      </c>
      <c r="G817" s="111" t="b">
        <v>0</v>
      </c>
    </row>
    <row r="818" spans="1:7" ht="15">
      <c r="A818" s="113" t="s">
        <v>1648</v>
      </c>
      <c r="B818" s="111">
        <v>2</v>
      </c>
      <c r="C818" s="115">
        <v>0.000558811436626611</v>
      </c>
      <c r="D818" s="111" t="s">
        <v>1990</v>
      </c>
      <c r="E818" s="111" t="b">
        <v>0</v>
      </c>
      <c r="F818" s="111" t="b">
        <v>0</v>
      </c>
      <c r="G818" s="111" t="b">
        <v>0</v>
      </c>
    </row>
    <row r="819" spans="1:7" ht="15">
      <c r="A819" s="113" t="s">
        <v>1649</v>
      </c>
      <c r="B819" s="111">
        <v>2</v>
      </c>
      <c r="C819" s="115">
        <v>0.000558811436626611</v>
      </c>
      <c r="D819" s="111" t="s">
        <v>1990</v>
      </c>
      <c r="E819" s="111" t="b">
        <v>0</v>
      </c>
      <c r="F819" s="111" t="b">
        <v>0</v>
      </c>
      <c r="G819" s="111" t="b">
        <v>0</v>
      </c>
    </row>
    <row r="820" spans="1:7" ht="15">
      <c r="A820" s="113" t="s">
        <v>1650</v>
      </c>
      <c r="B820" s="111">
        <v>2</v>
      </c>
      <c r="C820" s="115">
        <v>0.000558811436626611</v>
      </c>
      <c r="D820" s="111" t="s">
        <v>1990</v>
      </c>
      <c r="E820" s="111" t="b">
        <v>0</v>
      </c>
      <c r="F820" s="111" t="b">
        <v>0</v>
      </c>
      <c r="G820" s="111" t="b">
        <v>0</v>
      </c>
    </row>
    <row r="821" spans="1:7" ht="15">
      <c r="A821" s="113" t="s">
        <v>1651</v>
      </c>
      <c r="B821" s="111">
        <v>2</v>
      </c>
      <c r="C821" s="115">
        <v>0.0004762469836194851</v>
      </c>
      <c r="D821" s="111" t="s">
        <v>1990</v>
      </c>
      <c r="E821" s="111" t="b">
        <v>0</v>
      </c>
      <c r="F821" s="111" t="b">
        <v>0</v>
      </c>
      <c r="G821" s="111" t="b">
        <v>0</v>
      </c>
    </row>
    <row r="822" spans="1:7" ht="15">
      <c r="A822" s="113" t="s">
        <v>1652</v>
      </c>
      <c r="B822" s="111">
        <v>2</v>
      </c>
      <c r="C822" s="115">
        <v>0.0004762469836194851</v>
      </c>
      <c r="D822" s="111" t="s">
        <v>1990</v>
      </c>
      <c r="E822" s="111" t="b">
        <v>0</v>
      </c>
      <c r="F822" s="111" t="b">
        <v>0</v>
      </c>
      <c r="G822" s="111" t="b">
        <v>0</v>
      </c>
    </row>
    <row r="823" spans="1:7" ht="15">
      <c r="A823" s="113" t="s">
        <v>1653</v>
      </c>
      <c r="B823" s="111">
        <v>2</v>
      </c>
      <c r="C823" s="115">
        <v>0.0004762469836194851</v>
      </c>
      <c r="D823" s="111" t="s">
        <v>1990</v>
      </c>
      <c r="E823" s="111" t="b">
        <v>0</v>
      </c>
      <c r="F823" s="111" t="b">
        <v>0</v>
      </c>
      <c r="G823" s="111" t="b">
        <v>0</v>
      </c>
    </row>
    <row r="824" spans="1:7" ht="15">
      <c r="A824" s="113" t="s">
        <v>1654</v>
      </c>
      <c r="B824" s="111">
        <v>2</v>
      </c>
      <c r="C824" s="115">
        <v>0.000558811436626611</v>
      </c>
      <c r="D824" s="111" t="s">
        <v>1990</v>
      </c>
      <c r="E824" s="111" t="b">
        <v>0</v>
      </c>
      <c r="F824" s="111" t="b">
        <v>0</v>
      </c>
      <c r="G824" s="111" t="b">
        <v>0</v>
      </c>
    </row>
    <row r="825" spans="1:7" ht="15">
      <c r="A825" s="113" t="s">
        <v>1655</v>
      </c>
      <c r="B825" s="111">
        <v>2</v>
      </c>
      <c r="C825" s="115">
        <v>0.000558811436626611</v>
      </c>
      <c r="D825" s="111" t="s">
        <v>1990</v>
      </c>
      <c r="E825" s="111" t="b">
        <v>0</v>
      </c>
      <c r="F825" s="111" t="b">
        <v>0</v>
      </c>
      <c r="G825" s="111" t="b">
        <v>0</v>
      </c>
    </row>
    <row r="826" spans="1:7" ht="15">
      <c r="A826" s="113" t="s">
        <v>1656</v>
      </c>
      <c r="B826" s="111">
        <v>2</v>
      </c>
      <c r="C826" s="115">
        <v>0.0004762469836194851</v>
      </c>
      <c r="D826" s="111" t="s">
        <v>1990</v>
      </c>
      <c r="E826" s="111" t="b">
        <v>0</v>
      </c>
      <c r="F826" s="111" t="b">
        <v>0</v>
      </c>
      <c r="G826" s="111" t="b">
        <v>0</v>
      </c>
    </row>
    <row r="827" spans="1:7" ht="15">
      <c r="A827" s="113" t="s">
        <v>1657</v>
      </c>
      <c r="B827" s="111">
        <v>2</v>
      </c>
      <c r="C827" s="115">
        <v>0.000558811436626611</v>
      </c>
      <c r="D827" s="111" t="s">
        <v>1990</v>
      </c>
      <c r="E827" s="111" t="b">
        <v>0</v>
      </c>
      <c r="F827" s="111" t="b">
        <v>0</v>
      </c>
      <c r="G827" s="111" t="b">
        <v>0</v>
      </c>
    </row>
    <row r="828" spans="1:7" ht="15">
      <c r="A828" s="113" t="s">
        <v>1658</v>
      </c>
      <c r="B828" s="111">
        <v>2</v>
      </c>
      <c r="C828" s="115">
        <v>0.0004762469836194851</v>
      </c>
      <c r="D828" s="111" t="s">
        <v>1990</v>
      </c>
      <c r="E828" s="111" t="b">
        <v>0</v>
      </c>
      <c r="F828" s="111" t="b">
        <v>0</v>
      </c>
      <c r="G828" s="111" t="b">
        <v>0</v>
      </c>
    </row>
    <row r="829" spans="1:7" ht="15">
      <c r="A829" s="113" t="s">
        <v>1659</v>
      </c>
      <c r="B829" s="111">
        <v>2</v>
      </c>
      <c r="C829" s="115">
        <v>0.0004762469836194851</v>
      </c>
      <c r="D829" s="111" t="s">
        <v>1990</v>
      </c>
      <c r="E829" s="111" t="b">
        <v>0</v>
      </c>
      <c r="F829" s="111" t="b">
        <v>0</v>
      </c>
      <c r="G829" s="111" t="b">
        <v>0</v>
      </c>
    </row>
    <row r="830" spans="1:7" ht="15">
      <c r="A830" s="113" t="s">
        <v>1660</v>
      </c>
      <c r="B830" s="111">
        <v>2</v>
      </c>
      <c r="C830" s="115">
        <v>0.000558811436626611</v>
      </c>
      <c r="D830" s="111" t="s">
        <v>1990</v>
      </c>
      <c r="E830" s="111" t="b">
        <v>0</v>
      </c>
      <c r="F830" s="111" t="b">
        <v>0</v>
      </c>
      <c r="G830" s="111" t="b">
        <v>0</v>
      </c>
    </row>
    <row r="831" spans="1:7" ht="15">
      <c r="A831" s="113" t="s">
        <v>1661</v>
      </c>
      <c r="B831" s="111">
        <v>2</v>
      </c>
      <c r="C831" s="115">
        <v>0.0004762469836194851</v>
      </c>
      <c r="D831" s="111" t="s">
        <v>1990</v>
      </c>
      <c r="E831" s="111" t="b">
        <v>0</v>
      </c>
      <c r="F831" s="111" t="b">
        <v>0</v>
      </c>
      <c r="G831" s="111" t="b">
        <v>0</v>
      </c>
    </row>
    <row r="832" spans="1:7" ht="15">
      <c r="A832" s="113" t="s">
        <v>1662</v>
      </c>
      <c r="B832" s="111">
        <v>2</v>
      </c>
      <c r="C832" s="115">
        <v>0.0004762469836194851</v>
      </c>
      <c r="D832" s="111" t="s">
        <v>1990</v>
      </c>
      <c r="E832" s="111" t="b">
        <v>0</v>
      </c>
      <c r="F832" s="111" t="b">
        <v>0</v>
      </c>
      <c r="G832" s="111" t="b">
        <v>0</v>
      </c>
    </row>
    <row r="833" spans="1:7" ht="15">
      <c r="A833" s="113" t="s">
        <v>1663</v>
      </c>
      <c r="B833" s="111">
        <v>2</v>
      </c>
      <c r="C833" s="115">
        <v>0.000558811436626611</v>
      </c>
      <c r="D833" s="111" t="s">
        <v>1990</v>
      </c>
      <c r="E833" s="111" t="b">
        <v>0</v>
      </c>
      <c r="F833" s="111" t="b">
        <v>0</v>
      </c>
      <c r="G833" s="111" t="b">
        <v>0</v>
      </c>
    </row>
    <row r="834" spans="1:7" ht="15">
      <c r="A834" s="113" t="s">
        <v>1664</v>
      </c>
      <c r="B834" s="111">
        <v>2</v>
      </c>
      <c r="C834" s="115">
        <v>0.000558811436626611</v>
      </c>
      <c r="D834" s="111" t="s">
        <v>1990</v>
      </c>
      <c r="E834" s="111" t="b">
        <v>0</v>
      </c>
      <c r="F834" s="111" t="b">
        <v>0</v>
      </c>
      <c r="G834" s="111" t="b">
        <v>0</v>
      </c>
    </row>
    <row r="835" spans="1:7" ht="15">
      <c r="A835" s="113" t="s">
        <v>1665</v>
      </c>
      <c r="B835" s="111">
        <v>2</v>
      </c>
      <c r="C835" s="115">
        <v>0.000558811436626611</v>
      </c>
      <c r="D835" s="111" t="s">
        <v>1990</v>
      </c>
      <c r="E835" s="111" t="b">
        <v>0</v>
      </c>
      <c r="F835" s="111" t="b">
        <v>0</v>
      </c>
      <c r="G835" s="111" t="b">
        <v>0</v>
      </c>
    </row>
    <row r="836" spans="1:7" ht="15">
      <c r="A836" s="113" t="s">
        <v>1666</v>
      </c>
      <c r="B836" s="111">
        <v>2</v>
      </c>
      <c r="C836" s="115">
        <v>0.0004762469836194851</v>
      </c>
      <c r="D836" s="111" t="s">
        <v>1990</v>
      </c>
      <c r="E836" s="111" t="b">
        <v>0</v>
      </c>
      <c r="F836" s="111" t="b">
        <v>0</v>
      </c>
      <c r="G836" s="111" t="b">
        <v>0</v>
      </c>
    </row>
    <row r="837" spans="1:7" ht="15">
      <c r="A837" s="113" t="s">
        <v>1667</v>
      </c>
      <c r="B837" s="111">
        <v>2</v>
      </c>
      <c r="C837" s="115">
        <v>0.0004762469836194851</v>
      </c>
      <c r="D837" s="111" t="s">
        <v>1990</v>
      </c>
      <c r="E837" s="111" t="b">
        <v>0</v>
      </c>
      <c r="F837" s="111" t="b">
        <v>0</v>
      </c>
      <c r="G837" s="111" t="b">
        <v>0</v>
      </c>
    </row>
    <row r="838" spans="1:7" ht="15">
      <c r="A838" s="113" t="s">
        <v>1668</v>
      </c>
      <c r="B838" s="111">
        <v>2</v>
      </c>
      <c r="C838" s="115">
        <v>0.000558811436626611</v>
      </c>
      <c r="D838" s="111" t="s">
        <v>1990</v>
      </c>
      <c r="E838" s="111" t="b">
        <v>0</v>
      </c>
      <c r="F838" s="111" t="b">
        <v>0</v>
      </c>
      <c r="G838" s="111" t="b">
        <v>0</v>
      </c>
    </row>
    <row r="839" spans="1:7" ht="15">
      <c r="A839" s="113" t="s">
        <v>1669</v>
      </c>
      <c r="B839" s="111">
        <v>2</v>
      </c>
      <c r="C839" s="115">
        <v>0.0004762469836194851</v>
      </c>
      <c r="D839" s="111" t="s">
        <v>1990</v>
      </c>
      <c r="E839" s="111" t="b">
        <v>0</v>
      </c>
      <c r="F839" s="111" t="b">
        <v>0</v>
      </c>
      <c r="G839" s="111" t="b">
        <v>0</v>
      </c>
    </row>
    <row r="840" spans="1:7" ht="15">
      <c r="A840" s="113" t="s">
        <v>1670</v>
      </c>
      <c r="B840" s="111">
        <v>2</v>
      </c>
      <c r="C840" s="115">
        <v>0.0004762469836194851</v>
      </c>
      <c r="D840" s="111" t="s">
        <v>1990</v>
      </c>
      <c r="E840" s="111" t="b">
        <v>0</v>
      </c>
      <c r="F840" s="111" t="b">
        <v>0</v>
      </c>
      <c r="G840" s="111" t="b">
        <v>0</v>
      </c>
    </row>
    <row r="841" spans="1:7" ht="15">
      <c r="A841" s="113" t="s">
        <v>1671</v>
      </c>
      <c r="B841" s="111">
        <v>2</v>
      </c>
      <c r="C841" s="115">
        <v>0.0004762469836194851</v>
      </c>
      <c r="D841" s="111" t="s">
        <v>1990</v>
      </c>
      <c r="E841" s="111" t="b">
        <v>0</v>
      </c>
      <c r="F841" s="111" t="b">
        <v>0</v>
      </c>
      <c r="G841" s="111" t="b">
        <v>0</v>
      </c>
    </row>
    <row r="842" spans="1:7" ht="15">
      <c r="A842" s="113" t="s">
        <v>1672</v>
      </c>
      <c r="B842" s="111">
        <v>2</v>
      </c>
      <c r="C842" s="115">
        <v>0.0004762469836194851</v>
      </c>
      <c r="D842" s="111" t="s">
        <v>1990</v>
      </c>
      <c r="E842" s="111" t="b">
        <v>0</v>
      </c>
      <c r="F842" s="111" t="b">
        <v>0</v>
      </c>
      <c r="G842" s="111" t="b">
        <v>0</v>
      </c>
    </row>
    <row r="843" spans="1:7" ht="15">
      <c r="A843" s="113" t="s">
        <v>1673</v>
      </c>
      <c r="B843" s="111">
        <v>2</v>
      </c>
      <c r="C843" s="115">
        <v>0.0004762469836194851</v>
      </c>
      <c r="D843" s="111" t="s">
        <v>1990</v>
      </c>
      <c r="E843" s="111" t="b">
        <v>1</v>
      </c>
      <c r="F843" s="111" t="b">
        <v>0</v>
      </c>
      <c r="G843" s="111" t="b">
        <v>0</v>
      </c>
    </row>
    <row r="844" spans="1:7" ht="15">
      <c r="A844" s="113" t="s">
        <v>1674</v>
      </c>
      <c r="B844" s="111">
        <v>2</v>
      </c>
      <c r="C844" s="115">
        <v>0.0004762469836194851</v>
      </c>
      <c r="D844" s="111" t="s">
        <v>1990</v>
      </c>
      <c r="E844" s="111" t="b">
        <v>0</v>
      </c>
      <c r="F844" s="111" t="b">
        <v>0</v>
      </c>
      <c r="G844" s="111" t="b">
        <v>0</v>
      </c>
    </row>
    <row r="845" spans="1:7" ht="15">
      <c r="A845" s="113" t="s">
        <v>1675</v>
      </c>
      <c r="B845" s="111">
        <v>2</v>
      </c>
      <c r="C845" s="115">
        <v>0.0004762469836194851</v>
      </c>
      <c r="D845" s="111" t="s">
        <v>1990</v>
      </c>
      <c r="E845" s="111" t="b">
        <v>0</v>
      </c>
      <c r="F845" s="111" t="b">
        <v>0</v>
      </c>
      <c r="G845" s="111" t="b">
        <v>0</v>
      </c>
    </row>
    <row r="846" spans="1:7" ht="15">
      <c r="A846" s="113" t="s">
        <v>1676</v>
      </c>
      <c r="B846" s="111">
        <v>2</v>
      </c>
      <c r="C846" s="115">
        <v>0.0004762469836194851</v>
      </c>
      <c r="D846" s="111" t="s">
        <v>1990</v>
      </c>
      <c r="E846" s="111" t="b">
        <v>0</v>
      </c>
      <c r="F846" s="111" t="b">
        <v>0</v>
      </c>
      <c r="G846" s="111" t="b">
        <v>0</v>
      </c>
    </row>
    <row r="847" spans="1:7" ht="15">
      <c r="A847" s="113" t="s">
        <v>1677</v>
      </c>
      <c r="B847" s="111">
        <v>2</v>
      </c>
      <c r="C847" s="115">
        <v>0.000558811436626611</v>
      </c>
      <c r="D847" s="111" t="s">
        <v>1990</v>
      </c>
      <c r="E847" s="111" t="b">
        <v>0</v>
      </c>
      <c r="F847" s="111" t="b">
        <v>0</v>
      </c>
      <c r="G847" s="111" t="b">
        <v>0</v>
      </c>
    </row>
    <row r="848" spans="1:7" ht="15">
      <c r="A848" s="113" t="s">
        <v>1678</v>
      </c>
      <c r="B848" s="111">
        <v>2</v>
      </c>
      <c r="C848" s="115">
        <v>0.0004762469836194851</v>
      </c>
      <c r="D848" s="111" t="s">
        <v>1990</v>
      </c>
      <c r="E848" s="111" t="b">
        <v>1</v>
      </c>
      <c r="F848" s="111" t="b">
        <v>0</v>
      </c>
      <c r="G848" s="111" t="b">
        <v>0</v>
      </c>
    </row>
    <row r="849" spans="1:7" ht="15">
      <c r="A849" s="113" t="s">
        <v>1679</v>
      </c>
      <c r="B849" s="111">
        <v>2</v>
      </c>
      <c r="C849" s="115">
        <v>0.0004762469836194851</v>
      </c>
      <c r="D849" s="111" t="s">
        <v>1990</v>
      </c>
      <c r="E849" s="111" t="b">
        <v>0</v>
      </c>
      <c r="F849" s="111" t="b">
        <v>0</v>
      </c>
      <c r="G849" s="111" t="b">
        <v>0</v>
      </c>
    </row>
    <row r="850" spans="1:7" ht="15">
      <c r="A850" s="113" t="s">
        <v>1680</v>
      </c>
      <c r="B850" s="111">
        <v>2</v>
      </c>
      <c r="C850" s="115">
        <v>0.0004762469836194851</v>
      </c>
      <c r="D850" s="111" t="s">
        <v>1990</v>
      </c>
      <c r="E850" s="111" t="b">
        <v>0</v>
      </c>
      <c r="F850" s="111" t="b">
        <v>0</v>
      </c>
      <c r="G850" s="111" t="b">
        <v>0</v>
      </c>
    </row>
    <row r="851" spans="1:7" ht="15">
      <c r="A851" s="113" t="s">
        <v>1681</v>
      </c>
      <c r="B851" s="111">
        <v>2</v>
      </c>
      <c r="C851" s="115">
        <v>0.0004762469836194851</v>
      </c>
      <c r="D851" s="111" t="s">
        <v>1990</v>
      </c>
      <c r="E851" s="111" t="b">
        <v>1</v>
      </c>
      <c r="F851" s="111" t="b">
        <v>0</v>
      </c>
      <c r="G851" s="111" t="b">
        <v>0</v>
      </c>
    </row>
    <row r="852" spans="1:7" ht="15">
      <c r="A852" s="113" t="s">
        <v>1682</v>
      </c>
      <c r="B852" s="111">
        <v>2</v>
      </c>
      <c r="C852" s="115">
        <v>0.0004762469836194851</v>
      </c>
      <c r="D852" s="111" t="s">
        <v>1990</v>
      </c>
      <c r="E852" s="111" t="b">
        <v>0</v>
      </c>
      <c r="F852" s="111" t="b">
        <v>0</v>
      </c>
      <c r="G852" s="111" t="b">
        <v>0</v>
      </c>
    </row>
    <row r="853" spans="1:7" ht="15">
      <c r="A853" s="113" t="s">
        <v>1683</v>
      </c>
      <c r="B853" s="111">
        <v>2</v>
      </c>
      <c r="C853" s="115">
        <v>0.000558811436626611</v>
      </c>
      <c r="D853" s="111" t="s">
        <v>1990</v>
      </c>
      <c r="E853" s="111" t="b">
        <v>0</v>
      </c>
      <c r="F853" s="111" t="b">
        <v>0</v>
      </c>
      <c r="G853" s="111" t="b">
        <v>0</v>
      </c>
    </row>
    <row r="854" spans="1:7" ht="15">
      <c r="A854" s="113" t="s">
        <v>1684</v>
      </c>
      <c r="B854" s="111">
        <v>2</v>
      </c>
      <c r="C854" s="115">
        <v>0.0004762469836194851</v>
      </c>
      <c r="D854" s="111" t="s">
        <v>1990</v>
      </c>
      <c r="E854" s="111" t="b">
        <v>0</v>
      </c>
      <c r="F854" s="111" t="b">
        <v>0</v>
      </c>
      <c r="G854" s="111" t="b">
        <v>0</v>
      </c>
    </row>
    <row r="855" spans="1:7" ht="15">
      <c r="A855" s="113" t="s">
        <v>1685</v>
      </c>
      <c r="B855" s="111">
        <v>2</v>
      </c>
      <c r="C855" s="115">
        <v>0.0004762469836194851</v>
      </c>
      <c r="D855" s="111" t="s">
        <v>1990</v>
      </c>
      <c r="E855" s="111" t="b">
        <v>1</v>
      </c>
      <c r="F855" s="111" t="b">
        <v>0</v>
      </c>
      <c r="G855" s="111" t="b">
        <v>0</v>
      </c>
    </row>
    <row r="856" spans="1:7" ht="15">
      <c r="A856" s="113" t="s">
        <v>1686</v>
      </c>
      <c r="B856" s="111">
        <v>2</v>
      </c>
      <c r="C856" s="115">
        <v>0.0004762469836194851</v>
      </c>
      <c r="D856" s="111" t="s">
        <v>1990</v>
      </c>
      <c r="E856" s="111" t="b">
        <v>0</v>
      </c>
      <c r="F856" s="111" t="b">
        <v>0</v>
      </c>
      <c r="G856" s="111" t="b">
        <v>0</v>
      </c>
    </row>
    <row r="857" spans="1:7" ht="15">
      <c r="A857" s="113" t="s">
        <v>1687</v>
      </c>
      <c r="B857" s="111">
        <v>2</v>
      </c>
      <c r="C857" s="115">
        <v>0.0004762469836194851</v>
      </c>
      <c r="D857" s="111" t="s">
        <v>1990</v>
      </c>
      <c r="E857" s="111" t="b">
        <v>0</v>
      </c>
      <c r="F857" s="111" t="b">
        <v>0</v>
      </c>
      <c r="G857" s="111" t="b">
        <v>0</v>
      </c>
    </row>
    <row r="858" spans="1:7" ht="15">
      <c r="A858" s="113" t="s">
        <v>1688</v>
      </c>
      <c r="B858" s="111">
        <v>2</v>
      </c>
      <c r="C858" s="115">
        <v>0.0004762469836194851</v>
      </c>
      <c r="D858" s="111" t="s">
        <v>1990</v>
      </c>
      <c r="E858" s="111" t="b">
        <v>0</v>
      </c>
      <c r="F858" s="111" t="b">
        <v>0</v>
      </c>
      <c r="G858" s="111" t="b">
        <v>0</v>
      </c>
    </row>
    <row r="859" spans="1:7" ht="15">
      <c r="A859" s="113" t="s">
        <v>1689</v>
      </c>
      <c r="B859" s="111">
        <v>2</v>
      </c>
      <c r="C859" s="115">
        <v>0.0004762469836194851</v>
      </c>
      <c r="D859" s="111" t="s">
        <v>1990</v>
      </c>
      <c r="E859" s="111" t="b">
        <v>0</v>
      </c>
      <c r="F859" s="111" t="b">
        <v>0</v>
      </c>
      <c r="G859" s="111" t="b">
        <v>0</v>
      </c>
    </row>
    <row r="860" spans="1:7" ht="15">
      <c r="A860" s="113" t="s">
        <v>1690</v>
      </c>
      <c r="B860" s="111">
        <v>2</v>
      </c>
      <c r="C860" s="115">
        <v>0.000558811436626611</v>
      </c>
      <c r="D860" s="111" t="s">
        <v>1990</v>
      </c>
      <c r="E860" s="111" t="b">
        <v>0</v>
      </c>
      <c r="F860" s="111" t="b">
        <v>0</v>
      </c>
      <c r="G860" s="111" t="b">
        <v>0</v>
      </c>
    </row>
    <row r="861" spans="1:7" ht="15">
      <c r="A861" s="113" t="s">
        <v>1691</v>
      </c>
      <c r="B861" s="111">
        <v>2</v>
      </c>
      <c r="C861" s="115">
        <v>0.0004762469836194851</v>
      </c>
      <c r="D861" s="111" t="s">
        <v>1990</v>
      </c>
      <c r="E861" s="111" t="b">
        <v>0</v>
      </c>
      <c r="F861" s="111" t="b">
        <v>0</v>
      </c>
      <c r="G861" s="111" t="b">
        <v>0</v>
      </c>
    </row>
    <row r="862" spans="1:7" ht="15">
      <c r="A862" s="113" t="s">
        <v>1692</v>
      </c>
      <c r="B862" s="111">
        <v>2</v>
      </c>
      <c r="C862" s="115">
        <v>0.0004762469836194851</v>
      </c>
      <c r="D862" s="111" t="s">
        <v>1990</v>
      </c>
      <c r="E862" s="111" t="b">
        <v>0</v>
      </c>
      <c r="F862" s="111" t="b">
        <v>0</v>
      </c>
      <c r="G862" s="111" t="b">
        <v>0</v>
      </c>
    </row>
    <row r="863" spans="1:7" ht="15">
      <c r="A863" s="113" t="s">
        <v>1693</v>
      </c>
      <c r="B863" s="111">
        <v>2</v>
      </c>
      <c r="C863" s="115">
        <v>0.0004762469836194851</v>
      </c>
      <c r="D863" s="111" t="s">
        <v>1990</v>
      </c>
      <c r="E863" s="111" t="b">
        <v>1</v>
      </c>
      <c r="F863" s="111" t="b">
        <v>0</v>
      </c>
      <c r="G863" s="111" t="b">
        <v>0</v>
      </c>
    </row>
    <row r="864" spans="1:7" ht="15">
      <c r="A864" s="113" t="s">
        <v>1694</v>
      </c>
      <c r="B864" s="111">
        <v>2</v>
      </c>
      <c r="C864" s="115">
        <v>0.0004762469836194851</v>
      </c>
      <c r="D864" s="111" t="s">
        <v>1990</v>
      </c>
      <c r="E864" s="111" t="b">
        <v>0</v>
      </c>
      <c r="F864" s="111" t="b">
        <v>0</v>
      </c>
      <c r="G864" s="111" t="b">
        <v>0</v>
      </c>
    </row>
    <row r="865" spans="1:7" ht="15">
      <c r="A865" s="113" t="s">
        <v>1695</v>
      </c>
      <c r="B865" s="111">
        <v>2</v>
      </c>
      <c r="C865" s="115">
        <v>0.0004762469836194851</v>
      </c>
      <c r="D865" s="111" t="s">
        <v>1990</v>
      </c>
      <c r="E865" s="111" t="b">
        <v>0</v>
      </c>
      <c r="F865" s="111" t="b">
        <v>0</v>
      </c>
      <c r="G865" s="111" t="b">
        <v>0</v>
      </c>
    </row>
    <row r="866" spans="1:7" ht="15">
      <c r="A866" s="113" t="s">
        <v>1696</v>
      </c>
      <c r="B866" s="111">
        <v>2</v>
      </c>
      <c r="C866" s="115">
        <v>0.0004762469836194851</v>
      </c>
      <c r="D866" s="111" t="s">
        <v>1990</v>
      </c>
      <c r="E866" s="111" t="b">
        <v>0</v>
      </c>
      <c r="F866" s="111" t="b">
        <v>0</v>
      </c>
      <c r="G866" s="111" t="b">
        <v>0</v>
      </c>
    </row>
    <row r="867" spans="1:7" ht="15">
      <c r="A867" s="113" t="s">
        <v>1697</v>
      </c>
      <c r="B867" s="111">
        <v>2</v>
      </c>
      <c r="C867" s="115">
        <v>0.0004762469836194851</v>
      </c>
      <c r="D867" s="111" t="s">
        <v>1990</v>
      </c>
      <c r="E867" s="111" t="b">
        <v>0</v>
      </c>
      <c r="F867" s="111" t="b">
        <v>0</v>
      </c>
      <c r="G867" s="111" t="b">
        <v>0</v>
      </c>
    </row>
    <row r="868" spans="1:7" ht="15">
      <c r="A868" s="113" t="s">
        <v>1698</v>
      </c>
      <c r="B868" s="111">
        <v>2</v>
      </c>
      <c r="C868" s="115">
        <v>0.0004762469836194851</v>
      </c>
      <c r="D868" s="111" t="s">
        <v>1990</v>
      </c>
      <c r="E868" s="111" t="b">
        <v>0</v>
      </c>
      <c r="F868" s="111" t="b">
        <v>0</v>
      </c>
      <c r="G868" s="111" t="b">
        <v>0</v>
      </c>
    </row>
    <row r="869" spans="1:7" ht="15">
      <c r="A869" s="113" t="s">
        <v>1699</v>
      </c>
      <c r="B869" s="111">
        <v>2</v>
      </c>
      <c r="C869" s="115">
        <v>0.0004762469836194851</v>
      </c>
      <c r="D869" s="111" t="s">
        <v>1990</v>
      </c>
      <c r="E869" s="111" t="b">
        <v>0</v>
      </c>
      <c r="F869" s="111" t="b">
        <v>0</v>
      </c>
      <c r="G869" s="111" t="b">
        <v>0</v>
      </c>
    </row>
    <row r="870" spans="1:7" ht="15">
      <c r="A870" s="113" t="s">
        <v>1700</v>
      </c>
      <c r="B870" s="111">
        <v>2</v>
      </c>
      <c r="C870" s="115">
        <v>0.0004762469836194851</v>
      </c>
      <c r="D870" s="111" t="s">
        <v>1990</v>
      </c>
      <c r="E870" s="111" t="b">
        <v>0</v>
      </c>
      <c r="F870" s="111" t="b">
        <v>0</v>
      </c>
      <c r="G870" s="111" t="b">
        <v>0</v>
      </c>
    </row>
    <row r="871" spans="1:7" ht="15">
      <c r="A871" s="113" t="s">
        <v>1701</v>
      </c>
      <c r="B871" s="111">
        <v>2</v>
      </c>
      <c r="C871" s="115">
        <v>0.0004762469836194851</v>
      </c>
      <c r="D871" s="111" t="s">
        <v>1990</v>
      </c>
      <c r="E871" s="111" t="b">
        <v>0</v>
      </c>
      <c r="F871" s="111" t="b">
        <v>0</v>
      </c>
      <c r="G871" s="111" t="b">
        <v>0</v>
      </c>
    </row>
    <row r="872" spans="1:7" ht="15">
      <c r="A872" s="113" t="s">
        <v>1702</v>
      </c>
      <c r="B872" s="111">
        <v>2</v>
      </c>
      <c r="C872" s="115">
        <v>0.000558811436626611</v>
      </c>
      <c r="D872" s="111" t="s">
        <v>1990</v>
      </c>
      <c r="E872" s="111" t="b">
        <v>0</v>
      </c>
      <c r="F872" s="111" t="b">
        <v>0</v>
      </c>
      <c r="G872" s="111" t="b">
        <v>0</v>
      </c>
    </row>
    <row r="873" spans="1:7" ht="15">
      <c r="A873" s="113" t="s">
        <v>1703</v>
      </c>
      <c r="B873" s="111">
        <v>2</v>
      </c>
      <c r="C873" s="115">
        <v>0.0004762469836194851</v>
      </c>
      <c r="D873" s="111" t="s">
        <v>1990</v>
      </c>
      <c r="E873" s="111" t="b">
        <v>0</v>
      </c>
      <c r="F873" s="111" t="b">
        <v>0</v>
      </c>
      <c r="G873" s="111" t="b">
        <v>0</v>
      </c>
    </row>
    <row r="874" spans="1:7" ht="15">
      <c r="A874" s="113" t="s">
        <v>1704</v>
      </c>
      <c r="B874" s="111">
        <v>2</v>
      </c>
      <c r="C874" s="115">
        <v>0.0004762469836194851</v>
      </c>
      <c r="D874" s="111" t="s">
        <v>1990</v>
      </c>
      <c r="E874" s="111" t="b">
        <v>0</v>
      </c>
      <c r="F874" s="111" t="b">
        <v>0</v>
      </c>
      <c r="G874" s="111" t="b">
        <v>0</v>
      </c>
    </row>
    <row r="875" spans="1:7" ht="15">
      <c r="A875" s="113" t="s">
        <v>1705</v>
      </c>
      <c r="B875" s="111">
        <v>2</v>
      </c>
      <c r="C875" s="115">
        <v>0.0004762469836194851</v>
      </c>
      <c r="D875" s="111" t="s">
        <v>1990</v>
      </c>
      <c r="E875" s="111" t="b">
        <v>0</v>
      </c>
      <c r="F875" s="111" t="b">
        <v>0</v>
      </c>
      <c r="G875" s="111" t="b">
        <v>0</v>
      </c>
    </row>
    <row r="876" spans="1:7" ht="15">
      <c r="A876" s="113" t="s">
        <v>1706</v>
      </c>
      <c r="B876" s="111">
        <v>2</v>
      </c>
      <c r="C876" s="115">
        <v>0.0004762469836194851</v>
      </c>
      <c r="D876" s="111" t="s">
        <v>1990</v>
      </c>
      <c r="E876" s="111" t="b">
        <v>0</v>
      </c>
      <c r="F876" s="111" t="b">
        <v>0</v>
      </c>
      <c r="G876" s="111" t="b">
        <v>0</v>
      </c>
    </row>
    <row r="877" spans="1:7" ht="15">
      <c r="A877" s="113" t="s">
        <v>1707</v>
      </c>
      <c r="B877" s="111">
        <v>2</v>
      </c>
      <c r="C877" s="115">
        <v>0.0004762469836194851</v>
      </c>
      <c r="D877" s="111" t="s">
        <v>1990</v>
      </c>
      <c r="E877" s="111" t="b">
        <v>1</v>
      </c>
      <c r="F877" s="111" t="b">
        <v>0</v>
      </c>
      <c r="G877" s="111" t="b">
        <v>0</v>
      </c>
    </row>
    <row r="878" spans="1:7" ht="15">
      <c r="A878" s="113" t="s">
        <v>1708</v>
      </c>
      <c r="B878" s="111">
        <v>2</v>
      </c>
      <c r="C878" s="115">
        <v>0.000558811436626611</v>
      </c>
      <c r="D878" s="111" t="s">
        <v>1990</v>
      </c>
      <c r="E878" s="111" t="b">
        <v>0</v>
      </c>
      <c r="F878" s="111" t="b">
        <v>0</v>
      </c>
      <c r="G878" s="111" t="b">
        <v>0</v>
      </c>
    </row>
    <row r="879" spans="1:7" ht="15">
      <c r="A879" s="113" t="s">
        <v>1709</v>
      </c>
      <c r="B879" s="111">
        <v>2</v>
      </c>
      <c r="C879" s="115">
        <v>0.0004762469836194851</v>
      </c>
      <c r="D879" s="111" t="s">
        <v>1990</v>
      </c>
      <c r="E879" s="111" t="b">
        <v>0</v>
      </c>
      <c r="F879" s="111" t="b">
        <v>0</v>
      </c>
      <c r="G879" s="111" t="b">
        <v>0</v>
      </c>
    </row>
    <row r="880" spans="1:7" ht="15">
      <c r="A880" s="113" t="s">
        <v>1710</v>
      </c>
      <c r="B880" s="111">
        <v>2</v>
      </c>
      <c r="C880" s="115">
        <v>0.0004762469836194851</v>
      </c>
      <c r="D880" s="111" t="s">
        <v>1990</v>
      </c>
      <c r="E880" s="111" t="b">
        <v>1</v>
      </c>
      <c r="F880" s="111" t="b">
        <v>0</v>
      </c>
      <c r="G880" s="111" t="b">
        <v>0</v>
      </c>
    </row>
    <row r="881" spans="1:7" ht="15">
      <c r="A881" s="113" t="s">
        <v>1711</v>
      </c>
      <c r="B881" s="111">
        <v>2</v>
      </c>
      <c r="C881" s="115">
        <v>0.0004762469836194851</v>
      </c>
      <c r="D881" s="111" t="s">
        <v>1990</v>
      </c>
      <c r="E881" s="111" t="b">
        <v>0</v>
      </c>
      <c r="F881" s="111" t="b">
        <v>0</v>
      </c>
      <c r="G881" s="111" t="b">
        <v>0</v>
      </c>
    </row>
    <row r="882" spans="1:7" ht="15">
      <c r="A882" s="113" t="s">
        <v>1712</v>
      </c>
      <c r="B882" s="111">
        <v>2</v>
      </c>
      <c r="C882" s="115">
        <v>0.0004762469836194851</v>
      </c>
      <c r="D882" s="111" t="s">
        <v>1990</v>
      </c>
      <c r="E882" s="111" t="b">
        <v>0</v>
      </c>
      <c r="F882" s="111" t="b">
        <v>0</v>
      </c>
      <c r="G882" s="111" t="b">
        <v>0</v>
      </c>
    </row>
    <row r="883" spans="1:7" ht="15">
      <c r="A883" s="113" t="s">
        <v>1713</v>
      </c>
      <c r="B883" s="111">
        <v>2</v>
      </c>
      <c r="C883" s="115">
        <v>0.0004762469836194851</v>
      </c>
      <c r="D883" s="111" t="s">
        <v>1990</v>
      </c>
      <c r="E883" s="111" t="b">
        <v>0</v>
      </c>
      <c r="F883" s="111" t="b">
        <v>0</v>
      </c>
      <c r="G883" s="111" t="b">
        <v>0</v>
      </c>
    </row>
    <row r="884" spans="1:7" ht="15">
      <c r="A884" s="113" t="s">
        <v>1714</v>
      </c>
      <c r="B884" s="111">
        <v>2</v>
      </c>
      <c r="C884" s="115">
        <v>0.000558811436626611</v>
      </c>
      <c r="D884" s="111" t="s">
        <v>1990</v>
      </c>
      <c r="E884" s="111" t="b">
        <v>0</v>
      </c>
      <c r="F884" s="111" t="b">
        <v>0</v>
      </c>
      <c r="G884" s="111" t="b">
        <v>0</v>
      </c>
    </row>
    <row r="885" spans="1:7" ht="15">
      <c r="A885" s="113" t="s">
        <v>1715</v>
      </c>
      <c r="B885" s="111">
        <v>2</v>
      </c>
      <c r="C885" s="115">
        <v>0.0004762469836194851</v>
      </c>
      <c r="D885" s="111" t="s">
        <v>1990</v>
      </c>
      <c r="E885" s="111" t="b">
        <v>0</v>
      </c>
      <c r="F885" s="111" t="b">
        <v>0</v>
      </c>
      <c r="G885" s="111" t="b">
        <v>0</v>
      </c>
    </row>
    <row r="886" spans="1:7" ht="15">
      <c r="A886" s="113" t="s">
        <v>1716</v>
      </c>
      <c r="B886" s="111">
        <v>2</v>
      </c>
      <c r="C886" s="115">
        <v>0.0004762469836194851</v>
      </c>
      <c r="D886" s="111" t="s">
        <v>1990</v>
      </c>
      <c r="E886" s="111" t="b">
        <v>0</v>
      </c>
      <c r="F886" s="111" t="b">
        <v>0</v>
      </c>
      <c r="G886" s="111" t="b">
        <v>0</v>
      </c>
    </row>
    <row r="887" spans="1:7" ht="15">
      <c r="A887" s="113" t="s">
        <v>1717</v>
      </c>
      <c r="B887" s="111">
        <v>2</v>
      </c>
      <c r="C887" s="115">
        <v>0.000558811436626611</v>
      </c>
      <c r="D887" s="111" t="s">
        <v>1990</v>
      </c>
      <c r="E887" s="111" t="b">
        <v>0</v>
      </c>
      <c r="F887" s="111" t="b">
        <v>0</v>
      </c>
      <c r="G887" s="111" t="b">
        <v>0</v>
      </c>
    </row>
    <row r="888" spans="1:7" ht="15">
      <c r="A888" s="113" t="s">
        <v>1718</v>
      </c>
      <c r="B888" s="111">
        <v>2</v>
      </c>
      <c r="C888" s="115">
        <v>0.0004762469836194851</v>
      </c>
      <c r="D888" s="111" t="s">
        <v>1990</v>
      </c>
      <c r="E888" s="111" t="b">
        <v>0</v>
      </c>
      <c r="F888" s="111" t="b">
        <v>0</v>
      </c>
      <c r="G888" s="111" t="b">
        <v>0</v>
      </c>
    </row>
    <row r="889" spans="1:7" ht="15">
      <c r="A889" s="113" t="s">
        <v>1719</v>
      </c>
      <c r="B889" s="111">
        <v>2</v>
      </c>
      <c r="C889" s="115">
        <v>0.0004762469836194851</v>
      </c>
      <c r="D889" s="111" t="s">
        <v>1990</v>
      </c>
      <c r="E889" s="111" t="b">
        <v>0</v>
      </c>
      <c r="F889" s="111" t="b">
        <v>1</v>
      </c>
      <c r="G889" s="111" t="b">
        <v>0</v>
      </c>
    </row>
    <row r="890" spans="1:7" ht="15">
      <c r="A890" s="113" t="s">
        <v>1720</v>
      </c>
      <c r="B890" s="111">
        <v>2</v>
      </c>
      <c r="C890" s="115">
        <v>0.0004762469836194851</v>
      </c>
      <c r="D890" s="111" t="s">
        <v>1990</v>
      </c>
      <c r="E890" s="111" t="b">
        <v>0</v>
      </c>
      <c r="F890" s="111" t="b">
        <v>0</v>
      </c>
      <c r="G890" s="111" t="b">
        <v>0</v>
      </c>
    </row>
    <row r="891" spans="1:7" ht="15">
      <c r="A891" s="113" t="s">
        <v>1721</v>
      </c>
      <c r="B891" s="111">
        <v>2</v>
      </c>
      <c r="C891" s="115">
        <v>0.0004762469836194851</v>
      </c>
      <c r="D891" s="111" t="s">
        <v>1990</v>
      </c>
      <c r="E891" s="111" t="b">
        <v>0</v>
      </c>
      <c r="F891" s="111" t="b">
        <v>0</v>
      </c>
      <c r="G891" s="111" t="b">
        <v>0</v>
      </c>
    </row>
    <row r="892" spans="1:7" ht="15">
      <c r="A892" s="113" t="s">
        <v>1722</v>
      </c>
      <c r="B892" s="111">
        <v>2</v>
      </c>
      <c r="C892" s="115">
        <v>0.0004762469836194851</v>
      </c>
      <c r="D892" s="111" t="s">
        <v>1990</v>
      </c>
      <c r="E892" s="111" t="b">
        <v>0</v>
      </c>
      <c r="F892" s="111" t="b">
        <v>0</v>
      </c>
      <c r="G892" s="111" t="b">
        <v>0</v>
      </c>
    </row>
    <row r="893" spans="1:7" ht="15">
      <c r="A893" s="113" t="s">
        <v>1723</v>
      </c>
      <c r="B893" s="111">
        <v>2</v>
      </c>
      <c r="C893" s="115">
        <v>0.0004762469836194851</v>
      </c>
      <c r="D893" s="111" t="s">
        <v>1990</v>
      </c>
      <c r="E893" s="111" t="b">
        <v>0</v>
      </c>
      <c r="F893" s="111" t="b">
        <v>0</v>
      </c>
      <c r="G893" s="111" t="b">
        <v>0</v>
      </c>
    </row>
    <row r="894" spans="1:7" ht="15">
      <c r="A894" s="113" t="s">
        <v>1724</v>
      </c>
      <c r="B894" s="111">
        <v>2</v>
      </c>
      <c r="C894" s="115">
        <v>0.000558811436626611</v>
      </c>
      <c r="D894" s="111" t="s">
        <v>1990</v>
      </c>
      <c r="E894" s="111" t="b">
        <v>0</v>
      </c>
      <c r="F894" s="111" t="b">
        <v>0</v>
      </c>
      <c r="G894" s="111" t="b">
        <v>0</v>
      </c>
    </row>
    <row r="895" spans="1:7" ht="15">
      <c r="A895" s="113" t="s">
        <v>1725</v>
      </c>
      <c r="B895" s="111">
        <v>2</v>
      </c>
      <c r="C895" s="115">
        <v>0.000558811436626611</v>
      </c>
      <c r="D895" s="111" t="s">
        <v>1990</v>
      </c>
      <c r="E895" s="111" t="b">
        <v>0</v>
      </c>
      <c r="F895" s="111" t="b">
        <v>0</v>
      </c>
      <c r="G895" s="111" t="b">
        <v>0</v>
      </c>
    </row>
    <row r="896" spans="1:7" ht="15">
      <c r="A896" s="113" t="s">
        <v>1726</v>
      </c>
      <c r="B896" s="111">
        <v>2</v>
      </c>
      <c r="C896" s="115">
        <v>0.0004762469836194851</v>
      </c>
      <c r="D896" s="111" t="s">
        <v>1990</v>
      </c>
      <c r="E896" s="111" t="b">
        <v>0</v>
      </c>
      <c r="F896" s="111" t="b">
        <v>0</v>
      </c>
      <c r="G896" s="111" t="b">
        <v>0</v>
      </c>
    </row>
    <row r="897" spans="1:7" ht="15">
      <c r="A897" s="113" t="s">
        <v>1727</v>
      </c>
      <c r="B897" s="111">
        <v>2</v>
      </c>
      <c r="C897" s="115">
        <v>0.0004762469836194851</v>
      </c>
      <c r="D897" s="111" t="s">
        <v>1990</v>
      </c>
      <c r="E897" s="111" t="b">
        <v>0</v>
      </c>
      <c r="F897" s="111" t="b">
        <v>0</v>
      </c>
      <c r="G897" s="111" t="b">
        <v>0</v>
      </c>
    </row>
    <row r="898" spans="1:7" ht="15">
      <c r="A898" s="113" t="s">
        <v>1728</v>
      </c>
      <c r="B898" s="111">
        <v>2</v>
      </c>
      <c r="C898" s="115">
        <v>0.0004762469836194851</v>
      </c>
      <c r="D898" s="111" t="s">
        <v>1990</v>
      </c>
      <c r="E898" s="111" t="b">
        <v>0</v>
      </c>
      <c r="F898" s="111" t="b">
        <v>0</v>
      </c>
      <c r="G898" s="111" t="b">
        <v>0</v>
      </c>
    </row>
    <row r="899" spans="1:7" ht="15">
      <c r="A899" s="113" t="s">
        <v>1729</v>
      </c>
      <c r="B899" s="111">
        <v>2</v>
      </c>
      <c r="C899" s="115">
        <v>0.0004762469836194851</v>
      </c>
      <c r="D899" s="111" t="s">
        <v>1990</v>
      </c>
      <c r="E899" s="111" t="b">
        <v>0</v>
      </c>
      <c r="F899" s="111" t="b">
        <v>0</v>
      </c>
      <c r="G899" s="111" t="b">
        <v>0</v>
      </c>
    </row>
    <row r="900" spans="1:7" ht="15">
      <c r="A900" s="113" t="s">
        <v>1730</v>
      </c>
      <c r="B900" s="111">
        <v>2</v>
      </c>
      <c r="C900" s="115">
        <v>0.0004762469836194851</v>
      </c>
      <c r="D900" s="111" t="s">
        <v>1990</v>
      </c>
      <c r="E900" s="111" t="b">
        <v>0</v>
      </c>
      <c r="F900" s="111" t="b">
        <v>0</v>
      </c>
      <c r="G900" s="111" t="b">
        <v>0</v>
      </c>
    </row>
    <row r="901" spans="1:7" ht="15">
      <c r="A901" s="113" t="s">
        <v>1731</v>
      </c>
      <c r="B901" s="111">
        <v>2</v>
      </c>
      <c r="C901" s="115">
        <v>0.0004762469836194851</v>
      </c>
      <c r="D901" s="111" t="s">
        <v>1990</v>
      </c>
      <c r="E901" s="111" t="b">
        <v>0</v>
      </c>
      <c r="F901" s="111" t="b">
        <v>0</v>
      </c>
      <c r="G901" s="111" t="b">
        <v>0</v>
      </c>
    </row>
    <row r="902" spans="1:7" ht="15">
      <c r="A902" s="113" t="s">
        <v>1732</v>
      </c>
      <c r="B902" s="111">
        <v>2</v>
      </c>
      <c r="C902" s="115">
        <v>0.000558811436626611</v>
      </c>
      <c r="D902" s="111" t="s">
        <v>1990</v>
      </c>
      <c r="E902" s="111" t="b">
        <v>0</v>
      </c>
      <c r="F902" s="111" t="b">
        <v>0</v>
      </c>
      <c r="G902" s="111" t="b">
        <v>0</v>
      </c>
    </row>
    <row r="903" spans="1:7" ht="15">
      <c r="A903" s="113" t="s">
        <v>1733</v>
      </c>
      <c r="B903" s="111">
        <v>2</v>
      </c>
      <c r="C903" s="115">
        <v>0.0004762469836194851</v>
      </c>
      <c r="D903" s="111" t="s">
        <v>1990</v>
      </c>
      <c r="E903" s="111" t="b">
        <v>0</v>
      </c>
      <c r="F903" s="111" t="b">
        <v>0</v>
      </c>
      <c r="G903" s="111" t="b">
        <v>0</v>
      </c>
    </row>
    <row r="904" spans="1:7" ht="15">
      <c r="A904" s="113" t="s">
        <v>1734</v>
      </c>
      <c r="B904" s="111">
        <v>2</v>
      </c>
      <c r="C904" s="115">
        <v>0.0004762469836194851</v>
      </c>
      <c r="D904" s="111" t="s">
        <v>1990</v>
      </c>
      <c r="E904" s="111" t="b">
        <v>0</v>
      </c>
      <c r="F904" s="111" t="b">
        <v>0</v>
      </c>
      <c r="G904" s="111" t="b">
        <v>0</v>
      </c>
    </row>
    <row r="905" spans="1:7" ht="15">
      <c r="A905" s="113" t="s">
        <v>1735</v>
      </c>
      <c r="B905" s="111">
        <v>2</v>
      </c>
      <c r="C905" s="115">
        <v>0.000558811436626611</v>
      </c>
      <c r="D905" s="111" t="s">
        <v>1990</v>
      </c>
      <c r="E905" s="111" t="b">
        <v>0</v>
      </c>
      <c r="F905" s="111" t="b">
        <v>0</v>
      </c>
      <c r="G905" s="111" t="b">
        <v>0</v>
      </c>
    </row>
    <row r="906" spans="1:7" ht="15">
      <c r="A906" s="113" t="s">
        <v>1736</v>
      </c>
      <c r="B906" s="111">
        <v>2</v>
      </c>
      <c r="C906" s="115">
        <v>0.0004762469836194851</v>
      </c>
      <c r="D906" s="111" t="s">
        <v>1990</v>
      </c>
      <c r="E906" s="111" t="b">
        <v>0</v>
      </c>
      <c r="F906" s="111" t="b">
        <v>1</v>
      </c>
      <c r="G906" s="111" t="b">
        <v>0</v>
      </c>
    </row>
    <row r="907" spans="1:7" ht="15">
      <c r="A907" s="113" t="s">
        <v>1737</v>
      </c>
      <c r="B907" s="111">
        <v>2</v>
      </c>
      <c r="C907" s="115">
        <v>0.0004762469836194851</v>
      </c>
      <c r="D907" s="111" t="s">
        <v>1990</v>
      </c>
      <c r="E907" s="111" t="b">
        <v>0</v>
      </c>
      <c r="F907" s="111" t="b">
        <v>0</v>
      </c>
      <c r="G907" s="111" t="b">
        <v>0</v>
      </c>
    </row>
    <row r="908" spans="1:7" ht="15">
      <c r="A908" s="113" t="s">
        <v>1738</v>
      </c>
      <c r="B908" s="111">
        <v>2</v>
      </c>
      <c r="C908" s="115">
        <v>0.0004762469836194851</v>
      </c>
      <c r="D908" s="111" t="s">
        <v>1990</v>
      </c>
      <c r="E908" s="111" t="b">
        <v>0</v>
      </c>
      <c r="F908" s="111" t="b">
        <v>0</v>
      </c>
      <c r="G908" s="111" t="b">
        <v>0</v>
      </c>
    </row>
    <row r="909" spans="1:7" ht="15">
      <c r="A909" s="113" t="s">
        <v>1739</v>
      </c>
      <c r="B909" s="111">
        <v>2</v>
      </c>
      <c r="C909" s="115">
        <v>0.0004762469836194851</v>
      </c>
      <c r="D909" s="111" t="s">
        <v>1990</v>
      </c>
      <c r="E909" s="111" t="b">
        <v>0</v>
      </c>
      <c r="F909" s="111" t="b">
        <v>0</v>
      </c>
      <c r="G909" s="111" t="b">
        <v>0</v>
      </c>
    </row>
    <row r="910" spans="1:7" ht="15">
      <c r="A910" s="113" t="s">
        <v>1740</v>
      </c>
      <c r="B910" s="111">
        <v>2</v>
      </c>
      <c r="C910" s="115">
        <v>0.0004762469836194851</v>
      </c>
      <c r="D910" s="111" t="s">
        <v>1990</v>
      </c>
      <c r="E910" s="111" t="b">
        <v>0</v>
      </c>
      <c r="F910" s="111" t="b">
        <v>0</v>
      </c>
      <c r="G910" s="111" t="b">
        <v>0</v>
      </c>
    </row>
    <row r="911" spans="1:7" ht="15">
      <c r="A911" s="113" t="s">
        <v>1741</v>
      </c>
      <c r="B911" s="111">
        <v>2</v>
      </c>
      <c r="C911" s="115">
        <v>0.0004762469836194851</v>
      </c>
      <c r="D911" s="111" t="s">
        <v>1990</v>
      </c>
      <c r="E911" s="111" t="b">
        <v>0</v>
      </c>
      <c r="F911" s="111" t="b">
        <v>0</v>
      </c>
      <c r="G911" s="111" t="b">
        <v>0</v>
      </c>
    </row>
    <row r="912" spans="1:7" ht="15">
      <c r="A912" s="113" t="s">
        <v>1742</v>
      </c>
      <c r="B912" s="111">
        <v>2</v>
      </c>
      <c r="C912" s="115">
        <v>0.000558811436626611</v>
      </c>
      <c r="D912" s="111" t="s">
        <v>1990</v>
      </c>
      <c r="E912" s="111" t="b">
        <v>0</v>
      </c>
      <c r="F912" s="111" t="b">
        <v>0</v>
      </c>
      <c r="G912" s="111" t="b">
        <v>0</v>
      </c>
    </row>
    <row r="913" spans="1:7" ht="15">
      <c r="A913" s="113" t="s">
        <v>1743</v>
      </c>
      <c r="B913" s="111">
        <v>2</v>
      </c>
      <c r="C913" s="115">
        <v>0.000558811436626611</v>
      </c>
      <c r="D913" s="111" t="s">
        <v>1990</v>
      </c>
      <c r="E913" s="111" t="b">
        <v>0</v>
      </c>
      <c r="F913" s="111" t="b">
        <v>0</v>
      </c>
      <c r="G913" s="111" t="b">
        <v>0</v>
      </c>
    </row>
    <row r="914" spans="1:7" ht="15">
      <c r="A914" s="113" t="s">
        <v>1744</v>
      </c>
      <c r="B914" s="111">
        <v>2</v>
      </c>
      <c r="C914" s="115">
        <v>0.0004762469836194851</v>
      </c>
      <c r="D914" s="111" t="s">
        <v>1990</v>
      </c>
      <c r="E914" s="111" t="b">
        <v>0</v>
      </c>
      <c r="F914" s="111" t="b">
        <v>0</v>
      </c>
      <c r="G914" s="111" t="b">
        <v>0</v>
      </c>
    </row>
    <row r="915" spans="1:7" ht="15">
      <c r="A915" s="113" t="s">
        <v>1745</v>
      </c>
      <c r="B915" s="111">
        <v>2</v>
      </c>
      <c r="C915" s="115">
        <v>0.0004762469836194851</v>
      </c>
      <c r="D915" s="111" t="s">
        <v>1990</v>
      </c>
      <c r="E915" s="111" t="b">
        <v>0</v>
      </c>
      <c r="F915" s="111" t="b">
        <v>0</v>
      </c>
      <c r="G915" s="111" t="b">
        <v>0</v>
      </c>
    </row>
    <row r="916" spans="1:7" ht="15">
      <c r="A916" s="113" t="s">
        <v>1746</v>
      </c>
      <c r="B916" s="111">
        <v>2</v>
      </c>
      <c r="C916" s="115">
        <v>0.0004762469836194851</v>
      </c>
      <c r="D916" s="111" t="s">
        <v>1990</v>
      </c>
      <c r="E916" s="111" t="b">
        <v>0</v>
      </c>
      <c r="F916" s="111" t="b">
        <v>0</v>
      </c>
      <c r="G916" s="111" t="b">
        <v>0</v>
      </c>
    </row>
    <row r="917" spans="1:7" ht="15">
      <c r="A917" s="113" t="s">
        <v>1747</v>
      </c>
      <c r="B917" s="111">
        <v>2</v>
      </c>
      <c r="C917" s="115">
        <v>0.0004762469836194851</v>
      </c>
      <c r="D917" s="111" t="s">
        <v>1990</v>
      </c>
      <c r="E917" s="111" t="b">
        <v>0</v>
      </c>
      <c r="F917" s="111" t="b">
        <v>0</v>
      </c>
      <c r="G917" s="111" t="b">
        <v>0</v>
      </c>
    </row>
    <row r="918" spans="1:7" ht="15">
      <c r="A918" s="113" t="s">
        <v>1748</v>
      </c>
      <c r="B918" s="111">
        <v>2</v>
      </c>
      <c r="C918" s="115">
        <v>0.000558811436626611</v>
      </c>
      <c r="D918" s="111" t="s">
        <v>1990</v>
      </c>
      <c r="E918" s="111" t="b">
        <v>0</v>
      </c>
      <c r="F918" s="111" t="b">
        <v>0</v>
      </c>
      <c r="G918" s="111" t="b">
        <v>0</v>
      </c>
    </row>
    <row r="919" spans="1:7" ht="15">
      <c r="A919" s="113" t="s">
        <v>1749</v>
      </c>
      <c r="B919" s="111">
        <v>2</v>
      </c>
      <c r="C919" s="115">
        <v>0.0004762469836194851</v>
      </c>
      <c r="D919" s="111" t="s">
        <v>1990</v>
      </c>
      <c r="E919" s="111" t="b">
        <v>0</v>
      </c>
      <c r="F919" s="111" t="b">
        <v>0</v>
      </c>
      <c r="G919" s="111" t="b">
        <v>0</v>
      </c>
    </row>
    <row r="920" spans="1:7" ht="15">
      <c r="A920" s="113" t="s">
        <v>1750</v>
      </c>
      <c r="B920" s="111">
        <v>2</v>
      </c>
      <c r="C920" s="115">
        <v>0.0004762469836194851</v>
      </c>
      <c r="D920" s="111" t="s">
        <v>1990</v>
      </c>
      <c r="E920" s="111" t="b">
        <v>0</v>
      </c>
      <c r="F920" s="111" t="b">
        <v>0</v>
      </c>
      <c r="G920" s="111" t="b">
        <v>0</v>
      </c>
    </row>
    <row r="921" spans="1:7" ht="15">
      <c r="A921" s="113" t="s">
        <v>1751</v>
      </c>
      <c r="B921" s="111">
        <v>2</v>
      </c>
      <c r="C921" s="115">
        <v>0.0004762469836194851</v>
      </c>
      <c r="D921" s="111" t="s">
        <v>1990</v>
      </c>
      <c r="E921" s="111" t="b">
        <v>1</v>
      </c>
      <c r="F921" s="111" t="b">
        <v>0</v>
      </c>
      <c r="G921" s="111" t="b">
        <v>0</v>
      </c>
    </row>
    <row r="922" spans="1:7" ht="15">
      <c r="A922" s="113" t="s">
        <v>1752</v>
      </c>
      <c r="B922" s="111">
        <v>2</v>
      </c>
      <c r="C922" s="115">
        <v>0.0004762469836194851</v>
      </c>
      <c r="D922" s="111" t="s">
        <v>1990</v>
      </c>
      <c r="E922" s="111" t="b">
        <v>0</v>
      </c>
      <c r="F922" s="111" t="b">
        <v>0</v>
      </c>
      <c r="G922" s="111" t="b">
        <v>0</v>
      </c>
    </row>
    <row r="923" spans="1:7" ht="15">
      <c r="A923" s="113" t="s">
        <v>1753</v>
      </c>
      <c r="B923" s="111">
        <v>2</v>
      </c>
      <c r="C923" s="115">
        <v>0.0004762469836194851</v>
      </c>
      <c r="D923" s="111" t="s">
        <v>1990</v>
      </c>
      <c r="E923" s="111" t="b">
        <v>0</v>
      </c>
      <c r="F923" s="111" t="b">
        <v>0</v>
      </c>
      <c r="G923" s="111" t="b">
        <v>0</v>
      </c>
    </row>
    <row r="924" spans="1:7" ht="15">
      <c r="A924" s="113" t="s">
        <v>1754</v>
      </c>
      <c r="B924" s="111">
        <v>2</v>
      </c>
      <c r="C924" s="115">
        <v>0.0004762469836194851</v>
      </c>
      <c r="D924" s="111" t="s">
        <v>1990</v>
      </c>
      <c r="E924" s="111" t="b">
        <v>0</v>
      </c>
      <c r="F924" s="111" t="b">
        <v>0</v>
      </c>
      <c r="G924" s="111" t="b">
        <v>0</v>
      </c>
    </row>
    <row r="925" spans="1:7" ht="15">
      <c r="A925" s="113" t="s">
        <v>1755</v>
      </c>
      <c r="B925" s="111">
        <v>2</v>
      </c>
      <c r="C925" s="115">
        <v>0.0004762469836194851</v>
      </c>
      <c r="D925" s="111" t="s">
        <v>1990</v>
      </c>
      <c r="E925" s="111" t="b">
        <v>0</v>
      </c>
      <c r="F925" s="111" t="b">
        <v>0</v>
      </c>
      <c r="G925" s="111" t="b">
        <v>0</v>
      </c>
    </row>
    <row r="926" spans="1:7" ht="15">
      <c r="A926" s="113" t="s">
        <v>1756</v>
      </c>
      <c r="B926" s="111">
        <v>2</v>
      </c>
      <c r="C926" s="115">
        <v>0.0004762469836194851</v>
      </c>
      <c r="D926" s="111" t="s">
        <v>1990</v>
      </c>
      <c r="E926" s="111" t="b">
        <v>0</v>
      </c>
      <c r="F926" s="111" t="b">
        <v>0</v>
      </c>
      <c r="G926" s="111" t="b">
        <v>0</v>
      </c>
    </row>
    <row r="927" spans="1:7" ht="15">
      <c r="A927" s="113" t="s">
        <v>1757</v>
      </c>
      <c r="B927" s="111">
        <v>2</v>
      </c>
      <c r="C927" s="115">
        <v>0.0004762469836194851</v>
      </c>
      <c r="D927" s="111" t="s">
        <v>1990</v>
      </c>
      <c r="E927" s="111" t="b">
        <v>0</v>
      </c>
      <c r="F927" s="111" t="b">
        <v>0</v>
      </c>
      <c r="G927" s="111" t="b">
        <v>0</v>
      </c>
    </row>
    <row r="928" spans="1:7" ht="15">
      <c r="A928" s="113" t="s">
        <v>1758</v>
      </c>
      <c r="B928" s="111">
        <v>2</v>
      </c>
      <c r="C928" s="115">
        <v>0.000558811436626611</v>
      </c>
      <c r="D928" s="111" t="s">
        <v>1990</v>
      </c>
      <c r="E928" s="111" t="b">
        <v>0</v>
      </c>
      <c r="F928" s="111" t="b">
        <v>0</v>
      </c>
      <c r="G928" s="111" t="b">
        <v>0</v>
      </c>
    </row>
    <row r="929" spans="1:7" ht="15">
      <c r="A929" s="113" t="s">
        <v>1759</v>
      </c>
      <c r="B929" s="111">
        <v>2</v>
      </c>
      <c r="C929" s="115">
        <v>0.000558811436626611</v>
      </c>
      <c r="D929" s="111" t="s">
        <v>1990</v>
      </c>
      <c r="E929" s="111" t="b">
        <v>0</v>
      </c>
      <c r="F929" s="111" t="b">
        <v>0</v>
      </c>
      <c r="G929" s="111" t="b">
        <v>0</v>
      </c>
    </row>
    <row r="930" spans="1:7" ht="15">
      <c r="A930" s="113" t="s">
        <v>1760</v>
      </c>
      <c r="B930" s="111">
        <v>2</v>
      </c>
      <c r="C930" s="115">
        <v>0.000558811436626611</v>
      </c>
      <c r="D930" s="111" t="s">
        <v>1990</v>
      </c>
      <c r="E930" s="111" t="b">
        <v>0</v>
      </c>
      <c r="F930" s="111" t="b">
        <v>0</v>
      </c>
      <c r="G930" s="111" t="b">
        <v>0</v>
      </c>
    </row>
    <row r="931" spans="1:7" ht="15">
      <c r="A931" s="113" t="s">
        <v>1761</v>
      </c>
      <c r="B931" s="111">
        <v>2</v>
      </c>
      <c r="C931" s="115">
        <v>0.000558811436626611</v>
      </c>
      <c r="D931" s="111" t="s">
        <v>1990</v>
      </c>
      <c r="E931" s="111" t="b">
        <v>0</v>
      </c>
      <c r="F931" s="111" t="b">
        <v>0</v>
      </c>
      <c r="G931" s="111" t="b">
        <v>0</v>
      </c>
    </row>
    <row r="932" spans="1:7" ht="15">
      <c r="A932" s="113" t="s">
        <v>1762</v>
      </c>
      <c r="B932" s="111">
        <v>2</v>
      </c>
      <c r="C932" s="115">
        <v>0.000558811436626611</v>
      </c>
      <c r="D932" s="111" t="s">
        <v>1990</v>
      </c>
      <c r="E932" s="111" t="b">
        <v>0</v>
      </c>
      <c r="F932" s="111" t="b">
        <v>0</v>
      </c>
      <c r="G932" s="111" t="b">
        <v>0</v>
      </c>
    </row>
    <row r="933" spans="1:7" ht="15">
      <c r="A933" s="113" t="s">
        <v>1763</v>
      </c>
      <c r="B933" s="111">
        <v>2</v>
      </c>
      <c r="C933" s="115">
        <v>0.0004762469836194851</v>
      </c>
      <c r="D933" s="111" t="s">
        <v>1990</v>
      </c>
      <c r="E933" s="111" t="b">
        <v>0</v>
      </c>
      <c r="F933" s="111" t="b">
        <v>0</v>
      </c>
      <c r="G933" s="111" t="b">
        <v>0</v>
      </c>
    </row>
    <row r="934" spans="1:7" ht="15">
      <c r="A934" s="113" t="s">
        <v>1764</v>
      </c>
      <c r="B934" s="111">
        <v>2</v>
      </c>
      <c r="C934" s="115">
        <v>0.000558811436626611</v>
      </c>
      <c r="D934" s="111" t="s">
        <v>1990</v>
      </c>
      <c r="E934" s="111" t="b">
        <v>0</v>
      </c>
      <c r="F934" s="111" t="b">
        <v>0</v>
      </c>
      <c r="G934" s="111" t="b">
        <v>0</v>
      </c>
    </row>
    <row r="935" spans="1:7" ht="15">
      <c r="A935" s="113" t="s">
        <v>1765</v>
      </c>
      <c r="B935" s="111">
        <v>2</v>
      </c>
      <c r="C935" s="115">
        <v>0.000558811436626611</v>
      </c>
      <c r="D935" s="111" t="s">
        <v>1990</v>
      </c>
      <c r="E935" s="111" t="b">
        <v>0</v>
      </c>
      <c r="F935" s="111" t="b">
        <v>0</v>
      </c>
      <c r="G935" s="111" t="b">
        <v>0</v>
      </c>
    </row>
    <row r="936" spans="1:7" ht="15">
      <c r="A936" s="113" t="s">
        <v>1766</v>
      </c>
      <c r="B936" s="111">
        <v>2</v>
      </c>
      <c r="C936" s="115">
        <v>0.000558811436626611</v>
      </c>
      <c r="D936" s="111" t="s">
        <v>1990</v>
      </c>
      <c r="E936" s="111" t="b">
        <v>0</v>
      </c>
      <c r="F936" s="111" t="b">
        <v>0</v>
      </c>
      <c r="G936" s="111" t="b">
        <v>0</v>
      </c>
    </row>
    <row r="937" spans="1:7" ht="15">
      <c r="A937" s="113" t="s">
        <v>1767</v>
      </c>
      <c r="B937" s="111">
        <v>2</v>
      </c>
      <c r="C937" s="115">
        <v>0.0004762469836194851</v>
      </c>
      <c r="D937" s="111" t="s">
        <v>1990</v>
      </c>
      <c r="E937" s="111" t="b">
        <v>0</v>
      </c>
      <c r="F937" s="111" t="b">
        <v>0</v>
      </c>
      <c r="G937" s="111" t="b">
        <v>0</v>
      </c>
    </row>
    <row r="938" spans="1:7" ht="15">
      <c r="A938" s="113" t="s">
        <v>1768</v>
      </c>
      <c r="B938" s="111">
        <v>2</v>
      </c>
      <c r="C938" s="115">
        <v>0.0004762469836194851</v>
      </c>
      <c r="D938" s="111" t="s">
        <v>1990</v>
      </c>
      <c r="E938" s="111" t="b">
        <v>0</v>
      </c>
      <c r="F938" s="111" t="b">
        <v>0</v>
      </c>
      <c r="G938" s="111" t="b">
        <v>0</v>
      </c>
    </row>
    <row r="939" spans="1:7" ht="15">
      <c r="A939" s="113" t="s">
        <v>1769</v>
      </c>
      <c r="B939" s="111">
        <v>2</v>
      </c>
      <c r="C939" s="115">
        <v>0.0004762469836194851</v>
      </c>
      <c r="D939" s="111" t="s">
        <v>1990</v>
      </c>
      <c r="E939" s="111" t="b">
        <v>0</v>
      </c>
      <c r="F939" s="111" t="b">
        <v>0</v>
      </c>
      <c r="G939" s="111" t="b">
        <v>0</v>
      </c>
    </row>
    <row r="940" spans="1:7" ht="15">
      <c r="A940" s="113" t="s">
        <v>1770</v>
      </c>
      <c r="B940" s="111">
        <v>2</v>
      </c>
      <c r="C940" s="115">
        <v>0.0004762469836194851</v>
      </c>
      <c r="D940" s="111" t="s">
        <v>1990</v>
      </c>
      <c r="E940" s="111" t="b">
        <v>0</v>
      </c>
      <c r="F940" s="111" t="b">
        <v>0</v>
      </c>
      <c r="G940" s="111" t="b">
        <v>0</v>
      </c>
    </row>
    <row r="941" spans="1:7" ht="15">
      <c r="A941" s="113" t="s">
        <v>1771</v>
      </c>
      <c r="B941" s="111">
        <v>2</v>
      </c>
      <c r="C941" s="115">
        <v>0.000558811436626611</v>
      </c>
      <c r="D941" s="111" t="s">
        <v>1990</v>
      </c>
      <c r="E941" s="111" t="b">
        <v>0</v>
      </c>
      <c r="F941" s="111" t="b">
        <v>0</v>
      </c>
      <c r="G941" s="111" t="b">
        <v>0</v>
      </c>
    </row>
    <row r="942" spans="1:7" ht="15">
      <c r="A942" s="113" t="s">
        <v>1772</v>
      </c>
      <c r="B942" s="111">
        <v>2</v>
      </c>
      <c r="C942" s="115">
        <v>0.0004762469836194851</v>
      </c>
      <c r="D942" s="111" t="s">
        <v>1990</v>
      </c>
      <c r="E942" s="111" t="b">
        <v>0</v>
      </c>
      <c r="F942" s="111" t="b">
        <v>0</v>
      </c>
      <c r="G942" s="111" t="b">
        <v>0</v>
      </c>
    </row>
    <row r="943" spans="1:7" ht="15">
      <c r="A943" s="113" t="s">
        <v>1773</v>
      </c>
      <c r="B943" s="111">
        <v>2</v>
      </c>
      <c r="C943" s="115">
        <v>0.0004762469836194851</v>
      </c>
      <c r="D943" s="111" t="s">
        <v>1990</v>
      </c>
      <c r="E943" s="111" t="b">
        <v>0</v>
      </c>
      <c r="F943" s="111" t="b">
        <v>0</v>
      </c>
      <c r="G943" s="111" t="b">
        <v>0</v>
      </c>
    </row>
    <row r="944" spans="1:7" ht="15">
      <c r="A944" s="113" t="s">
        <v>1774</v>
      </c>
      <c r="B944" s="111">
        <v>2</v>
      </c>
      <c r="C944" s="115">
        <v>0.0004762469836194851</v>
      </c>
      <c r="D944" s="111" t="s">
        <v>1990</v>
      </c>
      <c r="E944" s="111" t="b">
        <v>0</v>
      </c>
      <c r="F944" s="111" t="b">
        <v>0</v>
      </c>
      <c r="G944" s="111" t="b">
        <v>0</v>
      </c>
    </row>
    <row r="945" spans="1:7" ht="15">
      <c r="A945" s="113" t="s">
        <v>1775</v>
      </c>
      <c r="B945" s="111">
        <v>2</v>
      </c>
      <c r="C945" s="115">
        <v>0.000558811436626611</v>
      </c>
      <c r="D945" s="111" t="s">
        <v>1990</v>
      </c>
      <c r="E945" s="111" t="b">
        <v>0</v>
      </c>
      <c r="F945" s="111" t="b">
        <v>0</v>
      </c>
      <c r="G945" s="111" t="b">
        <v>0</v>
      </c>
    </row>
    <row r="946" spans="1:7" ht="15">
      <c r="A946" s="113" t="s">
        <v>1776</v>
      </c>
      <c r="B946" s="111">
        <v>2</v>
      </c>
      <c r="C946" s="115">
        <v>0.0004762469836194851</v>
      </c>
      <c r="D946" s="111" t="s">
        <v>1990</v>
      </c>
      <c r="E946" s="111" t="b">
        <v>0</v>
      </c>
      <c r="F946" s="111" t="b">
        <v>0</v>
      </c>
      <c r="G946" s="111" t="b">
        <v>0</v>
      </c>
    </row>
    <row r="947" spans="1:7" ht="15">
      <c r="A947" s="113" t="s">
        <v>1777</v>
      </c>
      <c r="B947" s="111">
        <v>2</v>
      </c>
      <c r="C947" s="115">
        <v>0.000558811436626611</v>
      </c>
      <c r="D947" s="111" t="s">
        <v>1990</v>
      </c>
      <c r="E947" s="111" t="b">
        <v>0</v>
      </c>
      <c r="F947" s="111" t="b">
        <v>0</v>
      </c>
      <c r="G947" s="111" t="b">
        <v>0</v>
      </c>
    </row>
    <row r="948" spans="1:7" ht="15">
      <c r="A948" s="113" t="s">
        <v>1778</v>
      </c>
      <c r="B948" s="111">
        <v>2</v>
      </c>
      <c r="C948" s="115">
        <v>0.0004762469836194851</v>
      </c>
      <c r="D948" s="111" t="s">
        <v>1990</v>
      </c>
      <c r="E948" s="111" t="b">
        <v>0</v>
      </c>
      <c r="F948" s="111" t="b">
        <v>0</v>
      </c>
      <c r="G948" s="111" t="b">
        <v>0</v>
      </c>
    </row>
    <row r="949" spans="1:7" ht="15">
      <c r="A949" s="113" t="s">
        <v>1779</v>
      </c>
      <c r="B949" s="111">
        <v>2</v>
      </c>
      <c r="C949" s="115">
        <v>0.0004762469836194851</v>
      </c>
      <c r="D949" s="111" t="s">
        <v>1990</v>
      </c>
      <c r="E949" s="111" t="b">
        <v>0</v>
      </c>
      <c r="F949" s="111" t="b">
        <v>0</v>
      </c>
      <c r="G949" s="111" t="b">
        <v>0</v>
      </c>
    </row>
    <row r="950" spans="1:7" ht="15">
      <c r="A950" s="113" t="s">
        <v>1780</v>
      </c>
      <c r="B950" s="111">
        <v>2</v>
      </c>
      <c r="C950" s="115">
        <v>0.000558811436626611</v>
      </c>
      <c r="D950" s="111" t="s">
        <v>1990</v>
      </c>
      <c r="E950" s="111" t="b">
        <v>0</v>
      </c>
      <c r="F950" s="111" t="b">
        <v>0</v>
      </c>
      <c r="G950" s="111" t="b">
        <v>0</v>
      </c>
    </row>
    <row r="951" spans="1:7" ht="15">
      <c r="A951" s="113" t="s">
        <v>1781</v>
      </c>
      <c r="B951" s="111">
        <v>2</v>
      </c>
      <c r="C951" s="115">
        <v>0.000558811436626611</v>
      </c>
      <c r="D951" s="111" t="s">
        <v>1990</v>
      </c>
      <c r="E951" s="111" t="b">
        <v>0</v>
      </c>
      <c r="F951" s="111" t="b">
        <v>0</v>
      </c>
      <c r="G951" s="111" t="b">
        <v>0</v>
      </c>
    </row>
    <row r="952" spans="1:7" ht="15">
      <c r="A952" s="113" t="s">
        <v>1782</v>
      </c>
      <c r="B952" s="111">
        <v>2</v>
      </c>
      <c r="C952" s="115">
        <v>0.0004762469836194851</v>
      </c>
      <c r="D952" s="111" t="s">
        <v>1990</v>
      </c>
      <c r="E952" s="111" t="b">
        <v>0</v>
      </c>
      <c r="F952" s="111" t="b">
        <v>0</v>
      </c>
      <c r="G952" s="111" t="b">
        <v>0</v>
      </c>
    </row>
    <row r="953" spans="1:7" ht="15">
      <c r="A953" s="113" t="s">
        <v>1783</v>
      </c>
      <c r="B953" s="111">
        <v>2</v>
      </c>
      <c r="C953" s="115">
        <v>0.000558811436626611</v>
      </c>
      <c r="D953" s="111" t="s">
        <v>1990</v>
      </c>
      <c r="E953" s="111" t="b">
        <v>0</v>
      </c>
      <c r="F953" s="111" t="b">
        <v>0</v>
      </c>
      <c r="G953" s="111" t="b">
        <v>0</v>
      </c>
    </row>
    <row r="954" spans="1:7" ht="15">
      <c r="A954" s="113" t="s">
        <v>1784</v>
      </c>
      <c r="B954" s="111">
        <v>2</v>
      </c>
      <c r="C954" s="115">
        <v>0.0004762469836194851</v>
      </c>
      <c r="D954" s="111" t="s">
        <v>1990</v>
      </c>
      <c r="E954" s="111" t="b">
        <v>0</v>
      </c>
      <c r="F954" s="111" t="b">
        <v>0</v>
      </c>
      <c r="G954" s="111" t="b">
        <v>0</v>
      </c>
    </row>
    <row r="955" spans="1:7" ht="15">
      <c r="A955" s="113" t="s">
        <v>1785</v>
      </c>
      <c r="B955" s="111">
        <v>2</v>
      </c>
      <c r="C955" s="115">
        <v>0.000558811436626611</v>
      </c>
      <c r="D955" s="111" t="s">
        <v>1990</v>
      </c>
      <c r="E955" s="111" t="b">
        <v>0</v>
      </c>
      <c r="F955" s="111" t="b">
        <v>0</v>
      </c>
      <c r="G955" s="111" t="b">
        <v>0</v>
      </c>
    </row>
    <row r="956" spans="1:7" ht="15">
      <c r="A956" s="113" t="s">
        <v>1786</v>
      </c>
      <c r="B956" s="111">
        <v>2</v>
      </c>
      <c r="C956" s="115">
        <v>0.0004762469836194851</v>
      </c>
      <c r="D956" s="111" t="s">
        <v>1990</v>
      </c>
      <c r="E956" s="111" t="b">
        <v>0</v>
      </c>
      <c r="F956" s="111" t="b">
        <v>0</v>
      </c>
      <c r="G956" s="111" t="b">
        <v>0</v>
      </c>
    </row>
    <row r="957" spans="1:7" ht="15">
      <c r="A957" s="113" t="s">
        <v>1787</v>
      </c>
      <c r="B957" s="111">
        <v>2</v>
      </c>
      <c r="C957" s="115">
        <v>0.0004762469836194851</v>
      </c>
      <c r="D957" s="111" t="s">
        <v>1990</v>
      </c>
      <c r="E957" s="111" t="b">
        <v>0</v>
      </c>
      <c r="F957" s="111" t="b">
        <v>0</v>
      </c>
      <c r="G957" s="111" t="b">
        <v>0</v>
      </c>
    </row>
    <row r="958" spans="1:7" ht="15">
      <c r="A958" s="113" t="s">
        <v>1788</v>
      </c>
      <c r="B958" s="111">
        <v>2</v>
      </c>
      <c r="C958" s="115">
        <v>0.000558811436626611</v>
      </c>
      <c r="D958" s="111" t="s">
        <v>1990</v>
      </c>
      <c r="E958" s="111" t="b">
        <v>0</v>
      </c>
      <c r="F958" s="111" t="b">
        <v>0</v>
      </c>
      <c r="G958" s="111" t="b">
        <v>0</v>
      </c>
    </row>
    <row r="959" spans="1:7" ht="15">
      <c r="A959" s="113" t="s">
        <v>1789</v>
      </c>
      <c r="B959" s="111">
        <v>2</v>
      </c>
      <c r="C959" s="115">
        <v>0.0004762469836194851</v>
      </c>
      <c r="D959" s="111" t="s">
        <v>1990</v>
      </c>
      <c r="E959" s="111" t="b">
        <v>0</v>
      </c>
      <c r="F959" s="111" t="b">
        <v>0</v>
      </c>
      <c r="G959" s="111" t="b">
        <v>0</v>
      </c>
    </row>
    <row r="960" spans="1:7" ht="15">
      <c r="A960" s="113" t="s">
        <v>1790</v>
      </c>
      <c r="B960" s="111">
        <v>2</v>
      </c>
      <c r="C960" s="115">
        <v>0.000558811436626611</v>
      </c>
      <c r="D960" s="111" t="s">
        <v>1990</v>
      </c>
      <c r="E960" s="111" t="b">
        <v>0</v>
      </c>
      <c r="F960" s="111" t="b">
        <v>0</v>
      </c>
      <c r="G960" s="111" t="b">
        <v>0</v>
      </c>
    </row>
    <row r="961" spans="1:7" ht="15">
      <c r="A961" s="113" t="s">
        <v>1791</v>
      </c>
      <c r="B961" s="111">
        <v>2</v>
      </c>
      <c r="C961" s="115">
        <v>0.0004762469836194851</v>
      </c>
      <c r="D961" s="111" t="s">
        <v>1990</v>
      </c>
      <c r="E961" s="111" t="b">
        <v>0</v>
      </c>
      <c r="F961" s="111" t="b">
        <v>0</v>
      </c>
      <c r="G961" s="111" t="b">
        <v>0</v>
      </c>
    </row>
    <row r="962" spans="1:7" ht="15">
      <c r="A962" s="113" t="s">
        <v>1792</v>
      </c>
      <c r="B962" s="111">
        <v>2</v>
      </c>
      <c r="C962" s="115">
        <v>0.000558811436626611</v>
      </c>
      <c r="D962" s="111" t="s">
        <v>1990</v>
      </c>
      <c r="E962" s="111" t="b">
        <v>0</v>
      </c>
      <c r="F962" s="111" t="b">
        <v>0</v>
      </c>
      <c r="G962" s="111" t="b">
        <v>0</v>
      </c>
    </row>
    <row r="963" spans="1:7" ht="15">
      <c r="A963" s="113" t="s">
        <v>1793</v>
      </c>
      <c r="B963" s="111">
        <v>2</v>
      </c>
      <c r="C963" s="115">
        <v>0.0004762469836194851</v>
      </c>
      <c r="D963" s="111" t="s">
        <v>1990</v>
      </c>
      <c r="E963" s="111" t="b">
        <v>0</v>
      </c>
      <c r="F963" s="111" t="b">
        <v>0</v>
      </c>
      <c r="G963" s="111" t="b">
        <v>0</v>
      </c>
    </row>
    <row r="964" spans="1:7" ht="15">
      <c r="A964" s="113" t="s">
        <v>1794</v>
      </c>
      <c r="B964" s="111">
        <v>2</v>
      </c>
      <c r="C964" s="115">
        <v>0.000558811436626611</v>
      </c>
      <c r="D964" s="111" t="s">
        <v>1990</v>
      </c>
      <c r="E964" s="111" t="b">
        <v>0</v>
      </c>
      <c r="F964" s="111" t="b">
        <v>0</v>
      </c>
      <c r="G964" s="111" t="b">
        <v>0</v>
      </c>
    </row>
    <row r="965" spans="1:7" ht="15">
      <c r="A965" s="113" t="s">
        <v>1795</v>
      </c>
      <c r="B965" s="111">
        <v>2</v>
      </c>
      <c r="C965" s="115">
        <v>0.000558811436626611</v>
      </c>
      <c r="D965" s="111" t="s">
        <v>1990</v>
      </c>
      <c r="E965" s="111" t="b">
        <v>0</v>
      </c>
      <c r="F965" s="111" t="b">
        <v>0</v>
      </c>
      <c r="G965" s="111" t="b">
        <v>0</v>
      </c>
    </row>
    <row r="966" spans="1:7" ht="15">
      <c r="A966" s="113" t="s">
        <v>1796</v>
      </c>
      <c r="B966" s="111">
        <v>2</v>
      </c>
      <c r="C966" s="115">
        <v>0.0004762469836194851</v>
      </c>
      <c r="D966" s="111" t="s">
        <v>1990</v>
      </c>
      <c r="E966" s="111" t="b">
        <v>1</v>
      </c>
      <c r="F966" s="111" t="b">
        <v>0</v>
      </c>
      <c r="G966" s="111" t="b">
        <v>0</v>
      </c>
    </row>
    <row r="967" spans="1:7" ht="15">
      <c r="A967" s="113" t="s">
        <v>1797</v>
      </c>
      <c r="B967" s="111">
        <v>2</v>
      </c>
      <c r="C967" s="115">
        <v>0.0004762469836194851</v>
      </c>
      <c r="D967" s="111" t="s">
        <v>1990</v>
      </c>
      <c r="E967" s="111" t="b">
        <v>0</v>
      </c>
      <c r="F967" s="111" t="b">
        <v>0</v>
      </c>
      <c r="G967" s="111" t="b">
        <v>0</v>
      </c>
    </row>
    <row r="968" spans="1:7" ht="15">
      <c r="A968" s="113" t="s">
        <v>1798</v>
      </c>
      <c r="B968" s="111">
        <v>2</v>
      </c>
      <c r="C968" s="115">
        <v>0.0004762469836194851</v>
      </c>
      <c r="D968" s="111" t="s">
        <v>1990</v>
      </c>
      <c r="E968" s="111" t="b">
        <v>0</v>
      </c>
      <c r="F968" s="111" t="b">
        <v>1</v>
      </c>
      <c r="G968" s="111" t="b">
        <v>0</v>
      </c>
    </row>
    <row r="969" spans="1:7" ht="15">
      <c r="A969" s="113" t="s">
        <v>1799</v>
      </c>
      <c r="B969" s="111">
        <v>2</v>
      </c>
      <c r="C969" s="115">
        <v>0.0004762469836194851</v>
      </c>
      <c r="D969" s="111" t="s">
        <v>1990</v>
      </c>
      <c r="E969" s="111" t="b">
        <v>0</v>
      </c>
      <c r="F969" s="111" t="b">
        <v>0</v>
      </c>
      <c r="G969" s="111" t="b">
        <v>0</v>
      </c>
    </row>
    <row r="970" spans="1:7" ht="15">
      <c r="A970" s="113" t="s">
        <v>1800</v>
      </c>
      <c r="B970" s="111">
        <v>2</v>
      </c>
      <c r="C970" s="115">
        <v>0.0004762469836194851</v>
      </c>
      <c r="D970" s="111" t="s">
        <v>1990</v>
      </c>
      <c r="E970" s="111" t="b">
        <v>0</v>
      </c>
      <c r="F970" s="111" t="b">
        <v>0</v>
      </c>
      <c r="G970" s="111" t="b">
        <v>0</v>
      </c>
    </row>
    <row r="971" spans="1:7" ht="15">
      <c r="A971" s="113" t="s">
        <v>1801</v>
      </c>
      <c r="B971" s="111">
        <v>2</v>
      </c>
      <c r="C971" s="115">
        <v>0.0004762469836194851</v>
      </c>
      <c r="D971" s="111" t="s">
        <v>1990</v>
      </c>
      <c r="E971" s="111" t="b">
        <v>0</v>
      </c>
      <c r="F971" s="111" t="b">
        <v>0</v>
      </c>
      <c r="G971" s="111" t="b">
        <v>0</v>
      </c>
    </row>
    <row r="972" spans="1:7" ht="15">
      <c r="A972" s="113" t="s">
        <v>1802</v>
      </c>
      <c r="B972" s="111">
        <v>2</v>
      </c>
      <c r="C972" s="115">
        <v>0.0004762469836194851</v>
      </c>
      <c r="D972" s="111" t="s">
        <v>1990</v>
      </c>
      <c r="E972" s="111" t="b">
        <v>0</v>
      </c>
      <c r="F972" s="111" t="b">
        <v>0</v>
      </c>
      <c r="G972" s="111" t="b">
        <v>0</v>
      </c>
    </row>
    <row r="973" spans="1:7" ht="15">
      <c r="A973" s="113" t="s">
        <v>1803</v>
      </c>
      <c r="B973" s="111">
        <v>2</v>
      </c>
      <c r="C973" s="115">
        <v>0.0004762469836194851</v>
      </c>
      <c r="D973" s="111" t="s">
        <v>1990</v>
      </c>
      <c r="E973" s="111" t="b">
        <v>0</v>
      </c>
      <c r="F973" s="111" t="b">
        <v>0</v>
      </c>
      <c r="G973" s="111" t="b">
        <v>0</v>
      </c>
    </row>
    <row r="974" spans="1:7" ht="15">
      <c r="A974" s="113" t="s">
        <v>1804</v>
      </c>
      <c r="B974" s="111">
        <v>2</v>
      </c>
      <c r="C974" s="115">
        <v>0.0004762469836194851</v>
      </c>
      <c r="D974" s="111" t="s">
        <v>1990</v>
      </c>
      <c r="E974" s="111" t="b">
        <v>0</v>
      </c>
      <c r="F974" s="111" t="b">
        <v>0</v>
      </c>
      <c r="G974" s="111" t="b">
        <v>0</v>
      </c>
    </row>
    <row r="975" spans="1:7" ht="15">
      <c r="A975" s="113" t="s">
        <v>1805</v>
      </c>
      <c r="B975" s="111">
        <v>2</v>
      </c>
      <c r="C975" s="115">
        <v>0.0004762469836194851</v>
      </c>
      <c r="D975" s="111" t="s">
        <v>1990</v>
      </c>
      <c r="E975" s="111" t="b">
        <v>1</v>
      </c>
      <c r="F975" s="111" t="b">
        <v>0</v>
      </c>
      <c r="G975" s="111" t="b">
        <v>0</v>
      </c>
    </row>
    <row r="976" spans="1:7" ht="15">
      <c r="A976" s="113" t="s">
        <v>1806</v>
      </c>
      <c r="B976" s="111">
        <v>2</v>
      </c>
      <c r="C976" s="115">
        <v>0.0004762469836194851</v>
      </c>
      <c r="D976" s="111" t="s">
        <v>1990</v>
      </c>
      <c r="E976" s="111" t="b">
        <v>0</v>
      </c>
      <c r="F976" s="111" t="b">
        <v>0</v>
      </c>
      <c r="G976" s="111" t="b">
        <v>0</v>
      </c>
    </row>
    <row r="977" spans="1:7" ht="15">
      <c r="A977" s="113" t="s">
        <v>1807</v>
      </c>
      <c r="B977" s="111">
        <v>2</v>
      </c>
      <c r="C977" s="115">
        <v>0.0004762469836194851</v>
      </c>
      <c r="D977" s="111" t="s">
        <v>1990</v>
      </c>
      <c r="E977" s="111" t="b">
        <v>0</v>
      </c>
      <c r="F977" s="111" t="b">
        <v>0</v>
      </c>
      <c r="G977" s="111" t="b">
        <v>0</v>
      </c>
    </row>
    <row r="978" spans="1:7" ht="15">
      <c r="A978" s="113" t="s">
        <v>1808</v>
      </c>
      <c r="B978" s="111">
        <v>2</v>
      </c>
      <c r="C978" s="115">
        <v>0.0004762469836194851</v>
      </c>
      <c r="D978" s="111" t="s">
        <v>1990</v>
      </c>
      <c r="E978" s="111" t="b">
        <v>0</v>
      </c>
      <c r="F978" s="111" t="b">
        <v>0</v>
      </c>
      <c r="G978" s="111" t="b">
        <v>0</v>
      </c>
    </row>
    <row r="979" spans="1:7" ht="15">
      <c r="A979" s="113" t="s">
        <v>1809</v>
      </c>
      <c r="B979" s="111">
        <v>2</v>
      </c>
      <c r="C979" s="115">
        <v>0.0004762469836194851</v>
      </c>
      <c r="D979" s="111" t="s">
        <v>1990</v>
      </c>
      <c r="E979" s="111" t="b">
        <v>0</v>
      </c>
      <c r="F979" s="111" t="b">
        <v>0</v>
      </c>
      <c r="G979" s="111" t="b">
        <v>0</v>
      </c>
    </row>
    <row r="980" spans="1:7" ht="15">
      <c r="A980" s="113" t="s">
        <v>1810</v>
      </c>
      <c r="B980" s="111">
        <v>2</v>
      </c>
      <c r="C980" s="115">
        <v>0.0004762469836194851</v>
      </c>
      <c r="D980" s="111" t="s">
        <v>1990</v>
      </c>
      <c r="E980" s="111" t="b">
        <v>0</v>
      </c>
      <c r="F980" s="111" t="b">
        <v>0</v>
      </c>
      <c r="G980" s="111" t="b">
        <v>0</v>
      </c>
    </row>
    <row r="981" spans="1:7" ht="15">
      <c r="A981" s="113" t="s">
        <v>1811</v>
      </c>
      <c r="B981" s="111">
        <v>2</v>
      </c>
      <c r="C981" s="115">
        <v>0.0004762469836194851</v>
      </c>
      <c r="D981" s="111" t="s">
        <v>1990</v>
      </c>
      <c r="E981" s="111" t="b">
        <v>0</v>
      </c>
      <c r="F981" s="111" t="b">
        <v>0</v>
      </c>
      <c r="G981" s="111" t="b">
        <v>0</v>
      </c>
    </row>
    <row r="982" spans="1:7" ht="15">
      <c r="A982" s="113" t="s">
        <v>1812</v>
      </c>
      <c r="B982" s="111">
        <v>2</v>
      </c>
      <c r="C982" s="115">
        <v>0.000558811436626611</v>
      </c>
      <c r="D982" s="111" t="s">
        <v>1990</v>
      </c>
      <c r="E982" s="111" t="b">
        <v>0</v>
      </c>
      <c r="F982" s="111" t="b">
        <v>0</v>
      </c>
      <c r="G982" s="111" t="b">
        <v>0</v>
      </c>
    </row>
    <row r="983" spans="1:7" ht="15">
      <c r="A983" s="113" t="s">
        <v>1813</v>
      </c>
      <c r="B983" s="111">
        <v>2</v>
      </c>
      <c r="C983" s="115">
        <v>0.0004762469836194851</v>
      </c>
      <c r="D983" s="111" t="s">
        <v>1990</v>
      </c>
      <c r="E983" s="111" t="b">
        <v>0</v>
      </c>
      <c r="F983" s="111" t="b">
        <v>0</v>
      </c>
      <c r="G983" s="111" t="b">
        <v>0</v>
      </c>
    </row>
    <row r="984" spans="1:7" ht="15">
      <c r="A984" s="113" t="s">
        <v>1814</v>
      </c>
      <c r="B984" s="111">
        <v>2</v>
      </c>
      <c r="C984" s="115">
        <v>0.0004762469836194851</v>
      </c>
      <c r="D984" s="111" t="s">
        <v>1990</v>
      </c>
      <c r="E984" s="111" t="b">
        <v>1</v>
      </c>
      <c r="F984" s="111" t="b">
        <v>0</v>
      </c>
      <c r="G984" s="111" t="b">
        <v>0</v>
      </c>
    </row>
    <row r="985" spans="1:7" ht="15">
      <c r="A985" s="113" t="s">
        <v>1815</v>
      </c>
      <c r="B985" s="111">
        <v>2</v>
      </c>
      <c r="C985" s="115">
        <v>0.0004762469836194851</v>
      </c>
      <c r="D985" s="111" t="s">
        <v>1990</v>
      </c>
      <c r="E985" s="111" t="b">
        <v>0</v>
      </c>
      <c r="F985" s="111" t="b">
        <v>0</v>
      </c>
      <c r="G985" s="111" t="b">
        <v>0</v>
      </c>
    </row>
    <row r="986" spans="1:7" ht="15">
      <c r="A986" s="113" t="s">
        <v>1816</v>
      </c>
      <c r="B986" s="111">
        <v>2</v>
      </c>
      <c r="C986" s="115">
        <v>0.0004762469836194851</v>
      </c>
      <c r="D986" s="111" t="s">
        <v>1990</v>
      </c>
      <c r="E986" s="111" t="b">
        <v>0</v>
      </c>
      <c r="F986" s="111" t="b">
        <v>0</v>
      </c>
      <c r="G986" s="111" t="b">
        <v>0</v>
      </c>
    </row>
    <row r="987" spans="1:7" ht="15">
      <c r="A987" s="113" t="s">
        <v>1817</v>
      </c>
      <c r="B987" s="111">
        <v>2</v>
      </c>
      <c r="C987" s="115">
        <v>0.000558811436626611</v>
      </c>
      <c r="D987" s="111" t="s">
        <v>1990</v>
      </c>
      <c r="E987" s="111" t="b">
        <v>0</v>
      </c>
      <c r="F987" s="111" t="b">
        <v>0</v>
      </c>
      <c r="G987" s="111" t="b">
        <v>0</v>
      </c>
    </row>
    <row r="988" spans="1:7" ht="15">
      <c r="A988" s="113" t="s">
        <v>1818</v>
      </c>
      <c r="B988" s="111">
        <v>2</v>
      </c>
      <c r="C988" s="115">
        <v>0.0004762469836194851</v>
      </c>
      <c r="D988" s="111" t="s">
        <v>1990</v>
      </c>
      <c r="E988" s="111" t="b">
        <v>0</v>
      </c>
      <c r="F988" s="111" t="b">
        <v>0</v>
      </c>
      <c r="G988" s="111" t="b">
        <v>0</v>
      </c>
    </row>
    <row r="989" spans="1:7" ht="15">
      <c r="A989" s="113" t="s">
        <v>1819</v>
      </c>
      <c r="B989" s="111">
        <v>2</v>
      </c>
      <c r="C989" s="115">
        <v>0.0004762469836194851</v>
      </c>
      <c r="D989" s="111" t="s">
        <v>1990</v>
      </c>
      <c r="E989" s="111" t="b">
        <v>0</v>
      </c>
      <c r="F989" s="111" t="b">
        <v>0</v>
      </c>
      <c r="G989" s="111" t="b">
        <v>0</v>
      </c>
    </row>
    <row r="990" spans="1:7" ht="15">
      <c r="A990" s="113" t="s">
        <v>1820</v>
      </c>
      <c r="B990" s="111">
        <v>2</v>
      </c>
      <c r="C990" s="115">
        <v>0.000558811436626611</v>
      </c>
      <c r="D990" s="111" t="s">
        <v>1990</v>
      </c>
      <c r="E990" s="111" t="b">
        <v>0</v>
      </c>
      <c r="F990" s="111" t="b">
        <v>0</v>
      </c>
      <c r="G990" s="111" t="b">
        <v>0</v>
      </c>
    </row>
    <row r="991" spans="1:7" ht="15">
      <c r="A991" s="113" t="s">
        <v>1821</v>
      </c>
      <c r="B991" s="111">
        <v>2</v>
      </c>
      <c r="C991" s="115">
        <v>0.0004762469836194851</v>
      </c>
      <c r="D991" s="111" t="s">
        <v>1990</v>
      </c>
      <c r="E991" s="111" t="b">
        <v>0</v>
      </c>
      <c r="F991" s="111" t="b">
        <v>0</v>
      </c>
      <c r="G991" s="111" t="b">
        <v>0</v>
      </c>
    </row>
    <row r="992" spans="1:7" ht="15">
      <c r="A992" s="113" t="s">
        <v>1822</v>
      </c>
      <c r="B992" s="111">
        <v>2</v>
      </c>
      <c r="C992" s="115">
        <v>0.0004762469836194851</v>
      </c>
      <c r="D992" s="111" t="s">
        <v>1990</v>
      </c>
      <c r="E992" s="111" t="b">
        <v>0</v>
      </c>
      <c r="F992" s="111" t="b">
        <v>0</v>
      </c>
      <c r="G992" s="111" t="b">
        <v>0</v>
      </c>
    </row>
    <row r="993" spans="1:7" ht="15">
      <c r="A993" s="113" t="s">
        <v>1823</v>
      </c>
      <c r="B993" s="111">
        <v>2</v>
      </c>
      <c r="C993" s="115">
        <v>0.000558811436626611</v>
      </c>
      <c r="D993" s="111" t="s">
        <v>1990</v>
      </c>
      <c r="E993" s="111" t="b">
        <v>0</v>
      </c>
      <c r="F993" s="111" t="b">
        <v>0</v>
      </c>
      <c r="G993" s="111" t="b">
        <v>0</v>
      </c>
    </row>
    <row r="994" spans="1:7" ht="15">
      <c r="A994" s="113" t="s">
        <v>1824</v>
      </c>
      <c r="B994" s="111">
        <v>2</v>
      </c>
      <c r="C994" s="115">
        <v>0.000558811436626611</v>
      </c>
      <c r="D994" s="111" t="s">
        <v>1990</v>
      </c>
      <c r="E994" s="111" t="b">
        <v>0</v>
      </c>
      <c r="F994" s="111" t="b">
        <v>0</v>
      </c>
      <c r="G994" s="111" t="b">
        <v>0</v>
      </c>
    </row>
    <row r="995" spans="1:7" ht="15">
      <c r="A995" s="113" t="s">
        <v>1825</v>
      </c>
      <c r="B995" s="111">
        <v>2</v>
      </c>
      <c r="C995" s="115">
        <v>0.000558811436626611</v>
      </c>
      <c r="D995" s="111" t="s">
        <v>1990</v>
      </c>
      <c r="E995" s="111" t="b">
        <v>0</v>
      </c>
      <c r="F995" s="111" t="b">
        <v>0</v>
      </c>
      <c r="G995" s="111" t="b">
        <v>0</v>
      </c>
    </row>
    <row r="996" spans="1:7" ht="15">
      <c r="A996" s="113" t="s">
        <v>1826</v>
      </c>
      <c r="B996" s="111">
        <v>2</v>
      </c>
      <c r="C996" s="115">
        <v>0.000558811436626611</v>
      </c>
      <c r="D996" s="111" t="s">
        <v>1990</v>
      </c>
      <c r="E996" s="111" t="b">
        <v>0</v>
      </c>
      <c r="F996" s="111" t="b">
        <v>0</v>
      </c>
      <c r="G996" s="111" t="b">
        <v>0</v>
      </c>
    </row>
    <row r="997" spans="1:7" ht="15">
      <c r="A997" s="113" t="s">
        <v>1827</v>
      </c>
      <c r="B997" s="111">
        <v>2</v>
      </c>
      <c r="C997" s="115">
        <v>0.0004762469836194851</v>
      </c>
      <c r="D997" s="111" t="s">
        <v>1990</v>
      </c>
      <c r="E997" s="111" t="b">
        <v>0</v>
      </c>
      <c r="F997" s="111" t="b">
        <v>0</v>
      </c>
      <c r="G997" s="111" t="b">
        <v>0</v>
      </c>
    </row>
    <row r="998" spans="1:7" ht="15">
      <c r="A998" s="113" t="s">
        <v>1828</v>
      </c>
      <c r="B998" s="111">
        <v>2</v>
      </c>
      <c r="C998" s="115">
        <v>0.000558811436626611</v>
      </c>
      <c r="D998" s="111" t="s">
        <v>1990</v>
      </c>
      <c r="E998" s="111" t="b">
        <v>0</v>
      </c>
      <c r="F998" s="111" t="b">
        <v>0</v>
      </c>
      <c r="G998" s="111" t="b">
        <v>0</v>
      </c>
    </row>
    <row r="999" spans="1:7" ht="15">
      <c r="A999" s="113" t="s">
        <v>1829</v>
      </c>
      <c r="B999" s="111">
        <v>2</v>
      </c>
      <c r="C999" s="115">
        <v>0.0004762469836194851</v>
      </c>
      <c r="D999" s="111" t="s">
        <v>1990</v>
      </c>
      <c r="E999" s="111" t="b">
        <v>0</v>
      </c>
      <c r="F999" s="111" t="b">
        <v>0</v>
      </c>
      <c r="G999" s="111" t="b">
        <v>0</v>
      </c>
    </row>
    <row r="1000" spans="1:7" ht="15">
      <c r="A1000" s="113" t="s">
        <v>1830</v>
      </c>
      <c r="B1000" s="111">
        <v>2</v>
      </c>
      <c r="C1000" s="115">
        <v>0.0004762469836194851</v>
      </c>
      <c r="D1000" s="111" t="s">
        <v>1990</v>
      </c>
      <c r="E1000" s="111" t="b">
        <v>1</v>
      </c>
      <c r="F1000" s="111" t="b">
        <v>0</v>
      </c>
      <c r="G1000" s="111" t="b">
        <v>0</v>
      </c>
    </row>
    <row r="1001" spans="1:7" ht="15">
      <c r="A1001" s="113" t="s">
        <v>1831</v>
      </c>
      <c r="B1001" s="111">
        <v>2</v>
      </c>
      <c r="C1001" s="115">
        <v>0.000558811436626611</v>
      </c>
      <c r="D1001" s="111" t="s">
        <v>1990</v>
      </c>
      <c r="E1001" s="111" t="b">
        <v>0</v>
      </c>
      <c r="F1001" s="111" t="b">
        <v>0</v>
      </c>
      <c r="G1001" s="111" t="b">
        <v>0</v>
      </c>
    </row>
    <row r="1002" spans="1:7" ht="15">
      <c r="A1002" s="113" t="s">
        <v>1832</v>
      </c>
      <c r="B1002" s="111">
        <v>2</v>
      </c>
      <c r="C1002" s="115">
        <v>0.000558811436626611</v>
      </c>
      <c r="D1002" s="111" t="s">
        <v>1990</v>
      </c>
      <c r="E1002" s="111" t="b">
        <v>0</v>
      </c>
      <c r="F1002" s="111" t="b">
        <v>0</v>
      </c>
      <c r="G1002" s="111" t="b">
        <v>0</v>
      </c>
    </row>
    <row r="1003" spans="1:7" ht="15">
      <c r="A1003" s="113" t="s">
        <v>1833</v>
      </c>
      <c r="B1003" s="111">
        <v>2</v>
      </c>
      <c r="C1003" s="115">
        <v>0.0004762469836194851</v>
      </c>
      <c r="D1003" s="111" t="s">
        <v>1990</v>
      </c>
      <c r="E1003" s="111" t="b">
        <v>0</v>
      </c>
      <c r="F1003" s="111" t="b">
        <v>0</v>
      </c>
      <c r="G1003" s="111" t="b">
        <v>0</v>
      </c>
    </row>
    <row r="1004" spans="1:7" ht="15">
      <c r="A1004" s="113" t="s">
        <v>1834</v>
      </c>
      <c r="B1004" s="111">
        <v>2</v>
      </c>
      <c r="C1004" s="115">
        <v>0.000558811436626611</v>
      </c>
      <c r="D1004" s="111" t="s">
        <v>1990</v>
      </c>
      <c r="E1004" s="111" t="b">
        <v>0</v>
      </c>
      <c r="F1004" s="111" t="b">
        <v>0</v>
      </c>
      <c r="G1004" s="111" t="b">
        <v>0</v>
      </c>
    </row>
    <row r="1005" spans="1:7" ht="15">
      <c r="A1005" s="113" t="s">
        <v>1835</v>
      </c>
      <c r="B1005" s="111">
        <v>2</v>
      </c>
      <c r="C1005" s="115">
        <v>0.000558811436626611</v>
      </c>
      <c r="D1005" s="111" t="s">
        <v>1990</v>
      </c>
      <c r="E1005" s="111" t="b">
        <v>0</v>
      </c>
      <c r="F1005" s="111" t="b">
        <v>0</v>
      </c>
      <c r="G1005" s="111" t="b">
        <v>0</v>
      </c>
    </row>
    <row r="1006" spans="1:7" ht="15">
      <c r="A1006" s="113" t="s">
        <v>1836</v>
      </c>
      <c r="B1006" s="111">
        <v>2</v>
      </c>
      <c r="C1006" s="115">
        <v>0.000558811436626611</v>
      </c>
      <c r="D1006" s="111" t="s">
        <v>1990</v>
      </c>
      <c r="E1006" s="111" t="b">
        <v>0</v>
      </c>
      <c r="F1006" s="111" t="b">
        <v>0</v>
      </c>
      <c r="G1006" s="111" t="b">
        <v>0</v>
      </c>
    </row>
    <row r="1007" spans="1:7" ht="15">
      <c r="A1007" s="113" t="s">
        <v>1837</v>
      </c>
      <c r="B1007" s="111">
        <v>2</v>
      </c>
      <c r="C1007" s="115">
        <v>0.0004762469836194851</v>
      </c>
      <c r="D1007" s="111" t="s">
        <v>1990</v>
      </c>
      <c r="E1007" s="111" t="b">
        <v>1</v>
      </c>
      <c r="F1007" s="111" t="b">
        <v>0</v>
      </c>
      <c r="G1007" s="111" t="b">
        <v>0</v>
      </c>
    </row>
    <row r="1008" spans="1:7" ht="15">
      <c r="A1008" s="113" t="s">
        <v>1838</v>
      </c>
      <c r="B1008" s="111">
        <v>2</v>
      </c>
      <c r="C1008" s="115">
        <v>0.0004762469836194851</v>
      </c>
      <c r="D1008" s="111" t="s">
        <v>1990</v>
      </c>
      <c r="E1008" s="111" t="b">
        <v>0</v>
      </c>
      <c r="F1008" s="111" t="b">
        <v>0</v>
      </c>
      <c r="G1008" s="111" t="b">
        <v>0</v>
      </c>
    </row>
    <row r="1009" spans="1:7" ht="15">
      <c r="A1009" s="113" t="s">
        <v>1839</v>
      </c>
      <c r="B1009" s="111">
        <v>2</v>
      </c>
      <c r="C1009" s="115">
        <v>0.0004762469836194851</v>
      </c>
      <c r="D1009" s="111" t="s">
        <v>1990</v>
      </c>
      <c r="E1009" s="111" t="b">
        <v>0</v>
      </c>
      <c r="F1009" s="111" t="b">
        <v>0</v>
      </c>
      <c r="G1009" s="111" t="b">
        <v>0</v>
      </c>
    </row>
    <row r="1010" spans="1:7" ht="15">
      <c r="A1010" s="113" t="s">
        <v>1840</v>
      </c>
      <c r="B1010" s="111">
        <v>2</v>
      </c>
      <c r="C1010" s="115">
        <v>0.0004762469836194851</v>
      </c>
      <c r="D1010" s="111" t="s">
        <v>1990</v>
      </c>
      <c r="E1010" s="111" t="b">
        <v>0</v>
      </c>
      <c r="F1010" s="111" t="b">
        <v>0</v>
      </c>
      <c r="G1010" s="111" t="b">
        <v>0</v>
      </c>
    </row>
    <row r="1011" spans="1:7" ht="15">
      <c r="A1011" s="113" t="s">
        <v>1841</v>
      </c>
      <c r="B1011" s="111">
        <v>2</v>
      </c>
      <c r="C1011" s="115">
        <v>0.0004762469836194851</v>
      </c>
      <c r="D1011" s="111" t="s">
        <v>1990</v>
      </c>
      <c r="E1011" s="111" t="b">
        <v>0</v>
      </c>
      <c r="F1011" s="111" t="b">
        <v>0</v>
      </c>
      <c r="G1011" s="111" t="b">
        <v>0</v>
      </c>
    </row>
    <row r="1012" spans="1:7" ht="15">
      <c r="A1012" s="113" t="s">
        <v>1842</v>
      </c>
      <c r="B1012" s="111">
        <v>2</v>
      </c>
      <c r="C1012" s="115">
        <v>0.000558811436626611</v>
      </c>
      <c r="D1012" s="111" t="s">
        <v>1990</v>
      </c>
      <c r="E1012" s="111" t="b">
        <v>0</v>
      </c>
      <c r="F1012" s="111" t="b">
        <v>0</v>
      </c>
      <c r="G1012" s="111" t="b">
        <v>0</v>
      </c>
    </row>
    <row r="1013" spans="1:7" ht="15">
      <c r="A1013" s="113" t="s">
        <v>1843</v>
      </c>
      <c r="B1013" s="111">
        <v>2</v>
      </c>
      <c r="C1013" s="115">
        <v>0.0004762469836194851</v>
      </c>
      <c r="D1013" s="111" t="s">
        <v>1990</v>
      </c>
      <c r="E1013" s="111" t="b">
        <v>0</v>
      </c>
      <c r="F1013" s="111" t="b">
        <v>0</v>
      </c>
      <c r="G1013" s="111" t="b">
        <v>0</v>
      </c>
    </row>
    <row r="1014" spans="1:7" ht="15">
      <c r="A1014" s="113" t="s">
        <v>1844</v>
      </c>
      <c r="B1014" s="111">
        <v>2</v>
      </c>
      <c r="C1014" s="115">
        <v>0.0004762469836194851</v>
      </c>
      <c r="D1014" s="111" t="s">
        <v>1990</v>
      </c>
      <c r="E1014" s="111" t="b">
        <v>0</v>
      </c>
      <c r="F1014" s="111" t="b">
        <v>0</v>
      </c>
      <c r="G1014" s="111" t="b">
        <v>0</v>
      </c>
    </row>
    <row r="1015" spans="1:7" ht="15">
      <c r="A1015" s="113" t="s">
        <v>1845</v>
      </c>
      <c r="B1015" s="111">
        <v>2</v>
      </c>
      <c r="C1015" s="115">
        <v>0.0004762469836194851</v>
      </c>
      <c r="D1015" s="111" t="s">
        <v>1990</v>
      </c>
      <c r="E1015" s="111" t="b">
        <v>0</v>
      </c>
      <c r="F1015" s="111" t="b">
        <v>0</v>
      </c>
      <c r="G1015" s="111" t="b">
        <v>0</v>
      </c>
    </row>
    <row r="1016" spans="1:7" ht="15">
      <c r="A1016" s="113" t="s">
        <v>1846</v>
      </c>
      <c r="B1016" s="111">
        <v>2</v>
      </c>
      <c r="C1016" s="115">
        <v>0.000558811436626611</v>
      </c>
      <c r="D1016" s="111" t="s">
        <v>1990</v>
      </c>
      <c r="E1016" s="111" t="b">
        <v>0</v>
      </c>
      <c r="F1016" s="111" t="b">
        <v>0</v>
      </c>
      <c r="G1016" s="111" t="b">
        <v>0</v>
      </c>
    </row>
    <row r="1017" spans="1:7" ht="15">
      <c r="A1017" s="113" t="s">
        <v>1847</v>
      </c>
      <c r="B1017" s="111">
        <v>2</v>
      </c>
      <c r="C1017" s="115">
        <v>0.000558811436626611</v>
      </c>
      <c r="D1017" s="111" t="s">
        <v>1990</v>
      </c>
      <c r="E1017" s="111" t="b">
        <v>0</v>
      </c>
      <c r="F1017" s="111" t="b">
        <v>0</v>
      </c>
      <c r="G1017" s="111" t="b">
        <v>0</v>
      </c>
    </row>
    <row r="1018" spans="1:7" ht="15">
      <c r="A1018" s="113" t="s">
        <v>1848</v>
      </c>
      <c r="B1018" s="111">
        <v>2</v>
      </c>
      <c r="C1018" s="115">
        <v>0.0004762469836194851</v>
      </c>
      <c r="D1018" s="111" t="s">
        <v>1990</v>
      </c>
      <c r="E1018" s="111" t="b">
        <v>0</v>
      </c>
      <c r="F1018" s="111" t="b">
        <v>0</v>
      </c>
      <c r="G1018" s="111" t="b">
        <v>0</v>
      </c>
    </row>
    <row r="1019" spans="1:7" ht="15">
      <c r="A1019" s="113" t="s">
        <v>1849</v>
      </c>
      <c r="B1019" s="111">
        <v>2</v>
      </c>
      <c r="C1019" s="115">
        <v>0.0004762469836194851</v>
      </c>
      <c r="D1019" s="111" t="s">
        <v>1990</v>
      </c>
      <c r="E1019" s="111" t="b">
        <v>0</v>
      </c>
      <c r="F1019" s="111" t="b">
        <v>0</v>
      </c>
      <c r="G1019" s="111" t="b">
        <v>0</v>
      </c>
    </row>
    <row r="1020" spans="1:7" ht="15">
      <c r="A1020" s="113" t="s">
        <v>1850</v>
      </c>
      <c r="B1020" s="111">
        <v>2</v>
      </c>
      <c r="C1020" s="115">
        <v>0.0004762469836194851</v>
      </c>
      <c r="D1020" s="111" t="s">
        <v>1990</v>
      </c>
      <c r="E1020" s="111" t="b">
        <v>0</v>
      </c>
      <c r="F1020" s="111" t="b">
        <v>0</v>
      </c>
      <c r="G1020" s="111" t="b">
        <v>0</v>
      </c>
    </row>
    <row r="1021" spans="1:7" ht="15">
      <c r="A1021" s="113" t="s">
        <v>1851</v>
      </c>
      <c r="B1021" s="111">
        <v>2</v>
      </c>
      <c r="C1021" s="115">
        <v>0.0004762469836194851</v>
      </c>
      <c r="D1021" s="111" t="s">
        <v>1990</v>
      </c>
      <c r="E1021" s="111" t="b">
        <v>0</v>
      </c>
      <c r="F1021" s="111" t="b">
        <v>0</v>
      </c>
      <c r="G1021" s="111" t="b">
        <v>0</v>
      </c>
    </row>
    <row r="1022" spans="1:7" ht="15">
      <c r="A1022" s="113" t="s">
        <v>1852</v>
      </c>
      <c r="B1022" s="111">
        <v>2</v>
      </c>
      <c r="C1022" s="115">
        <v>0.0004762469836194851</v>
      </c>
      <c r="D1022" s="111" t="s">
        <v>1990</v>
      </c>
      <c r="E1022" s="111" t="b">
        <v>0</v>
      </c>
      <c r="F1022" s="111" t="b">
        <v>0</v>
      </c>
      <c r="G1022" s="111" t="b">
        <v>0</v>
      </c>
    </row>
    <row r="1023" spans="1:7" ht="15">
      <c r="A1023" s="113" t="s">
        <v>1853</v>
      </c>
      <c r="B1023" s="111">
        <v>2</v>
      </c>
      <c r="C1023" s="115">
        <v>0.000558811436626611</v>
      </c>
      <c r="D1023" s="111" t="s">
        <v>1990</v>
      </c>
      <c r="E1023" s="111" t="b">
        <v>0</v>
      </c>
      <c r="F1023" s="111" t="b">
        <v>0</v>
      </c>
      <c r="G1023" s="111" t="b">
        <v>0</v>
      </c>
    </row>
    <row r="1024" spans="1:7" ht="15">
      <c r="A1024" s="113" t="s">
        <v>1854</v>
      </c>
      <c r="B1024" s="111">
        <v>2</v>
      </c>
      <c r="C1024" s="115">
        <v>0.0004762469836194851</v>
      </c>
      <c r="D1024" s="111" t="s">
        <v>1990</v>
      </c>
      <c r="E1024" s="111" t="b">
        <v>0</v>
      </c>
      <c r="F1024" s="111" t="b">
        <v>0</v>
      </c>
      <c r="G1024" s="111" t="b">
        <v>0</v>
      </c>
    </row>
    <row r="1025" spans="1:7" ht="15">
      <c r="A1025" s="113" t="s">
        <v>1855</v>
      </c>
      <c r="B1025" s="111">
        <v>2</v>
      </c>
      <c r="C1025" s="115">
        <v>0.0004762469836194851</v>
      </c>
      <c r="D1025" s="111" t="s">
        <v>1990</v>
      </c>
      <c r="E1025" s="111" t="b">
        <v>0</v>
      </c>
      <c r="F1025" s="111" t="b">
        <v>0</v>
      </c>
      <c r="G1025" s="111" t="b">
        <v>0</v>
      </c>
    </row>
    <row r="1026" spans="1:7" ht="15">
      <c r="A1026" s="113" t="s">
        <v>1856</v>
      </c>
      <c r="B1026" s="111">
        <v>2</v>
      </c>
      <c r="C1026" s="115">
        <v>0.0004762469836194851</v>
      </c>
      <c r="D1026" s="111" t="s">
        <v>1990</v>
      </c>
      <c r="E1026" s="111" t="b">
        <v>0</v>
      </c>
      <c r="F1026" s="111" t="b">
        <v>0</v>
      </c>
      <c r="G1026" s="111" t="b">
        <v>0</v>
      </c>
    </row>
    <row r="1027" spans="1:7" ht="15">
      <c r="A1027" s="113" t="s">
        <v>1857</v>
      </c>
      <c r="B1027" s="111">
        <v>2</v>
      </c>
      <c r="C1027" s="115">
        <v>0.0004762469836194851</v>
      </c>
      <c r="D1027" s="111" t="s">
        <v>1990</v>
      </c>
      <c r="E1027" s="111" t="b">
        <v>0</v>
      </c>
      <c r="F1027" s="111" t="b">
        <v>0</v>
      </c>
      <c r="G1027" s="111" t="b">
        <v>0</v>
      </c>
    </row>
    <row r="1028" spans="1:7" ht="15">
      <c r="A1028" s="113" t="s">
        <v>1858</v>
      </c>
      <c r="B1028" s="111">
        <v>2</v>
      </c>
      <c r="C1028" s="115">
        <v>0.000558811436626611</v>
      </c>
      <c r="D1028" s="111" t="s">
        <v>1990</v>
      </c>
      <c r="E1028" s="111" t="b">
        <v>0</v>
      </c>
      <c r="F1028" s="111" t="b">
        <v>0</v>
      </c>
      <c r="G1028" s="111" t="b">
        <v>0</v>
      </c>
    </row>
    <row r="1029" spans="1:7" ht="15">
      <c r="A1029" s="113" t="s">
        <v>1859</v>
      </c>
      <c r="B1029" s="111">
        <v>2</v>
      </c>
      <c r="C1029" s="115">
        <v>0.0004762469836194851</v>
      </c>
      <c r="D1029" s="111" t="s">
        <v>1990</v>
      </c>
      <c r="E1029" s="111" t="b">
        <v>0</v>
      </c>
      <c r="F1029" s="111" t="b">
        <v>0</v>
      </c>
      <c r="G1029" s="111" t="b">
        <v>0</v>
      </c>
    </row>
    <row r="1030" spans="1:7" ht="15">
      <c r="A1030" s="113" t="s">
        <v>1860</v>
      </c>
      <c r="B1030" s="111">
        <v>2</v>
      </c>
      <c r="C1030" s="115">
        <v>0.0004762469836194851</v>
      </c>
      <c r="D1030" s="111" t="s">
        <v>1990</v>
      </c>
      <c r="E1030" s="111" t="b">
        <v>0</v>
      </c>
      <c r="F1030" s="111" t="b">
        <v>0</v>
      </c>
      <c r="G1030" s="111" t="b">
        <v>0</v>
      </c>
    </row>
    <row r="1031" spans="1:7" ht="15">
      <c r="A1031" s="113" t="s">
        <v>1861</v>
      </c>
      <c r="B1031" s="111">
        <v>2</v>
      </c>
      <c r="C1031" s="115">
        <v>0.000558811436626611</v>
      </c>
      <c r="D1031" s="111" t="s">
        <v>1990</v>
      </c>
      <c r="E1031" s="111" t="b">
        <v>0</v>
      </c>
      <c r="F1031" s="111" t="b">
        <v>0</v>
      </c>
      <c r="G1031" s="111" t="b">
        <v>0</v>
      </c>
    </row>
    <row r="1032" spans="1:7" ht="15">
      <c r="A1032" s="113" t="s">
        <v>1862</v>
      </c>
      <c r="B1032" s="111">
        <v>2</v>
      </c>
      <c r="C1032" s="115">
        <v>0.000558811436626611</v>
      </c>
      <c r="D1032" s="111" t="s">
        <v>1990</v>
      </c>
      <c r="E1032" s="111" t="b">
        <v>0</v>
      </c>
      <c r="F1032" s="111" t="b">
        <v>0</v>
      </c>
      <c r="G1032" s="111" t="b">
        <v>0</v>
      </c>
    </row>
    <row r="1033" spans="1:7" ht="15">
      <c r="A1033" s="113" t="s">
        <v>1863</v>
      </c>
      <c r="B1033" s="111">
        <v>2</v>
      </c>
      <c r="C1033" s="115">
        <v>0.0004762469836194851</v>
      </c>
      <c r="D1033" s="111" t="s">
        <v>1990</v>
      </c>
      <c r="E1033" s="111" t="b">
        <v>0</v>
      </c>
      <c r="F1033" s="111" t="b">
        <v>0</v>
      </c>
      <c r="G1033" s="111" t="b">
        <v>0</v>
      </c>
    </row>
    <row r="1034" spans="1:7" ht="15">
      <c r="A1034" s="113" t="s">
        <v>1864</v>
      </c>
      <c r="B1034" s="111">
        <v>2</v>
      </c>
      <c r="C1034" s="115">
        <v>0.000558811436626611</v>
      </c>
      <c r="D1034" s="111" t="s">
        <v>1990</v>
      </c>
      <c r="E1034" s="111" t="b">
        <v>0</v>
      </c>
      <c r="F1034" s="111" t="b">
        <v>0</v>
      </c>
      <c r="G1034" s="111" t="b">
        <v>0</v>
      </c>
    </row>
    <row r="1035" spans="1:7" ht="15">
      <c r="A1035" s="113" t="s">
        <v>1865</v>
      </c>
      <c r="B1035" s="111">
        <v>2</v>
      </c>
      <c r="C1035" s="115">
        <v>0.0004762469836194851</v>
      </c>
      <c r="D1035" s="111" t="s">
        <v>1990</v>
      </c>
      <c r="E1035" s="111" t="b">
        <v>0</v>
      </c>
      <c r="F1035" s="111" t="b">
        <v>0</v>
      </c>
      <c r="G1035" s="111" t="b">
        <v>0</v>
      </c>
    </row>
    <row r="1036" spans="1:7" ht="15">
      <c r="A1036" s="113" t="s">
        <v>1866</v>
      </c>
      <c r="B1036" s="111">
        <v>2</v>
      </c>
      <c r="C1036" s="115">
        <v>0.0004762469836194851</v>
      </c>
      <c r="D1036" s="111" t="s">
        <v>1990</v>
      </c>
      <c r="E1036" s="111" t="b">
        <v>0</v>
      </c>
      <c r="F1036" s="111" t="b">
        <v>0</v>
      </c>
      <c r="G1036" s="111" t="b">
        <v>0</v>
      </c>
    </row>
    <row r="1037" spans="1:7" ht="15">
      <c r="A1037" s="113" t="s">
        <v>1867</v>
      </c>
      <c r="B1037" s="111">
        <v>2</v>
      </c>
      <c r="C1037" s="115">
        <v>0.0004762469836194851</v>
      </c>
      <c r="D1037" s="111" t="s">
        <v>1990</v>
      </c>
      <c r="E1037" s="111" t="b">
        <v>0</v>
      </c>
      <c r="F1037" s="111" t="b">
        <v>0</v>
      </c>
      <c r="G1037" s="111" t="b">
        <v>0</v>
      </c>
    </row>
    <row r="1038" spans="1:7" ht="15">
      <c r="A1038" s="113" t="s">
        <v>1868</v>
      </c>
      <c r="B1038" s="111">
        <v>2</v>
      </c>
      <c r="C1038" s="115">
        <v>0.0004762469836194851</v>
      </c>
      <c r="D1038" s="111" t="s">
        <v>1990</v>
      </c>
      <c r="E1038" s="111" t="b">
        <v>0</v>
      </c>
      <c r="F1038" s="111" t="b">
        <v>0</v>
      </c>
      <c r="G1038" s="111" t="b">
        <v>0</v>
      </c>
    </row>
    <row r="1039" spans="1:7" ht="15">
      <c r="A1039" s="113" t="s">
        <v>1869</v>
      </c>
      <c r="B1039" s="111">
        <v>2</v>
      </c>
      <c r="C1039" s="115">
        <v>0.0004762469836194851</v>
      </c>
      <c r="D1039" s="111" t="s">
        <v>1990</v>
      </c>
      <c r="E1039" s="111" t="b">
        <v>0</v>
      </c>
      <c r="F1039" s="111" t="b">
        <v>0</v>
      </c>
      <c r="G1039" s="111" t="b">
        <v>0</v>
      </c>
    </row>
    <row r="1040" spans="1:7" ht="15">
      <c r="A1040" s="113" t="s">
        <v>1870</v>
      </c>
      <c r="B1040" s="111">
        <v>2</v>
      </c>
      <c r="C1040" s="115">
        <v>0.0004762469836194851</v>
      </c>
      <c r="D1040" s="111" t="s">
        <v>1990</v>
      </c>
      <c r="E1040" s="111" t="b">
        <v>0</v>
      </c>
      <c r="F1040" s="111" t="b">
        <v>0</v>
      </c>
      <c r="G1040" s="111" t="b">
        <v>0</v>
      </c>
    </row>
    <row r="1041" spans="1:7" ht="15">
      <c r="A1041" s="113" t="s">
        <v>1871</v>
      </c>
      <c r="B1041" s="111">
        <v>2</v>
      </c>
      <c r="C1041" s="115">
        <v>0.0004762469836194851</v>
      </c>
      <c r="D1041" s="111" t="s">
        <v>1990</v>
      </c>
      <c r="E1041" s="111" t="b">
        <v>0</v>
      </c>
      <c r="F1041" s="111" t="b">
        <v>0</v>
      </c>
      <c r="G1041" s="111" t="b">
        <v>0</v>
      </c>
    </row>
    <row r="1042" spans="1:7" ht="15">
      <c r="A1042" s="113" t="s">
        <v>1872</v>
      </c>
      <c r="B1042" s="111">
        <v>2</v>
      </c>
      <c r="C1042" s="115">
        <v>0.000558811436626611</v>
      </c>
      <c r="D1042" s="111" t="s">
        <v>1990</v>
      </c>
      <c r="E1042" s="111" t="b">
        <v>0</v>
      </c>
      <c r="F1042" s="111" t="b">
        <v>0</v>
      </c>
      <c r="G1042" s="111" t="b">
        <v>0</v>
      </c>
    </row>
    <row r="1043" spans="1:7" ht="15">
      <c r="A1043" s="113" t="s">
        <v>1873</v>
      </c>
      <c r="B1043" s="111">
        <v>2</v>
      </c>
      <c r="C1043" s="115">
        <v>0.0004762469836194851</v>
      </c>
      <c r="D1043" s="111" t="s">
        <v>1990</v>
      </c>
      <c r="E1043" s="111" t="b">
        <v>0</v>
      </c>
      <c r="F1043" s="111" t="b">
        <v>0</v>
      </c>
      <c r="G1043" s="111" t="b">
        <v>0</v>
      </c>
    </row>
    <row r="1044" spans="1:7" ht="15">
      <c r="A1044" s="113" t="s">
        <v>1874</v>
      </c>
      <c r="B1044" s="111">
        <v>2</v>
      </c>
      <c r="C1044" s="115">
        <v>0.000558811436626611</v>
      </c>
      <c r="D1044" s="111" t="s">
        <v>1990</v>
      </c>
      <c r="E1044" s="111" t="b">
        <v>0</v>
      </c>
      <c r="F1044" s="111" t="b">
        <v>0</v>
      </c>
      <c r="G1044" s="111" t="b">
        <v>0</v>
      </c>
    </row>
    <row r="1045" spans="1:7" ht="15">
      <c r="A1045" s="113" t="s">
        <v>1875</v>
      </c>
      <c r="B1045" s="111">
        <v>2</v>
      </c>
      <c r="C1045" s="115">
        <v>0.0004762469836194851</v>
      </c>
      <c r="D1045" s="111" t="s">
        <v>1990</v>
      </c>
      <c r="E1045" s="111" t="b">
        <v>1</v>
      </c>
      <c r="F1045" s="111" t="b">
        <v>0</v>
      </c>
      <c r="G1045" s="111" t="b">
        <v>0</v>
      </c>
    </row>
    <row r="1046" spans="1:7" ht="15">
      <c r="A1046" s="113" t="s">
        <v>1876</v>
      </c>
      <c r="B1046" s="111">
        <v>2</v>
      </c>
      <c r="C1046" s="115">
        <v>0.0004762469836194851</v>
      </c>
      <c r="D1046" s="111" t="s">
        <v>1990</v>
      </c>
      <c r="E1046" s="111" t="b">
        <v>0</v>
      </c>
      <c r="F1046" s="111" t="b">
        <v>0</v>
      </c>
      <c r="G1046" s="111" t="b">
        <v>0</v>
      </c>
    </row>
    <row r="1047" spans="1:7" ht="15">
      <c r="A1047" s="113" t="s">
        <v>1877</v>
      </c>
      <c r="B1047" s="111">
        <v>2</v>
      </c>
      <c r="C1047" s="115">
        <v>0.000558811436626611</v>
      </c>
      <c r="D1047" s="111" t="s">
        <v>1990</v>
      </c>
      <c r="E1047" s="111" t="b">
        <v>0</v>
      </c>
      <c r="F1047" s="111" t="b">
        <v>0</v>
      </c>
      <c r="G1047" s="111" t="b">
        <v>0</v>
      </c>
    </row>
    <row r="1048" spans="1:7" ht="15">
      <c r="A1048" s="113" t="s">
        <v>1878</v>
      </c>
      <c r="B1048" s="111">
        <v>2</v>
      </c>
      <c r="C1048" s="115">
        <v>0.000558811436626611</v>
      </c>
      <c r="D1048" s="111" t="s">
        <v>1990</v>
      </c>
      <c r="E1048" s="111" t="b">
        <v>0</v>
      </c>
      <c r="F1048" s="111" t="b">
        <v>0</v>
      </c>
      <c r="G1048" s="111" t="b">
        <v>0</v>
      </c>
    </row>
    <row r="1049" spans="1:7" ht="15">
      <c r="A1049" s="113" t="s">
        <v>1879</v>
      </c>
      <c r="B1049" s="111">
        <v>2</v>
      </c>
      <c r="C1049" s="115">
        <v>0.000558811436626611</v>
      </c>
      <c r="D1049" s="111" t="s">
        <v>1990</v>
      </c>
      <c r="E1049" s="111" t="b">
        <v>0</v>
      </c>
      <c r="F1049" s="111" t="b">
        <v>0</v>
      </c>
      <c r="G1049" s="111" t="b">
        <v>0</v>
      </c>
    </row>
    <row r="1050" spans="1:7" ht="15">
      <c r="A1050" s="113" t="s">
        <v>1880</v>
      </c>
      <c r="B1050" s="111">
        <v>2</v>
      </c>
      <c r="C1050" s="115">
        <v>0.000558811436626611</v>
      </c>
      <c r="D1050" s="111" t="s">
        <v>1990</v>
      </c>
      <c r="E1050" s="111" t="b">
        <v>0</v>
      </c>
      <c r="F1050" s="111" t="b">
        <v>0</v>
      </c>
      <c r="G1050" s="111" t="b">
        <v>0</v>
      </c>
    </row>
    <row r="1051" spans="1:7" ht="15">
      <c r="A1051" s="113" t="s">
        <v>1881</v>
      </c>
      <c r="B1051" s="111">
        <v>2</v>
      </c>
      <c r="C1051" s="115">
        <v>0.0004762469836194851</v>
      </c>
      <c r="D1051" s="111" t="s">
        <v>1990</v>
      </c>
      <c r="E1051" s="111" t="b">
        <v>0</v>
      </c>
      <c r="F1051" s="111" t="b">
        <v>0</v>
      </c>
      <c r="G1051" s="111" t="b">
        <v>0</v>
      </c>
    </row>
    <row r="1052" spans="1:7" ht="15">
      <c r="A1052" s="113" t="s">
        <v>1882</v>
      </c>
      <c r="B1052" s="111">
        <v>2</v>
      </c>
      <c r="C1052" s="115">
        <v>0.0004762469836194851</v>
      </c>
      <c r="D1052" s="111" t="s">
        <v>1990</v>
      </c>
      <c r="E1052" s="111" t="b">
        <v>0</v>
      </c>
      <c r="F1052" s="111" t="b">
        <v>0</v>
      </c>
      <c r="G1052" s="111" t="b">
        <v>0</v>
      </c>
    </row>
    <row r="1053" spans="1:7" ht="15">
      <c r="A1053" s="113" t="s">
        <v>1883</v>
      </c>
      <c r="B1053" s="111">
        <v>2</v>
      </c>
      <c r="C1053" s="115">
        <v>0.000558811436626611</v>
      </c>
      <c r="D1053" s="111" t="s">
        <v>1990</v>
      </c>
      <c r="E1053" s="111" t="b">
        <v>0</v>
      </c>
      <c r="F1053" s="111" t="b">
        <v>0</v>
      </c>
      <c r="G1053" s="111" t="b">
        <v>0</v>
      </c>
    </row>
    <row r="1054" spans="1:7" ht="15">
      <c r="A1054" s="113" t="s">
        <v>1884</v>
      </c>
      <c r="B1054" s="111">
        <v>2</v>
      </c>
      <c r="C1054" s="115">
        <v>0.0004762469836194851</v>
      </c>
      <c r="D1054" s="111" t="s">
        <v>1990</v>
      </c>
      <c r="E1054" s="111" t="b">
        <v>0</v>
      </c>
      <c r="F1054" s="111" t="b">
        <v>0</v>
      </c>
      <c r="G1054" s="111" t="b">
        <v>0</v>
      </c>
    </row>
    <row r="1055" spans="1:7" ht="15">
      <c r="A1055" s="113" t="s">
        <v>1885</v>
      </c>
      <c r="B1055" s="111">
        <v>2</v>
      </c>
      <c r="C1055" s="115">
        <v>0.0004762469836194851</v>
      </c>
      <c r="D1055" s="111" t="s">
        <v>1990</v>
      </c>
      <c r="E1055" s="111" t="b">
        <v>0</v>
      </c>
      <c r="F1055" s="111" t="b">
        <v>0</v>
      </c>
      <c r="G1055" s="111" t="b">
        <v>0</v>
      </c>
    </row>
    <row r="1056" spans="1:7" ht="15">
      <c r="A1056" s="113" t="s">
        <v>1886</v>
      </c>
      <c r="B1056" s="111">
        <v>2</v>
      </c>
      <c r="C1056" s="115">
        <v>0.0004762469836194851</v>
      </c>
      <c r="D1056" s="111" t="s">
        <v>1990</v>
      </c>
      <c r="E1056" s="111" t="b">
        <v>0</v>
      </c>
      <c r="F1056" s="111" t="b">
        <v>0</v>
      </c>
      <c r="G1056" s="111" t="b">
        <v>0</v>
      </c>
    </row>
    <row r="1057" spans="1:7" ht="15">
      <c r="A1057" s="113" t="s">
        <v>1887</v>
      </c>
      <c r="B1057" s="111">
        <v>2</v>
      </c>
      <c r="C1057" s="115">
        <v>0.0004762469836194851</v>
      </c>
      <c r="D1057" s="111" t="s">
        <v>1990</v>
      </c>
      <c r="E1057" s="111" t="b">
        <v>0</v>
      </c>
      <c r="F1057" s="111" t="b">
        <v>0</v>
      </c>
      <c r="G1057" s="111" t="b">
        <v>0</v>
      </c>
    </row>
    <row r="1058" spans="1:7" ht="15">
      <c r="A1058" s="113" t="s">
        <v>1888</v>
      </c>
      <c r="B1058" s="111">
        <v>2</v>
      </c>
      <c r="C1058" s="115">
        <v>0.000558811436626611</v>
      </c>
      <c r="D1058" s="111" t="s">
        <v>1990</v>
      </c>
      <c r="E1058" s="111" t="b">
        <v>0</v>
      </c>
      <c r="F1058" s="111" t="b">
        <v>0</v>
      </c>
      <c r="G1058" s="111" t="b">
        <v>0</v>
      </c>
    </row>
    <row r="1059" spans="1:7" ht="15">
      <c r="A1059" s="113" t="s">
        <v>1889</v>
      </c>
      <c r="B1059" s="111">
        <v>2</v>
      </c>
      <c r="C1059" s="115">
        <v>0.0004762469836194851</v>
      </c>
      <c r="D1059" s="111" t="s">
        <v>1990</v>
      </c>
      <c r="E1059" s="111" t="b">
        <v>0</v>
      </c>
      <c r="F1059" s="111" t="b">
        <v>0</v>
      </c>
      <c r="G1059" s="111" t="b">
        <v>0</v>
      </c>
    </row>
    <row r="1060" spans="1:7" ht="15">
      <c r="A1060" s="113" t="s">
        <v>1890</v>
      </c>
      <c r="B1060" s="111">
        <v>2</v>
      </c>
      <c r="C1060" s="115">
        <v>0.000558811436626611</v>
      </c>
      <c r="D1060" s="111" t="s">
        <v>1990</v>
      </c>
      <c r="E1060" s="111" t="b">
        <v>0</v>
      </c>
      <c r="F1060" s="111" t="b">
        <v>1</v>
      </c>
      <c r="G1060" s="111" t="b">
        <v>0</v>
      </c>
    </row>
    <row r="1061" spans="1:7" ht="15">
      <c r="A1061" s="113" t="s">
        <v>1891</v>
      </c>
      <c r="B1061" s="111">
        <v>2</v>
      </c>
      <c r="C1061" s="115">
        <v>0.000558811436626611</v>
      </c>
      <c r="D1061" s="111" t="s">
        <v>1990</v>
      </c>
      <c r="E1061" s="111" t="b">
        <v>0</v>
      </c>
      <c r="F1061" s="111" t="b">
        <v>0</v>
      </c>
      <c r="G1061" s="111" t="b">
        <v>0</v>
      </c>
    </row>
    <row r="1062" spans="1:7" ht="15">
      <c r="A1062" s="113" t="s">
        <v>1892</v>
      </c>
      <c r="B1062" s="111">
        <v>2</v>
      </c>
      <c r="C1062" s="115">
        <v>0.0004762469836194851</v>
      </c>
      <c r="D1062" s="111" t="s">
        <v>1990</v>
      </c>
      <c r="E1062" s="111" t="b">
        <v>0</v>
      </c>
      <c r="F1062" s="111" t="b">
        <v>0</v>
      </c>
      <c r="G1062" s="111" t="b">
        <v>0</v>
      </c>
    </row>
    <row r="1063" spans="1:7" ht="15">
      <c r="A1063" s="113" t="s">
        <v>1893</v>
      </c>
      <c r="B1063" s="111">
        <v>2</v>
      </c>
      <c r="C1063" s="115">
        <v>0.000558811436626611</v>
      </c>
      <c r="D1063" s="111" t="s">
        <v>1990</v>
      </c>
      <c r="E1063" s="111" t="b">
        <v>0</v>
      </c>
      <c r="F1063" s="111" t="b">
        <v>1</v>
      </c>
      <c r="G1063" s="111" t="b">
        <v>0</v>
      </c>
    </row>
    <row r="1064" spans="1:7" ht="15">
      <c r="A1064" s="113" t="s">
        <v>1894</v>
      </c>
      <c r="B1064" s="111">
        <v>2</v>
      </c>
      <c r="C1064" s="115">
        <v>0.000558811436626611</v>
      </c>
      <c r="D1064" s="111" t="s">
        <v>1990</v>
      </c>
      <c r="E1064" s="111" t="b">
        <v>0</v>
      </c>
      <c r="F1064" s="111" t="b">
        <v>0</v>
      </c>
      <c r="G1064" s="111" t="b">
        <v>0</v>
      </c>
    </row>
    <row r="1065" spans="1:7" ht="15">
      <c r="A1065" s="113" t="s">
        <v>1895</v>
      </c>
      <c r="B1065" s="111">
        <v>2</v>
      </c>
      <c r="C1065" s="115">
        <v>0.000558811436626611</v>
      </c>
      <c r="D1065" s="111" t="s">
        <v>1990</v>
      </c>
      <c r="E1065" s="111" t="b">
        <v>0</v>
      </c>
      <c r="F1065" s="111" t="b">
        <v>0</v>
      </c>
      <c r="G1065" s="111" t="b">
        <v>0</v>
      </c>
    </row>
    <row r="1066" spans="1:7" ht="15">
      <c r="A1066" s="113" t="s">
        <v>1896</v>
      </c>
      <c r="B1066" s="111">
        <v>2</v>
      </c>
      <c r="C1066" s="115">
        <v>0.0004762469836194851</v>
      </c>
      <c r="D1066" s="111" t="s">
        <v>1990</v>
      </c>
      <c r="E1066" s="111" t="b">
        <v>0</v>
      </c>
      <c r="F1066" s="111" t="b">
        <v>0</v>
      </c>
      <c r="G1066" s="111" t="b">
        <v>0</v>
      </c>
    </row>
    <row r="1067" spans="1:7" ht="15">
      <c r="A1067" s="113" t="s">
        <v>1897</v>
      </c>
      <c r="B1067" s="111">
        <v>2</v>
      </c>
      <c r="C1067" s="115">
        <v>0.000558811436626611</v>
      </c>
      <c r="D1067" s="111" t="s">
        <v>1990</v>
      </c>
      <c r="E1067" s="111" t="b">
        <v>0</v>
      </c>
      <c r="F1067" s="111" t="b">
        <v>0</v>
      </c>
      <c r="G1067" s="111" t="b">
        <v>0</v>
      </c>
    </row>
    <row r="1068" spans="1:7" ht="15">
      <c r="A1068" s="113" t="s">
        <v>1898</v>
      </c>
      <c r="B1068" s="111">
        <v>2</v>
      </c>
      <c r="C1068" s="115">
        <v>0.000558811436626611</v>
      </c>
      <c r="D1068" s="111" t="s">
        <v>1990</v>
      </c>
      <c r="E1068" s="111" t="b">
        <v>0</v>
      </c>
      <c r="F1068" s="111" t="b">
        <v>0</v>
      </c>
      <c r="G1068" s="111" t="b">
        <v>0</v>
      </c>
    </row>
    <row r="1069" spans="1:7" ht="15">
      <c r="A1069" s="113" t="s">
        <v>1899</v>
      </c>
      <c r="B1069" s="111">
        <v>2</v>
      </c>
      <c r="C1069" s="115">
        <v>0.000558811436626611</v>
      </c>
      <c r="D1069" s="111" t="s">
        <v>1990</v>
      </c>
      <c r="E1069" s="111" t="b">
        <v>0</v>
      </c>
      <c r="F1069" s="111" t="b">
        <v>0</v>
      </c>
      <c r="G1069" s="111" t="b">
        <v>0</v>
      </c>
    </row>
    <row r="1070" spans="1:7" ht="15">
      <c r="A1070" s="113" t="s">
        <v>1900</v>
      </c>
      <c r="B1070" s="111">
        <v>2</v>
      </c>
      <c r="C1070" s="115">
        <v>0.000558811436626611</v>
      </c>
      <c r="D1070" s="111" t="s">
        <v>1990</v>
      </c>
      <c r="E1070" s="111" t="b">
        <v>0</v>
      </c>
      <c r="F1070" s="111" t="b">
        <v>0</v>
      </c>
      <c r="G1070" s="111" t="b">
        <v>0</v>
      </c>
    </row>
    <row r="1071" spans="1:7" ht="15">
      <c r="A1071" s="113" t="s">
        <v>1901</v>
      </c>
      <c r="B1071" s="111">
        <v>2</v>
      </c>
      <c r="C1071" s="115">
        <v>0.0004762469836194851</v>
      </c>
      <c r="D1071" s="111" t="s">
        <v>1990</v>
      </c>
      <c r="E1071" s="111" t="b">
        <v>0</v>
      </c>
      <c r="F1071" s="111" t="b">
        <v>0</v>
      </c>
      <c r="G1071" s="111" t="b">
        <v>0</v>
      </c>
    </row>
    <row r="1072" spans="1:7" ht="15">
      <c r="A1072" s="113" t="s">
        <v>1902</v>
      </c>
      <c r="B1072" s="111">
        <v>2</v>
      </c>
      <c r="C1072" s="115">
        <v>0.000558811436626611</v>
      </c>
      <c r="D1072" s="111" t="s">
        <v>1990</v>
      </c>
      <c r="E1072" s="111" t="b">
        <v>0</v>
      </c>
      <c r="F1072" s="111" t="b">
        <v>0</v>
      </c>
      <c r="G1072" s="111" t="b">
        <v>0</v>
      </c>
    </row>
    <row r="1073" spans="1:7" ht="15">
      <c r="A1073" s="113" t="s">
        <v>1903</v>
      </c>
      <c r="B1073" s="111">
        <v>2</v>
      </c>
      <c r="C1073" s="115">
        <v>0.000558811436626611</v>
      </c>
      <c r="D1073" s="111" t="s">
        <v>1990</v>
      </c>
      <c r="E1073" s="111" t="b">
        <v>0</v>
      </c>
      <c r="F1073" s="111" t="b">
        <v>0</v>
      </c>
      <c r="G1073" s="111" t="b">
        <v>0</v>
      </c>
    </row>
    <row r="1074" spans="1:7" ht="15">
      <c r="A1074" s="113" t="s">
        <v>1904</v>
      </c>
      <c r="B1074" s="111">
        <v>2</v>
      </c>
      <c r="C1074" s="115">
        <v>0.0004762469836194851</v>
      </c>
      <c r="D1074" s="111" t="s">
        <v>1990</v>
      </c>
      <c r="E1074" s="111" t="b">
        <v>0</v>
      </c>
      <c r="F1074" s="111" t="b">
        <v>0</v>
      </c>
      <c r="G1074" s="111" t="b">
        <v>0</v>
      </c>
    </row>
    <row r="1075" spans="1:7" ht="15">
      <c r="A1075" s="113" t="s">
        <v>1905</v>
      </c>
      <c r="B1075" s="111">
        <v>2</v>
      </c>
      <c r="C1075" s="115">
        <v>0.000558811436626611</v>
      </c>
      <c r="D1075" s="111" t="s">
        <v>1990</v>
      </c>
      <c r="E1075" s="111" t="b">
        <v>0</v>
      </c>
      <c r="F1075" s="111" t="b">
        <v>0</v>
      </c>
      <c r="G1075" s="111" t="b">
        <v>0</v>
      </c>
    </row>
    <row r="1076" spans="1:7" ht="15">
      <c r="A1076" s="113" t="s">
        <v>1906</v>
      </c>
      <c r="B1076" s="111">
        <v>2</v>
      </c>
      <c r="C1076" s="115">
        <v>0.000558811436626611</v>
      </c>
      <c r="D1076" s="111" t="s">
        <v>1990</v>
      </c>
      <c r="E1076" s="111" t="b">
        <v>0</v>
      </c>
      <c r="F1076" s="111" t="b">
        <v>0</v>
      </c>
      <c r="G1076" s="111" t="b">
        <v>0</v>
      </c>
    </row>
    <row r="1077" spans="1:7" ht="15">
      <c r="A1077" s="113" t="s">
        <v>1907</v>
      </c>
      <c r="B1077" s="111">
        <v>2</v>
      </c>
      <c r="C1077" s="115">
        <v>0.000558811436626611</v>
      </c>
      <c r="D1077" s="111" t="s">
        <v>1990</v>
      </c>
      <c r="E1077" s="111" t="b">
        <v>0</v>
      </c>
      <c r="F1077" s="111" t="b">
        <v>0</v>
      </c>
      <c r="G1077" s="111" t="b">
        <v>0</v>
      </c>
    </row>
    <row r="1078" spans="1:7" ht="15">
      <c r="A1078" s="113" t="s">
        <v>1908</v>
      </c>
      <c r="B1078" s="111">
        <v>2</v>
      </c>
      <c r="C1078" s="115">
        <v>0.0004762469836194851</v>
      </c>
      <c r="D1078" s="111" t="s">
        <v>1990</v>
      </c>
      <c r="E1078" s="111" t="b">
        <v>0</v>
      </c>
      <c r="F1078" s="111" t="b">
        <v>0</v>
      </c>
      <c r="G1078" s="111" t="b">
        <v>0</v>
      </c>
    </row>
    <row r="1079" spans="1:7" ht="15">
      <c r="A1079" s="113" t="s">
        <v>1909</v>
      </c>
      <c r="B1079" s="111">
        <v>2</v>
      </c>
      <c r="C1079" s="115">
        <v>0.0004762469836194851</v>
      </c>
      <c r="D1079" s="111" t="s">
        <v>1990</v>
      </c>
      <c r="E1079" s="111" t="b">
        <v>0</v>
      </c>
      <c r="F1079" s="111" t="b">
        <v>0</v>
      </c>
      <c r="G1079" s="111" t="b">
        <v>0</v>
      </c>
    </row>
    <row r="1080" spans="1:7" ht="15">
      <c r="A1080" s="113" t="s">
        <v>1910</v>
      </c>
      <c r="B1080" s="111">
        <v>2</v>
      </c>
      <c r="C1080" s="115">
        <v>0.0004762469836194851</v>
      </c>
      <c r="D1080" s="111" t="s">
        <v>1990</v>
      </c>
      <c r="E1080" s="111" t="b">
        <v>0</v>
      </c>
      <c r="F1080" s="111" t="b">
        <v>0</v>
      </c>
      <c r="G1080" s="111" t="b">
        <v>0</v>
      </c>
    </row>
    <row r="1081" spans="1:7" ht="15">
      <c r="A1081" s="113" t="s">
        <v>1911</v>
      </c>
      <c r="B1081" s="111">
        <v>2</v>
      </c>
      <c r="C1081" s="115">
        <v>0.0004762469836194851</v>
      </c>
      <c r="D1081" s="111" t="s">
        <v>1990</v>
      </c>
      <c r="E1081" s="111" t="b">
        <v>0</v>
      </c>
      <c r="F1081" s="111" t="b">
        <v>1</v>
      </c>
      <c r="G1081" s="111" t="b">
        <v>0</v>
      </c>
    </row>
    <row r="1082" spans="1:7" ht="15">
      <c r="A1082" s="113" t="s">
        <v>1912</v>
      </c>
      <c r="B1082" s="111">
        <v>2</v>
      </c>
      <c r="C1082" s="115">
        <v>0.000558811436626611</v>
      </c>
      <c r="D1082" s="111" t="s">
        <v>1990</v>
      </c>
      <c r="E1082" s="111" t="b">
        <v>0</v>
      </c>
      <c r="F1082" s="111" t="b">
        <v>1</v>
      </c>
      <c r="G1082" s="111" t="b">
        <v>0</v>
      </c>
    </row>
    <row r="1083" spans="1:7" ht="15">
      <c r="A1083" s="113" t="s">
        <v>1913</v>
      </c>
      <c r="B1083" s="111">
        <v>2</v>
      </c>
      <c r="C1083" s="115">
        <v>0.000558811436626611</v>
      </c>
      <c r="D1083" s="111" t="s">
        <v>1990</v>
      </c>
      <c r="E1083" s="111" t="b">
        <v>0</v>
      </c>
      <c r="F1083" s="111" t="b">
        <v>0</v>
      </c>
      <c r="G1083" s="111" t="b">
        <v>0</v>
      </c>
    </row>
    <row r="1084" spans="1:7" ht="15">
      <c r="A1084" s="113" t="s">
        <v>1914</v>
      </c>
      <c r="B1084" s="111">
        <v>2</v>
      </c>
      <c r="C1084" s="115">
        <v>0.0004762469836194851</v>
      </c>
      <c r="D1084" s="111" t="s">
        <v>1990</v>
      </c>
      <c r="E1084" s="111" t="b">
        <v>0</v>
      </c>
      <c r="F1084" s="111" t="b">
        <v>1</v>
      </c>
      <c r="G1084" s="111" t="b">
        <v>0</v>
      </c>
    </row>
    <row r="1085" spans="1:7" ht="15">
      <c r="A1085" s="113" t="s">
        <v>1915</v>
      </c>
      <c r="B1085" s="111">
        <v>2</v>
      </c>
      <c r="C1085" s="115">
        <v>0.000558811436626611</v>
      </c>
      <c r="D1085" s="111" t="s">
        <v>1990</v>
      </c>
      <c r="E1085" s="111" t="b">
        <v>0</v>
      </c>
      <c r="F1085" s="111" t="b">
        <v>0</v>
      </c>
      <c r="G1085" s="111" t="b">
        <v>0</v>
      </c>
    </row>
    <row r="1086" spans="1:7" ht="15">
      <c r="A1086" s="113" t="s">
        <v>1916</v>
      </c>
      <c r="B1086" s="111">
        <v>2</v>
      </c>
      <c r="C1086" s="115">
        <v>0.0004762469836194851</v>
      </c>
      <c r="D1086" s="111" t="s">
        <v>1990</v>
      </c>
      <c r="E1086" s="111" t="b">
        <v>0</v>
      </c>
      <c r="F1086" s="111" t="b">
        <v>0</v>
      </c>
      <c r="G1086" s="111" t="b">
        <v>0</v>
      </c>
    </row>
    <row r="1087" spans="1:7" ht="15">
      <c r="A1087" s="113" t="s">
        <v>1917</v>
      </c>
      <c r="B1087" s="111">
        <v>2</v>
      </c>
      <c r="C1087" s="115">
        <v>0.000558811436626611</v>
      </c>
      <c r="D1087" s="111" t="s">
        <v>1990</v>
      </c>
      <c r="E1087" s="111" t="b">
        <v>0</v>
      </c>
      <c r="F1087" s="111" t="b">
        <v>0</v>
      </c>
      <c r="G1087" s="111" t="b">
        <v>0</v>
      </c>
    </row>
    <row r="1088" spans="1:7" ht="15">
      <c r="A1088" s="113" t="s">
        <v>1918</v>
      </c>
      <c r="B1088" s="111">
        <v>2</v>
      </c>
      <c r="C1088" s="115">
        <v>0.000558811436626611</v>
      </c>
      <c r="D1088" s="111" t="s">
        <v>1990</v>
      </c>
      <c r="E1088" s="111" t="b">
        <v>0</v>
      </c>
      <c r="F1088" s="111" t="b">
        <v>0</v>
      </c>
      <c r="G1088" s="111" t="b">
        <v>0</v>
      </c>
    </row>
    <row r="1089" spans="1:7" ht="15">
      <c r="A1089" s="113" t="s">
        <v>1919</v>
      </c>
      <c r="B1089" s="111">
        <v>2</v>
      </c>
      <c r="C1089" s="115">
        <v>0.000558811436626611</v>
      </c>
      <c r="D1089" s="111" t="s">
        <v>1990</v>
      </c>
      <c r="E1089" s="111" t="b">
        <v>0</v>
      </c>
      <c r="F1089" s="111" t="b">
        <v>0</v>
      </c>
      <c r="G1089" s="111" t="b">
        <v>0</v>
      </c>
    </row>
    <row r="1090" spans="1:7" ht="15">
      <c r="A1090" s="113" t="s">
        <v>1920</v>
      </c>
      <c r="B1090" s="111">
        <v>2</v>
      </c>
      <c r="C1090" s="115">
        <v>0.0004762469836194851</v>
      </c>
      <c r="D1090" s="111" t="s">
        <v>1990</v>
      </c>
      <c r="E1090" s="111" t="b">
        <v>0</v>
      </c>
      <c r="F1090" s="111" t="b">
        <v>0</v>
      </c>
      <c r="G1090" s="111" t="b">
        <v>0</v>
      </c>
    </row>
    <row r="1091" spans="1:7" ht="15">
      <c r="A1091" s="113" t="s">
        <v>1921</v>
      </c>
      <c r="B1091" s="111">
        <v>2</v>
      </c>
      <c r="C1091" s="115">
        <v>0.000558811436626611</v>
      </c>
      <c r="D1091" s="111" t="s">
        <v>1990</v>
      </c>
      <c r="E1091" s="111" t="b">
        <v>0</v>
      </c>
      <c r="F1091" s="111" t="b">
        <v>0</v>
      </c>
      <c r="G1091" s="111" t="b">
        <v>0</v>
      </c>
    </row>
    <row r="1092" spans="1:7" ht="15">
      <c r="A1092" s="113" t="s">
        <v>1922</v>
      </c>
      <c r="B1092" s="111">
        <v>2</v>
      </c>
      <c r="C1092" s="115">
        <v>0.0004762469836194851</v>
      </c>
      <c r="D1092" s="111" t="s">
        <v>1990</v>
      </c>
      <c r="E1092" s="111" t="b">
        <v>0</v>
      </c>
      <c r="F1092" s="111" t="b">
        <v>0</v>
      </c>
      <c r="G1092" s="111" t="b">
        <v>0</v>
      </c>
    </row>
    <row r="1093" spans="1:7" ht="15">
      <c r="A1093" s="113" t="s">
        <v>1923</v>
      </c>
      <c r="B1093" s="111">
        <v>2</v>
      </c>
      <c r="C1093" s="115">
        <v>0.0004762469836194851</v>
      </c>
      <c r="D1093" s="111" t="s">
        <v>1990</v>
      </c>
      <c r="E1093" s="111" t="b">
        <v>0</v>
      </c>
      <c r="F1093" s="111" t="b">
        <v>0</v>
      </c>
      <c r="G1093" s="111" t="b">
        <v>0</v>
      </c>
    </row>
    <row r="1094" spans="1:7" ht="15">
      <c r="A1094" s="113" t="s">
        <v>1924</v>
      </c>
      <c r="B1094" s="111">
        <v>2</v>
      </c>
      <c r="C1094" s="115">
        <v>0.0004762469836194851</v>
      </c>
      <c r="D1094" s="111" t="s">
        <v>1990</v>
      </c>
      <c r="E1094" s="111" t="b">
        <v>0</v>
      </c>
      <c r="F1094" s="111" t="b">
        <v>0</v>
      </c>
      <c r="G1094" s="111" t="b">
        <v>0</v>
      </c>
    </row>
    <row r="1095" spans="1:7" ht="15">
      <c r="A1095" s="113" t="s">
        <v>1925</v>
      </c>
      <c r="B1095" s="111">
        <v>2</v>
      </c>
      <c r="C1095" s="115">
        <v>0.0004762469836194851</v>
      </c>
      <c r="D1095" s="111" t="s">
        <v>1990</v>
      </c>
      <c r="E1095" s="111" t="b">
        <v>0</v>
      </c>
      <c r="F1095" s="111" t="b">
        <v>0</v>
      </c>
      <c r="G1095" s="111" t="b">
        <v>0</v>
      </c>
    </row>
    <row r="1096" spans="1:7" ht="15">
      <c r="A1096" s="113" t="s">
        <v>1926</v>
      </c>
      <c r="B1096" s="111">
        <v>2</v>
      </c>
      <c r="C1096" s="115">
        <v>0.0004762469836194851</v>
      </c>
      <c r="D1096" s="111" t="s">
        <v>1990</v>
      </c>
      <c r="E1096" s="111" t="b">
        <v>0</v>
      </c>
      <c r="F1096" s="111" t="b">
        <v>0</v>
      </c>
      <c r="G1096" s="111" t="b">
        <v>0</v>
      </c>
    </row>
    <row r="1097" spans="1:7" ht="15">
      <c r="A1097" s="113" t="s">
        <v>1927</v>
      </c>
      <c r="B1097" s="111">
        <v>2</v>
      </c>
      <c r="C1097" s="115">
        <v>0.0004762469836194851</v>
      </c>
      <c r="D1097" s="111" t="s">
        <v>1990</v>
      </c>
      <c r="E1097" s="111" t="b">
        <v>0</v>
      </c>
      <c r="F1097" s="111" t="b">
        <v>0</v>
      </c>
      <c r="G1097" s="111" t="b">
        <v>0</v>
      </c>
    </row>
    <row r="1098" spans="1:7" ht="15">
      <c r="A1098" s="113" t="s">
        <v>1928</v>
      </c>
      <c r="B1098" s="111">
        <v>2</v>
      </c>
      <c r="C1098" s="115">
        <v>0.000558811436626611</v>
      </c>
      <c r="D1098" s="111" t="s">
        <v>1990</v>
      </c>
      <c r="E1098" s="111" t="b">
        <v>0</v>
      </c>
      <c r="F1098" s="111" t="b">
        <v>0</v>
      </c>
      <c r="G1098" s="111" t="b">
        <v>0</v>
      </c>
    </row>
    <row r="1099" spans="1:7" ht="15">
      <c r="A1099" s="113" t="s">
        <v>1929</v>
      </c>
      <c r="B1099" s="111">
        <v>2</v>
      </c>
      <c r="C1099" s="115">
        <v>0.000558811436626611</v>
      </c>
      <c r="D1099" s="111" t="s">
        <v>1990</v>
      </c>
      <c r="E1099" s="111" t="b">
        <v>0</v>
      </c>
      <c r="F1099" s="111" t="b">
        <v>0</v>
      </c>
      <c r="G1099" s="111" t="b">
        <v>0</v>
      </c>
    </row>
    <row r="1100" spans="1:7" ht="15">
      <c r="A1100" s="113" t="s">
        <v>1930</v>
      </c>
      <c r="B1100" s="111">
        <v>2</v>
      </c>
      <c r="C1100" s="115">
        <v>0.0004762469836194851</v>
      </c>
      <c r="D1100" s="111" t="s">
        <v>1990</v>
      </c>
      <c r="E1100" s="111" t="b">
        <v>0</v>
      </c>
      <c r="F1100" s="111" t="b">
        <v>0</v>
      </c>
      <c r="G1100" s="111" t="b">
        <v>0</v>
      </c>
    </row>
    <row r="1101" spans="1:7" ht="15">
      <c r="A1101" s="113" t="s">
        <v>1931</v>
      </c>
      <c r="B1101" s="111">
        <v>2</v>
      </c>
      <c r="C1101" s="115">
        <v>0.000558811436626611</v>
      </c>
      <c r="D1101" s="111" t="s">
        <v>1990</v>
      </c>
      <c r="E1101" s="111" t="b">
        <v>0</v>
      </c>
      <c r="F1101" s="111" t="b">
        <v>0</v>
      </c>
      <c r="G1101" s="111" t="b">
        <v>0</v>
      </c>
    </row>
    <row r="1102" spans="1:7" ht="15">
      <c r="A1102" s="113" t="s">
        <v>1932</v>
      </c>
      <c r="B1102" s="111">
        <v>2</v>
      </c>
      <c r="C1102" s="115">
        <v>0.0004762469836194851</v>
      </c>
      <c r="D1102" s="111" t="s">
        <v>1990</v>
      </c>
      <c r="E1102" s="111" t="b">
        <v>0</v>
      </c>
      <c r="F1102" s="111" t="b">
        <v>0</v>
      </c>
      <c r="G1102" s="111" t="b">
        <v>0</v>
      </c>
    </row>
    <row r="1103" spans="1:7" ht="15">
      <c r="A1103" s="113" t="s">
        <v>1933</v>
      </c>
      <c r="B1103" s="111">
        <v>2</v>
      </c>
      <c r="C1103" s="115">
        <v>0.0004762469836194851</v>
      </c>
      <c r="D1103" s="111" t="s">
        <v>1990</v>
      </c>
      <c r="E1103" s="111" t="b">
        <v>0</v>
      </c>
      <c r="F1103" s="111" t="b">
        <v>0</v>
      </c>
      <c r="G1103" s="111" t="b">
        <v>0</v>
      </c>
    </row>
    <row r="1104" spans="1:7" ht="15">
      <c r="A1104" s="113" t="s">
        <v>1934</v>
      </c>
      <c r="B1104" s="111">
        <v>2</v>
      </c>
      <c r="C1104" s="115">
        <v>0.0004762469836194851</v>
      </c>
      <c r="D1104" s="111" t="s">
        <v>1990</v>
      </c>
      <c r="E1104" s="111" t="b">
        <v>0</v>
      </c>
      <c r="F1104" s="111" t="b">
        <v>0</v>
      </c>
      <c r="G1104" s="111" t="b">
        <v>0</v>
      </c>
    </row>
    <row r="1105" spans="1:7" ht="15">
      <c r="A1105" s="113" t="s">
        <v>1935</v>
      </c>
      <c r="B1105" s="111">
        <v>2</v>
      </c>
      <c r="C1105" s="115">
        <v>0.000558811436626611</v>
      </c>
      <c r="D1105" s="111" t="s">
        <v>1990</v>
      </c>
      <c r="E1105" s="111" t="b">
        <v>0</v>
      </c>
      <c r="F1105" s="111" t="b">
        <v>0</v>
      </c>
      <c r="G1105" s="111" t="b">
        <v>0</v>
      </c>
    </row>
    <row r="1106" spans="1:7" ht="15">
      <c r="A1106" s="113" t="s">
        <v>1936</v>
      </c>
      <c r="B1106" s="111">
        <v>2</v>
      </c>
      <c r="C1106" s="115">
        <v>0.000558811436626611</v>
      </c>
      <c r="D1106" s="111" t="s">
        <v>1990</v>
      </c>
      <c r="E1106" s="111" t="b">
        <v>0</v>
      </c>
      <c r="F1106" s="111" t="b">
        <v>0</v>
      </c>
      <c r="G1106" s="111" t="b">
        <v>0</v>
      </c>
    </row>
    <row r="1107" spans="1:7" ht="15">
      <c r="A1107" s="113" t="s">
        <v>1937</v>
      </c>
      <c r="B1107" s="111">
        <v>2</v>
      </c>
      <c r="C1107" s="115">
        <v>0.000558811436626611</v>
      </c>
      <c r="D1107" s="111" t="s">
        <v>1990</v>
      </c>
      <c r="E1107" s="111" t="b">
        <v>0</v>
      </c>
      <c r="F1107" s="111" t="b">
        <v>0</v>
      </c>
      <c r="G1107" s="111" t="b">
        <v>0</v>
      </c>
    </row>
    <row r="1108" spans="1:7" ht="15">
      <c r="A1108" s="113" t="s">
        <v>1938</v>
      </c>
      <c r="B1108" s="111">
        <v>2</v>
      </c>
      <c r="C1108" s="115">
        <v>0.000558811436626611</v>
      </c>
      <c r="D1108" s="111" t="s">
        <v>1990</v>
      </c>
      <c r="E1108" s="111" t="b">
        <v>0</v>
      </c>
      <c r="F1108" s="111" t="b">
        <v>0</v>
      </c>
      <c r="G1108" s="111" t="b">
        <v>0</v>
      </c>
    </row>
    <row r="1109" spans="1:7" ht="15">
      <c r="A1109" s="113" t="s">
        <v>1939</v>
      </c>
      <c r="B1109" s="111">
        <v>2</v>
      </c>
      <c r="C1109" s="115">
        <v>0.0004762469836194851</v>
      </c>
      <c r="D1109" s="111" t="s">
        <v>1990</v>
      </c>
      <c r="E1109" s="111" t="b">
        <v>0</v>
      </c>
      <c r="F1109" s="111" t="b">
        <v>0</v>
      </c>
      <c r="G1109" s="111" t="b">
        <v>0</v>
      </c>
    </row>
    <row r="1110" spans="1:7" ht="15">
      <c r="A1110" s="113" t="s">
        <v>1940</v>
      </c>
      <c r="B1110" s="111">
        <v>2</v>
      </c>
      <c r="C1110" s="115">
        <v>0.000558811436626611</v>
      </c>
      <c r="D1110" s="111" t="s">
        <v>1990</v>
      </c>
      <c r="E1110" s="111" t="b">
        <v>0</v>
      </c>
      <c r="F1110" s="111" t="b">
        <v>0</v>
      </c>
      <c r="G1110" s="111" t="b">
        <v>0</v>
      </c>
    </row>
    <row r="1111" spans="1:7" ht="15">
      <c r="A1111" s="113" t="s">
        <v>1941</v>
      </c>
      <c r="B1111" s="111">
        <v>2</v>
      </c>
      <c r="C1111" s="115">
        <v>0.0004762469836194851</v>
      </c>
      <c r="D1111" s="111" t="s">
        <v>1990</v>
      </c>
      <c r="E1111" s="111" t="b">
        <v>0</v>
      </c>
      <c r="F1111" s="111" t="b">
        <v>0</v>
      </c>
      <c r="G1111" s="111" t="b">
        <v>0</v>
      </c>
    </row>
    <row r="1112" spans="1:7" ht="15">
      <c r="A1112" s="113" t="s">
        <v>1942</v>
      </c>
      <c r="B1112" s="111">
        <v>2</v>
      </c>
      <c r="C1112" s="115">
        <v>0.000558811436626611</v>
      </c>
      <c r="D1112" s="111" t="s">
        <v>1990</v>
      </c>
      <c r="E1112" s="111" t="b">
        <v>0</v>
      </c>
      <c r="F1112" s="111" t="b">
        <v>0</v>
      </c>
      <c r="G1112" s="111" t="b">
        <v>0</v>
      </c>
    </row>
    <row r="1113" spans="1:7" ht="15">
      <c r="A1113" s="113" t="s">
        <v>1943</v>
      </c>
      <c r="B1113" s="111">
        <v>2</v>
      </c>
      <c r="C1113" s="115">
        <v>0.000558811436626611</v>
      </c>
      <c r="D1113" s="111" t="s">
        <v>1990</v>
      </c>
      <c r="E1113" s="111" t="b">
        <v>0</v>
      </c>
      <c r="F1113" s="111" t="b">
        <v>0</v>
      </c>
      <c r="G1113" s="111" t="b">
        <v>0</v>
      </c>
    </row>
    <row r="1114" spans="1:7" ht="15">
      <c r="A1114" s="113" t="s">
        <v>1944</v>
      </c>
      <c r="B1114" s="111">
        <v>2</v>
      </c>
      <c r="C1114" s="115">
        <v>0.000558811436626611</v>
      </c>
      <c r="D1114" s="111" t="s">
        <v>1990</v>
      </c>
      <c r="E1114" s="111" t="b">
        <v>0</v>
      </c>
      <c r="F1114" s="111" t="b">
        <v>0</v>
      </c>
      <c r="G1114" s="111" t="b">
        <v>0</v>
      </c>
    </row>
    <row r="1115" spans="1:7" ht="15">
      <c r="A1115" s="113" t="s">
        <v>1945</v>
      </c>
      <c r="B1115" s="111">
        <v>2</v>
      </c>
      <c r="C1115" s="115">
        <v>0.0004762469836194851</v>
      </c>
      <c r="D1115" s="111" t="s">
        <v>1990</v>
      </c>
      <c r="E1115" s="111" t="b">
        <v>0</v>
      </c>
      <c r="F1115" s="111" t="b">
        <v>0</v>
      </c>
      <c r="G1115" s="111" t="b">
        <v>0</v>
      </c>
    </row>
    <row r="1116" spans="1:7" ht="15">
      <c r="A1116" s="113" t="s">
        <v>1946</v>
      </c>
      <c r="B1116" s="111">
        <v>2</v>
      </c>
      <c r="C1116" s="115">
        <v>0.0004762469836194851</v>
      </c>
      <c r="D1116" s="111" t="s">
        <v>1990</v>
      </c>
      <c r="E1116" s="111" t="b">
        <v>0</v>
      </c>
      <c r="F1116" s="111" t="b">
        <v>0</v>
      </c>
      <c r="G1116" s="111" t="b">
        <v>0</v>
      </c>
    </row>
    <row r="1117" spans="1:7" ht="15">
      <c r="A1117" s="113" t="s">
        <v>1947</v>
      </c>
      <c r="B1117" s="111">
        <v>2</v>
      </c>
      <c r="C1117" s="115">
        <v>0.0004762469836194851</v>
      </c>
      <c r="D1117" s="111" t="s">
        <v>1990</v>
      </c>
      <c r="E1117" s="111" t="b">
        <v>0</v>
      </c>
      <c r="F1117" s="111" t="b">
        <v>0</v>
      </c>
      <c r="G1117" s="111" t="b">
        <v>0</v>
      </c>
    </row>
    <row r="1118" spans="1:7" ht="15">
      <c r="A1118" s="113" t="s">
        <v>1948</v>
      </c>
      <c r="B1118" s="111">
        <v>2</v>
      </c>
      <c r="C1118" s="115">
        <v>0.0004762469836194851</v>
      </c>
      <c r="D1118" s="111" t="s">
        <v>1990</v>
      </c>
      <c r="E1118" s="111" t="b">
        <v>0</v>
      </c>
      <c r="F1118" s="111" t="b">
        <v>1</v>
      </c>
      <c r="G1118" s="111" t="b">
        <v>0</v>
      </c>
    </row>
    <row r="1119" spans="1:7" ht="15">
      <c r="A1119" s="113" t="s">
        <v>1949</v>
      </c>
      <c r="B1119" s="111">
        <v>2</v>
      </c>
      <c r="C1119" s="115">
        <v>0.000558811436626611</v>
      </c>
      <c r="D1119" s="111" t="s">
        <v>1990</v>
      </c>
      <c r="E1119" s="111" t="b">
        <v>0</v>
      </c>
      <c r="F1119" s="111" t="b">
        <v>0</v>
      </c>
      <c r="G1119" s="111" t="b">
        <v>0</v>
      </c>
    </row>
    <row r="1120" spans="1:7" ht="15">
      <c r="A1120" s="113" t="s">
        <v>1950</v>
      </c>
      <c r="B1120" s="111">
        <v>2</v>
      </c>
      <c r="C1120" s="115">
        <v>0.000558811436626611</v>
      </c>
      <c r="D1120" s="111" t="s">
        <v>1990</v>
      </c>
      <c r="E1120" s="111" t="b">
        <v>0</v>
      </c>
      <c r="F1120" s="111" t="b">
        <v>0</v>
      </c>
      <c r="G1120" s="111" t="b">
        <v>0</v>
      </c>
    </row>
    <row r="1121" spans="1:7" ht="15">
      <c r="A1121" s="113" t="s">
        <v>783</v>
      </c>
      <c r="B1121" s="111">
        <v>2</v>
      </c>
      <c r="C1121" s="115">
        <v>0.0004762469836194851</v>
      </c>
      <c r="D1121" s="111" t="s">
        <v>1990</v>
      </c>
      <c r="E1121" s="111" t="b">
        <v>0</v>
      </c>
      <c r="F1121" s="111" t="b">
        <v>0</v>
      </c>
      <c r="G1121" s="111" t="b">
        <v>0</v>
      </c>
    </row>
    <row r="1122" spans="1:7" ht="15">
      <c r="A1122" s="113" t="s">
        <v>1951</v>
      </c>
      <c r="B1122" s="111">
        <v>2</v>
      </c>
      <c r="C1122" s="115">
        <v>0.000558811436626611</v>
      </c>
      <c r="D1122" s="111" t="s">
        <v>1990</v>
      </c>
      <c r="E1122" s="111" t="b">
        <v>0</v>
      </c>
      <c r="F1122" s="111" t="b">
        <v>0</v>
      </c>
      <c r="G1122" s="111" t="b">
        <v>0</v>
      </c>
    </row>
    <row r="1123" spans="1:7" ht="15">
      <c r="A1123" s="113" t="s">
        <v>1952</v>
      </c>
      <c r="B1123" s="111">
        <v>2</v>
      </c>
      <c r="C1123" s="115">
        <v>0.000558811436626611</v>
      </c>
      <c r="D1123" s="111" t="s">
        <v>1990</v>
      </c>
      <c r="E1123" s="111" t="b">
        <v>0</v>
      </c>
      <c r="F1123" s="111" t="b">
        <v>0</v>
      </c>
      <c r="G1123" s="111" t="b">
        <v>0</v>
      </c>
    </row>
    <row r="1124" spans="1:7" ht="15">
      <c r="A1124" s="113" t="s">
        <v>1953</v>
      </c>
      <c r="B1124" s="111">
        <v>2</v>
      </c>
      <c r="C1124" s="115">
        <v>0.000558811436626611</v>
      </c>
      <c r="D1124" s="111" t="s">
        <v>1990</v>
      </c>
      <c r="E1124" s="111" t="b">
        <v>0</v>
      </c>
      <c r="F1124" s="111" t="b">
        <v>0</v>
      </c>
      <c r="G1124" s="111" t="b">
        <v>0</v>
      </c>
    </row>
    <row r="1125" spans="1:7" ht="15">
      <c r="A1125" s="113" t="s">
        <v>1954</v>
      </c>
      <c r="B1125" s="111">
        <v>2</v>
      </c>
      <c r="C1125" s="115">
        <v>0.0004762469836194851</v>
      </c>
      <c r="D1125" s="111" t="s">
        <v>1990</v>
      </c>
      <c r="E1125" s="111" t="b">
        <v>0</v>
      </c>
      <c r="F1125" s="111" t="b">
        <v>0</v>
      </c>
      <c r="G1125" s="111" t="b">
        <v>0</v>
      </c>
    </row>
    <row r="1126" spans="1:7" ht="15">
      <c r="A1126" s="113" t="s">
        <v>1955</v>
      </c>
      <c r="B1126" s="111">
        <v>2</v>
      </c>
      <c r="C1126" s="115">
        <v>0.000558811436626611</v>
      </c>
      <c r="D1126" s="111" t="s">
        <v>1990</v>
      </c>
      <c r="E1126" s="111" t="b">
        <v>0</v>
      </c>
      <c r="F1126" s="111" t="b">
        <v>0</v>
      </c>
      <c r="G1126" s="111" t="b">
        <v>0</v>
      </c>
    </row>
    <row r="1127" spans="1:7" ht="15">
      <c r="A1127" s="113" t="s">
        <v>1956</v>
      </c>
      <c r="B1127" s="111">
        <v>2</v>
      </c>
      <c r="C1127" s="115">
        <v>0.0004762469836194851</v>
      </c>
      <c r="D1127" s="111" t="s">
        <v>1990</v>
      </c>
      <c r="E1127" s="111" t="b">
        <v>0</v>
      </c>
      <c r="F1127" s="111" t="b">
        <v>0</v>
      </c>
      <c r="G1127" s="111" t="b">
        <v>0</v>
      </c>
    </row>
    <row r="1128" spans="1:7" ht="15">
      <c r="A1128" s="113" t="s">
        <v>1957</v>
      </c>
      <c r="B1128" s="111">
        <v>2</v>
      </c>
      <c r="C1128" s="115">
        <v>0.000558811436626611</v>
      </c>
      <c r="D1128" s="111" t="s">
        <v>1990</v>
      </c>
      <c r="E1128" s="111" t="b">
        <v>0</v>
      </c>
      <c r="F1128" s="111" t="b">
        <v>0</v>
      </c>
      <c r="G1128" s="111" t="b">
        <v>0</v>
      </c>
    </row>
    <row r="1129" spans="1:7" ht="15">
      <c r="A1129" s="113" t="s">
        <v>1958</v>
      </c>
      <c r="B1129" s="111">
        <v>2</v>
      </c>
      <c r="C1129" s="115">
        <v>0.0004762469836194851</v>
      </c>
      <c r="D1129" s="111" t="s">
        <v>1990</v>
      </c>
      <c r="E1129" s="111" t="b">
        <v>0</v>
      </c>
      <c r="F1129" s="111" t="b">
        <v>0</v>
      </c>
      <c r="G1129" s="111" t="b">
        <v>0</v>
      </c>
    </row>
    <row r="1130" spans="1:7" ht="15">
      <c r="A1130" s="113" t="s">
        <v>775</v>
      </c>
      <c r="B1130" s="111">
        <v>2</v>
      </c>
      <c r="C1130" s="115">
        <v>0.000558811436626611</v>
      </c>
      <c r="D1130" s="111" t="s">
        <v>1990</v>
      </c>
      <c r="E1130" s="111" t="b">
        <v>0</v>
      </c>
      <c r="F1130" s="111" t="b">
        <v>0</v>
      </c>
      <c r="G1130" s="111" t="b">
        <v>0</v>
      </c>
    </row>
    <row r="1131" spans="1:7" ht="15">
      <c r="A1131" s="113" t="s">
        <v>1959</v>
      </c>
      <c r="B1131" s="111">
        <v>2</v>
      </c>
      <c r="C1131" s="115">
        <v>0.000558811436626611</v>
      </c>
      <c r="D1131" s="111" t="s">
        <v>1990</v>
      </c>
      <c r="E1131" s="111" t="b">
        <v>0</v>
      </c>
      <c r="F1131" s="111" t="b">
        <v>0</v>
      </c>
      <c r="G1131" s="111" t="b">
        <v>0</v>
      </c>
    </row>
    <row r="1132" spans="1:7" ht="15">
      <c r="A1132" s="113" t="s">
        <v>1960</v>
      </c>
      <c r="B1132" s="111">
        <v>2</v>
      </c>
      <c r="C1132" s="115">
        <v>0.000558811436626611</v>
      </c>
      <c r="D1132" s="111" t="s">
        <v>1990</v>
      </c>
      <c r="E1132" s="111" t="b">
        <v>0</v>
      </c>
      <c r="F1132" s="111" t="b">
        <v>0</v>
      </c>
      <c r="G1132" s="111" t="b">
        <v>0</v>
      </c>
    </row>
    <row r="1133" spans="1:7" ht="15">
      <c r="A1133" s="113" t="s">
        <v>1961</v>
      </c>
      <c r="B1133" s="111">
        <v>2</v>
      </c>
      <c r="C1133" s="115">
        <v>0.000558811436626611</v>
      </c>
      <c r="D1133" s="111" t="s">
        <v>1990</v>
      </c>
      <c r="E1133" s="111" t="b">
        <v>0</v>
      </c>
      <c r="F1133" s="111" t="b">
        <v>0</v>
      </c>
      <c r="G1133" s="111" t="b">
        <v>0</v>
      </c>
    </row>
    <row r="1134" spans="1:7" ht="15">
      <c r="A1134" s="113" t="s">
        <v>1962</v>
      </c>
      <c r="B1134" s="111">
        <v>2</v>
      </c>
      <c r="C1134" s="115">
        <v>0.000558811436626611</v>
      </c>
      <c r="D1134" s="111" t="s">
        <v>1990</v>
      </c>
      <c r="E1134" s="111" t="b">
        <v>0</v>
      </c>
      <c r="F1134" s="111" t="b">
        <v>0</v>
      </c>
      <c r="G1134" s="111" t="b">
        <v>0</v>
      </c>
    </row>
    <row r="1135" spans="1:7" ht="15">
      <c r="A1135" s="113" t="s">
        <v>1963</v>
      </c>
      <c r="B1135" s="111">
        <v>2</v>
      </c>
      <c r="C1135" s="115">
        <v>0.000558811436626611</v>
      </c>
      <c r="D1135" s="111" t="s">
        <v>1990</v>
      </c>
      <c r="E1135" s="111" t="b">
        <v>0</v>
      </c>
      <c r="F1135" s="111" t="b">
        <v>0</v>
      </c>
      <c r="G1135" s="111" t="b">
        <v>0</v>
      </c>
    </row>
    <row r="1136" spans="1:7" ht="15">
      <c r="A1136" s="113" t="s">
        <v>1964</v>
      </c>
      <c r="B1136" s="111">
        <v>2</v>
      </c>
      <c r="C1136" s="115">
        <v>0.000558811436626611</v>
      </c>
      <c r="D1136" s="111" t="s">
        <v>1990</v>
      </c>
      <c r="E1136" s="111" t="b">
        <v>0</v>
      </c>
      <c r="F1136" s="111" t="b">
        <v>0</v>
      </c>
      <c r="G1136" s="111" t="b">
        <v>0</v>
      </c>
    </row>
    <row r="1137" spans="1:7" ht="15">
      <c r="A1137" s="113" t="s">
        <v>1965</v>
      </c>
      <c r="B1137" s="111">
        <v>2</v>
      </c>
      <c r="C1137" s="115">
        <v>0.000558811436626611</v>
      </c>
      <c r="D1137" s="111" t="s">
        <v>1990</v>
      </c>
      <c r="E1137" s="111" t="b">
        <v>0</v>
      </c>
      <c r="F1137" s="111" t="b">
        <v>0</v>
      </c>
      <c r="G1137" s="111" t="b">
        <v>0</v>
      </c>
    </row>
    <row r="1138" spans="1:7" ht="15">
      <c r="A1138" s="113" t="s">
        <v>1966</v>
      </c>
      <c r="B1138" s="111">
        <v>2</v>
      </c>
      <c r="C1138" s="115">
        <v>0.000558811436626611</v>
      </c>
      <c r="D1138" s="111" t="s">
        <v>1990</v>
      </c>
      <c r="E1138" s="111" t="b">
        <v>0</v>
      </c>
      <c r="F1138" s="111" t="b">
        <v>0</v>
      </c>
      <c r="G1138" s="111" t="b">
        <v>0</v>
      </c>
    </row>
    <row r="1139" spans="1:7" ht="15">
      <c r="A1139" s="113" t="s">
        <v>1967</v>
      </c>
      <c r="B1139" s="111">
        <v>2</v>
      </c>
      <c r="C1139" s="115">
        <v>0.000558811436626611</v>
      </c>
      <c r="D1139" s="111" t="s">
        <v>1990</v>
      </c>
      <c r="E1139" s="111" t="b">
        <v>0</v>
      </c>
      <c r="F1139" s="111" t="b">
        <v>0</v>
      </c>
      <c r="G1139" s="111" t="b">
        <v>0</v>
      </c>
    </row>
    <row r="1140" spans="1:7" ht="15">
      <c r="A1140" s="113" t="s">
        <v>1968</v>
      </c>
      <c r="B1140" s="111">
        <v>2</v>
      </c>
      <c r="C1140" s="115">
        <v>0.000558811436626611</v>
      </c>
      <c r="D1140" s="111" t="s">
        <v>1990</v>
      </c>
      <c r="E1140" s="111" t="b">
        <v>0</v>
      </c>
      <c r="F1140" s="111" t="b">
        <v>0</v>
      </c>
      <c r="G1140" s="111" t="b">
        <v>0</v>
      </c>
    </row>
    <row r="1141" spans="1:7" ht="15">
      <c r="A1141" s="113" t="s">
        <v>1969</v>
      </c>
      <c r="B1141" s="111">
        <v>2</v>
      </c>
      <c r="C1141" s="115">
        <v>0.000558811436626611</v>
      </c>
      <c r="D1141" s="111" t="s">
        <v>1990</v>
      </c>
      <c r="E1141" s="111" t="b">
        <v>0</v>
      </c>
      <c r="F1141" s="111" t="b">
        <v>0</v>
      </c>
      <c r="G1141" s="111" t="b">
        <v>0</v>
      </c>
    </row>
    <row r="1142" spans="1:7" ht="15">
      <c r="A1142" s="113" t="s">
        <v>1970</v>
      </c>
      <c r="B1142" s="111">
        <v>2</v>
      </c>
      <c r="C1142" s="115">
        <v>0.000558811436626611</v>
      </c>
      <c r="D1142" s="111" t="s">
        <v>1990</v>
      </c>
      <c r="E1142" s="111" t="b">
        <v>0</v>
      </c>
      <c r="F1142" s="111" t="b">
        <v>0</v>
      </c>
      <c r="G1142" s="111" t="b">
        <v>0</v>
      </c>
    </row>
    <row r="1143" spans="1:7" ht="15">
      <c r="A1143" s="113" t="s">
        <v>1971</v>
      </c>
      <c r="B1143" s="111">
        <v>2</v>
      </c>
      <c r="C1143" s="115">
        <v>0.000558811436626611</v>
      </c>
      <c r="D1143" s="111" t="s">
        <v>1990</v>
      </c>
      <c r="E1143" s="111" t="b">
        <v>0</v>
      </c>
      <c r="F1143" s="111" t="b">
        <v>0</v>
      </c>
      <c r="G1143" s="111" t="b">
        <v>0</v>
      </c>
    </row>
    <row r="1144" spans="1:7" ht="15">
      <c r="A1144" s="113" t="s">
        <v>1972</v>
      </c>
      <c r="B1144" s="111">
        <v>2</v>
      </c>
      <c r="C1144" s="115">
        <v>0.000558811436626611</v>
      </c>
      <c r="D1144" s="111" t="s">
        <v>1990</v>
      </c>
      <c r="E1144" s="111" t="b">
        <v>0</v>
      </c>
      <c r="F1144" s="111" t="b">
        <v>0</v>
      </c>
      <c r="G1144" s="111" t="b">
        <v>0</v>
      </c>
    </row>
    <row r="1145" spans="1:7" ht="15">
      <c r="A1145" s="113" t="s">
        <v>1973</v>
      </c>
      <c r="B1145" s="111">
        <v>2</v>
      </c>
      <c r="C1145" s="115">
        <v>0.000558811436626611</v>
      </c>
      <c r="D1145" s="111" t="s">
        <v>1990</v>
      </c>
      <c r="E1145" s="111" t="b">
        <v>0</v>
      </c>
      <c r="F1145" s="111" t="b">
        <v>0</v>
      </c>
      <c r="G1145" s="111" t="b">
        <v>0</v>
      </c>
    </row>
    <row r="1146" spans="1:7" ht="15">
      <c r="A1146" s="113" t="s">
        <v>1974</v>
      </c>
      <c r="B1146" s="111">
        <v>2</v>
      </c>
      <c r="C1146" s="115">
        <v>0.000558811436626611</v>
      </c>
      <c r="D1146" s="111" t="s">
        <v>1990</v>
      </c>
      <c r="E1146" s="111" t="b">
        <v>0</v>
      </c>
      <c r="F1146" s="111" t="b">
        <v>0</v>
      </c>
      <c r="G1146" s="111" t="b">
        <v>0</v>
      </c>
    </row>
    <row r="1147" spans="1:7" ht="15">
      <c r="A1147" s="113" t="s">
        <v>1975</v>
      </c>
      <c r="B1147" s="111">
        <v>2</v>
      </c>
      <c r="C1147" s="115">
        <v>0.000558811436626611</v>
      </c>
      <c r="D1147" s="111" t="s">
        <v>1990</v>
      </c>
      <c r="E1147" s="111" t="b">
        <v>0</v>
      </c>
      <c r="F1147" s="111" t="b">
        <v>0</v>
      </c>
      <c r="G1147" s="111" t="b">
        <v>0</v>
      </c>
    </row>
    <row r="1148" spans="1:7" ht="15">
      <c r="A1148" s="113" t="s">
        <v>1976</v>
      </c>
      <c r="B1148" s="111">
        <v>2</v>
      </c>
      <c r="C1148" s="115">
        <v>0.000558811436626611</v>
      </c>
      <c r="D1148" s="111" t="s">
        <v>1990</v>
      </c>
      <c r="E1148" s="111" t="b">
        <v>0</v>
      </c>
      <c r="F1148" s="111" t="b">
        <v>0</v>
      </c>
      <c r="G1148" s="111" t="b">
        <v>0</v>
      </c>
    </row>
    <row r="1149" spans="1:7" ht="15">
      <c r="A1149" s="113" t="s">
        <v>1977</v>
      </c>
      <c r="B1149" s="111">
        <v>2</v>
      </c>
      <c r="C1149" s="115">
        <v>0.000558811436626611</v>
      </c>
      <c r="D1149" s="111" t="s">
        <v>1990</v>
      </c>
      <c r="E1149" s="111" t="b">
        <v>0</v>
      </c>
      <c r="F1149" s="111" t="b">
        <v>0</v>
      </c>
      <c r="G1149" s="111" t="b">
        <v>0</v>
      </c>
    </row>
    <row r="1150" spans="1:7" ht="15">
      <c r="A1150" s="113" t="s">
        <v>1978</v>
      </c>
      <c r="B1150" s="111">
        <v>2</v>
      </c>
      <c r="C1150" s="115">
        <v>0.000558811436626611</v>
      </c>
      <c r="D1150" s="111" t="s">
        <v>1990</v>
      </c>
      <c r="E1150" s="111" t="b">
        <v>0</v>
      </c>
      <c r="F1150" s="111" t="b">
        <v>0</v>
      </c>
      <c r="G1150" s="111" t="b">
        <v>0</v>
      </c>
    </row>
    <row r="1151" spans="1:7" ht="15">
      <c r="A1151" s="113" t="s">
        <v>1979</v>
      </c>
      <c r="B1151" s="111">
        <v>2</v>
      </c>
      <c r="C1151" s="115">
        <v>0.000558811436626611</v>
      </c>
      <c r="D1151" s="111" t="s">
        <v>1990</v>
      </c>
      <c r="E1151" s="111" t="b">
        <v>0</v>
      </c>
      <c r="F1151" s="111" t="b">
        <v>0</v>
      </c>
      <c r="G1151" s="111" t="b">
        <v>0</v>
      </c>
    </row>
    <row r="1152" spans="1:7" ht="15">
      <c r="A1152" s="113" t="s">
        <v>1980</v>
      </c>
      <c r="B1152" s="111">
        <v>2</v>
      </c>
      <c r="C1152" s="115">
        <v>0.000558811436626611</v>
      </c>
      <c r="D1152" s="111" t="s">
        <v>1990</v>
      </c>
      <c r="E1152" s="111" t="b">
        <v>0</v>
      </c>
      <c r="F1152" s="111" t="b">
        <v>0</v>
      </c>
      <c r="G1152" s="111" t="b">
        <v>0</v>
      </c>
    </row>
    <row r="1153" spans="1:7" ht="15">
      <c r="A1153" s="113" t="s">
        <v>1981</v>
      </c>
      <c r="B1153" s="111">
        <v>2</v>
      </c>
      <c r="C1153" s="115">
        <v>0.000558811436626611</v>
      </c>
      <c r="D1153" s="111" t="s">
        <v>1990</v>
      </c>
      <c r="E1153" s="111" t="b">
        <v>0</v>
      </c>
      <c r="F1153" s="111" t="b">
        <v>0</v>
      </c>
      <c r="G1153" s="111" t="b">
        <v>0</v>
      </c>
    </row>
    <row r="1154" spans="1:7" ht="15">
      <c r="A1154" s="113" t="s">
        <v>1982</v>
      </c>
      <c r="B1154" s="111">
        <v>2</v>
      </c>
      <c r="C1154" s="115">
        <v>0.000558811436626611</v>
      </c>
      <c r="D1154" s="111" t="s">
        <v>1990</v>
      </c>
      <c r="E1154" s="111" t="b">
        <v>0</v>
      </c>
      <c r="F1154" s="111" t="b">
        <v>0</v>
      </c>
      <c r="G1154" s="111" t="b">
        <v>0</v>
      </c>
    </row>
    <row r="1155" spans="1:7" ht="15">
      <c r="A1155" s="113" t="s">
        <v>1983</v>
      </c>
      <c r="B1155" s="111">
        <v>2</v>
      </c>
      <c r="C1155" s="115">
        <v>0.000558811436626611</v>
      </c>
      <c r="D1155" s="111" t="s">
        <v>1990</v>
      </c>
      <c r="E1155" s="111" t="b">
        <v>0</v>
      </c>
      <c r="F1155" s="111" t="b">
        <v>0</v>
      </c>
      <c r="G1155" s="111" t="b">
        <v>0</v>
      </c>
    </row>
    <row r="1156" spans="1:7" ht="15">
      <c r="A1156" s="113" t="s">
        <v>1984</v>
      </c>
      <c r="B1156" s="111">
        <v>2</v>
      </c>
      <c r="C1156" s="115">
        <v>0.000558811436626611</v>
      </c>
      <c r="D1156" s="111" t="s">
        <v>1990</v>
      </c>
      <c r="E1156" s="111" t="b">
        <v>0</v>
      </c>
      <c r="F1156" s="111" t="b">
        <v>0</v>
      </c>
      <c r="G1156" s="111" t="b">
        <v>0</v>
      </c>
    </row>
    <row r="1157" spans="1:7" ht="15">
      <c r="A1157" s="113" t="s">
        <v>841</v>
      </c>
      <c r="B1157" s="111">
        <v>51</v>
      </c>
      <c r="C1157" s="115">
        <v>0.004456750938890484</v>
      </c>
      <c r="D1157" s="111" t="s">
        <v>820</v>
      </c>
      <c r="E1157" s="111" t="b">
        <v>0</v>
      </c>
      <c r="F1157" s="111" t="b">
        <v>0</v>
      </c>
      <c r="G1157" s="111" t="b">
        <v>0</v>
      </c>
    </row>
    <row r="1158" spans="1:7" ht="15">
      <c r="A1158" s="113" t="s">
        <v>840</v>
      </c>
      <c r="B1158" s="111">
        <v>41</v>
      </c>
      <c r="C1158" s="115">
        <v>0.005784643557359068</v>
      </c>
      <c r="D1158" s="111" t="s">
        <v>820</v>
      </c>
      <c r="E1158" s="111" t="b">
        <v>0</v>
      </c>
      <c r="F1158" s="111" t="b">
        <v>0</v>
      </c>
      <c r="G1158" s="111" t="b">
        <v>0</v>
      </c>
    </row>
    <row r="1159" spans="1:7" ht="15">
      <c r="A1159" s="113" t="s">
        <v>843</v>
      </c>
      <c r="B1159" s="111">
        <v>33</v>
      </c>
      <c r="C1159" s="115">
        <v>0.007672417471970566</v>
      </c>
      <c r="D1159" s="111" t="s">
        <v>820</v>
      </c>
      <c r="E1159" s="111" t="b">
        <v>0</v>
      </c>
      <c r="F1159" s="111" t="b">
        <v>0</v>
      </c>
      <c r="G1159" s="111" t="b">
        <v>0</v>
      </c>
    </row>
    <row r="1160" spans="1:7" ht="15">
      <c r="A1160" s="113" t="s">
        <v>854</v>
      </c>
      <c r="B1160" s="111">
        <v>20</v>
      </c>
      <c r="C1160" s="115">
        <v>0.009611301374260611</v>
      </c>
      <c r="D1160" s="111" t="s">
        <v>820</v>
      </c>
      <c r="E1160" s="111" t="b">
        <v>0</v>
      </c>
      <c r="F1160" s="111" t="b">
        <v>0</v>
      </c>
      <c r="G1160" s="111" t="b">
        <v>0</v>
      </c>
    </row>
    <row r="1161" spans="1:7" ht="15">
      <c r="A1161" s="113" t="s">
        <v>850</v>
      </c>
      <c r="B1161" s="111">
        <v>20</v>
      </c>
      <c r="C1161" s="115">
        <v>0.009611301374260611</v>
      </c>
      <c r="D1161" s="111" t="s">
        <v>820</v>
      </c>
      <c r="E1161" s="111" t="b">
        <v>0</v>
      </c>
      <c r="F1161" s="111" t="b">
        <v>0</v>
      </c>
      <c r="G1161" s="111" t="b">
        <v>0</v>
      </c>
    </row>
    <row r="1162" spans="1:7" ht="15">
      <c r="A1162" s="113" t="s">
        <v>845</v>
      </c>
      <c r="B1162" s="111">
        <v>19</v>
      </c>
      <c r="C1162" s="115">
        <v>0.004417452483861841</v>
      </c>
      <c r="D1162" s="111" t="s">
        <v>820</v>
      </c>
      <c r="E1162" s="111" t="b">
        <v>0</v>
      </c>
      <c r="F1162" s="111" t="b">
        <v>0</v>
      </c>
      <c r="G1162" s="111" t="b">
        <v>0</v>
      </c>
    </row>
    <row r="1163" spans="1:7" ht="15">
      <c r="A1163" s="113" t="s">
        <v>861</v>
      </c>
      <c r="B1163" s="111">
        <v>19</v>
      </c>
      <c r="C1163" s="115">
        <v>0.012865925361861376</v>
      </c>
      <c r="D1163" s="111" t="s">
        <v>820</v>
      </c>
      <c r="E1163" s="111" t="b">
        <v>0</v>
      </c>
      <c r="F1163" s="111" t="b">
        <v>0</v>
      </c>
      <c r="G1163" s="111" t="b">
        <v>0</v>
      </c>
    </row>
    <row r="1164" spans="1:7" ht="15">
      <c r="A1164" s="113" t="s">
        <v>866</v>
      </c>
      <c r="B1164" s="111">
        <v>17</v>
      </c>
      <c r="C1164" s="115">
        <v>0.009403043087753402</v>
      </c>
      <c r="D1164" s="111" t="s">
        <v>820</v>
      </c>
      <c r="E1164" s="111" t="b">
        <v>0</v>
      </c>
      <c r="F1164" s="111" t="b">
        <v>0</v>
      </c>
      <c r="G1164" s="111" t="b">
        <v>0</v>
      </c>
    </row>
    <row r="1165" spans="1:7" ht="15">
      <c r="A1165" s="113" t="s">
        <v>852</v>
      </c>
      <c r="B1165" s="111">
        <v>16</v>
      </c>
      <c r="C1165" s="115">
        <v>0.004241962432541821</v>
      </c>
      <c r="D1165" s="111" t="s">
        <v>820</v>
      </c>
      <c r="E1165" s="111" t="b">
        <v>0</v>
      </c>
      <c r="F1165" s="111" t="b">
        <v>0</v>
      </c>
      <c r="G1165" s="111" t="b">
        <v>0</v>
      </c>
    </row>
    <row r="1166" spans="1:7" ht="15">
      <c r="A1166" s="113" t="s">
        <v>879</v>
      </c>
      <c r="B1166" s="111">
        <v>16</v>
      </c>
      <c r="C1166" s="115">
        <v>0.008849922906120848</v>
      </c>
      <c r="D1166" s="111" t="s">
        <v>820</v>
      </c>
      <c r="E1166" s="111" t="b">
        <v>0</v>
      </c>
      <c r="F1166" s="111" t="b">
        <v>0</v>
      </c>
      <c r="G1166" s="111" t="b">
        <v>0</v>
      </c>
    </row>
    <row r="1167" spans="1:7" ht="15">
      <c r="A1167" s="113" t="s">
        <v>846</v>
      </c>
      <c r="B1167" s="111">
        <v>15</v>
      </c>
      <c r="C1167" s="115">
        <v>0.004259642565184564</v>
      </c>
      <c r="D1167" s="111" t="s">
        <v>820</v>
      </c>
      <c r="E1167" s="111" t="b">
        <v>0</v>
      </c>
      <c r="F1167" s="111" t="b">
        <v>0</v>
      </c>
      <c r="G1167" s="111" t="b">
        <v>0</v>
      </c>
    </row>
    <row r="1168" spans="1:7" ht="15">
      <c r="A1168" s="113" t="s">
        <v>886</v>
      </c>
      <c r="B1168" s="111">
        <v>15</v>
      </c>
      <c r="C1168" s="115">
        <v>0.01015730949620635</v>
      </c>
      <c r="D1168" s="111" t="s">
        <v>820</v>
      </c>
      <c r="E1168" s="111" t="b">
        <v>0</v>
      </c>
      <c r="F1168" s="111" t="b">
        <v>0</v>
      </c>
      <c r="G1168" s="111" t="b">
        <v>0</v>
      </c>
    </row>
    <row r="1169" spans="1:7" ht="15">
      <c r="A1169" s="113" t="s">
        <v>887</v>
      </c>
      <c r="B1169" s="111">
        <v>15</v>
      </c>
      <c r="C1169" s="115">
        <v>0.01015730949620635</v>
      </c>
      <c r="D1169" s="111" t="s">
        <v>820</v>
      </c>
      <c r="E1169" s="111" t="b">
        <v>0</v>
      </c>
      <c r="F1169" s="111" t="b">
        <v>0</v>
      </c>
      <c r="G1169" s="111" t="b">
        <v>0</v>
      </c>
    </row>
    <row r="1170" spans="1:7" ht="15">
      <c r="A1170" s="113" t="s">
        <v>844</v>
      </c>
      <c r="B1170" s="111">
        <v>14</v>
      </c>
      <c r="C1170" s="115">
        <v>0.00397566639417226</v>
      </c>
      <c r="D1170" s="111" t="s">
        <v>820</v>
      </c>
      <c r="E1170" s="111" t="b">
        <v>0</v>
      </c>
      <c r="F1170" s="111" t="b">
        <v>0</v>
      </c>
      <c r="G1170" s="111" t="b">
        <v>0</v>
      </c>
    </row>
    <row r="1171" spans="1:7" ht="15">
      <c r="A1171" s="113" t="s">
        <v>882</v>
      </c>
      <c r="B1171" s="111">
        <v>14</v>
      </c>
      <c r="C1171" s="115">
        <v>0.0034729459738737016</v>
      </c>
      <c r="D1171" s="111" t="s">
        <v>820</v>
      </c>
      <c r="E1171" s="111" t="b">
        <v>0</v>
      </c>
      <c r="F1171" s="111" t="b">
        <v>0</v>
      </c>
      <c r="G1171" s="111" t="b">
        <v>0</v>
      </c>
    </row>
    <row r="1172" spans="1:7" ht="15">
      <c r="A1172" s="113" t="s">
        <v>863</v>
      </c>
      <c r="B1172" s="111">
        <v>14</v>
      </c>
      <c r="C1172" s="115">
        <v>0.003711717128474093</v>
      </c>
      <c r="D1172" s="111" t="s">
        <v>820</v>
      </c>
      <c r="E1172" s="111" t="b">
        <v>0</v>
      </c>
      <c r="F1172" s="111" t="b">
        <v>1</v>
      </c>
      <c r="G1172" s="111" t="b">
        <v>0</v>
      </c>
    </row>
    <row r="1173" spans="1:7" ht="15">
      <c r="A1173" s="113" t="s">
        <v>895</v>
      </c>
      <c r="B1173" s="111">
        <v>14</v>
      </c>
      <c r="C1173" s="115">
        <v>0.009480155529792592</v>
      </c>
      <c r="D1173" s="111" t="s">
        <v>820</v>
      </c>
      <c r="E1173" s="111" t="b">
        <v>0</v>
      </c>
      <c r="F1173" s="111" t="b">
        <v>0</v>
      </c>
      <c r="G1173" s="111" t="b">
        <v>0</v>
      </c>
    </row>
    <row r="1174" spans="1:7" ht="15">
      <c r="A1174" s="113" t="s">
        <v>864</v>
      </c>
      <c r="B1174" s="111">
        <v>13</v>
      </c>
      <c r="C1174" s="115">
        <v>0.0039656839569118954</v>
      </c>
      <c r="D1174" s="111" t="s">
        <v>820</v>
      </c>
      <c r="E1174" s="111" t="b">
        <v>0</v>
      </c>
      <c r="F1174" s="111" t="b">
        <v>0</v>
      </c>
      <c r="G1174" s="111" t="b">
        <v>0</v>
      </c>
    </row>
    <row r="1175" spans="1:7" ht="15">
      <c r="A1175" s="113" t="s">
        <v>906</v>
      </c>
      <c r="B1175" s="111">
        <v>13</v>
      </c>
      <c r="C1175" s="115">
        <v>0.008803001563378836</v>
      </c>
      <c r="D1175" s="111" t="s">
        <v>820</v>
      </c>
      <c r="E1175" s="111" t="b">
        <v>0</v>
      </c>
      <c r="F1175" s="111" t="b">
        <v>0</v>
      </c>
      <c r="G1175" s="111" t="b">
        <v>0</v>
      </c>
    </row>
    <row r="1176" spans="1:7" ht="15">
      <c r="A1176" s="113" t="s">
        <v>851</v>
      </c>
      <c r="B1176" s="111">
        <v>12</v>
      </c>
      <c r="C1176" s="115">
        <v>0.003947365322481734</v>
      </c>
      <c r="D1176" s="111" t="s">
        <v>820</v>
      </c>
      <c r="E1176" s="111" t="b">
        <v>0</v>
      </c>
      <c r="F1176" s="111" t="b">
        <v>0</v>
      </c>
      <c r="G1176" s="111" t="b">
        <v>0</v>
      </c>
    </row>
    <row r="1177" spans="1:7" ht="15">
      <c r="A1177" s="113" t="s">
        <v>862</v>
      </c>
      <c r="B1177" s="111">
        <v>12</v>
      </c>
      <c r="C1177" s="115">
        <v>0.0027899699898074784</v>
      </c>
      <c r="D1177" s="111" t="s">
        <v>820</v>
      </c>
      <c r="E1177" s="111" t="b">
        <v>0</v>
      </c>
      <c r="F1177" s="111" t="b">
        <v>0</v>
      </c>
      <c r="G1177" s="111" t="b">
        <v>0</v>
      </c>
    </row>
    <row r="1178" spans="1:7" ht="15">
      <c r="A1178" s="113" t="s">
        <v>848</v>
      </c>
      <c r="B1178" s="111">
        <v>11</v>
      </c>
      <c r="C1178" s="115">
        <v>0.003618418212274923</v>
      </c>
      <c r="D1178" s="111" t="s">
        <v>820</v>
      </c>
      <c r="E1178" s="111" t="b">
        <v>0</v>
      </c>
      <c r="F1178" s="111" t="b">
        <v>0</v>
      </c>
      <c r="G1178" s="111" t="b">
        <v>0</v>
      </c>
    </row>
    <row r="1179" spans="1:7" ht="15">
      <c r="A1179" s="113" t="s">
        <v>847</v>
      </c>
      <c r="B1179" s="111">
        <v>11</v>
      </c>
      <c r="C1179" s="115">
        <v>0.005286215755843336</v>
      </c>
      <c r="D1179" s="111" t="s">
        <v>820</v>
      </c>
      <c r="E1179" s="111" t="b">
        <v>0</v>
      </c>
      <c r="F1179" s="111" t="b">
        <v>0</v>
      </c>
      <c r="G1179" s="111" t="b">
        <v>0</v>
      </c>
    </row>
    <row r="1180" spans="1:7" ht="15">
      <c r="A1180" s="113" t="s">
        <v>878</v>
      </c>
      <c r="B1180" s="111">
        <v>11</v>
      </c>
      <c r="C1180" s="115">
        <v>0.0042807208049657425</v>
      </c>
      <c r="D1180" s="111" t="s">
        <v>820</v>
      </c>
      <c r="E1180" s="111" t="b">
        <v>0</v>
      </c>
      <c r="F1180" s="111" t="b">
        <v>0</v>
      </c>
      <c r="G1180" s="111" t="b">
        <v>0</v>
      </c>
    </row>
    <row r="1181" spans="1:7" ht="15">
      <c r="A1181" s="113" t="s">
        <v>871</v>
      </c>
      <c r="B1181" s="111">
        <v>11</v>
      </c>
      <c r="C1181" s="115">
        <v>0.005286215755843336</v>
      </c>
      <c r="D1181" s="111" t="s">
        <v>820</v>
      </c>
      <c r="E1181" s="111" t="b">
        <v>0</v>
      </c>
      <c r="F1181" s="111" t="b">
        <v>0</v>
      </c>
      <c r="G1181" s="111" t="b">
        <v>0</v>
      </c>
    </row>
    <row r="1182" spans="1:7" ht="15">
      <c r="A1182" s="113" t="s">
        <v>877</v>
      </c>
      <c r="B1182" s="111">
        <v>11</v>
      </c>
      <c r="C1182" s="115">
        <v>0.004719950365364845</v>
      </c>
      <c r="D1182" s="111" t="s">
        <v>820</v>
      </c>
      <c r="E1182" s="111" t="b">
        <v>0</v>
      </c>
      <c r="F1182" s="111" t="b">
        <v>1</v>
      </c>
      <c r="G1182" s="111" t="b">
        <v>0</v>
      </c>
    </row>
    <row r="1183" spans="1:7" ht="15">
      <c r="A1183" s="113" t="s">
        <v>927</v>
      </c>
      <c r="B1183" s="111">
        <v>11</v>
      </c>
      <c r="C1183" s="115">
        <v>0.007448693630551324</v>
      </c>
      <c r="D1183" s="111" t="s">
        <v>820</v>
      </c>
      <c r="E1183" s="111" t="b">
        <v>0</v>
      </c>
      <c r="F1183" s="111" t="b">
        <v>0</v>
      </c>
      <c r="G1183" s="111" t="b">
        <v>0</v>
      </c>
    </row>
    <row r="1184" spans="1:7" ht="15">
      <c r="A1184" s="113" t="s">
        <v>955</v>
      </c>
      <c r="B1184" s="111">
        <v>9</v>
      </c>
      <c r="C1184" s="115">
        <v>0.00609438569772381</v>
      </c>
      <c r="D1184" s="111" t="s">
        <v>820</v>
      </c>
      <c r="E1184" s="111" t="b">
        <v>0</v>
      </c>
      <c r="F1184" s="111" t="b">
        <v>0</v>
      </c>
      <c r="G1184" s="111" t="b">
        <v>0</v>
      </c>
    </row>
    <row r="1185" spans="1:7" ht="15">
      <c r="A1185" s="113" t="s">
        <v>849</v>
      </c>
      <c r="B1185" s="111">
        <v>9</v>
      </c>
      <c r="C1185" s="115">
        <v>0.0032087815553864417</v>
      </c>
      <c r="D1185" s="111" t="s">
        <v>820</v>
      </c>
      <c r="E1185" s="111" t="b">
        <v>0</v>
      </c>
      <c r="F1185" s="111" t="b">
        <v>0</v>
      </c>
      <c r="G1185" s="111" t="b">
        <v>0</v>
      </c>
    </row>
    <row r="1186" spans="1:7" ht="15">
      <c r="A1186" s="113" t="s">
        <v>870</v>
      </c>
      <c r="B1186" s="111">
        <v>8</v>
      </c>
      <c r="C1186" s="115">
        <v>0.002631576881654489</v>
      </c>
      <c r="D1186" s="111" t="s">
        <v>820</v>
      </c>
      <c r="E1186" s="111" t="b">
        <v>0</v>
      </c>
      <c r="F1186" s="111" t="b">
        <v>0</v>
      </c>
      <c r="G1186" s="111" t="b">
        <v>0</v>
      </c>
    </row>
    <row r="1187" spans="1:7" ht="15">
      <c r="A1187" s="113" t="s">
        <v>983</v>
      </c>
      <c r="B1187" s="111">
        <v>8</v>
      </c>
      <c r="C1187" s="115">
        <v>0.005417231731310053</v>
      </c>
      <c r="D1187" s="111" t="s">
        <v>820</v>
      </c>
      <c r="E1187" s="111" t="b">
        <v>0</v>
      </c>
      <c r="F1187" s="111" t="b">
        <v>0</v>
      </c>
      <c r="G1187" s="111" t="b">
        <v>0</v>
      </c>
    </row>
    <row r="1188" spans="1:7" ht="15">
      <c r="A1188" s="113" t="s">
        <v>984</v>
      </c>
      <c r="B1188" s="111">
        <v>8</v>
      </c>
      <c r="C1188" s="115">
        <v>0.005417231731310053</v>
      </c>
      <c r="D1188" s="111" t="s">
        <v>820</v>
      </c>
      <c r="E1188" s="111" t="b">
        <v>0</v>
      </c>
      <c r="F1188" s="111" t="b">
        <v>0</v>
      </c>
      <c r="G1188" s="111" t="b">
        <v>0</v>
      </c>
    </row>
    <row r="1189" spans="1:7" ht="15">
      <c r="A1189" s="113" t="s">
        <v>939</v>
      </c>
      <c r="B1189" s="111">
        <v>8</v>
      </c>
      <c r="C1189" s="115">
        <v>0.0034326911748107955</v>
      </c>
      <c r="D1189" s="111" t="s">
        <v>820</v>
      </c>
      <c r="E1189" s="111" t="b">
        <v>0</v>
      </c>
      <c r="F1189" s="111" t="b">
        <v>0</v>
      </c>
      <c r="G1189" s="111" t="b">
        <v>0</v>
      </c>
    </row>
    <row r="1190" spans="1:7" ht="15">
      <c r="A1190" s="113" t="s">
        <v>952</v>
      </c>
      <c r="B1190" s="111">
        <v>8</v>
      </c>
      <c r="C1190" s="115">
        <v>0.003844520549704244</v>
      </c>
      <c r="D1190" s="111" t="s">
        <v>820</v>
      </c>
      <c r="E1190" s="111" t="b">
        <v>0</v>
      </c>
      <c r="F1190" s="111" t="b">
        <v>0</v>
      </c>
      <c r="G1190" s="111" t="b">
        <v>0</v>
      </c>
    </row>
    <row r="1191" spans="1:7" ht="15">
      <c r="A1191" s="113" t="s">
        <v>909</v>
      </c>
      <c r="B1191" s="111">
        <v>7</v>
      </c>
      <c r="C1191" s="115">
        <v>0.002495718987522788</v>
      </c>
      <c r="D1191" s="111" t="s">
        <v>820</v>
      </c>
      <c r="E1191" s="111" t="b">
        <v>0</v>
      </c>
      <c r="F1191" s="111" t="b">
        <v>0</v>
      </c>
      <c r="G1191" s="111" t="b">
        <v>0</v>
      </c>
    </row>
    <row r="1192" spans="1:7" ht="15">
      <c r="A1192" s="113" t="s">
        <v>853</v>
      </c>
      <c r="B1192" s="111">
        <v>7</v>
      </c>
      <c r="C1192" s="115">
        <v>0.002724095057705472</v>
      </c>
      <c r="D1192" s="111" t="s">
        <v>820</v>
      </c>
      <c r="E1192" s="111" t="b">
        <v>0</v>
      </c>
      <c r="F1192" s="111" t="b">
        <v>0</v>
      </c>
      <c r="G1192" s="111" t="b">
        <v>0</v>
      </c>
    </row>
    <row r="1193" spans="1:7" ht="15">
      <c r="A1193" s="113" t="s">
        <v>933</v>
      </c>
      <c r="B1193" s="111">
        <v>7</v>
      </c>
      <c r="C1193" s="115">
        <v>0.002724095057705472</v>
      </c>
      <c r="D1193" s="111" t="s">
        <v>820</v>
      </c>
      <c r="E1193" s="111" t="b">
        <v>0</v>
      </c>
      <c r="F1193" s="111" t="b">
        <v>0</v>
      </c>
      <c r="G1193" s="111" t="b">
        <v>0</v>
      </c>
    </row>
    <row r="1194" spans="1:7" ht="15">
      <c r="A1194" s="113" t="s">
        <v>1020</v>
      </c>
      <c r="B1194" s="111">
        <v>7</v>
      </c>
      <c r="C1194" s="115">
        <v>0.004740077764896296</v>
      </c>
      <c r="D1194" s="111" t="s">
        <v>820</v>
      </c>
      <c r="E1194" s="111" t="b">
        <v>0</v>
      </c>
      <c r="F1194" s="111" t="b">
        <v>0</v>
      </c>
      <c r="G1194" s="111" t="b">
        <v>0</v>
      </c>
    </row>
    <row r="1195" spans="1:7" ht="15">
      <c r="A1195" s="113" t="s">
        <v>998</v>
      </c>
      <c r="B1195" s="111">
        <v>7</v>
      </c>
      <c r="C1195" s="115">
        <v>0.0033639554809912135</v>
      </c>
      <c r="D1195" s="111" t="s">
        <v>820</v>
      </c>
      <c r="E1195" s="111" t="b">
        <v>0</v>
      </c>
      <c r="F1195" s="111" t="b">
        <v>0</v>
      </c>
      <c r="G1195" s="111" t="b">
        <v>0</v>
      </c>
    </row>
    <row r="1196" spans="1:7" ht="15">
      <c r="A1196" s="113" t="s">
        <v>855</v>
      </c>
      <c r="B1196" s="111">
        <v>7</v>
      </c>
      <c r="C1196" s="115">
        <v>0.004740077764896296</v>
      </c>
      <c r="D1196" s="111" t="s">
        <v>820</v>
      </c>
      <c r="E1196" s="111" t="b">
        <v>0</v>
      </c>
      <c r="F1196" s="111" t="b">
        <v>0</v>
      </c>
      <c r="G1196" s="111" t="b">
        <v>0</v>
      </c>
    </row>
    <row r="1197" spans="1:7" ht="15">
      <c r="A1197" s="113" t="s">
        <v>936</v>
      </c>
      <c r="B1197" s="111">
        <v>6</v>
      </c>
      <c r="C1197" s="115">
        <v>0.0025745183811080965</v>
      </c>
      <c r="D1197" s="111" t="s">
        <v>820</v>
      </c>
      <c r="E1197" s="111" t="b">
        <v>0</v>
      </c>
      <c r="F1197" s="111" t="b">
        <v>0</v>
      </c>
      <c r="G1197" s="111" t="b">
        <v>0</v>
      </c>
    </row>
    <row r="1198" spans="1:7" ht="15">
      <c r="A1198" s="113" t="s">
        <v>875</v>
      </c>
      <c r="B1198" s="111">
        <v>6</v>
      </c>
      <c r="C1198" s="115">
        <v>0.002139187703590961</v>
      </c>
      <c r="D1198" s="111" t="s">
        <v>820</v>
      </c>
      <c r="E1198" s="111" t="b">
        <v>0</v>
      </c>
      <c r="F1198" s="111" t="b">
        <v>1</v>
      </c>
      <c r="G1198" s="111" t="b">
        <v>0</v>
      </c>
    </row>
    <row r="1199" spans="1:7" ht="15">
      <c r="A1199" s="113" t="s">
        <v>934</v>
      </c>
      <c r="B1199" s="111">
        <v>6</v>
      </c>
      <c r="C1199" s="115">
        <v>0.002139187703590961</v>
      </c>
      <c r="D1199" s="111" t="s">
        <v>820</v>
      </c>
      <c r="E1199" s="111" t="b">
        <v>0</v>
      </c>
      <c r="F1199" s="111" t="b">
        <v>0</v>
      </c>
      <c r="G1199" s="111" t="b">
        <v>0</v>
      </c>
    </row>
    <row r="1200" spans="1:7" ht="15">
      <c r="A1200" s="113" t="s">
        <v>922</v>
      </c>
      <c r="B1200" s="111">
        <v>6</v>
      </c>
      <c r="C1200" s="115">
        <v>0.002139187703590961</v>
      </c>
      <c r="D1200" s="111" t="s">
        <v>820</v>
      </c>
      <c r="E1200" s="111" t="b">
        <v>1</v>
      </c>
      <c r="F1200" s="111" t="b">
        <v>0</v>
      </c>
      <c r="G1200" s="111" t="b">
        <v>0</v>
      </c>
    </row>
    <row r="1201" spans="1:7" ht="15">
      <c r="A1201" s="113" t="s">
        <v>890</v>
      </c>
      <c r="B1201" s="111">
        <v>6</v>
      </c>
      <c r="C1201" s="115">
        <v>0.002139187703590961</v>
      </c>
      <c r="D1201" s="111" t="s">
        <v>820</v>
      </c>
      <c r="E1201" s="111" t="b">
        <v>0</v>
      </c>
      <c r="F1201" s="111" t="b">
        <v>0</v>
      </c>
      <c r="G1201" s="111" t="b">
        <v>0</v>
      </c>
    </row>
    <row r="1202" spans="1:7" ht="15">
      <c r="A1202" s="113" t="s">
        <v>1071</v>
      </c>
      <c r="B1202" s="111">
        <v>6</v>
      </c>
      <c r="C1202" s="115">
        <v>0.00406292379848254</v>
      </c>
      <c r="D1202" s="111" t="s">
        <v>820</v>
      </c>
      <c r="E1202" s="111" t="b">
        <v>0</v>
      </c>
      <c r="F1202" s="111" t="b">
        <v>0</v>
      </c>
      <c r="G1202" s="111" t="b">
        <v>0</v>
      </c>
    </row>
    <row r="1203" spans="1:7" ht="15">
      <c r="A1203" s="113" t="s">
        <v>1072</v>
      </c>
      <c r="B1203" s="111">
        <v>6</v>
      </c>
      <c r="C1203" s="115">
        <v>0.00406292379848254</v>
      </c>
      <c r="D1203" s="111" t="s">
        <v>820</v>
      </c>
      <c r="E1203" s="111" t="b">
        <v>0</v>
      </c>
      <c r="F1203" s="111" t="b">
        <v>0</v>
      </c>
      <c r="G1203" s="111" t="b">
        <v>0</v>
      </c>
    </row>
    <row r="1204" spans="1:7" ht="15">
      <c r="A1204" s="113" t="s">
        <v>1059</v>
      </c>
      <c r="B1204" s="111">
        <v>6</v>
      </c>
      <c r="C1204" s="115">
        <v>0.0033187210897953176</v>
      </c>
      <c r="D1204" s="111" t="s">
        <v>820</v>
      </c>
      <c r="E1204" s="111" t="b">
        <v>0</v>
      </c>
      <c r="F1204" s="111" t="b">
        <v>0</v>
      </c>
      <c r="G1204" s="111" t="b">
        <v>0</v>
      </c>
    </row>
    <row r="1205" spans="1:7" ht="15">
      <c r="A1205" s="113" t="s">
        <v>931</v>
      </c>
      <c r="B1205" s="111">
        <v>6</v>
      </c>
      <c r="C1205" s="115">
        <v>0.0033187210897953176</v>
      </c>
      <c r="D1205" s="111" t="s">
        <v>820</v>
      </c>
      <c r="E1205" s="111" t="b">
        <v>0</v>
      </c>
      <c r="F1205" s="111" t="b">
        <v>0</v>
      </c>
      <c r="G1205" s="111" t="b">
        <v>0</v>
      </c>
    </row>
    <row r="1206" spans="1:7" ht="15">
      <c r="A1206" s="113" t="s">
        <v>992</v>
      </c>
      <c r="B1206" s="111">
        <v>6</v>
      </c>
      <c r="C1206" s="115">
        <v>0.0025745183811080965</v>
      </c>
      <c r="D1206" s="111" t="s">
        <v>820</v>
      </c>
      <c r="E1206" s="111" t="b">
        <v>0</v>
      </c>
      <c r="F1206" s="111" t="b">
        <v>1</v>
      </c>
      <c r="G1206" s="111" t="b">
        <v>0</v>
      </c>
    </row>
    <row r="1207" spans="1:7" ht="15">
      <c r="A1207" s="113" t="s">
        <v>872</v>
      </c>
      <c r="B1207" s="111">
        <v>6</v>
      </c>
      <c r="C1207" s="115">
        <v>0.002883390412278183</v>
      </c>
      <c r="D1207" s="111" t="s">
        <v>820</v>
      </c>
      <c r="E1207" s="111" t="b">
        <v>0</v>
      </c>
      <c r="F1207" s="111" t="b">
        <v>0</v>
      </c>
      <c r="G1207" s="111" t="b">
        <v>0</v>
      </c>
    </row>
    <row r="1208" spans="1:7" ht="15">
      <c r="A1208" s="113" t="s">
        <v>907</v>
      </c>
      <c r="B1208" s="111">
        <v>6</v>
      </c>
      <c r="C1208" s="115">
        <v>0.00406292379848254</v>
      </c>
      <c r="D1208" s="111" t="s">
        <v>820</v>
      </c>
      <c r="E1208" s="111" t="b">
        <v>0</v>
      </c>
      <c r="F1208" s="111" t="b">
        <v>0</v>
      </c>
      <c r="G1208" s="111" t="b">
        <v>0</v>
      </c>
    </row>
    <row r="1209" spans="1:7" ht="15">
      <c r="A1209" s="113" t="s">
        <v>930</v>
      </c>
      <c r="B1209" s="111">
        <v>6</v>
      </c>
      <c r="C1209" s="115">
        <v>0.002883390412278183</v>
      </c>
      <c r="D1209" s="111" t="s">
        <v>820</v>
      </c>
      <c r="E1209" s="111" t="b">
        <v>0</v>
      </c>
      <c r="F1209" s="111" t="b">
        <v>0</v>
      </c>
      <c r="G1209" s="111" t="b">
        <v>0</v>
      </c>
    </row>
    <row r="1210" spans="1:7" ht="15">
      <c r="A1210" s="113" t="s">
        <v>943</v>
      </c>
      <c r="B1210" s="111">
        <v>6</v>
      </c>
      <c r="C1210" s="115">
        <v>0.002883390412278183</v>
      </c>
      <c r="D1210" s="111" t="s">
        <v>820</v>
      </c>
      <c r="E1210" s="111" t="b">
        <v>0</v>
      </c>
      <c r="F1210" s="111" t="b">
        <v>0</v>
      </c>
      <c r="G1210" s="111" t="b">
        <v>0</v>
      </c>
    </row>
    <row r="1211" spans="1:7" ht="15">
      <c r="A1211" s="113" t="s">
        <v>1003</v>
      </c>
      <c r="B1211" s="111">
        <v>6</v>
      </c>
      <c r="C1211" s="115">
        <v>0.0033187210897953176</v>
      </c>
      <c r="D1211" s="111" t="s">
        <v>820</v>
      </c>
      <c r="E1211" s="111" t="b">
        <v>0</v>
      </c>
      <c r="F1211" s="111" t="b">
        <v>0</v>
      </c>
      <c r="G1211" s="111" t="b">
        <v>0</v>
      </c>
    </row>
    <row r="1212" spans="1:7" ht="15">
      <c r="A1212" s="113" t="s">
        <v>1044</v>
      </c>
      <c r="B1212" s="111">
        <v>5</v>
      </c>
      <c r="C1212" s="115">
        <v>0.002402825343565153</v>
      </c>
      <c r="D1212" s="111" t="s">
        <v>820</v>
      </c>
      <c r="E1212" s="111" t="b">
        <v>0</v>
      </c>
      <c r="F1212" s="111" t="b">
        <v>0</v>
      </c>
      <c r="G1212" s="111" t="b">
        <v>0</v>
      </c>
    </row>
    <row r="1213" spans="1:7" ht="15">
      <c r="A1213" s="113" t="s">
        <v>869</v>
      </c>
      <c r="B1213" s="111">
        <v>5</v>
      </c>
      <c r="C1213" s="115">
        <v>0.0019457821840753373</v>
      </c>
      <c r="D1213" s="111" t="s">
        <v>820</v>
      </c>
      <c r="E1213" s="111" t="b">
        <v>0</v>
      </c>
      <c r="F1213" s="111" t="b">
        <v>0</v>
      </c>
      <c r="G1213" s="111" t="b">
        <v>0</v>
      </c>
    </row>
    <row r="1214" spans="1:7" ht="15">
      <c r="A1214" s="113" t="s">
        <v>1123</v>
      </c>
      <c r="B1214" s="111">
        <v>5</v>
      </c>
      <c r="C1214" s="115">
        <v>0.0033857698320687835</v>
      </c>
      <c r="D1214" s="111" t="s">
        <v>820</v>
      </c>
      <c r="E1214" s="111" t="b">
        <v>0</v>
      </c>
      <c r="F1214" s="111" t="b">
        <v>0</v>
      </c>
      <c r="G1214" s="111" t="b">
        <v>0</v>
      </c>
    </row>
    <row r="1215" spans="1:7" ht="15">
      <c r="A1215" s="113" t="s">
        <v>967</v>
      </c>
      <c r="B1215" s="111">
        <v>5</v>
      </c>
      <c r="C1215" s="115">
        <v>0.0019457821840753373</v>
      </c>
      <c r="D1215" s="111" t="s">
        <v>820</v>
      </c>
      <c r="E1215" s="111" t="b">
        <v>0</v>
      </c>
      <c r="F1215" s="111" t="b">
        <v>0</v>
      </c>
      <c r="G1215" s="111" t="b">
        <v>0</v>
      </c>
    </row>
    <row r="1216" spans="1:7" ht="15">
      <c r="A1216" s="113" t="s">
        <v>876</v>
      </c>
      <c r="B1216" s="111">
        <v>5</v>
      </c>
      <c r="C1216" s="115">
        <v>0.0019457821840753373</v>
      </c>
      <c r="D1216" s="111" t="s">
        <v>820</v>
      </c>
      <c r="E1216" s="111" t="b">
        <v>0</v>
      </c>
      <c r="F1216" s="111" t="b">
        <v>0</v>
      </c>
      <c r="G1216" s="111" t="b">
        <v>0</v>
      </c>
    </row>
    <row r="1217" spans="1:7" ht="15">
      <c r="A1217" s="113" t="s">
        <v>912</v>
      </c>
      <c r="B1217" s="111">
        <v>5</v>
      </c>
      <c r="C1217" s="115">
        <v>0.002402825343565153</v>
      </c>
      <c r="D1217" s="111" t="s">
        <v>820</v>
      </c>
      <c r="E1217" s="111" t="b">
        <v>0</v>
      </c>
      <c r="F1217" s="111" t="b">
        <v>0</v>
      </c>
      <c r="G1217" s="111" t="b">
        <v>0</v>
      </c>
    </row>
    <row r="1218" spans="1:7" ht="15">
      <c r="A1218" s="113" t="s">
        <v>991</v>
      </c>
      <c r="B1218" s="111">
        <v>5</v>
      </c>
      <c r="C1218" s="115">
        <v>0.0021454319842567474</v>
      </c>
      <c r="D1218" s="111" t="s">
        <v>820</v>
      </c>
      <c r="E1218" s="111" t="b">
        <v>0</v>
      </c>
      <c r="F1218" s="111" t="b">
        <v>0</v>
      </c>
      <c r="G1218" s="111" t="b">
        <v>0</v>
      </c>
    </row>
    <row r="1219" spans="1:7" ht="15">
      <c r="A1219" s="113" t="s">
        <v>962</v>
      </c>
      <c r="B1219" s="111">
        <v>5</v>
      </c>
      <c r="C1219" s="115">
        <v>0.0021454319842567474</v>
      </c>
      <c r="D1219" s="111" t="s">
        <v>820</v>
      </c>
      <c r="E1219" s="111" t="b">
        <v>0</v>
      </c>
      <c r="F1219" s="111" t="b">
        <v>0</v>
      </c>
      <c r="G1219" s="111" t="b">
        <v>0</v>
      </c>
    </row>
    <row r="1220" spans="1:7" ht="15">
      <c r="A1220" s="113" t="s">
        <v>1047</v>
      </c>
      <c r="B1220" s="111">
        <v>5</v>
      </c>
      <c r="C1220" s="115">
        <v>0.0021454319842567474</v>
      </c>
      <c r="D1220" s="111" t="s">
        <v>820</v>
      </c>
      <c r="E1220" s="111" t="b">
        <v>0</v>
      </c>
      <c r="F1220" s="111" t="b">
        <v>0</v>
      </c>
      <c r="G1220" s="111" t="b">
        <v>0</v>
      </c>
    </row>
    <row r="1221" spans="1:7" ht="15">
      <c r="A1221" s="113" t="s">
        <v>1048</v>
      </c>
      <c r="B1221" s="111">
        <v>5</v>
      </c>
      <c r="C1221" s="115">
        <v>0.0021454319842567474</v>
      </c>
      <c r="D1221" s="111" t="s">
        <v>820</v>
      </c>
      <c r="E1221" s="111" t="b">
        <v>1</v>
      </c>
      <c r="F1221" s="111" t="b">
        <v>0</v>
      </c>
      <c r="G1221" s="111" t="b">
        <v>0</v>
      </c>
    </row>
    <row r="1222" spans="1:7" ht="15">
      <c r="A1222" s="113" t="s">
        <v>1053</v>
      </c>
      <c r="B1222" s="111">
        <v>5</v>
      </c>
      <c r="C1222" s="115">
        <v>0.0021454319842567474</v>
      </c>
      <c r="D1222" s="111" t="s">
        <v>820</v>
      </c>
      <c r="E1222" s="111" t="b">
        <v>0</v>
      </c>
      <c r="F1222" s="111" t="b">
        <v>0</v>
      </c>
      <c r="G1222" s="111" t="b">
        <v>0</v>
      </c>
    </row>
    <row r="1223" spans="1:7" ht="15">
      <c r="A1223" s="113" t="s">
        <v>975</v>
      </c>
      <c r="B1223" s="111">
        <v>5</v>
      </c>
      <c r="C1223" s="115">
        <v>0.0019457821840753373</v>
      </c>
      <c r="D1223" s="111" t="s">
        <v>820</v>
      </c>
      <c r="E1223" s="111" t="b">
        <v>0</v>
      </c>
      <c r="F1223" s="111" t="b">
        <v>0</v>
      </c>
      <c r="G1223" s="111" t="b">
        <v>0</v>
      </c>
    </row>
    <row r="1224" spans="1:7" ht="15">
      <c r="A1224" s="113" t="s">
        <v>924</v>
      </c>
      <c r="B1224" s="111">
        <v>5</v>
      </c>
      <c r="C1224" s="115">
        <v>0.0021454319842567474</v>
      </c>
      <c r="D1224" s="111" t="s">
        <v>820</v>
      </c>
      <c r="E1224" s="111" t="b">
        <v>0</v>
      </c>
      <c r="F1224" s="111" t="b">
        <v>0</v>
      </c>
      <c r="G1224" s="111" t="b">
        <v>0</v>
      </c>
    </row>
    <row r="1225" spans="1:7" ht="15">
      <c r="A1225" s="113" t="s">
        <v>932</v>
      </c>
      <c r="B1225" s="111">
        <v>5</v>
      </c>
      <c r="C1225" s="115">
        <v>0.0019457821840753373</v>
      </c>
      <c r="D1225" s="111" t="s">
        <v>820</v>
      </c>
      <c r="E1225" s="111" t="b">
        <v>0</v>
      </c>
      <c r="F1225" s="111" t="b">
        <v>0</v>
      </c>
      <c r="G1225" s="111" t="b">
        <v>0</v>
      </c>
    </row>
    <row r="1226" spans="1:7" ht="15">
      <c r="A1226" s="113" t="s">
        <v>860</v>
      </c>
      <c r="B1226" s="111">
        <v>5</v>
      </c>
      <c r="C1226" s="115">
        <v>0.0019457821840753373</v>
      </c>
      <c r="D1226" s="111" t="s">
        <v>820</v>
      </c>
      <c r="E1226" s="111" t="b">
        <v>1</v>
      </c>
      <c r="F1226" s="111" t="b">
        <v>0</v>
      </c>
      <c r="G1226" s="111" t="b">
        <v>0</v>
      </c>
    </row>
    <row r="1227" spans="1:7" ht="15">
      <c r="A1227" s="113" t="s">
        <v>885</v>
      </c>
      <c r="B1227" s="111">
        <v>5</v>
      </c>
      <c r="C1227" s="115">
        <v>0.0019457821840753373</v>
      </c>
      <c r="D1227" s="111" t="s">
        <v>820</v>
      </c>
      <c r="E1227" s="111" t="b">
        <v>0</v>
      </c>
      <c r="F1227" s="111" t="b">
        <v>0</v>
      </c>
      <c r="G1227" s="111" t="b">
        <v>0</v>
      </c>
    </row>
    <row r="1228" spans="1:7" ht="15">
      <c r="A1228" s="113" t="s">
        <v>867</v>
      </c>
      <c r="B1228" s="111">
        <v>5</v>
      </c>
      <c r="C1228" s="115">
        <v>0.002402825343565153</v>
      </c>
      <c r="D1228" s="111" t="s">
        <v>820</v>
      </c>
      <c r="E1228" s="111" t="b">
        <v>0</v>
      </c>
      <c r="F1228" s="111" t="b">
        <v>0</v>
      </c>
      <c r="G1228" s="111" t="b">
        <v>0</v>
      </c>
    </row>
    <row r="1229" spans="1:7" ht="15">
      <c r="A1229" s="113" t="s">
        <v>884</v>
      </c>
      <c r="B1229" s="111">
        <v>5</v>
      </c>
      <c r="C1229" s="115">
        <v>0.0021454319842567474</v>
      </c>
      <c r="D1229" s="111" t="s">
        <v>820</v>
      </c>
      <c r="E1229" s="111" t="b">
        <v>0</v>
      </c>
      <c r="F1229" s="111" t="b">
        <v>0</v>
      </c>
      <c r="G1229" s="111" t="b">
        <v>0</v>
      </c>
    </row>
    <row r="1230" spans="1:7" ht="15">
      <c r="A1230" s="113" t="s">
        <v>911</v>
      </c>
      <c r="B1230" s="111">
        <v>5</v>
      </c>
      <c r="C1230" s="115">
        <v>0.0019457821840753373</v>
      </c>
      <c r="D1230" s="111" t="s">
        <v>820</v>
      </c>
      <c r="E1230" s="111" t="b">
        <v>1</v>
      </c>
      <c r="F1230" s="111" t="b">
        <v>0</v>
      </c>
      <c r="G1230" s="111" t="b">
        <v>0</v>
      </c>
    </row>
    <row r="1231" spans="1:7" ht="15">
      <c r="A1231" s="113" t="s">
        <v>997</v>
      </c>
      <c r="B1231" s="111">
        <v>5</v>
      </c>
      <c r="C1231" s="115">
        <v>0.002765600908162765</v>
      </c>
      <c r="D1231" s="111" t="s">
        <v>820</v>
      </c>
      <c r="E1231" s="111" t="b">
        <v>0</v>
      </c>
      <c r="F1231" s="111" t="b">
        <v>0</v>
      </c>
      <c r="G1231" s="111" t="b">
        <v>0</v>
      </c>
    </row>
    <row r="1232" spans="1:7" ht="15">
      <c r="A1232" s="113" t="s">
        <v>892</v>
      </c>
      <c r="B1232" s="111">
        <v>5</v>
      </c>
      <c r="C1232" s="115">
        <v>0.0021454319842567474</v>
      </c>
      <c r="D1232" s="111" t="s">
        <v>820</v>
      </c>
      <c r="E1232" s="111" t="b">
        <v>0</v>
      </c>
      <c r="F1232" s="111" t="b">
        <v>0</v>
      </c>
      <c r="G1232" s="111" t="b">
        <v>0</v>
      </c>
    </row>
    <row r="1233" spans="1:7" ht="15">
      <c r="A1233" s="113" t="s">
        <v>1016</v>
      </c>
      <c r="B1233" s="111">
        <v>5</v>
      </c>
      <c r="C1233" s="115">
        <v>0.0033857698320687835</v>
      </c>
      <c r="D1233" s="111" t="s">
        <v>820</v>
      </c>
      <c r="E1233" s="111" t="b">
        <v>0</v>
      </c>
      <c r="F1233" s="111" t="b">
        <v>0</v>
      </c>
      <c r="G1233" s="111" t="b">
        <v>0</v>
      </c>
    </row>
    <row r="1234" spans="1:7" ht="15">
      <c r="A1234" s="113" t="s">
        <v>944</v>
      </c>
      <c r="B1234" s="111">
        <v>4</v>
      </c>
      <c r="C1234" s="115">
        <v>0.0017163455874053977</v>
      </c>
      <c r="D1234" s="111" t="s">
        <v>820</v>
      </c>
      <c r="E1234" s="111" t="b">
        <v>0</v>
      </c>
      <c r="F1234" s="111" t="b">
        <v>0</v>
      </c>
      <c r="G1234" s="111" t="b">
        <v>0</v>
      </c>
    </row>
    <row r="1235" spans="1:7" ht="15">
      <c r="A1235" s="113" t="s">
        <v>960</v>
      </c>
      <c r="B1235" s="111">
        <v>4</v>
      </c>
      <c r="C1235" s="115">
        <v>0.0017163455874053977</v>
      </c>
      <c r="D1235" s="111" t="s">
        <v>820</v>
      </c>
      <c r="E1235" s="111" t="b">
        <v>0</v>
      </c>
      <c r="F1235" s="111" t="b">
        <v>0</v>
      </c>
      <c r="G1235" s="111" t="b">
        <v>0</v>
      </c>
    </row>
    <row r="1236" spans="1:7" ht="15">
      <c r="A1236" s="113" t="s">
        <v>901</v>
      </c>
      <c r="B1236" s="111">
        <v>4</v>
      </c>
      <c r="C1236" s="115">
        <v>0.0017163455874053977</v>
      </c>
      <c r="D1236" s="111" t="s">
        <v>820</v>
      </c>
      <c r="E1236" s="111" t="b">
        <v>0</v>
      </c>
      <c r="F1236" s="111" t="b">
        <v>0</v>
      </c>
      <c r="G1236" s="111" t="b">
        <v>0</v>
      </c>
    </row>
    <row r="1237" spans="1:7" ht="15">
      <c r="A1237" s="113" t="s">
        <v>1108</v>
      </c>
      <c r="B1237" s="111">
        <v>4</v>
      </c>
      <c r="C1237" s="115">
        <v>0.001922260274852122</v>
      </c>
      <c r="D1237" s="111" t="s">
        <v>820</v>
      </c>
      <c r="E1237" s="111" t="b">
        <v>1</v>
      </c>
      <c r="F1237" s="111" t="b">
        <v>0</v>
      </c>
      <c r="G1237" s="111" t="b">
        <v>0</v>
      </c>
    </row>
    <row r="1238" spans="1:7" ht="15">
      <c r="A1238" s="113" t="s">
        <v>1046</v>
      </c>
      <c r="B1238" s="111">
        <v>4</v>
      </c>
      <c r="C1238" s="115">
        <v>0.001922260274852122</v>
      </c>
      <c r="D1238" s="111" t="s">
        <v>820</v>
      </c>
      <c r="E1238" s="111" t="b">
        <v>0</v>
      </c>
      <c r="F1238" s="111" t="b">
        <v>0</v>
      </c>
      <c r="G1238" s="111" t="b">
        <v>0</v>
      </c>
    </row>
    <row r="1239" spans="1:7" ht="15">
      <c r="A1239" s="113" t="s">
        <v>873</v>
      </c>
      <c r="B1239" s="111">
        <v>4</v>
      </c>
      <c r="C1239" s="115">
        <v>0.001922260274852122</v>
      </c>
      <c r="D1239" s="111" t="s">
        <v>820</v>
      </c>
      <c r="E1239" s="111" t="b">
        <v>0</v>
      </c>
      <c r="F1239" s="111" t="b">
        <v>0</v>
      </c>
      <c r="G1239" s="111" t="b">
        <v>0</v>
      </c>
    </row>
    <row r="1240" spans="1:7" ht="15">
      <c r="A1240" s="113" t="s">
        <v>1045</v>
      </c>
      <c r="B1240" s="111">
        <v>4</v>
      </c>
      <c r="C1240" s="115">
        <v>0.0017163455874053977</v>
      </c>
      <c r="D1240" s="111" t="s">
        <v>820</v>
      </c>
      <c r="E1240" s="111" t="b">
        <v>0</v>
      </c>
      <c r="F1240" s="111" t="b">
        <v>0</v>
      </c>
      <c r="G1240" s="111" t="b">
        <v>0</v>
      </c>
    </row>
    <row r="1241" spans="1:7" ht="15">
      <c r="A1241" s="113" t="s">
        <v>889</v>
      </c>
      <c r="B1241" s="111">
        <v>4</v>
      </c>
      <c r="C1241" s="115">
        <v>0.001922260274852122</v>
      </c>
      <c r="D1241" s="111" t="s">
        <v>820</v>
      </c>
      <c r="E1241" s="111" t="b">
        <v>0</v>
      </c>
      <c r="F1241" s="111" t="b">
        <v>0</v>
      </c>
      <c r="G1241" s="111" t="b">
        <v>0</v>
      </c>
    </row>
    <row r="1242" spans="1:7" ht="15">
      <c r="A1242" s="113" t="s">
        <v>923</v>
      </c>
      <c r="B1242" s="111">
        <v>4</v>
      </c>
      <c r="C1242" s="115">
        <v>0.001922260274852122</v>
      </c>
      <c r="D1242" s="111" t="s">
        <v>820</v>
      </c>
      <c r="E1242" s="111" t="b">
        <v>0</v>
      </c>
      <c r="F1242" s="111" t="b">
        <v>0</v>
      </c>
      <c r="G1242" s="111" t="b">
        <v>0</v>
      </c>
    </row>
    <row r="1243" spans="1:7" ht="15">
      <c r="A1243" s="113" t="s">
        <v>1041</v>
      </c>
      <c r="B1243" s="111">
        <v>4</v>
      </c>
      <c r="C1243" s="115">
        <v>0.0017163455874053977</v>
      </c>
      <c r="D1243" s="111" t="s">
        <v>820</v>
      </c>
      <c r="E1243" s="111" t="b">
        <v>0</v>
      </c>
      <c r="F1243" s="111" t="b">
        <v>0</v>
      </c>
      <c r="G1243" s="111" t="b">
        <v>0</v>
      </c>
    </row>
    <row r="1244" spans="1:7" ht="15">
      <c r="A1244" s="113" t="s">
        <v>1180</v>
      </c>
      <c r="B1244" s="111">
        <v>4</v>
      </c>
      <c r="C1244" s="115">
        <v>0.002212480726530212</v>
      </c>
      <c r="D1244" s="111" t="s">
        <v>820</v>
      </c>
      <c r="E1244" s="111" t="b">
        <v>0</v>
      </c>
      <c r="F1244" s="111" t="b">
        <v>0</v>
      </c>
      <c r="G1244" s="111" t="b">
        <v>0</v>
      </c>
    </row>
    <row r="1245" spans="1:7" ht="15">
      <c r="A1245" s="113" t="s">
        <v>1049</v>
      </c>
      <c r="B1245" s="111">
        <v>4</v>
      </c>
      <c r="C1245" s="115">
        <v>0.001922260274852122</v>
      </c>
      <c r="D1245" s="111" t="s">
        <v>820</v>
      </c>
      <c r="E1245" s="111" t="b">
        <v>0</v>
      </c>
      <c r="F1245" s="111" t="b">
        <v>0</v>
      </c>
      <c r="G1245" s="111" t="b">
        <v>0</v>
      </c>
    </row>
    <row r="1246" spans="1:7" ht="15">
      <c r="A1246" s="113" t="s">
        <v>1173</v>
      </c>
      <c r="B1246" s="111">
        <v>4</v>
      </c>
      <c r="C1246" s="115">
        <v>0.0017163455874053977</v>
      </c>
      <c r="D1246" s="111" t="s">
        <v>820</v>
      </c>
      <c r="E1246" s="111" t="b">
        <v>0</v>
      </c>
      <c r="F1246" s="111" t="b">
        <v>0</v>
      </c>
      <c r="G1246" s="111" t="b">
        <v>0</v>
      </c>
    </row>
    <row r="1247" spans="1:7" ht="15">
      <c r="A1247" s="113" t="s">
        <v>1055</v>
      </c>
      <c r="B1247" s="111">
        <v>4</v>
      </c>
      <c r="C1247" s="115">
        <v>0.001922260274852122</v>
      </c>
      <c r="D1247" s="111" t="s">
        <v>820</v>
      </c>
      <c r="E1247" s="111" t="b">
        <v>0</v>
      </c>
      <c r="F1247" s="111" t="b">
        <v>0</v>
      </c>
      <c r="G1247" s="111" t="b">
        <v>0</v>
      </c>
    </row>
    <row r="1248" spans="1:7" ht="15">
      <c r="A1248" s="113" t="s">
        <v>1091</v>
      </c>
      <c r="B1248" s="111">
        <v>4</v>
      </c>
      <c r="C1248" s="115">
        <v>0.0017163455874053977</v>
      </c>
      <c r="D1248" s="111" t="s">
        <v>820</v>
      </c>
      <c r="E1248" s="111" t="b">
        <v>0</v>
      </c>
      <c r="F1248" s="111" t="b">
        <v>0</v>
      </c>
      <c r="G1248" s="111" t="b">
        <v>0</v>
      </c>
    </row>
    <row r="1249" spans="1:7" ht="15">
      <c r="A1249" s="113" t="s">
        <v>1061</v>
      </c>
      <c r="B1249" s="111">
        <v>4</v>
      </c>
      <c r="C1249" s="115">
        <v>0.001922260274852122</v>
      </c>
      <c r="D1249" s="111" t="s">
        <v>820</v>
      </c>
      <c r="E1249" s="111" t="b">
        <v>0</v>
      </c>
      <c r="F1249" s="111" t="b">
        <v>0</v>
      </c>
      <c r="G1249" s="111" t="b">
        <v>0</v>
      </c>
    </row>
    <row r="1250" spans="1:7" ht="15">
      <c r="A1250" s="113" t="s">
        <v>949</v>
      </c>
      <c r="B1250" s="111">
        <v>4</v>
      </c>
      <c r="C1250" s="115">
        <v>0.001922260274852122</v>
      </c>
      <c r="D1250" s="111" t="s">
        <v>820</v>
      </c>
      <c r="E1250" s="111" t="b">
        <v>0</v>
      </c>
      <c r="F1250" s="111" t="b">
        <v>0</v>
      </c>
      <c r="G1250" s="111" t="b">
        <v>0</v>
      </c>
    </row>
    <row r="1251" spans="1:7" ht="15">
      <c r="A1251" s="113" t="s">
        <v>1193</v>
      </c>
      <c r="B1251" s="111">
        <v>4</v>
      </c>
      <c r="C1251" s="115">
        <v>0.002212480726530212</v>
      </c>
      <c r="D1251" s="111" t="s">
        <v>820</v>
      </c>
      <c r="E1251" s="111" t="b">
        <v>0</v>
      </c>
      <c r="F1251" s="111" t="b">
        <v>0</v>
      </c>
      <c r="G1251" s="111" t="b">
        <v>0</v>
      </c>
    </row>
    <row r="1252" spans="1:7" ht="15">
      <c r="A1252" s="113" t="s">
        <v>970</v>
      </c>
      <c r="B1252" s="111">
        <v>4</v>
      </c>
      <c r="C1252" s="115">
        <v>0.001922260274852122</v>
      </c>
      <c r="D1252" s="111" t="s">
        <v>820</v>
      </c>
      <c r="E1252" s="111" t="b">
        <v>0</v>
      </c>
      <c r="F1252" s="111" t="b">
        <v>0</v>
      </c>
      <c r="G1252" s="111" t="b">
        <v>0</v>
      </c>
    </row>
    <row r="1253" spans="1:7" ht="15">
      <c r="A1253" s="113" t="s">
        <v>963</v>
      </c>
      <c r="B1253" s="111">
        <v>4</v>
      </c>
      <c r="C1253" s="115">
        <v>0.0017163455874053977</v>
      </c>
      <c r="D1253" s="111" t="s">
        <v>820</v>
      </c>
      <c r="E1253" s="111" t="b">
        <v>0</v>
      </c>
      <c r="F1253" s="111" t="b">
        <v>0</v>
      </c>
      <c r="G1253" s="111" t="b">
        <v>0</v>
      </c>
    </row>
    <row r="1254" spans="1:7" ht="15">
      <c r="A1254" s="113" t="s">
        <v>964</v>
      </c>
      <c r="B1254" s="111">
        <v>4</v>
      </c>
      <c r="C1254" s="115">
        <v>0.002212480726530212</v>
      </c>
      <c r="D1254" s="111" t="s">
        <v>820</v>
      </c>
      <c r="E1254" s="111" t="b">
        <v>1</v>
      </c>
      <c r="F1254" s="111" t="b">
        <v>0</v>
      </c>
      <c r="G1254" s="111" t="b">
        <v>0</v>
      </c>
    </row>
    <row r="1255" spans="1:7" ht="15">
      <c r="A1255" s="113" t="s">
        <v>1040</v>
      </c>
      <c r="B1255" s="111">
        <v>4</v>
      </c>
      <c r="C1255" s="115">
        <v>0.0017163455874053977</v>
      </c>
      <c r="D1255" s="111" t="s">
        <v>820</v>
      </c>
      <c r="E1255" s="111" t="b">
        <v>0</v>
      </c>
      <c r="F1255" s="111" t="b">
        <v>0</v>
      </c>
      <c r="G1255" s="111" t="b">
        <v>0</v>
      </c>
    </row>
    <row r="1256" spans="1:7" ht="15">
      <c r="A1256" s="113" t="s">
        <v>1277</v>
      </c>
      <c r="B1256" s="111">
        <v>4</v>
      </c>
      <c r="C1256" s="115">
        <v>0.0027086158656550265</v>
      </c>
      <c r="D1256" s="111" t="s">
        <v>820</v>
      </c>
      <c r="E1256" s="111" t="b">
        <v>0</v>
      </c>
      <c r="F1256" s="111" t="b">
        <v>0</v>
      </c>
      <c r="G1256" s="111" t="b">
        <v>0</v>
      </c>
    </row>
    <row r="1257" spans="1:7" ht="15">
      <c r="A1257" s="113" t="s">
        <v>1278</v>
      </c>
      <c r="B1257" s="111">
        <v>4</v>
      </c>
      <c r="C1257" s="115">
        <v>0.0027086158656550265</v>
      </c>
      <c r="D1257" s="111" t="s">
        <v>820</v>
      </c>
      <c r="E1257" s="111" t="b">
        <v>0</v>
      </c>
      <c r="F1257" s="111" t="b">
        <v>0</v>
      </c>
      <c r="G1257" s="111" t="b">
        <v>0</v>
      </c>
    </row>
    <row r="1258" spans="1:7" ht="15">
      <c r="A1258" s="113" t="s">
        <v>1279</v>
      </c>
      <c r="B1258" s="111">
        <v>4</v>
      </c>
      <c r="C1258" s="115">
        <v>0.0027086158656550265</v>
      </c>
      <c r="D1258" s="111" t="s">
        <v>820</v>
      </c>
      <c r="E1258" s="111" t="b">
        <v>0</v>
      </c>
      <c r="F1258" s="111" t="b">
        <v>0</v>
      </c>
      <c r="G1258" s="111" t="b">
        <v>0</v>
      </c>
    </row>
    <row r="1259" spans="1:7" ht="15">
      <c r="A1259" s="113" t="s">
        <v>1280</v>
      </c>
      <c r="B1259" s="111">
        <v>4</v>
      </c>
      <c r="C1259" s="115">
        <v>0.0027086158656550265</v>
      </c>
      <c r="D1259" s="111" t="s">
        <v>820</v>
      </c>
      <c r="E1259" s="111" t="b">
        <v>0</v>
      </c>
      <c r="F1259" s="111" t="b">
        <v>0</v>
      </c>
      <c r="G1259" s="111" t="b">
        <v>0</v>
      </c>
    </row>
    <row r="1260" spans="1:7" ht="15">
      <c r="A1260" s="113" t="s">
        <v>925</v>
      </c>
      <c r="B1260" s="111">
        <v>4</v>
      </c>
      <c r="C1260" s="115">
        <v>0.0017163455874053977</v>
      </c>
      <c r="D1260" s="111" t="s">
        <v>820</v>
      </c>
      <c r="E1260" s="111" t="b">
        <v>0</v>
      </c>
      <c r="F1260" s="111" t="b">
        <v>0</v>
      </c>
      <c r="G1260" s="111" t="b">
        <v>0</v>
      </c>
    </row>
    <row r="1261" spans="1:7" ht="15">
      <c r="A1261" s="113" t="s">
        <v>976</v>
      </c>
      <c r="B1261" s="111">
        <v>4</v>
      </c>
      <c r="C1261" s="115">
        <v>0.001922260274852122</v>
      </c>
      <c r="D1261" s="111" t="s">
        <v>820</v>
      </c>
      <c r="E1261" s="111" t="b">
        <v>0</v>
      </c>
      <c r="F1261" s="111" t="b">
        <v>0</v>
      </c>
      <c r="G1261" s="111" t="b">
        <v>0</v>
      </c>
    </row>
    <row r="1262" spans="1:7" ht="15">
      <c r="A1262" s="113" t="s">
        <v>1090</v>
      </c>
      <c r="B1262" s="111">
        <v>4</v>
      </c>
      <c r="C1262" s="115">
        <v>0.002212480726530212</v>
      </c>
      <c r="D1262" s="111" t="s">
        <v>820</v>
      </c>
      <c r="E1262" s="111" t="b">
        <v>0</v>
      </c>
      <c r="F1262" s="111" t="b">
        <v>0</v>
      </c>
      <c r="G1262" s="111" t="b">
        <v>0</v>
      </c>
    </row>
    <row r="1263" spans="1:7" ht="15">
      <c r="A1263" s="113" t="s">
        <v>1216</v>
      </c>
      <c r="B1263" s="111">
        <v>4</v>
      </c>
      <c r="C1263" s="115">
        <v>0.0027086158656550265</v>
      </c>
      <c r="D1263" s="111" t="s">
        <v>820</v>
      </c>
      <c r="E1263" s="111" t="b">
        <v>0</v>
      </c>
      <c r="F1263" s="111" t="b">
        <v>0</v>
      </c>
      <c r="G1263" s="111" t="b">
        <v>0</v>
      </c>
    </row>
    <row r="1264" spans="1:7" ht="15">
      <c r="A1264" s="113" t="s">
        <v>1218</v>
      </c>
      <c r="B1264" s="111">
        <v>4</v>
      </c>
      <c r="C1264" s="115">
        <v>0.0027086158656550265</v>
      </c>
      <c r="D1264" s="111" t="s">
        <v>820</v>
      </c>
      <c r="E1264" s="111" t="b">
        <v>0</v>
      </c>
      <c r="F1264" s="111" t="b">
        <v>0</v>
      </c>
      <c r="G1264" s="111" t="b">
        <v>0</v>
      </c>
    </row>
    <row r="1265" spans="1:7" ht="15">
      <c r="A1265" s="113" t="s">
        <v>1197</v>
      </c>
      <c r="B1265" s="111">
        <v>4</v>
      </c>
      <c r="C1265" s="115">
        <v>0.002212480726530212</v>
      </c>
      <c r="D1265" s="111" t="s">
        <v>820</v>
      </c>
      <c r="E1265" s="111" t="b">
        <v>0</v>
      </c>
      <c r="F1265" s="111" t="b">
        <v>0</v>
      </c>
      <c r="G1265" s="111" t="b">
        <v>0</v>
      </c>
    </row>
    <row r="1266" spans="1:7" ht="15">
      <c r="A1266" s="113" t="s">
        <v>1221</v>
      </c>
      <c r="B1266" s="111">
        <v>4</v>
      </c>
      <c r="C1266" s="115">
        <v>0.0027086158656550265</v>
      </c>
      <c r="D1266" s="111" t="s">
        <v>820</v>
      </c>
      <c r="E1266" s="111" t="b">
        <v>0</v>
      </c>
      <c r="F1266" s="111" t="b">
        <v>0</v>
      </c>
      <c r="G1266" s="111" t="b">
        <v>0</v>
      </c>
    </row>
    <row r="1267" spans="1:7" ht="15">
      <c r="A1267" s="113" t="s">
        <v>919</v>
      </c>
      <c r="B1267" s="111">
        <v>4</v>
      </c>
      <c r="C1267" s="115">
        <v>0.002212480726530212</v>
      </c>
      <c r="D1267" s="111" t="s">
        <v>820</v>
      </c>
      <c r="E1267" s="111" t="b">
        <v>0</v>
      </c>
      <c r="F1267" s="111" t="b">
        <v>0</v>
      </c>
      <c r="G1267" s="111" t="b">
        <v>0</v>
      </c>
    </row>
    <row r="1268" spans="1:7" ht="15">
      <c r="A1268" s="113" t="s">
        <v>1224</v>
      </c>
      <c r="B1268" s="111">
        <v>4</v>
      </c>
      <c r="C1268" s="115">
        <v>0.0027086158656550265</v>
      </c>
      <c r="D1268" s="111" t="s">
        <v>820</v>
      </c>
      <c r="E1268" s="111" t="b">
        <v>0</v>
      </c>
      <c r="F1268" s="111" t="b">
        <v>0</v>
      </c>
      <c r="G1268" s="111" t="b">
        <v>0</v>
      </c>
    </row>
    <row r="1269" spans="1:7" ht="15">
      <c r="A1269" s="113" t="s">
        <v>1120</v>
      </c>
      <c r="B1269" s="111">
        <v>4</v>
      </c>
      <c r="C1269" s="115">
        <v>0.001922260274852122</v>
      </c>
      <c r="D1269" s="111" t="s">
        <v>820</v>
      </c>
      <c r="E1269" s="111" t="b">
        <v>0</v>
      </c>
      <c r="F1269" s="111" t="b">
        <v>0</v>
      </c>
      <c r="G1269" s="111" t="b">
        <v>0</v>
      </c>
    </row>
    <row r="1270" spans="1:7" ht="15">
      <c r="A1270" s="113" t="s">
        <v>928</v>
      </c>
      <c r="B1270" s="111">
        <v>4</v>
      </c>
      <c r="C1270" s="115">
        <v>0.0017163455874053977</v>
      </c>
      <c r="D1270" s="111" t="s">
        <v>820</v>
      </c>
      <c r="E1270" s="111" t="b">
        <v>0</v>
      </c>
      <c r="F1270" s="111" t="b">
        <v>0</v>
      </c>
      <c r="G1270" s="111" t="b">
        <v>0</v>
      </c>
    </row>
    <row r="1271" spans="1:7" ht="15">
      <c r="A1271" s="113" t="s">
        <v>1021</v>
      </c>
      <c r="B1271" s="111">
        <v>4</v>
      </c>
      <c r="C1271" s="115">
        <v>0.001922260274852122</v>
      </c>
      <c r="D1271" s="111" t="s">
        <v>820</v>
      </c>
      <c r="E1271" s="111" t="b">
        <v>0</v>
      </c>
      <c r="F1271" s="111" t="b">
        <v>0</v>
      </c>
      <c r="G1271" s="111" t="b">
        <v>0</v>
      </c>
    </row>
    <row r="1272" spans="1:7" ht="15">
      <c r="A1272" s="113" t="s">
        <v>868</v>
      </c>
      <c r="B1272" s="111">
        <v>4</v>
      </c>
      <c r="C1272" s="115">
        <v>0.002212480726530212</v>
      </c>
      <c r="D1272" s="111" t="s">
        <v>820</v>
      </c>
      <c r="E1272" s="111" t="b">
        <v>0</v>
      </c>
      <c r="F1272" s="111" t="b">
        <v>0</v>
      </c>
      <c r="G1272" s="111" t="b">
        <v>0</v>
      </c>
    </row>
    <row r="1273" spans="1:7" ht="15">
      <c r="A1273" s="113" t="s">
        <v>1275</v>
      </c>
      <c r="B1273" s="111">
        <v>4</v>
      </c>
      <c r="C1273" s="115">
        <v>0.002212480726530212</v>
      </c>
      <c r="D1273" s="111" t="s">
        <v>820</v>
      </c>
      <c r="E1273" s="111" t="b">
        <v>0</v>
      </c>
      <c r="F1273" s="111" t="b">
        <v>0</v>
      </c>
      <c r="G1273" s="111" t="b">
        <v>0</v>
      </c>
    </row>
    <row r="1274" spans="1:7" ht="15">
      <c r="A1274" s="113" t="s">
        <v>1198</v>
      </c>
      <c r="B1274" s="111">
        <v>4</v>
      </c>
      <c r="C1274" s="115">
        <v>0.002212480726530212</v>
      </c>
      <c r="D1274" s="111" t="s">
        <v>820</v>
      </c>
      <c r="E1274" s="111" t="b">
        <v>0</v>
      </c>
      <c r="F1274" s="111" t="b">
        <v>0</v>
      </c>
      <c r="G1274" s="111" t="b">
        <v>0</v>
      </c>
    </row>
    <row r="1275" spans="1:7" ht="15">
      <c r="A1275" s="113" t="s">
        <v>942</v>
      </c>
      <c r="B1275" s="111">
        <v>4</v>
      </c>
      <c r="C1275" s="115">
        <v>0.002212480726530212</v>
      </c>
      <c r="D1275" s="111" t="s">
        <v>820</v>
      </c>
      <c r="E1275" s="111" t="b">
        <v>0</v>
      </c>
      <c r="F1275" s="111" t="b">
        <v>0</v>
      </c>
      <c r="G1275" s="111" t="b">
        <v>0</v>
      </c>
    </row>
    <row r="1276" spans="1:7" ht="15">
      <c r="A1276" s="113" t="s">
        <v>1002</v>
      </c>
      <c r="B1276" s="111">
        <v>4</v>
      </c>
      <c r="C1276" s="115">
        <v>0.002212480726530212</v>
      </c>
      <c r="D1276" s="111" t="s">
        <v>820</v>
      </c>
      <c r="E1276" s="111" t="b">
        <v>0</v>
      </c>
      <c r="F1276" s="111" t="b">
        <v>0</v>
      </c>
      <c r="G1276" s="111" t="b">
        <v>0</v>
      </c>
    </row>
    <row r="1277" spans="1:7" ht="15">
      <c r="A1277" s="113" t="s">
        <v>1070</v>
      </c>
      <c r="B1277" s="111">
        <v>4</v>
      </c>
      <c r="C1277" s="115">
        <v>0.002212480726530212</v>
      </c>
      <c r="D1277" s="111" t="s">
        <v>820</v>
      </c>
      <c r="E1277" s="111" t="b">
        <v>0</v>
      </c>
      <c r="F1277" s="111" t="b">
        <v>0</v>
      </c>
      <c r="G1277" s="111" t="b">
        <v>0</v>
      </c>
    </row>
    <row r="1278" spans="1:7" ht="15">
      <c r="A1278" s="113" t="s">
        <v>1257</v>
      </c>
      <c r="B1278" s="111">
        <v>4</v>
      </c>
      <c r="C1278" s="115">
        <v>0.0027086158656550265</v>
      </c>
      <c r="D1278" s="111" t="s">
        <v>820</v>
      </c>
      <c r="E1278" s="111" t="b">
        <v>0</v>
      </c>
      <c r="F1278" s="111" t="b">
        <v>0</v>
      </c>
      <c r="G1278" s="111" t="b">
        <v>0</v>
      </c>
    </row>
    <row r="1279" spans="1:7" ht="15">
      <c r="A1279" s="113" t="s">
        <v>1036</v>
      </c>
      <c r="B1279" s="111">
        <v>4</v>
      </c>
      <c r="C1279" s="115">
        <v>0.001922260274852122</v>
      </c>
      <c r="D1279" s="111" t="s">
        <v>820</v>
      </c>
      <c r="E1279" s="111" t="b">
        <v>0</v>
      </c>
      <c r="F1279" s="111" t="b">
        <v>0</v>
      </c>
      <c r="G1279" s="111" t="b">
        <v>0</v>
      </c>
    </row>
    <row r="1280" spans="1:7" ht="15">
      <c r="A1280" s="113" t="s">
        <v>1037</v>
      </c>
      <c r="B1280" s="111">
        <v>4</v>
      </c>
      <c r="C1280" s="115">
        <v>0.002212480726530212</v>
      </c>
      <c r="D1280" s="111" t="s">
        <v>820</v>
      </c>
      <c r="E1280" s="111" t="b">
        <v>0</v>
      </c>
      <c r="F1280" s="111" t="b">
        <v>0</v>
      </c>
      <c r="G1280" s="111" t="b">
        <v>0</v>
      </c>
    </row>
    <row r="1281" spans="1:7" ht="15">
      <c r="A1281" s="113" t="s">
        <v>1363</v>
      </c>
      <c r="B1281" s="111">
        <v>3</v>
      </c>
      <c r="C1281" s="115">
        <v>0.00203146189924127</v>
      </c>
      <c r="D1281" s="111" t="s">
        <v>820</v>
      </c>
      <c r="E1281" s="111" t="b">
        <v>0</v>
      </c>
      <c r="F1281" s="111" t="b">
        <v>0</v>
      </c>
      <c r="G1281" s="111" t="b">
        <v>0</v>
      </c>
    </row>
    <row r="1282" spans="1:7" ht="15">
      <c r="A1282" s="113" t="s">
        <v>1364</v>
      </c>
      <c r="B1282" s="111">
        <v>3</v>
      </c>
      <c r="C1282" s="115">
        <v>0.00203146189924127</v>
      </c>
      <c r="D1282" s="111" t="s">
        <v>820</v>
      </c>
      <c r="E1282" s="111" t="b">
        <v>0</v>
      </c>
      <c r="F1282" s="111" t="b">
        <v>0</v>
      </c>
      <c r="G1282" s="111" t="b">
        <v>0</v>
      </c>
    </row>
    <row r="1283" spans="1:7" ht="15">
      <c r="A1283" s="113" t="s">
        <v>1228</v>
      </c>
      <c r="B1283" s="111">
        <v>3</v>
      </c>
      <c r="C1283" s="115">
        <v>0.0016593605448976588</v>
      </c>
      <c r="D1283" s="111" t="s">
        <v>820</v>
      </c>
      <c r="E1283" s="111" t="b">
        <v>0</v>
      </c>
      <c r="F1283" s="111" t="b">
        <v>0</v>
      </c>
      <c r="G1283" s="111" t="b">
        <v>0</v>
      </c>
    </row>
    <row r="1284" spans="1:7" ht="15">
      <c r="A1284" s="113" t="s">
        <v>1366</v>
      </c>
      <c r="B1284" s="111">
        <v>3</v>
      </c>
      <c r="C1284" s="115">
        <v>0.00203146189924127</v>
      </c>
      <c r="D1284" s="111" t="s">
        <v>820</v>
      </c>
      <c r="E1284" s="111" t="b">
        <v>0</v>
      </c>
      <c r="F1284" s="111" t="b">
        <v>0</v>
      </c>
      <c r="G1284" s="111" t="b">
        <v>0</v>
      </c>
    </row>
    <row r="1285" spans="1:7" ht="15">
      <c r="A1285" s="113" t="s">
        <v>1333</v>
      </c>
      <c r="B1285" s="111">
        <v>3</v>
      </c>
      <c r="C1285" s="115">
        <v>0.0016593605448976588</v>
      </c>
      <c r="D1285" s="111" t="s">
        <v>820</v>
      </c>
      <c r="E1285" s="111" t="b">
        <v>0</v>
      </c>
      <c r="F1285" s="111" t="b">
        <v>0</v>
      </c>
      <c r="G1285" s="111" t="b">
        <v>0</v>
      </c>
    </row>
    <row r="1286" spans="1:7" ht="15">
      <c r="A1286" s="113" t="s">
        <v>1367</v>
      </c>
      <c r="B1286" s="111">
        <v>3</v>
      </c>
      <c r="C1286" s="115">
        <v>0.0016593605448976588</v>
      </c>
      <c r="D1286" s="111" t="s">
        <v>820</v>
      </c>
      <c r="E1286" s="111" t="b">
        <v>0</v>
      </c>
      <c r="F1286" s="111" t="b">
        <v>0</v>
      </c>
      <c r="G1286" s="111" t="b">
        <v>0</v>
      </c>
    </row>
    <row r="1287" spans="1:7" ht="15">
      <c r="A1287" s="113" t="s">
        <v>1336</v>
      </c>
      <c r="B1287" s="111">
        <v>3</v>
      </c>
      <c r="C1287" s="115">
        <v>0.0016593605448976588</v>
      </c>
      <c r="D1287" s="111" t="s">
        <v>820</v>
      </c>
      <c r="E1287" s="111" t="b">
        <v>0</v>
      </c>
      <c r="F1287" s="111" t="b">
        <v>0</v>
      </c>
      <c r="G1287" s="111" t="b">
        <v>0</v>
      </c>
    </row>
    <row r="1288" spans="1:7" ht="15">
      <c r="A1288" s="113" t="s">
        <v>910</v>
      </c>
      <c r="B1288" s="111">
        <v>3</v>
      </c>
      <c r="C1288" s="115">
        <v>0.0014416952061390915</v>
      </c>
      <c r="D1288" s="111" t="s">
        <v>820</v>
      </c>
      <c r="E1288" s="111" t="b">
        <v>1</v>
      </c>
      <c r="F1288" s="111" t="b">
        <v>0</v>
      </c>
      <c r="G1288" s="111" t="b">
        <v>0</v>
      </c>
    </row>
    <row r="1289" spans="1:7" ht="15">
      <c r="A1289" s="113" t="s">
        <v>1076</v>
      </c>
      <c r="B1289" s="111">
        <v>3</v>
      </c>
      <c r="C1289" s="115">
        <v>0.00203146189924127</v>
      </c>
      <c r="D1289" s="111" t="s">
        <v>820</v>
      </c>
      <c r="E1289" s="111" t="b">
        <v>0</v>
      </c>
      <c r="F1289" s="111" t="b">
        <v>0</v>
      </c>
      <c r="G1289" s="111" t="b">
        <v>0</v>
      </c>
    </row>
    <row r="1290" spans="1:7" ht="15">
      <c r="A1290" s="113" t="s">
        <v>1303</v>
      </c>
      <c r="B1290" s="111">
        <v>3</v>
      </c>
      <c r="C1290" s="115">
        <v>0.0014416952061390915</v>
      </c>
      <c r="D1290" s="111" t="s">
        <v>820</v>
      </c>
      <c r="E1290" s="111" t="b">
        <v>0</v>
      </c>
      <c r="F1290" s="111" t="b">
        <v>0</v>
      </c>
      <c r="G1290" s="111" t="b">
        <v>0</v>
      </c>
    </row>
    <row r="1291" spans="1:7" ht="15">
      <c r="A1291" s="113" t="s">
        <v>993</v>
      </c>
      <c r="B1291" s="111">
        <v>3</v>
      </c>
      <c r="C1291" s="115">
        <v>0.0014416952061390915</v>
      </c>
      <c r="D1291" s="111" t="s">
        <v>820</v>
      </c>
      <c r="E1291" s="111" t="b">
        <v>0</v>
      </c>
      <c r="F1291" s="111" t="b">
        <v>1</v>
      </c>
      <c r="G1291" s="111" t="b">
        <v>0</v>
      </c>
    </row>
    <row r="1292" spans="1:7" ht="15">
      <c r="A1292" s="113" t="s">
        <v>1174</v>
      </c>
      <c r="B1292" s="111">
        <v>3</v>
      </c>
      <c r="C1292" s="115">
        <v>0.00203146189924127</v>
      </c>
      <c r="D1292" s="111" t="s">
        <v>820</v>
      </c>
      <c r="E1292" s="111" t="b">
        <v>0</v>
      </c>
      <c r="F1292" s="111" t="b">
        <v>0</v>
      </c>
      <c r="G1292" s="111" t="b">
        <v>0</v>
      </c>
    </row>
    <row r="1293" spans="1:7" ht="15">
      <c r="A1293" s="113" t="s">
        <v>891</v>
      </c>
      <c r="B1293" s="111">
        <v>3</v>
      </c>
      <c r="C1293" s="115">
        <v>0.0016593605448976588</v>
      </c>
      <c r="D1293" s="111" t="s">
        <v>820</v>
      </c>
      <c r="E1293" s="111" t="b">
        <v>0</v>
      </c>
      <c r="F1293" s="111" t="b">
        <v>0</v>
      </c>
      <c r="G1293" s="111" t="b">
        <v>0</v>
      </c>
    </row>
    <row r="1294" spans="1:7" ht="15">
      <c r="A1294" s="113" t="s">
        <v>1095</v>
      </c>
      <c r="B1294" s="111">
        <v>3</v>
      </c>
      <c r="C1294" s="115">
        <v>0.0016593605448976588</v>
      </c>
      <c r="D1294" s="111" t="s">
        <v>820</v>
      </c>
      <c r="E1294" s="111" t="b">
        <v>0</v>
      </c>
      <c r="F1294" s="111" t="b">
        <v>1</v>
      </c>
      <c r="G1294" s="111" t="b">
        <v>0</v>
      </c>
    </row>
    <row r="1295" spans="1:7" ht="15">
      <c r="A1295" s="113" t="s">
        <v>1178</v>
      </c>
      <c r="B1295" s="111">
        <v>3</v>
      </c>
      <c r="C1295" s="115">
        <v>0.0014416952061390915</v>
      </c>
      <c r="D1295" s="111" t="s">
        <v>820</v>
      </c>
      <c r="E1295" s="111" t="b">
        <v>0</v>
      </c>
      <c r="F1295" s="111" t="b">
        <v>0</v>
      </c>
      <c r="G1295" s="111" t="b">
        <v>0</v>
      </c>
    </row>
    <row r="1296" spans="1:7" ht="15">
      <c r="A1296" s="113" t="s">
        <v>1179</v>
      </c>
      <c r="B1296" s="111">
        <v>3</v>
      </c>
      <c r="C1296" s="115">
        <v>0.0016593605448976588</v>
      </c>
      <c r="D1296" s="111" t="s">
        <v>820</v>
      </c>
      <c r="E1296" s="111" t="b">
        <v>0</v>
      </c>
      <c r="F1296" s="111" t="b">
        <v>0</v>
      </c>
      <c r="G1296" s="111" t="b">
        <v>0</v>
      </c>
    </row>
    <row r="1297" spans="1:7" ht="15">
      <c r="A1297" s="113" t="s">
        <v>1052</v>
      </c>
      <c r="B1297" s="111">
        <v>3</v>
      </c>
      <c r="C1297" s="115">
        <v>0.0014416952061390915</v>
      </c>
      <c r="D1297" s="111" t="s">
        <v>820</v>
      </c>
      <c r="E1297" s="111" t="b">
        <v>1</v>
      </c>
      <c r="F1297" s="111" t="b">
        <v>0</v>
      </c>
      <c r="G1297" s="111" t="b">
        <v>0</v>
      </c>
    </row>
    <row r="1298" spans="1:7" ht="15">
      <c r="A1298" s="113" t="s">
        <v>1304</v>
      </c>
      <c r="B1298" s="111">
        <v>3</v>
      </c>
      <c r="C1298" s="115">
        <v>0.0014416952061390915</v>
      </c>
      <c r="D1298" s="111" t="s">
        <v>820</v>
      </c>
      <c r="E1298" s="111" t="b">
        <v>0</v>
      </c>
      <c r="F1298" s="111" t="b">
        <v>0</v>
      </c>
      <c r="G1298" s="111" t="b">
        <v>0</v>
      </c>
    </row>
    <row r="1299" spans="1:7" ht="15">
      <c r="A1299" s="113" t="s">
        <v>1054</v>
      </c>
      <c r="B1299" s="111">
        <v>3</v>
      </c>
      <c r="C1299" s="115">
        <v>0.0014416952061390915</v>
      </c>
      <c r="D1299" s="111" t="s">
        <v>820</v>
      </c>
      <c r="E1299" s="111" t="b">
        <v>0</v>
      </c>
      <c r="F1299" s="111" t="b">
        <v>0</v>
      </c>
      <c r="G1299" s="111" t="b">
        <v>0</v>
      </c>
    </row>
    <row r="1300" spans="1:7" ht="15">
      <c r="A1300" s="113" t="s">
        <v>1316</v>
      </c>
      <c r="B1300" s="111">
        <v>3</v>
      </c>
      <c r="C1300" s="115">
        <v>0.0014416952061390915</v>
      </c>
      <c r="D1300" s="111" t="s">
        <v>820</v>
      </c>
      <c r="E1300" s="111" t="b">
        <v>0</v>
      </c>
      <c r="F1300" s="111" t="b">
        <v>1</v>
      </c>
      <c r="G1300" s="111" t="b">
        <v>0</v>
      </c>
    </row>
    <row r="1301" spans="1:7" ht="15">
      <c r="A1301" s="113" t="s">
        <v>1311</v>
      </c>
      <c r="B1301" s="111">
        <v>3</v>
      </c>
      <c r="C1301" s="115">
        <v>0.0014416952061390915</v>
      </c>
      <c r="D1301" s="111" t="s">
        <v>820</v>
      </c>
      <c r="E1301" s="111" t="b">
        <v>0</v>
      </c>
      <c r="F1301" s="111" t="b">
        <v>0</v>
      </c>
      <c r="G1301" s="111" t="b">
        <v>0</v>
      </c>
    </row>
    <row r="1302" spans="1:7" ht="15">
      <c r="A1302" s="113" t="s">
        <v>1060</v>
      </c>
      <c r="B1302" s="111">
        <v>3</v>
      </c>
      <c r="C1302" s="115">
        <v>0.0014416952061390915</v>
      </c>
      <c r="D1302" s="111" t="s">
        <v>820</v>
      </c>
      <c r="E1302" s="111" t="b">
        <v>0</v>
      </c>
      <c r="F1302" s="111" t="b">
        <v>0</v>
      </c>
      <c r="G1302" s="111" t="b">
        <v>0</v>
      </c>
    </row>
    <row r="1303" spans="1:7" ht="15">
      <c r="A1303" s="113" t="s">
        <v>920</v>
      </c>
      <c r="B1303" s="111">
        <v>3</v>
      </c>
      <c r="C1303" s="115">
        <v>0.0016593605448976588</v>
      </c>
      <c r="D1303" s="111" t="s">
        <v>820</v>
      </c>
      <c r="E1303" s="111" t="b">
        <v>0</v>
      </c>
      <c r="F1303" s="111" t="b">
        <v>0</v>
      </c>
      <c r="G1303" s="111" t="b">
        <v>0</v>
      </c>
    </row>
    <row r="1304" spans="1:7" ht="15">
      <c r="A1304" s="113" t="s">
        <v>908</v>
      </c>
      <c r="B1304" s="111">
        <v>3</v>
      </c>
      <c r="C1304" s="115">
        <v>0.0014416952061390915</v>
      </c>
      <c r="D1304" s="111" t="s">
        <v>820</v>
      </c>
      <c r="E1304" s="111" t="b">
        <v>0</v>
      </c>
      <c r="F1304" s="111" t="b">
        <v>0</v>
      </c>
      <c r="G1304" s="111" t="b">
        <v>0</v>
      </c>
    </row>
    <row r="1305" spans="1:7" ht="15">
      <c r="A1305" s="113" t="s">
        <v>1113</v>
      </c>
      <c r="B1305" s="111">
        <v>3</v>
      </c>
      <c r="C1305" s="115">
        <v>0.0014416952061390915</v>
      </c>
      <c r="D1305" s="111" t="s">
        <v>820</v>
      </c>
      <c r="E1305" s="111" t="b">
        <v>0</v>
      </c>
      <c r="F1305" s="111" t="b">
        <v>0</v>
      </c>
      <c r="G1305" s="111" t="b">
        <v>0</v>
      </c>
    </row>
    <row r="1306" spans="1:7" ht="15">
      <c r="A1306" s="113" t="s">
        <v>1057</v>
      </c>
      <c r="B1306" s="111">
        <v>3</v>
      </c>
      <c r="C1306" s="115">
        <v>0.0014416952061390915</v>
      </c>
      <c r="D1306" s="111" t="s">
        <v>820</v>
      </c>
      <c r="E1306" s="111" t="b">
        <v>0</v>
      </c>
      <c r="F1306" s="111" t="b">
        <v>0</v>
      </c>
      <c r="G1306" s="111" t="b">
        <v>0</v>
      </c>
    </row>
    <row r="1307" spans="1:7" ht="15">
      <c r="A1307" s="113" t="s">
        <v>1096</v>
      </c>
      <c r="B1307" s="111">
        <v>3</v>
      </c>
      <c r="C1307" s="115">
        <v>0.0014416952061390915</v>
      </c>
      <c r="D1307" s="111" t="s">
        <v>820</v>
      </c>
      <c r="E1307" s="111" t="b">
        <v>0</v>
      </c>
      <c r="F1307" s="111" t="b">
        <v>0</v>
      </c>
      <c r="G1307" s="111" t="b">
        <v>0</v>
      </c>
    </row>
    <row r="1308" spans="1:7" ht="15">
      <c r="A1308" s="113" t="s">
        <v>1337</v>
      </c>
      <c r="B1308" s="111">
        <v>3</v>
      </c>
      <c r="C1308" s="115">
        <v>0.00203146189924127</v>
      </c>
      <c r="D1308" s="111" t="s">
        <v>820</v>
      </c>
      <c r="E1308" s="111" t="b">
        <v>0</v>
      </c>
      <c r="F1308" s="111" t="b">
        <v>0</v>
      </c>
      <c r="G1308" s="111" t="b">
        <v>0</v>
      </c>
    </row>
    <row r="1309" spans="1:7" ht="15">
      <c r="A1309" s="113" t="s">
        <v>1305</v>
      </c>
      <c r="B1309" s="111">
        <v>3</v>
      </c>
      <c r="C1309" s="115">
        <v>0.0014416952061390915</v>
      </c>
      <c r="D1309" s="111" t="s">
        <v>820</v>
      </c>
      <c r="E1309" s="111" t="b">
        <v>0</v>
      </c>
      <c r="F1309" s="111" t="b">
        <v>0</v>
      </c>
      <c r="G1309" s="111" t="b">
        <v>0</v>
      </c>
    </row>
    <row r="1310" spans="1:7" ht="15">
      <c r="A1310" s="113" t="s">
        <v>1502</v>
      </c>
      <c r="B1310" s="111">
        <v>3</v>
      </c>
      <c r="C1310" s="115">
        <v>0.00203146189924127</v>
      </c>
      <c r="D1310" s="111" t="s">
        <v>820</v>
      </c>
      <c r="E1310" s="111" t="b">
        <v>0</v>
      </c>
      <c r="F1310" s="111" t="b">
        <v>0</v>
      </c>
      <c r="G1310" s="111" t="b">
        <v>0</v>
      </c>
    </row>
    <row r="1311" spans="1:7" ht="15">
      <c r="A1311" s="113" t="s">
        <v>1503</v>
      </c>
      <c r="B1311" s="111">
        <v>3</v>
      </c>
      <c r="C1311" s="115">
        <v>0.00203146189924127</v>
      </c>
      <c r="D1311" s="111" t="s">
        <v>820</v>
      </c>
      <c r="E1311" s="111" t="b">
        <v>0</v>
      </c>
      <c r="F1311" s="111" t="b">
        <v>0</v>
      </c>
      <c r="G1311" s="111" t="b">
        <v>0</v>
      </c>
    </row>
    <row r="1312" spans="1:7" ht="15">
      <c r="A1312" s="113" t="s">
        <v>1226</v>
      </c>
      <c r="B1312" s="111">
        <v>3</v>
      </c>
      <c r="C1312" s="115">
        <v>0.0016593605448976588</v>
      </c>
      <c r="D1312" s="111" t="s">
        <v>820</v>
      </c>
      <c r="E1312" s="111" t="b">
        <v>0</v>
      </c>
      <c r="F1312" s="111" t="b">
        <v>0</v>
      </c>
      <c r="G1312" s="111" t="b">
        <v>0</v>
      </c>
    </row>
    <row r="1313" spans="1:7" ht="15">
      <c r="A1313" s="113" t="s">
        <v>894</v>
      </c>
      <c r="B1313" s="111">
        <v>3</v>
      </c>
      <c r="C1313" s="115">
        <v>0.0014416952061390915</v>
      </c>
      <c r="D1313" s="111" t="s">
        <v>820</v>
      </c>
      <c r="E1313" s="111" t="b">
        <v>0</v>
      </c>
      <c r="F1313" s="111" t="b">
        <v>0</v>
      </c>
      <c r="G1313" s="111" t="b">
        <v>0</v>
      </c>
    </row>
    <row r="1314" spans="1:7" ht="15">
      <c r="A1314" s="113" t="s">
        <v>1186</v>
      </c>
      <c r="B1314" s="111">
        <v>3</v>
      </c>
      <c r="C1314" s="115">
        <v>0.0016593605448976588</v>
      </c>
      <c r="D1314" s="111" t="s">
        <v>820</v>
      </c>
      <c r="E1314" s="111" t="b">
        <v>0</v>
      </c>
      <c r="F1314" s="111" t="b">
        <v>0</v>
      </c>
      <c r="G1314" s="111" t="b">
        <v>0</v>
      </c>
    </row>
    <row r="1315" spans="1:7" ht="15">
      <c r="A1315" s="113" t="s">
        <v>1190</v>
      </c>
      <c r="B1315" s="111">
        <v>3</v>
      </c>
      <c r="C1315" s="115">
        <v>0.0016593605448976588</v>
      </c>
      <c r="D1315" s="111" t="s">
        <v>820</v>
      </c>
      <c r="E1315" s="111" t="b">
        <v>0</v>
      </c>
      <c r="F1315" s="111" t="b">
        <v>0</v>
      </c>
      <c r="G1315" s="111" t="b">
        <v>0</v>
      </c>
    </row>
    <row r="1316" spans="1:7" ht="15">
      <c r="A1316" s="113" t="s">
        <v>937</v>
      </c>
      <c r="B1316" s="111">
        <v>3</v>
      </c>
      <c r="C1316" s="115">
        <v>0.0016593605448976588</v>
      </c>
      <c r="D1316" s="111" t="s">
        <v>820</v>
      </c>
      <c r="E1316" s="111" t="b">
        <v>0</v>
      </c>
      <c r="F1316" s="111" t="b">
        <v>0</v>
      </c>
      <c r="G1316" s="111" t="b">
        <v>0</v>
      </c>
    </row>
    <row r="1317" spans="1:7" ht="15">
      <c r="A1317" s="113" t="s">
        <v>1219</v>
      </c>
      <c r="B1317" s="111">
        <v>3</v>
      </c>
      <c r="C1317" s="115">
        <v>0.0014416952061390915</v>
      </c>
      <c r="D1317" s="111" t="s">
        <v>820</v>
      </c>
      <c r="E1317" s="111" t="b">
        <v>0</v>
      </c>
      <c r="F1317" s="111" t="b">
        <v>0</v>
      </c>
      <c r="G1317" s="111" t="b">
        <v>0</v>
      </c>
    </row>
    <row r="1318" spans="1:7" ht="15">
      <c r="A1318" s="113" t="s">
        <v>1033</v>
      </c>
      <c r="B1318" s="111">
        <v>3</v>
      </c>
      <c r="C1318" s="115">
        <v>0.0016593605448976588</v>
      </c>
      <c r="D1318" s="111" t="s">
        <v>820</v>
      </c>
      <c r="E1318" s="111" t="b">
        <v>0</v>
      </c>
      <c r="F1318" s="111" t="b">
        <v>0</v>
      </c>
      <c r="G1318" s="111" t="b">
        <v>0</v>
      </c>
    </row>
    <row r="1319" spans="1:7" ht="15">
      <c r="A1319" s="113" t="s">
        <v>1220</v>
      </c>
      <c r="B1319" s="111">
        <v>3</v>
      </c>
      <c r="C1319" s="115">
        <v>0.00203146189924127</v>
      </c>
      <c r="D1319" s="111" t="s">
        <v>820</v>
      </c>
      <c r="E1319" s="111" t="b">
        <v>0</v>
      </c>
      <c r="F1319" s="111" t="b">
        <v>0</v>
      </c>
      <c r="G1319" s="111" t="b">
        <v>0</v>
      </c>
    </row>
    <row r="1320" spans="1:7" ht="15">
      <c r="A1320" s="113" t="s">
        <v>988</v>
      </c>
      <c r="B1320" s="111">
        <v>3</v>
      </c>
      <c r="C1320" s="115">
        <v>0.0014416952061390915</v>
      </c>
      <c r="D1320" s="111" t="s">
        <v>820</v>
      </c>
      <c r="E1320" s="111" t="b">
        <v>0</v>
      </c>
      <c r="F1320" s="111" t="b">
        <v>0</v>
      </c>
      <c r="G1320" s="111" t="b">
        <v>0</v>
      </c>
    </row>
    <row r="1321" spans="1:7" ht="15">
      <c r="A1321" s="113" t="s">
        <v>1160</v>
      </c>
      <c r="B1321" s="111">
        <v>3</v>
      </c>
      <c r="C1321" s="115">
        <v>0.0016593605448976588</v>
      </c>
      <c r="D1321" s="111" t="s">
        <v>820</v>
      </c>
      <c r="E1321" s="111" t="b">
        <v>0</v>
      </c>
      <c r="F1321" s="111" t="b">
        <v>0</v>
      </c>
      <c r="G1321" s="111" t="b">
        <v>0</v>
      </c>
    </row>
    <row r="1322" spans="1:7" ht="15">
      <c r="A1322" s="113" t="s">
        <v>914</v>
      </c>
      <c r="B1322" s="111">
        <v>3</v>
      </c>
      <c r="C1322" s="115">
        <v>0.0016593605448976588</v>
      </c>
      <c r="D1322" s="111" t="s">
        <v>820</v>
      </c>
      <c r="E1322" s="111" t="b">
        <v>0</v>
      </c>
      <c r="F1322" s="111" t="b">
        <v>0</v>
      </c>
      <c r="G1322" s="111" t="b">
        <v>0</v>
      </c>
    </row>
    <row r="1323" spans="1:7" ht="15">
      <c r="A1323" s="113" t="s">
        <v>1354</v>
      </c>
      <c r="B1323" s="111">
        <v>3</v>
      </c>
      <c r="C1323" s="115">
        <v>0.00203146189924127</v>
      </c>
      <c r="D1323" s="111" t="s">
        <v>820</v>
      </c>
      <c r="E1323" s="111" t="b">
        <v>0</v>
      </c>
      <c r="F1323" s="111" t="b">
        <v>0</v>
      </c>
      <c r="G1323" s="111" t="b">
        <v>0</v>
      </c>
    </row>
    <row r="1324" spans="1:7" ht="15">
      <c r="A1324" s="113" t="s">
        <v>1357</v>
      </c>
      <c r="B1324" s="111">
        <v>3</v>
      </c>
      <c r="C1324" s="115">
        <v>0.00203146189924127</v>
      </c>
      <c r="D1324" s="111" t="s">
        <v>820</v>
      </c>
      <c r="E1324" s="111" t="b">
        <v>0</v>
      </c>
      <c r="F1324" s="111" t="b">
        <v>0</v>
      </c>
      <c r="G1324" s="111" t="b">
        <v>0</v>
      </c>
    </row>
    <row r="1325" spans="1:7" ht="15">
      <c r="A1325" s="113" t="s">
        <v>1222</v>
      </c>
      <c r="B1325" s="111">
        <v>3</v>
      </c>
      <c r="C1325" s="115">
        <v>0.00203146189924127</v>
      </c>
      <c r="D1325" s="111" t="s">
        <v>820</v>
      </c>
      <c r="E1325" s="111" t="b">
        <v>0</v>
      </c>
      <c r="F1325" s="111" t="b">
        <v>0</v>
      </c>
      <c r="G1325" s="111" t="b">
        <v>0</v>
      </c>
    </row>
    <row r="1326" spans="1:7" ht="15">
      <c r="A1326" s="113" t="s">
        <v>1359</v>
      </c>
      <c r="B1326" s="111">
        <v>3</v>
      </c>
      <c r="C1326" s="115">
        <v>0.0016593605448976588</v>
      </c>
      <c r="D1326" s="111" t="s">
        <v>820</v>
      </c>
      <c r="E1326" s="111" t="b">
        <v>0</v>
      </c>
      <c r="F1326" s="111" t="b">
        <v>0</v>
      </c>
      <c r="G1326" s="111" t="b">
        <v>0</v>
      </c>
    </row>
    <row r="1327" spans="1:7" ht="15">
      <c r="A1327" s="113" t="s">
        <v>1029</v>
      </c>
      <c r="B1327" s="111">
        <v>3</v>
      </c>
      <c r="C1327" s="115">
        <v>0.0016593605448976588</v>
      </c>
      <c r="D1327" s="111" t="s">
        <v>820</v>
      </c>
      <c r="E1327" s="111" t="b">
        <v>1</v>
      </c>
      <c r="F1327" s="111" t="b">
        <v>0</v>
      </c>
      <c r="G1327" s="111" t="b">
        <v>0</v>
      </c>
    </row>
    <row r="1328" spans="1:7" ht="15">
      <c r="A1328" s="113" t="s">
        <v>1111</v>
      </c>
      <c r="B1328" s="111">
        <v>3</v>
      </c>
      <c r="C1328" s="115">
        <v>0.0016593605448976588</v>
      </c>
      <c r="D1328" s="111" t="s">
        <v>820</v>
      </c>
      <c r="E1328" s="111" t="b">
        <v>1</v>
      </c>
      <c r="F1328" s="111" t="b">
        <v>0</v>
      </c>
      <c r="G1328" s="111" t="b">
        <v>0</v>
      </c>
    </row>
    <row r="1329" spans="1:7" ht="15">
      <c r="A1329" s="113" t="s">
        <v>1334</v>
      </c>
      <c r="B1329" s="111">
        <v>3</v>
      </c>
      <c r="C1329" s="115">
        <v>0.00203146189924127</v>
      </c>
      <c r="D1329" s="111" t="s">
        <v>820</v>
      </c>
      <c r="E1329" s="111" t="b">
        <v>0</v>
      </c>
      <c r="F1329" s="111" t="b">
        <v>0</v>
      </c>
      <c r="G1329" s="111" t="b">
        <v>0</v>
      </c>
    </row>
    <row r="1330" spans="1:7" ht="15">
      <c r="A1330" s="113" t="s">
        <v>999</v>
      </c>
      <c r="B1330" s="111">
        <v>3</v>
      </c>
      <c r="C1330" s="115">
        <v>0.0014416952061390915</v>
      </c>
      <c r="D1330" s="111" t="s">
        <v>820</v>
      </c>
      <c r="E1330" s="111" t="b">
        <v>0</v>
      </c>
      <c r="F1330" s="111" t="b">
        <v>0</v>
      </c>
      <c r="G1330" s="111" t="b">
        <v>0</v>
      </c>
    </row>
    <row r="1331" spans="1:7" ht="15">
      <c r="A1331" s="113" t="s">
        <v>1023</v>
      </c>
      <c r="B1331" s="111">
        <v>3</v>
      </c>
      <c r="C1331" s="115">
        <v>0.0014416952061390915</v>
      </c>
      <c r="D1331" s="111" t="s">
        <v>820</v>
      </c>
      <c r="E1331" s="111" t="b">
        <v>0</v>
      </c>
      <c r="F1331" s="111" t="b">
        <v>0</v>
      </c>
      <c r="G1331" s="111" t="b">
        <v>0</v>
      </c>
    </row>
    <row r="1332" spans="1:7" ht="15">
      <c r="A1332" s="113" t="s">
        <v>986</v>
      </c>
      <c r="B1332" s="111">
        <v>3</v>
      </c>
      <c r="C1332" s="115">
        <v>0.0014416952061390915</v>
      </c>
      <c r="D1332" s="111" t="s">
        <v>820</v>
      </c>
      <c r="E1332" s="111" t="b">
        <v>0</v>
      </c>
      <c r="F1332" s="111" t="b">
        <v>0</v>
      </c>
      <c r="G1332" s="111" t="b">
        <v>0</v>
      </c>
    </row>
    <row r="1333" spans="1:7" ht="15">
      <c r="A1333" s="113" t="s">
        <v>1024</v>
      </c>
      <c r="B1333" s="111">
        <v>3</v>
      </c>
      <c r="C1333" s="115">
        <v>0.0014416952061390915</v>
      </c>
      <c r="D1333" s="111" t="s">
        <v>820</v>
      </c>
      <c r="E1333" s="111" t="b">
        <v>0</v>
      </c>
      <c r="F1333" s="111" t="b">
        <v>0</v>
      </c>
      <c r="G1333" s="111" t="b">
        <v>0</v>
      </c>
    </row>
    <row r="1334" spans="1:7" ht="15">
      <c r="A1334" s="113" t="s">
        <v>1026</v>
      </c>
      <c r="B1334" s="111">
        <v>3</v>
      </c>
      <c r="C1334" s="115">
        <v>0.0014416952061390915</v>
      </c>
      <c r="D1334" s="111" t="s">
        <v>820</v>
      </c>
      <c r="E1334" s="111" t="b">
        <v>0</v>
      </c>
      <c r="F1334" s="111" t="b">
        <v>0</v>
      </c>
      <c r="G1334" s="111" t="b">
        <v>0</v>
      </c>
    </row>
    <row r="1335" spans="1:7" ht="15">
      <c r="A1335" s="113" t="s">
        <v>929</v>
      </c>
      <c r="B1335" s="111">
        <v>3</v>
      </c>
      <c r="C1335" s="115">
        <v>0.0016593605448976588</v>
      </c>
      <c r="D1335" s="111" t="s">
        <v>820</v>
      </c>
      <c r="E1335" s="111" t="b">
        <v>0</v>
      </c>
      <c r="F1335" s="111" t="b">
        <v>0</v>
      </c>
      <c r="G1335" s="111" t="b">
        <v>0</v>
      </c>
    </row>
    <row r="1336" spans="1:7" ht="15">
      <c r="A1336" s="113" t="s">
        <v>1027</v>
      </c>
      <c r="B1336" s="111">
        <v>3</v>
      </c>
      <c r="C1336" s="115">
        <v>0.00203146189924127</v>
      </c>
      <c r="D1336" s="111" t="s">
        <v>820</v>
      </c>
      <c r="E1336" s="111" t="b">
        <v>0</v>
      </c>
      <c r="F1336" s="111" t="b">
        <v>0</v>
      </c>
      <c r="G1336" s="111" t="b">
        <v>0</v>
      </c>
    </row>
    <row r="1337" spans="1:7" ht="15">
      <c r="A1337" s="113" t="s">
        <v>1028</v>
      </c>
      <c r="B1337" s="111">
        <v>3</v>
      </c>
      <c r="C1337" s="115">
        <v>0.00203146189924127</v>
      </c>
      <c r="D1337" s="111" t="s">
        <v>820</v>
      </c>
      <c r="E1337" s="111" t="b">
        <v>0</v>
      </c>
      <c r="F1337" s="111" t="b">
        <v>0</v>
      </c>
      <c r="G1337" s="111" t="b">
        <v>0</v>
      </c>
    </row>
    <row r="1338" spans="1:7" ht="15">
      <c r="A1338" s="113" t="s">
        <v>987</v>
      </c>
      <c r="B1338" s="111">
        <v>3</v>
      </c>
      <c r="C1338" s="115">
        <v>0.0016593605448976588</v>
      </c>
      <c r="D1338" s="111" t="s">
        <v>820</v>
      </c>
      <c r="E1338" s="111" t="b">
        <v>0</v>
      </c>
      <c r="F1338" s="111" t="b">
        <v>0</v>
      </c>
      <c r="G1338" s="111" t="b">
        <v>0</v>
      </c>
    </row>
    <row r="1339" spans="1:7" ht="15">
      <c r="A1339" s="113" t="s">
        <v>1032</v>
      </c>
      <c r="B1339" s="111">
        <v>3</v>
      </c>
      <c r="C1339" s="115">
        <v>0.00203146189924127</v>
      </c>
      <c r="D1339" s="111" t="s">
        <v>820</v>
      </c>
      <c r="E1339" s="111" t="b">
        <v>0</v>
      </c>
      <c r="F1339" s="111" t="b">
        <v>0</v>
      </c>
      <c r="G1339" s="111" t="b">
        <v>0</v>
      </c>
    </row>
    <row r="1340" spans="1:7" ht="15">
      <c r="A1340" s="113" t="s">
        <v>1274</v>
      </c>
      <c r="B1340" s="111">
        <v>3</v>
      </c>
      <c r="C1340" s="115">
        <v>0.00203146189924127</v>
      </c>
      <c r="D1340" s="111" t="s">
        <v>820</v>
      </c>
      <c r="E1340" s="111" t="b">
        <v>0</v>
      </c>
      <c r="F1340" s="111" t="b">
        <v>0</v>
      </c>
      <c r="G1340" s="111" t="b">
        <v>0</v>
      </c>
    </row>
    <row r="1341" spans="1:7" ht="15">
      <c r="A1341" s="113" t="s">
        <v>1452</v>
      </c>
      <c r="B1341" s="111">
        <v>3</v>
      </c>
      <c r="C1341" s="115">
        <v>0.0016593605448976588</v>
      </c>
      <c r="D1341" s="111" t="s">
        <v>820</v>
      </c>
      <c r="E1341" s="111" t="b">
        <v>0</v>
      </c>
      <c r="F1341" s="111" t="b">
        <v>0</v>
      </c>
      <c r="G1341" s="111" t="b">
        <v>0</v>
      </c>
    </row>
    <row r="1342" spans="1:7" ht="15">
      <c r="A1342" s="113" t="s">
        <v>856</v>
      </c>
      <c r="B1342" s="111">
        <v>3</v>
      </c>
      <c r="C1342" s="115">
        <v>0.0016593605448976588</v>
      </c>
      <c r="D1342" s="111" t="s">
        <v>820</v>
      </c>
      <c r="E1342" s="111" t="b">
        <v>0</v>
      </c>
      <c r="F1342" s="111" t="b">
        <v>0</v>
      </c>
      <c r="G1342" s="111" t="b">
        <v>0</v>
      </c>
    </row>
    <row r="1343" spans="1:7" ht="15">
      <c r="A1343" s="113" t="s">
        <v>1445</v>
      </c>
      <c r="B1343" s="111">
        <v>3</v>
      </c>
      <c r="C1343" s="115">
        <v>0.00203146189924127</v>
      </c>
      <c r="D1343" s="111" t="s">
        <v>820</v>
      </c>
      <c r="E1343" s="111" t="b">
        <v>0</v>
      </c>
      <c r="F1343" s="111" t="b">
        <v>0</v>
      </c>
      <c r="G1343" s="111" t="b">
        <v>0</v>
      </c>
    </row>
    <row r="1344" spans="1:7" ht="15">
      <c r="A1344" s="113" t="s">
        <v>1446</v>
      </c>
      <c r="B1344" s="111">
        <v>3</v>
      </c>
      <c r="C1344" s="115">
        <v>0.00203146189924127</v>
      </c>
      <c r="D1344" s="111" t="s">
        <v>820</v>
      </c>
      <c r="E1344" s="111" t="b">
        <v>0</v>
      </c>
      <c r="F1344" s="111" t="b">
        <v>0</v>
      </c>
      <c r="G1344" s="111" t="b">
        <v>0</v>
      </c>
    </row>
    <row r="1345" spans="1:7" ht="15">
      <c r="A1345" s="113" t="s">
        <v>1347</v>
      </c>
      <c r="B1345" s="111">
        <v>3</v>
      </c>
      <c r="C1345" s="115">
        <v>0.0014416952061390915</v>
      </c>
      <c r="D1345" s="111" t="s">
        <v>820</v>
      </c>
      <c r="E1345" s="111" t="b">
        <v>0</v>
      </c>
      <c r="F1345" s="111" t="b">
        <v>0</v>
      </c>
      <c r="G1345" s="111" t="b">
        <v>0</v>
      </c>
    </row>
    <row r="1346" spans="1:7" ht="15">
      <c r="A1346" s="113" t="s">
        <v>1039</v>
      </c>
      <c r="B1346" s="111">
        <v>3</v>
      </c>
      <c r="C1346" s="115">
        <v>0.0014416952061390915</v>
      </c>
      <c r="D1346" s="111" t="s">
        <v>820</v>
      </c>
      <c r="E1346" s="111" t="b">
        <v>0</v>
      </c>
      <c r="F1346" s="111" t="b">
        <v>0</v>
      </c>
      <c r="G1346" s="111" t="b">
        <v>0</v>
      </c>
    </row>
    <row r="1347" spans="1:7" ht="15">
      <c r="A1347" s="113" t="s">
        <v>946</v>
      </c>
      <c r="B1347" s="111">
        <v>3</v>
      </c>
      <c r="C1347" s="115">
        <v>0.0014416952061390915</v>
      </c>
      <c r="D1347" s="111" t="s">
        <v>820</v>
      </c>
      <c r="E1347" s="111" t="b">
        <v>0</v>
      </c>
      <c r="F1347" s="111" t="b">
        <v>0</v>
      </c>
      <c r="G1347" s="111" t="b">
        <v>0</v>
      </c>
    </row>
    <row r="1348" spans="1:7" ht="15">
      <c r="A1348" s="113" t="s">
        <v>1450</v>
      </c>
      <c r="B1348" s="111">
        <v>3</v>
      </c>
      <c r="C1348" s="115">
        <v>0.00203146189924127</v>
      </c>
      <c r="D1348" s="111" t="s">
        <v>820</v>
      </c>
      <c r="E1348" s="111" t="b">
        <v>0</v>
      </c>
      <c r="F1348" s="111" t="b">
        <v>0</v>
      </c>
      <c r="G1348" s="111" t="b">
        <v>0</v>
      </c>
    </row>
    <row r="1349" spans="1:7" ht="15">
      <c r="A1349" s="113" t="s">
        <v>1349</v>
      </c>
      <c r="B1349" s="111">
        <v>3</v>
      </c>
      <c r="C1349" s="115">
        <v>0.0014416952061390915</v>
      </c>
      <c r="D1349" s="111" t="s">
        <v>820</v>
      </c>
      <c r="E1349" s="111" t="b">
        <v>0</v>
      </c>
      <c r="F1349" s="111" t="b">
        <v>0</v>
      </c>
      <c r="G1349" s="111" t="b">
        <v>0</v>
      </c>
    </row>
    <row r="1350" spans="1:7" ht="15">
      <c r="A1350" s="113" t="s">
        <v>1294</v>
      </c>
      <c r="B1350" s="111">
        <v>3</v>
      </c>
      <c r="C1350" s="115">
        <v>0.0014416952061390915</v>
      </c>
      <c r="D1350" s="111" t="s">
        <v>820</v>
      </c>
      <c r="E1350" s="111" t="b">
        <v>0</v>
      </c>
      <c r="F1350" s="111" t="b">
        <v>0</v>
      </c>
      <c r="G1350" s="111" t="b">
        <v>0</v>
      </c>
    </row>
    <row r="1351" spans="1:7" ht="15">
      <c r="A1351" s="113" t="s">
        <v>1299</v>
      </c>
      <c r="B1351" s="111">
        <v>3</v>
      </c>
      <c r="C1351" s="115">
        <v>0.0016593605448976588</v>
      </c>
      <c r="D1351" s="111" t="s">
        <v>820</v>
      </c>
      <c r="E1351" s="111" t="b">
        <v>0</v>
      </c>
      <c r="F1351" s="111" t="b">
        <v>0</v>
      </c>
      <c r="G1351" s="111" t="b">
        <v>0</v>
      </c>
    </row>
    <row r="1352" spans="1:7" ht="15">
      <c r="A1352" s="113" t="s">
        <v>1094</v>
      </c>
      <c r="B1352" s="111">
        <v>3</v>
      </c>
      <c r="C1352" s="115">
        <v>0.0014416952061390915</v>
      </c>
      <c r="D1352" s="111" t="s">
        <v>820</v>
      </c>
      <c r="E1352" s="111" t="b">
        <v>0</v>
      </c>
      <c r="F1352" s="111" t="b">
        <v>0</v>
      </c>
      <c r="G1352" s="111" t="b">
        <v>0</v>
      </c>
    </row>
    <row r="1353" spans="1:7" ht="15">
      <c r="A1353" s="113" t="s">
        <v>1312</v>
      </c>
      <c r="B1353" s="111">
        <v>3</v>
      </c>
      <c r="C1353" s="115">
        <v>0.0014416952061390915</v>
      </c>
      <c r="D1353" s="111" t="s">
        <v>820</v>
      </c>
      <c r="E1353" s="111" t="b">
        <v>0</v>
      </c>
      <c r="F1353" s="111" t="b">
        <v>0</v>
      </c>
      <c r="G1353" s="111" t="b">
        <v>0</v>
      </c>
    </row>
    <row r="1354" spans="1:7" ht="15">
      <c r="A1354" s="113" t="s">
        <v>959</v>
      </c>
      <c r="B1354" s="111">
        <v>3</v>
      </c>
      <c r="C1354" s="115">
        <v>0.0016593605448976588</v>
      </c>
      <c r="D1354" s="111" t="s">
        <v>820</v>
      </c>
      <c r="E1354" s="111" t="b">
        <v>0</v>
      </c>
      <c r="F1354" s="111" t="b">
        <v>0</v>
      </c>
      <c r="G1354" s="111" t="b">
        <v>0</v>
      </c>
    </row>
    <row r="1355" spans="1:7" ht="15">
      <c r="A1355" s="113" t="s">
        <v>1377</v>
      </c>
      <c r="B1355" s="111">
        <v>3</v>
      </c>
      <c r="C1355" s="115">
        <v>0.00203146189924127</v>
      </c>
      <c r="D1355" s="111" t="s">
        <v>820</v>
      </c>
      <c r="E1355" s="111" t="b">
        <v>0</v>
      </c>
      <c r="F1355" s="111" t="b">
        <v>0</v>
      </c>
      <c r="G1355" s="111" t="b">
        <v>0</v>
      </c>
    </row>
    <row r="1356" spans="1:7" ht="15">
      <c r="A1356" s="113" t="s">
        <v>1378</v>
      </c>
      <c r="B1356" s="111">
        <v>3</v>
      </c>
      <c r="C1356" s="115">
        <v>0.00203146189924127</v>
      </c>
      <c r="D1356" s="111" t="s">
        <v>820</v>
      </c>
      <c r="E1356" s="111" t="b">
        <v>0</v>
      </c>
      <c r="F1356" s="111" t="b">
        <v>0</v>
      </c>
      <c r="G1356" s="111" t="b">
        <v>0</v>
      </c>
    </row>
    <row r="1357" spans="1:7" ht="15">
      <c r="A1357" s="113" t="s">
        <v>1379</v>
      </c>
      <c r="B1357" s="111">
        <v>3</v>
      </c>
      <c r="C1357" s="115">
        <v>0.00203146189924127</v>
      </c>
      <c r="D1357" s="111" t="s">
        <v>820</v>
      </c>
      <c r="E1357" s="111" t="b">
        <v>0</v>
      </c>
      <c r="F1357" s="111" t="b">
        <v>0</v>
      </c>
      <c r="G1357" s="111" t="b">
        <v>0</v>
      </c>
    </row>
    <row r="1358" spans="1:7" ht="15">
      <c r="A1358" s="113" t="s">
        <v>1103</v>
      </c>
      <c r="B1358" s="111">
        <v>3</v>
      </c>
      <c r="C1358" s="115">
        <v>0.0016593605448976588</v>
      </c>
      <c r="D1358" s="111" t="s">
        <v>820</v>
      </c>
      <c r="E1358" s="111" t="b">
        <v>0</v>
      </c>
      <c r="F1358" s="111" t="b">
        <v>0</v>
      </c>
      <c r="G1358" s="111" t="b">
        <v>0</v>
      </c>
    </row>
    <row r="1359" spans="1:7" ht="15">
      <c r="A1359" s="113" t="s">
        <v>1158</v>
      </c>
      <c r="B1359" s="111">
        <v>3</v>
      </c>
      <c r="C1359" s="115">
        <v>0.0014416952061390915</v>
      </c>
      <c r="D1359" s="111" t="s">
        <v>820</v>
      </c>
      <c r="E1359" s="111" t="b">
        <v>0</v>
      </c>
      <c r="F1359" s="111" t="b">
        <v>0</v>
      </c>
      <c r="G1359" s="111" t="b">
        <v>0</v>
      </c>
    </row>
    <row r="1360" spans="1:7" ht="15">
      <c r="A1360" s="113" t="s">
        <v>1227</v>
      </c>
      <c r="B1360" s="111">
        <v>2</v>
      </c>
      <c r="C1360" s="115">
        <v>0.0013543079328275133</v>
      </c>
      <c r="D1360" s="111" t="s">
        <v>820</v>
      </c>
      <c r="E1360" s="111" t="b">
        <v>0</v>
      </c>
      <c r="F1360" s="111" t="b">
        <v>1</v>
      </c>
      <c r="G1360" s="111" t="b">
        <v>0</v>
      </c>
    </row>
    <row r="1361" spans="1:7" ht="15">
      <c r="A1361" s="113" t="s">
        <v>1307</v>
      </c>
      <c r="B1361" s="111">
        <v>2</v>
      </c>
      <c r="C1361" s="115">
        <v>0.001106240363265106</v>
      </c>
      <c r="D1361" s="111" t="s">
        <v>820</v>
      </c>
      <c r="E1361" s="111" t="b">
        <v>0</v>
      </c>
      <c r="F1361" s="111" t="b">
        <v>0</v>
      </c>
      <c r="G1361" s="111" t="b">
        <v>0</v>
      </c>
    </row>
    <row r="1362" spans="1:7" ht="15">
      <c r="A1362" s="113" t="s">
        <v>1668</v>
      </c>
      <c r="B1362" s="111">
        <v>2</v>
      </c>
      <c r="C1362" s="115">
        <v>0.0013543079328275133</v>
      </c>
      <c r="D1362" s="111" t="s">
        <v>820</v>
      </c>
      <c r="E1362" s="111" t="b">
        <v>0</v>
      </c>
      <c r="F1362" s="111" t="b">
        <v>0</v>
      </c>
      <c r="G1362" s="111" t="b">
        <v>0</v>
      </c>
    </row>
    <row r="1363" spans="1:7" ht="15">
      <c r="A1363" s="113" t="s">
        <v>1669</v>
      </c>
      <c r="B1363" s="111">
        <v>2</v>
      </c>
      <c r="C1363" s="115">
        <v>0.001106240363265106</v>
      </c>
      <c r="D1363" s="111" t="s">
        <v>820</v>
      </c>
      <c r="E1363" s="111" t="b">
        <v>0</v>
      </c>
      <c r="F1363" s="111" t="b">
        <v>0</v>
      </c>
      <c r="G1363" s="111" t="b">
        <v>0</v>
      </c>
    </row>
    <row r="1364" spans="1:7" ht="15">
      <c r="A1364" s="113" t="s">
        <v>1229</v>
      </c>
      <c r="B1364" s="111">
        <v>2</v>
      </c>
      <c r="C1364" s="115">
        <v>0.001106240363265106</v>
      </c>
      <c r="D1364" s="111" t="s">
        <v>820</v>
      </c>
      <c r="E1364" s="111" t="b">
        <v>0</v>
      </c>
      <c r="F1364" s="111" t="b">
        <v>0</v>
      </c>
      <c r="G1364" s="111" t="b">
        <v>0</v>
      </c>
    </row>
    <row r="1365" spans="1:7" ht="15">
      <c r="A1365" s="113" t="s">
        <v>1595</v>
      </c>
      <c r="B1365" s="111">
        <v>2</v>
      </c>
      <c r="C1365" s="115">
        <v>0.001106240363265106</v>
      </c>
      <c r="D1365" s="111" t="s">
        <v>820</v>
      </c>
      <c r="E1365" s="111" t="b">
        <v>0</v>
      </c>
      <c r="F1365" s="111" t="b">
        <v>0</v>
      </c>
      <c r="G1365" s="111" t="b">
        <v>0</v>
      </c>
    </row>
    <row r="1366" spans="1:7" ht="15">
      <c r="A1366" s="113" t="s">
        <v>941</v>
      </c>
      <c r="B1366" s="111">
        <v>2</v>
      </c>
      <c r="C1366" s="115">
        <v>0.0013543079328275133</v>
      </c>
      <c r="D1366" s="111" t="s">
        <v>820</v>
      </c>
      <c r="E1366" s="111" t="b">
        <v>0</v>
      </c>
      <c r="F1366" s="111" t="b">
        <v>0</v>
      </c>
      <c r="G1366" s="111" t="b">
        <v>0</v>
      </c>
    </row>
    <row r="1367" spans="1:7" ht="15">
      <c r="A1367" s="113" t="s">
        <v>1622</v>
      </c>
      <c r="B1367" s="111">
        <v>2</v>
      </c>
      <c r="C1367" s="115">
        <v>0.001106240363265106</v>
      </c>
      <c r="D1367" s="111" t="s">
        <v>820</v>
      </c>
      <c r="E1367" s="111" t="b">
        <v>0</v>
      </c>
      <c r="F1367" s="111" t="b">
        <v>0</v>
      </c>
      <c r="G1367" s="111" t="b">
        <v>0</v>
      </c>
    </row>
    <row r="1368" spans="1:7" ht="15">
      <c r="A1368" s="113" t="s">
        <v>1030</v>
      </c>
      <c r="B1368" s="111">
        <v>2</v>
      </c>
      <c r="C1368" s="115">
        <v>0.001106240363265106</v>
      </c>
      <c r="D1368" s="111" t="s">
        <v>820</v>
      </c>
      <c r="E1368" s="111" t="b">
        <v>0</v>
      </c>
      <c r="F1368" s="111" t="b">
        <v>0</v>
      </c>
      <c r="G1368" s="111" t="b">
        <v>0</v>
      </c>
    </row>
    <row r="1369" spans="1:7" ht="15">
      <c r="A1369" s="113" t="s">
        <v>1075</v>
      </c>
      <c r="B1369" s="111">
        <v>2</v>
      </c>
      <c r="C1369" s="115">
        <v>0.001106240363265106</v>
      </c>
      <c r="D1369" s="111" t="s">
        <v>820</v>
      </c>
      <c r="E1369" s="111" t="b">
        <v>0</v>
      </c>
      <c r="F1369" s="111" t="b">
        <v>0</v>
      </c>
      <c r="G1369" s="111" t="b">
        <v>0</v>
      </c>
    </row>
    <row r="1370" spans="1:7" ht="15">
      <c r="A1370" s="113" t="s">
        <v>977</v>
      </c>
      <c r="B1370" s="111">
        <v>2</v>
      </c>
      <c r="C1370" s="115">
        <v>0.001106240363265106</v>
      </c>
      <c r="D1370" s="111" t="s">
        <v>820</v>
      </c>
      <c r="E1370" s="111" t="b">
        <v>0</v>
      </c>
      <c r="F1370" s="111" t="b">
        <v>0</v>
      </c>
      <c r="G1370" s="111" t="b">
        <v>0</v>
      </c>
    </row>
    <row r="1371" spans="1:7" ht="15">
      <c r="A1371" s="113" t="s">
        <v>1005</v>
      </c>
      <c r="B1371" s="111">
        <v>2</v>
      </c>
      <c r="C1371" s="115">
        <v>0.0013543079328275133</v>
      </c>
      <c r="D1371" s="111" t="s">
        <v>820</v>
      </c>
      <c r="E1371" s="111" t="b">
        <v>0</v>
      </c>
      <c r="F1371" s="111" t="b">
        <v>0</v>
      </c>
      <c r="G1371" s="111" t="b">
        <v>0</v>
      </c>
    </row>
    <row r="1372" spans="1:7" ht="15">
      <c r="A1372" s="113" t="s">
        <v>1035</v>
      </c>
      <c r="B1372" s="111">
        <v>2</v>
      </c>
      <c r="C1372" s="115">
        <v>0.001106240363265106</v>
      </c>
      <c r="D1372" s="111" t="s">
        <v>820</v>
      </c>
      <c r="E1372" s="111" t="b">
        <v>0</v>
      </c>
      <c r="F1372" s="111" t="b">
        <v>0</v>
      </c>
      <c r="G1372" s="111" t="b">
        <v>0</v>
      </c>
    </row>
    <row r="1373" spans="1:7" ht="15">
      <c r="A1373" s="113" t="s">
        <v>1290</v>
      </c>
      <c r="B1373" s="111">
        <v>2</v>
      </c>
      <c r="C1373" s="115">
        <v>0.001106240363265106</v>
      </c>
      <c r="D1373" s="111" t="s">
        <v>820</v>
      </c>
      <c r="E1373" s="111" t="b">
        <v>0</v>
      </c>
      <c r="F1373" s="111" t="b">
        <v>0</v>
      </c>
      <c r="G1373" s="111" t="b">
        <v>0</v>
      </c>
    </row>
    <row r="1374" spans="1:7" ht="15">
      <c r="A1374" s="113" t="s">
        <v>1677</v>
      </c>
      <c r="B1374" s="111">
        <v>2</v>
      </c>
      <c r="C1374" s="115">
        <v>0.0013543079328275133</v>
      </c>
      <c r="D1374" s="111" t="s">
        <v>820</v>
      </c>
      <c r="E1374" s="111" t="b">
        <v>0</v>
      </c>
      <c r="F1374" s="111" t="b">
        <v>0</v>
      </c>
      <c r="G1374" s="111" t="b">
        <v>0</v>
      </c>
    </row>
    <row r="1375" spans="1:7" ht="15">
      <c r="A1375" s="113" t="s">
        <v>969</v>
      </c>
      <c r="B1375" s="111">
        <v>2</v>
      </c>
      <c r="C1375" s="115">
        <v>0.001106240363265106</v>
      </c>
      <c r="D1375" s="111" t="s">
        <v>820</v>
      </c>
      <c r="E1375" s="111" t="b">
        <v>0</v>
      </c>
      <c r="F1375" s="111" t="b">
        <v>0</v>
      </c>
      <c r="G1375" s="111" t="b">
        <v>0</v>
      </c>
    </row>
    <row r="1376" spans="1:7" ht="15">
      <c r="A1376" s="113" t="s">
        <v>1007</v>
      </c>
      <c r="B1376" s="111">
        <v>2</v>
      </c>
      <c r="C1376" s="115">
        <v>0.0013543079328275133</v>
      </c>
      <c r="D1376" s="111" t="s">
        <v>820</v>
      </c>
      <c r="E1376" s="111" t="b">
        <v>0</v>
      </c>
      <c r="F1376" s="111" t="b">
        <v>0</v>
      </c>
      <c r="G1376" s="111" t="b">
        <v>0</v>
      </c>
    </row>
    <row r="1377" spans="1:7" ht="15">
      <c r="A1377" s="113" t="s">
        <v>1008</v>
      </c>
      <c r="B1377" s="111">
        <v>2</v>
      </c>
      <c r="C1377" s="115">
        <v>0.0013543079328275133</v>
      </c>
      <c r="D1377" s="111" t="s">
        <v>820</v>
      </c>
      <c r="E1377" s="111" t="b">
        <v>0</v>
      </c>
      <c r="F1377" s="111" t="b">
        <v>0</v>
      </c>
      <c r="G1377" s="111" t="b">
        <v>0</v>
      </c>
    </row>
    <row r="1378" spans="1:7" ht="15">
      <c r="A1378" s="113" t="s">
        <v>1559</v>
      </c>
      <c r="B1378" s="111">
        <v>2</v>
      </c>
      <c r="C1378" s="115">
        <v>0.001106240363265106</v>
      </c>
      <c r="D1378" s="111" t="s">
        <v>820</v>
      </c>
      <c r="E1378" s="111" t="b">
        <v>0</v>
      </c>
      <c r="F1378" s="111" t="b">
        <v>0</v>
      </c>
      <c r="G1378" s="111" t="b">
        <v>0</v>
      </c>
    </row>
    <row r="1379" spans="1:7" ht="15">
      <c r="A1379" s="113" t="s">
        <v>1128</v>
      </c>
      <c r="B1379" s="111">
        <v>2</v>
      </c>
      <c r="C1379" s="115">
        <v>0.001106240363265106</v>
      </c>
      <c r="D1379" s="111" t="s">
        <v>820</v>
      </c>
      <c r="E1379" s="111" t="b">
        <v>0</v>
      </c>
      <c r="F1379" s="111" t="b">
        <v>0</v>
      </c>
      <c r="G1379" s="111" t="b">
        <v>0</v>
      </c>
    </row>
    <row r="1380" spans="1:7" ht="15">
      <c r="A1380" s="113" t="s">
        <v>1574</v>
      </c>
      <c r="B1380" s="111">
        <v>2</v>
      </c>
      <c r="C1380" s="115">
        <v>0.001106240363265106</v>
      </c>
      <c r="D1380" s="111" t="s">
        <v>820</v>
      </c>
      <c r="E1380" s="111" t="b">
        <v>0</v>
      </c>
      <c r="F1380" s="111" t="b">
        <v>1</v>
      </c>
      <c r="G1380" s="111" t="b">
        <v>0</v>
      </c>
    </row>
    <row r="1381" spans="1:7" ht="15">
      <c r="A1381" s="113" t="s">
        <v>1130</v>
      </c>
      <c r="B1381" s="111">
        <v>2</v>
      </c>
      <c r="C1381" s="115">
        <v>0.001106240363265106</v>
      </c>
      <c r="D1381" s="111" t="s">
        <v>820</v>
      </c>
      <c r="E1381" s="111" t="b">
        <v>0</v>
      </c>
      <c r="F1381" s="111" t="b">
        <v>0</v>
      </c>
      <c r="G1381" s="111" t="b">
        <v>0</v>
      </c>
    </row>
    <row r="1382" spans="1:7" ht="15">
      <c r="A1382" s="113" t="s">
        <v>1545</v>
      </c>
      <c r="B1382" s="111">
        <v>2</v>
      </c>
      <c r="C1382" s="115">
        <v>0.001106240363265106</v>
      </c>
      <c r="D1382" s="111" t="s">
        <v>820</v>
      </c>
      <c r="E1382" s="111" t="b">
        <v>0</v>
      </c>
      <c r="F1382" s="111" t="b">
        <v>0</v>
      </c>
      <c r="G1382" s="111" t="b">
        <v>0</v>
      </c>
    </row>
    <row r="1383" spans="1:7" ht="15">
      <c r="A1383" s="113" t="s">
        <v>1562</v>
      </c>
      <c r="B1383" s="111">
        <v>2</v>
      </c>
      <c r="C1383" s="115">
        <v>0.0013543079328275133</v>
      </c>
      <c r="D1383" s="111" t="s">
        <v>820</v>
      </c>
      <c r="E1383" s="111" t="b">
        <v>0</v>
      </c>
      <c r="F1383" s="111" t="b">
        <v>0</v>
      </c>
      <c r="G1383" s="111" t="b">
        <v>0</v>
      </c>
    </row>
    <row r="1384" spans="1:7" ht="15">
      <c r="A1384" s="113" t="s">
        <v>947</v>
      </c>
      <c r="B1384" s="111">
        <v>2</v>
      </c>
      <c r="C1384" s="115">
        <v>0.001106240363265106</v>
      </c>
      <c r="D1384" s="111" t="s">
        <v>820</v>
      </c>
      <c r="E1384" s="111" t="b">
        <v>0</v>
      </c>
      <c r="F1384" s="111" t="b">
        <v>0</v>
      </c>
      <c r="G1384" s="111" t="b">
        <v>0</v>
      </c>
    </row>
    <row r="1385" spans="1:7" ht="15">
      <c r="A1385" s="113" t="s">
        <v>1313</v>
      </c>
      <c r="B1385" s="111">
        <v>2</v>
      </c>
      <c r="C1385" s="115">
        <v>0.001106240363265106</v>
      </c>
      <c r="D1385" s="111" t="s">
        <v>820</v>
      </c>
      <c r="E1385" s="111" t="b">
        <v>0</v>
      </c>
      <c r="F1385" s="111" t="b">
        <v>0</v>
      </c>
      <c r="G1385" s="111" t="b">
        <v>0</v>
      </c>
    </row>
    <row r="1386" spans="1:7" ht="15">
      <c r="A1386" s="113" t="s">
        <v>1097</v>
      </c>
      <c r="B1386" s="111">
        <v>2</v>
      </c>
      <c r="C1386" s="115">
        <v>0.001106240363265106</v>
      </c>
      <c r="D1386" s="111" t="s">
        <v>820</v>
      </c>
      <c r="E1386" s="111" t="b">
        <v>0</v>
      </c>
      <c r="F1386" s="111" t="b">
        <v>0</v>
      </c>
      <c r="G1386" s="111" t="b">
        <v>0</v>
      </c>
    </row>
    <row r="1387" spans="1:7" ht="15">
      <c r="A1387" s="113" t="s">
        <v>1175</v>
      </c>
      <c r="B1387" s="111">
        <v>2</v>
      </c>
      <c r="C1387" s="115">
        <v>0.001106240363265106</v>
      </c>
      <c r="D1387" s="111" t="s">
        <v>820</v>
      </c>
      <c r="E1387" s="111" t="b">
        <v>0</v>
      </c>
      <c r="F1387" s="111" t="b">
        <v>0</v>
      </c>
      <c r="G1387" s="111" t="b">
        <v>0</v>
      </c>
    </row>
    <row r="1388" spans="1:7" ht="15">
      <c r="A1388" s="113" t="s">
        <v>1157</v>
      </c>
      <c r="B1388" s="111">
        <v>2</v>
      </c>
      <c r="C1388" s="115">
        <v>0.001106240363265106</v>
      </c>
      <c r="D1388" s="111" t="s">
        <v>820</v>
      </c>
      <c r="E1388" s="111" t="b">
        <v>0</v>
      </c>
      <c r="F1388" s="111" t="b">
        <v>0</v>
      </c>
      <c r="G1388" s="111" t="b">
        <v>0</v>
      </c>
    </row>
    <row r="1389" spans="1:7" ht="15">
      <c r="A1389" s="113" t="s">
        <v>1543</v>
      </c>
      <c r="B1389" s="111">
        <v>2</v>
      </c>
      <c r="C1389" s="115">
        <v>0.0013543079328275133</v>
      </c>
      <c r="D1389" s="111" t="s">
        <v>820</v>
      </c>
      <c r="E1389" s="111" t="b">
        <v>0</v>
      </c>
      <c r="F1389" s="111" t="b">
        <v>0</v>
      </c>
      <c r="G1389" s="111" t="b">
        <v>0</v>
      </c>
    </row>
    <row r="1390" spans="1:7" ht="15">
      <c r="A1390" s="113" t="s">
        <v>1176</v>
      </c>
      <c r="B1390" s="111">
        <v>2</v>
      </c>
      <c r="C1390" s="115">
        <v>0.001106240363265106</v>
      </c>
      <c r="D1390" s="111" t="s">
        <v>820</v>
      </c>
      <c r="E1390" s="111" t="b">
        <v>0</v>
      </c>
      <c r="F1390" s="111" t="b">
        <v>0</v>
      </c>
      <c r="G1390" s="111" t="b">
        <v>0</v>
      </c>
    </row>
    <row r="1391" spans="1:7" ht="15">
      <c r="A1391" s="113" t="s">
        <v>945</v>
      </c>
      <c r="B1391" s="111">
        <v>2</v>
      </c>
      <c r="C1391" s="115">
        <v>0.001106240363265106</v>
      </c>
      <c r="D1391" s="111" t="s">
        <v>820</v>
      </c>
      <c r="E1391" s="111" t="b">
        <v>0</v>
      </c>
      <c r="F1391" s="111" t="b">
        <v>0</v>
      </c>
      <c r="G1391" s="111" t="b">
        <v>0</v>
      </c>
    </row>
    <row r="1392" spans="1:7" ht="15">
      <c r="A1392" s="113" t="s">
        <v>935</v>
      </c>
      <c r="B1392" s="111">
        <v>2</v>
      </c>
      <c r="C1392" s="115">
        <v>0.001106240363265106</v>
      </c>
      <c r="D1392" s="111" t="s">
        <v>820</v>
      </c>
      <c r="E1392" s="111" t="b">
        <v>0</v>
      </c>
      <c r="F1392" s="111" t="b">
        <v>0</v>
      </c>
      <c r="G1392" s="111" t="b">
        <v>0</v>
      </c>
    </row>
    <row r="1393" spans="1:7" ht="15">
      <c r="A1393" s="113" t="s">
        <v>989</v>
      </c>
      <c r="B1393" s="111">
        <v>2</v>
      </c>
      <c r="C1393" s="115">
        <v>0.001106240363265106</v>
      </c>
      <c r="D1393" s="111" t="s">
        <v>820</v>
      </c>
      <c r="E1393" s="111" t="b">
        <v>0</v>
      </c>
      <c r="F1393" s="111" t="b">
        <v>0</v>
      </c>
      <c r="G1393" s="111" t="b">
        <v>0</v>
      </c>
    </row>
    <row r="1394" spans="1:7" ht="15">
      <c r="A1394" s="113" t="s">
        <v>1300</v>
      </c>
      <c r="B1394" s="111">
        <v>2</v>
      </c>
      <c r="C1394" s="115">
        <v>0.001106240363265106</v>
      </c>
      <c r="D1394" s="111" t="s">
        <v>820</v>
      </c>
      <c r="E1394" s="111" t="b">
        <v>0</v>
      </c>
      <c r="F1394" s="111" t="b">
        <v>0</v>
      </c>
      <c r="G1394" s="111" t="b">
        <v>0</v>
      </c>
    </row>
    <row r="1395" spans="1:7" ht="15">
      <c r="A1395" s="113" t="s">
        <v>1050</v>
      </c>
      <c r="B1395" s="111">
        <v>2</v>
      </c>
      <c r="C1395" s="115">
        <v>0.001106240363265106</v>
      </c>
      <c r="D1395" s="111" t="s">
        <v>820</v>
      </c>
      <c r="E1395" s="111" t="b">
        <v>0</v>
      </c>
      <c r="F1395" s="111" t="b">
        <v>0</v>
      </c>
      <c r="G1395" s="111" t="b">
        <v>0</v>
      </c>
    </row>
    <row r="1396" spans="1:7" ht="15">
      <c r="A1396" s="113" t="s">
        <v>1051</v>
      </c>
      <c r="B1396" s="111">
        <v>2</v>
      </c>
      <c r="C1396" s="115">
        <v>0.001106240363265106</v>
      </c>
      <c r="D1396" s="111" t="s">
        <v>820</v>
      </c>
      <c r="E1396" s="111" t="b">
        <v>0</v>
      </c>
      <c r="F1396" s="111" t="b">
        <v>0</v>
      </c>
      <c r="G1396" s="111" t="b">
        <v>0</v>
      </c>
    </row>
    <row r="1397" spans="1:7" ht="15">
      <c r="A1397" s="113" t="s">
        <v>1181</v>
      </c>
      <c r="B1397" s="111">
        <v>2</v>
      </c>
      <c r="C1397" s="115">
        <v>0.001106240363265106</v>
      </c>
      <c r="D1397" s="111" t="s">
        <v>820</v>
      </c>
      <c r="E1397" s="111" t="b">
        <v>0</v>
      </c>
      <c r="F1397" s="111" t="b">
        <v>0</v>
      </c>
      <c r="G1397" s="111" t="b">
        <v>0</v>
      </c>
    </row>
    <row r="1398" spans="1:7" ht="15">
      <c r="A1398" s="113" t="s">
        <v>1702</v>
      </c>
      <c r="B1398" s="111">
        <v>2</v>
      </c>
      <c r="C1398" s="115">
        <v>0.0013543079328275133</v>
      </c>
      <c r="D1398" s="111" t="s">
        <v>820</v>
      </c>
      <c r="E1398" s="111" t="b">
        <v>0</v>
      </c>
      <c r="F1398" s="111" t="b">
        <v>0</v>
      </c>
      <c r="G1398" s="111" t="b">
        <v>0</v>
      </c>
    </row>
    <row r="1399" spans="1:7" ht="15">
      <c r="A1399" s="113" t="s">
        <v>1319</v>
      </c>
      <c r="B1399" s="111">
        <v>2</v>
      </c>
      <c r="C1399" s="115">
        <v>0.001106240363265106</v>
      </c>
      <c r="D1399" s="111" t="s">
        <v>820</v>
      </c>
      <c r="E1399" s="111" t="b">
        <v>0</v>
      </c>
      <c r="F1399" s="111" t="b">
        <v>0</v>
      </c>
      <c r="G1399" s="111" t="b">
        <v>0</v>
      </c>
    </row>
    <row r="1400" spans="1:7" ht="15">
      <c r="A1400" s="113" t="s">
        <v>1577</v>
      </c>
      <c r="B1400" s="111">
        <v>2</v>
      </c>
      <c r="C1400" s="115">
        <v>0.0013543079328275133</v>
      </c>
      <c r="D1400" s="111" t="s">
        <v>820</v>
      </c>
      <c r="E1400" s="111" t="b">
        <v>0</v>
      </c>
      <c r="F1400" s="111" t="b">
        <v>0</v>
      </c>
      <c r="G1400" s="111" t="b">
        <v>0</v>
      </c>
    </row>
    <row r="1401" spans="1:7" ht="15">
      <c r="A1401" s="113" t="s">
        <v>1171</v>
      </c>
      <c r="B1401" s="111">
        <v>2</v>
      </c>
      <c r="C1401" s="115">
        <v>0.001106240363265106</v>
      </c>
      <c r="D1401" s="111" t="s">
        <v>820</v>
      </c>
      <c r="E1401" s="111" t="b">
        <v>1</v>
      </c>
      <c r="F1401" s="111" t="b">
        <v>0</v>
      </c>
      <c r="G1401" s="111" t="b">
        <v>0</v>
      </c>
    </row>
    <row r="1402" spans="1:7" ht="15">
      <c r="A1402" s="113" t="s">
        <v>1194</v>
      </c>
      <c r="B1402" s="111">
        <v>2</v>
      </c>
      <c r="C1402" s="115">
        <v>0.001106240363265106</v>
      </c>
      <c r="D1402" s="111" t="s">
        <v>820</v>
      </c>
      <c r="E1402" s="111" t="b">
        <v>0</v>
      </c>
      <c r="F1402" s="111" t="b">
        <v>0</v>
      </c>
      <c r="G1402" s="111" t="b">
        <v>0</v>
      </c>
    </row>
    <row r="1403" spans="1:7" ht="15">
      <c r="A1403" s="113" t="s">
        <v>1584</v>
      </c>
      <c r="B1403" s="111">
        <v>2</v>
      </c>
      <c r="C1403" s="115">
        <v>0.001106240363265106</v>
      </c>
      <c r="D1403" s="111" t="s">
        <v>820</v>
      </c>
      <c r="E1403" s="111" t="b">
        <v>1</v>
      </c>
      <c r="F1403" s="111" t="b">
        <v>0</v>
      </c>
      <c r="G1403" s="111" t="b">
        <v>0</v>
      </c>
    </row>
    <row r="1404" spans="1:7" ht="15">
      <c r="A1404" s="113" t="s">
        <v>1534</v>
      </c>
      <c r="B1404" s="111">
        <v>2</v>
      </c>
      <c r="C1404" s="115">
        <v>0.001106240363265106</v>
      </c>
      <c r="D1404" s="111" t="s">
        <v>820</v>
      </c>
      <c r="E1404" s="111" t="b">
        <v>0</v>
      </c>
      <c r="F1404" s="111" t="b">
        <v>0</v>
      </c>
      <c r="G1404" s="111" t="b">
        <v>0</v>
      </c>
    </row>
    <row r="1405" spans="1:7" ht="15">
      <c r="A1405" s="113" t="s">
        <v>1093</v>
      </c>
      <c r="B1405" s="111">
        <v>2</v>
      </c>
      <c r="C1405" s="115">
        <v>0.001106240363265106</v>
      </c>
      <c r="D1405" s="111" t="s">
        <v>820</v>
      </c>
      <c r="E1405" s="111" t="b">
        <v>0</v>
      </c>
      <c r="F1405" s="111" t="b">
        <v>0</v>
      </c>
      <c r="G1405" s="111" t="b">
        <v>0</v>
      </c>
    </row>
    <row r="1406" spans="1:7" ht="15">
      <c r="A1406" s="113" t="s">
        <v>1535</v>
      </c>
      <c r="B1406" s="111">
        <v>2</v>
      </c>
      <c r="C1406" s="115">
        <v>0.001106240363265106</v>
      </c>
      <c r="D1406" s="111" t="s">
        <v>820</v>
      </c>
      <c r="E1406" s="111" t="b">
        <v>0</v>
      </c>
      <c r="F1406" s="111" t="b">
        <v>0</v>
      </c>
      <c r="G1406" s="111" t="b">
        <v>0</v>
      </c>
    </row>
    <row r="1407" spans="1:7" ht="15">
      <c r="A1407" s="113" t="s">
        <v>1112</v>
      </c>
      <c r="B1407" s="111">
        <v>2</v>
      </c>
      <c r="C1407" s="115">
        <v>0.001106240363265106</v>
      </c>
      <c r="D1407" s="111" t="s">
        <v>820</v>
      </c>
      <c r="E1407" s="111" t="b">
        <v>0</v>
      </c>
      <c r="F1407" s="111" t="b">
        <v>0</v>
      </c>
      <c r="G1407" s="111" t="b">
        <v>0</v>
      </c>
    </row>
    <row r="1408" spans="1:7" ht="15">
      <c r="A1408" s="113" t="s">
        <v>857</v>
      </c>
      <c r="B1408" s="111">
        <v>2</v>
      </c>
      <c r="C1408" s="115">
        <v>0.001106240363265106</v>
      </c>
      <c r="D1408" s="111" t="s">
        <v>820</v>
      </c>
      <c r="E1408" s="111" t="b">
        <v>0</v>
      </c>
      <c r="F1408" s="111" t="b">
        <v>0</v>
      </c>
      <c r="G1408" s="111" t="b">
        <v>0</v>
      </c>
    </row>
    <row r="1409" spans="1:7" ht="15">
      <c r="A1409" s="113" t="s">
        <v>1209</v>
      </c>
      <c r="B1409" s="111">
        <v>2</v>
      </c>
      <c r="C1409" s="115">
        <v>0.001106240363265106</v>
      </c>
      <c r="D1409" s="111" t="s">
        <v>820</v>
      </c>
      <c r="E1409" s="111" t="b">
        <v>0</v>
      </c>
      <c r="F1409" s="111" t="b">
        <v>0</v>
      </c>
      <c r="G1409" s="111" t="b">
        <v>0</v>
      </c>
    </row>
    <row r="1410" spans="1:7" ht="15">
      <c r="A1410" s="113" t="s">
        <v>1335</v>
      </c>
      <c r="B1410" s="111">
        <v>2</v>
      </c>
      <c r="C1410" s="115">
        <v>0.0013543079328275133</v>
      </c>
      <c r="D1410" s="111" t="s">
        <v>820</v>
      </c>
      <c r="E1410" s="111" t="b">
        <v>0</v>
      </c>
      <c r="F1410" s="111" t="b">
        <v>0</v>
      </c>
      <c r="G1410" s="111" t="b">
        <v>0</v>
      </c>
    </row>
    <row r="1411" spans="1:7" ht="15">
      <c r="A1411" s="113" t="s">
        <v>1610</v>
      </c>
      <c r="B1411" s="111">
        <v>2</v>
      </c>
      <c r="C1411" s="115">
        <v>0.001106240363265106</v>
      </c>
      <c r="D1411" s="111" t="s">
        <v>820</v>
      </c>
      <c r="E1411" s="111" t="b">
        <v>0</v>
      </c>
      <c r="F1411" s="111" t="b">
        <v>0</v>
      </c>
      <c r="G1411" s="111" t="b">
        <v>0</v>
      </c>
    </row>
    <row r="1412" spans="1:7" ht="15">
      <c r="A1412" s="113" t="s">
        <v>1292</v>
      </c>
      <c r="B1412" s="111">
        <v>2</v>
      </c>
      <c r="C1412" s="115">
        <v>0.001106240363265106</v>
      </c>
      <c r="D1412" s="111" t="s">
        <v>820</v>
      </c>
      <c r="E1412" s="111" t="b">
        <v>0</v>
      </c>
      <c r="F1412" s="111" t="b">
        <v>0</v>
      </c>
      <c r="G1412" s="111" t="b">
        <v>0</v>
      </c>
    </row>
    <row r="1413" spans="1:7" ht="15">
      <c r="A1413" s="113" t="s">
        <v>1281</v>
      </c>
      <c r="B1413" s="111">
        <v>2</v>
      </c>
      <c r="C1413" s="115">
        <v>0.001106240363265106</v>
      </c>
      <c r="D1413" s="111" t="s">
        <v>820</v>
      </c>
      <c r="E1413" s="111" t="b">
        <v>0</v>
      </c>
      <c r="F1413" s="111" t="b">
        <v>0</v>
      </c>
      <c r="G1413" s="111" t="b">
        <v>0</v>
      </c>
    </row>
    <row r="1414" spans="1:7" ht="15">
      <c r="A1414" s="113" t="s">
        <v>1188</v>
      </c>
      <c r="B1414" s="111">
        <v>2</v>
      </c>
      <c r="C1414" s="115">
        <v>0.0013543079328275133</v>
      </c>
      <c r="D1414" s="111" t="s">
        <v>820</v>
      </c>
      <c r="E1414" s="111" t="b">
        <v>0</v>
      </c>
      <c r="F1414" s="111" t="b">
        <v>0</v>
      </c>
      <c r="G1414" s="111" t="b">
        <v>0</v>
      </c>
    </row>
    <row r="1415" spans="1:7" ht="15">
      <c r="A1415" s="113" t="s">
        <v>1314</v>
      </c>
      <c r="B1415" s="111">
        <v>2</v>
      </c>
      <c r="C1415" s="115">
        <v>0.001106240363265106</v>
      </c>
      <c r="D1415" s="111" t="s">
        <v>820</v>
      </c>
      <c r="E1415" s="111" t="b">
        <v>0</v>
      </c>
      <c r="F1415" s="111" t="b">
        <v>0</v>
      </c>
      <c r="G1415" s="111" t="b">
        <v>0</v>
      </c>
    </row>
    <row r="1416" spans="1:7" ht="15">
      <c r="A1416" s="113" t="s">
        <v>1550</v>
      </c>
      <c r="B1416" s="111">
        <v>2</v>
      </c>
      <c r="C1416" s="115">
        <v>0.001106240363265106</v>
      </c>
      <c r="D1416" s="111" t="s">
        <v>820</v>
      </c>
      <c r="E1416" s="111" t="b">
        <v>0</v>
      </c>
      <c r="F1416" s="111" t="b">
        <v>0</v>
      </c>
      <c r="G1416" s="111" t="b">
        <v>0</v>
      </c>
    </row>
    <row r="1417" spans="1:7" ht="15">
      <c r="A1417" s="113" t="s">
        <v>1306</v>
      </c>
      <c r="B1417" s="111">
        <v>2</v>
      </c>
      <c r="C1417" s="115">
        <v>0.001106240363265106</v>
      </c>
      <c r="D1417" s="111" t="s">
        <v>820</v>
      </c>
      <c r="E1417" s="111" t="b">
        <v>0</v>
      </c>
      <c r="F1417" s="111" t="b">
        <v>0</v>
      </c>
      <c r="G1417" s="111" t="b">
        <v>0</v>
      </c>
    </row>
    <row r="1418" spans="1:7" ht="15">
      <c r="A1418" s="113" t="s">
        <v>1551</v>
      </c>
      <c r="B1418" s="111">
        <v>2</v>
      </c>
      <c r="C1418" s="115">
        <v>0.001106240363265106</v>
      </c>
      <c r="D1418" s="111" t="s">
        <v>820</v>
      </c>
      <c r="E1418" s="111" t="b">
        <v>0</v>
      </c>
      <c r="F1418" s="111" t="b">
        <v>0</v>
      </c>
      <c r="G1418" s="111" t="b">
        <v>0</v>
      </c>
    </row>
    <row r="1419" spans="1:7" ht="15">
      <c r="A1419" s="113" t="s">
        <v>1552</v>
      </c>
      <c r="B1419" s="111">
        <v>2</v>
      </c>
      <c r="C1419" s="115">
        <v>0.001106240363265106</v>
      </c>
      <c r="D1419" s="111" t="s">
        <v>820</v>
      </c>
      <c r="E1419" s="111" t="b">
        <v>0</v>
      </c>
      <c r="F1419" s="111" t="b">
        <v>0</v>
      </c>
      <c r="G1419" s="111" t="b">
        <v>0</v>
      </c>
    </row>
    <row r="1420" spans="1:7" ht="15">
      <c r="A1420" s="113" t="s">
        <v>1555</v>
      </c>
      <c r="B1420" s="111">
        <v>2</v>
      </c>
      <c r="C1420" s="115">
        <v>0.001106240363265106</v>
      </c>
      <c r="D1420" s="111" t="s">
        <v>820</v>
      </c>
      <c r="E1420" s="111" t="b">
        <v>0</v>
      </c>
      <c r="F1420" s="111" t="b">
        <v>0</v>
      </c>
      <c r="G1420" s="111" t="b">
        <v>0</v>
      </c>
    </row>
    <row r="1421" spans="1:7" ht="15">
      <c r="A1421" s="113" t="s">
        <v>1556</v>
      </c>
      <c r="B1421" s="111">
        <v>2</v>
      </c>
      <c r="C1421" s="115">
        <v>0.001106240363265106</v>
      </c>
      <c r="D1421" s="111" t="s">
        <v>820</v>
      </c>
      <c r="E1421" s="111" t="b">
        <v>0</v>
      </c>
      <c r="F1421" s="111" t="b">
        <v>0</v>
      </c>
      <c r="G1421" s="111" t="b">
        <v>0</v>
      </c>
    </row>
    <row r="1422" spans="1:7" ht="15">
      <c r="A1422" s="113" t="s">
        <v>1338</v>
      </c>
      <c r="B1422" s="111">
        <v>2</v>
      </c>
      <c r="C1422" s="115">
        <v>0.001106240363265106</v>
      </c>
      <c r="D1422" s="111" t="s">
        <v>820</v>
      </c>
      <c r="E1422" s="111" t="b">
        <v>0</v>
      </c>
      <c r="F1422" s="111" t="b">
        <v>1</v>
      </c>
      <c r="G1422" s="111" t="b">
        <v>0</v>
      </c>
    </row>
    <row r="1423" spans="1:7" ht="15">
      <c r="A1423" s="113" t="s">
        <v>1211</v>
      </c>
      <c r="B1423" s="111">
        <v>2</v>
      </c>
      <c r="C1423" s="115">
        <v>0.001106240363265106</v>
      </c>
      <c r="D1423" s="111" t="s">
        <v>820</v>
      </c>
      <c r="E1423" s="111" t="b">
        <v>0</v>
      </c>
      <c r="F1423" s="111" t="b">
        <v>0</v>
      </c>
      <c r="G1423" s="111" t="b">
        <v>0</v>
      </c>
    </row>
    <row r="1424" spans="1:7" ht="15">
      <c r="A1424" s="113" t="s">
        <v>1340</v>
      </c>
      <c r="B1424" s="111">
        <v>2</v>
      </c>
      <c r="C1424" s="115">
        <v>0.0013543079328275133</v>
      </c>
      <c r="D1424" s="111" t="s">
        <v>820</v>
      </c>
      <c r="E1424" s="111" t="b">
        <v>0</v>
      </c>
      <c r="F1424" s="111" t="b">
        <v>0</v>
      </c>
      <c r="G1424" s="111" t="b">
        <v>0</v>
      </c>
    </row>
    <row r="1425" spans="1:7" ht="15">
      <c r="A1425" s="113" t="s">
        <v>1585</v>
      </c>
      <c r="B1425" s="111">
        <v>2</v>
      </c>
      <c r="C1425" s="115">
        <v>0.001106240363265106</v>
      </c>
      <c r="D1425" s="111" t="s">
        <v>820</v>
      </c>
      <c r="E1425" s="111" t="b">
        <v>0</v>
      </c>
      <c r="F1425" s="111" t="b">
        <v>0</v>
      </c>
      <c r="G1425" s="111" t="b">
        <v>0</v>
      </c>
    </row>
    <row r="1426" spans="1:7" ht="15">
      <c r="A1426" s="113" t="s">
        <v>1557</v>
      </c>
      <c r="B1426" s="111">
        <v>2</v>
      </c>
      <c r="C1426" s="115">
        <v>0.001106240363265106</v>
      </c>
      <c r="D1426" s="111" t="s">
        <v>820</v>
      </c>
      <c r="E1426" s="111" t="b">
        <v>0</v>
      </c>
      <c r="F1426" s="111" t="b">
        <v>0</v>
      </c>
      <c r="G1426" s="111" t="b">
        <v>0</v>
      </c>
    </row>
    <row r="1427" spans="1:7" ht="15">
      <c r="A1427" s="113" t="s">
        <v>1404</v>
      </c>
      <c r="B1427" s="111">
        <v>2</v>
      </c>
      <c r="C1427" s="115">
        <v>0.0013543079328275133</v>
      </c>
      <c r="D1427" s="111" t="s">
        <v>820</v>
      </c>
      <c r="E1427" s="111" t="b">
        <v>0</v>
      </c>
      <c r="F1427" s="111" t="b">
        <v>0</v>
      </c>
      <c r="G1427" s="111" t="b">
        <v>0</v>
      </c>
    </row>
    <row r="1428" spans="1:7" ht="15">
      <c r="A1428" s="113" t="s">
        <v>1964</v>
      </c>
      <c r="B1428" s="111">
        <v>2</v>
      </c>
      <c r="C1428" s="115">
        <v>0.0013543079328275133</v>
      </c>
      <c r="D1428" s="111" t="s">
        <v>820</v>
      </c>
      <c r="E1428" s="111" t="b">
        <v>0</v>
      </c>
      <c r="F1428" s="111" t="b">
        <v>0</v>
      </c>
      <c r="G1428" s="111" t="b">
        <v>0</v>
      </c>
    </row>
    <row r="1429" spans="1:7" ht="15">
      <c r="A1429" s="113" t="s">
        <v>1398</v>
      </c>
      <c r="B1429" s="111">
        <v>2</v>
      </c>
      <c r="C1429" s="115">
        <v>0.0013543079328275133</v>
      </c>
      <c r="D1429" s="111" t="s">
        <v>820</v>
      </c>
      <c r="E1429" s="111" t="b">
        <v>0</v>
      </c>
      <c r="F1429" s="111" t="b">
        <v>0</v>
      </c>
      <c r="G1429" s="111" t="b">
        <v>0</v>
      </c>
    </row>
    <row r="1430" spans="1:7" ht="15">
      <c r="A1430" s="113" t="s">
        <v>1381</v>
      </c>
      <c r="B1430" s="111">
        <v>2</v>
      </c>
      <c r="C1430" s="115">
        <v>0.001106240363265106</v>
      </c>
      <c r="D1430" s="111" t="s">
        <v>820</v>
      </c>
      <c r="E1430" s="111" t="b">
        <v>0</v>
      </c>
      <c r="F1430" s="111" t="b">
        <v>0</v>
      </c>
      <c r="G1430" s="111" t="b">
        <v>0</v>
      </c>
    </row>
    <row r="1431" spans="1:7" ht="15">
      <c r="A1431" s="113" t="s">
        <v>957</v>
      </c>
      <c r="B1431" s="111">
        <v>2</v>
      </c>
      <c r="C1431" s="115">
        <v>0.001106240363265106</v>
      </c>
      <c r="D1431" s="111" t="s">
        <v>820</v>
      </c>
      <c r="E1431" s="111" t="b">
        <v>0</v>
      </c>
      <c r="F1431" s="111" t="b">
        <v>0</v>
      </c>
      <c r="G1431" s="111" t="b">
        <v>0</v>
      </c>
    </row>
    <row r="1432" spans="1:7" ht="15">
      <c r="A1432" s="113" t="s">
        <v>1965</v>
      </c>
      <c r="B1432" s="111">
        <v>2</v>
      </c>
      <c r="C1432" s="115">
        <v>0.0013543079328275133</v>
      </c>
      <c r="D1432" s="111" t="s">
        <v>820</v>
      </c>
      <c r="E1432" s="111" t="b">
        <v>0</v>
      </c>
      <c r="F1432" s="111" t="b">
        <v>0</v>
      </c>
      <c r="G1432" s="111" t="b">
        <v>0</v>
      </c>
    </row>
    <row r="1433" spans="1:7" ht="15">
      <c r="A1433" s="113" t="s">
        <v>1966</v>
      </c>
      <c r="B1433" s="111">
        <v>2</v>
      </c>
      <c r="C1433" s="115">
        <v>0.0013543079328275133</v>
      </c>
      <c r="D1433" s="111" t="s">
        <v>820</v>
      </c>
      <c r="E1433" s="111" t="b">
        <v>0</v>
      </c>
      <c r="F1433" s="111" t="b">
        <v>0</v>
      </c>
      <c r="G1433" s="111" t="b">
        <v>0</v>
      </c>
    </row>
    <row r="1434" spans="1:7" ht="15">
      <c r="A1434" s="113" t="s">
        <v>1967</v>
      </c>
      <c r="B1434" s="111">
        <v>2</v>
      </c>
      <c r="C1434" s="115">
        <v>0.0013543079328275133</v>
      </c>
      <c r="D1434" s="111" t="s">
        <v>820</v>
      </c>
      <c r="E1434" s="111" t="b">
        <v>0</v>
      </c>
      <c r="F1434" s="111" t="b">
        <v>0</v>
      </c>
      <c r="G1434" s="111" t="b">
        <v>0</v>
      </c>
    </row>
    <row r="1435" spans="1:7" ht="15">
      <c r="A1435" s="113" t="s">
        <v>1968</v>
      </c>
      <c r="B1435" s="111">
        <v>2</v>
      </c>
      <c r="C1435" s="115">
        <v>0.0013543079328275133</v>
      </c>
      <c r="D1435" s="111" t="s">
        <v>820</v>
      </c>
      <c r="E1435" s="111" t="b">
        <v>0</v>
      </c>
      <c r="F1435" s="111" t="b">
        <v>0</v>
      </c>
      <c r="G1435" s="111" t="b">
        <v>0</v>
      </c>
    </row>
    <row r="1436" spans="1:7" ht="15">
      <c r="A1436" s="113" t="s">
        <v>1969</v>
      </c>
      <c r="B1436" s="111">
        <v>2</v>
      </c>
      <c r="C1436" s="115">
        <v>0.0013543079328275133</v>
      </c>
      <c r="D1436" s="111" t="s">
        <v>820</v>
      </c>
      <c r="E1436" s="111" t="b">
        <v>0</v>
      </c>
      <c r="F1436" s="111" t="b">
        <v>0</v>
      </c>
      <c r="G1436" s="111" t="b">
        <v>0</v>
      </c>
    </row>
    <row r="1437" spans="1:7" ht="15">
      <c r="A1437" s="113" t="s">
        <v>1970</v>
      </c>
      <c r="B1437" s="111">
        <v>2</v>
      </c>
      <c r="C1437" s="115">
        <v>0.0013543079328275133</v>
      </c>
      <c r="D1437" s="111" t="s">
        <v>820</v>
      </c>
      <c r="E1437" s="111" t="b">
        <v>0</v>
      </c>
      <c r="F1437" s="111" t="b">
        <v>0</v>
      </c>
      <c r="G1437" s="111" t="b">
        <v>0</v>
      </c>
    </row>
    <row r="1438" spans="1:7" ht="15">
      <c r="A1438" s="113" t="s">
        <v>1971</v>
      </c>
      <c r="B1438" s="111">
        <v>2</v>
      </c>
      <c r="C1438" s="115">
        <v>0.0013543079328275133</v>
      </c>
      <c r="D1438" s="111" t="s">
        <v>820</v>
      </c>
      <c r="E1438" s="111" t="b">
        <v>0</v>
      </c>
      <c r="F1438" s="111" t="b">
        <v>0</v>
      </c>
      <c r="G1438" s="111" t="b">
        <v>0</v>
      </c>
    </row>
    <row r="1439" spans="1:7" ht="15">
      <c r="A1439" s="113" t="s">
        <v>1972</v>
      </c>
      <c r="B1439" s="111">
        <v>2</v>
      </c>
      <c r="C1439" s="115">
        <v>0.0013543079328275133</v>
      </c>
      <c r="D1439" s="111" t="s">
        <v>820</v>
      </c>
      <c r="E1439" s="111" t="b">
        <v>0</v>
      </c>
      <c r="F1439" s="111" t="b">
        <v>0</v>
      </c>
      <c r="G1439" s="111" t="b">
        <v>0</v>
      </c>
    </row>
    <row r="1440" spans="1:7" ht="15">
      <c r="A1440" s="113" t="s">
        <v>1973</v>
      </c>
      <c r="B1440" s="111">
        <v>2</v>
      </c>
      <c r="C1440" s="115">
        <v>0.0013543079328275133</v>
      </c>
      <c r="D1440" s="111" t="s">
        <v>820</v>
      </c>
      <c r="E1440" s="111" t="b">
        <v>0</v>
      </c>
      <c r="F1440" s="111" t="b">
        <v>0</v>
      </c>
      <c r="G1440" s="111" t="b">
        <v>0</v>
      </c>
    </row>
    <row r="1441" spans="1:7" ht="15">
      <c r="A1441" s="113" t="s">
        <v>1974</v>
      </c>
      <c r="B1441" s="111">
        <v>2</v>
      </c>
      <c r="C1441" s="115">
        <v>0.0013543079328275133</v>
      </c>
      <c r="D1441" s="111" t="s">
        <v>820</v>
      </c>
      <c r="E1441" s="111" t="b">
        <v>0</v>
      </c>
      <c r="F1441" s="111" t="b">
        <v>0</v>
      </c>
      <c r="G1441" s="111" t="b">
        <v>0</v>
      </c>
    </row>
    <row r="1442" spans="1:7" ht="15">
      <c r="A1442" s="113" t="s">
        <v>1099</v>
      </c>
      <c r="B1442" s="111">
        <v>2</v>
      </c>
      <c r="C1442" s="115">
        <v>0.001106240363265106</v>
      </c>
      <c r="D1442" s="111" t="s">
        <v>820</v>
      </c>
      <c r="E1442" s="111" t="b">
        <v>0</v>
      </c>
      <c r="F1442" s="111" t="b">
        <v>0</v>
      </c>
      <c r="G1442" s="111" t="b">
        <v>0</v>
      </c>
    </row>
    <row r="1443" spans="1:7" ht="15">
      <c r="A1443" s="113" t="s">
        <v>1536</v>
      </c>
      <c r="B1443" s="111">
        <v>2</v>
      </c>
      <c r="C1443" s="115">
        <v>0.001106240363265106</v>
      </c>
      <c r="D1443" s="111" t="s">
        <v>820</v>
      </c>
      <c r="E1443" s="111" t="b">
        <v>0</v>
      </c>
      <c r="F1443" s="111" t="b">
        <v>0</v>
      </c>
      <c r="G1443" s="111" t="b">
        <v>0</v>
      </c>
    </row>
    <row r="1444" spans="1:7" ht="15">
      <c r="A1444" s="113" t="s">
        <v>1589</v>
      </c>
      <c r="B1444" s="111">
        <v>2</v>
      </c>
      <c r="C1444" s="115">
        <v>0.001106240363265106</v>
      </c>
      <c r="D1444" s="111" t="s">
        <v>820</v>
      </c>
      <c r="E1444" s="111" t="b">
        <v>1</v>
      </c>
      <c r="F1444" s="111" t="b">
        <v>0</v>
      </c>
      <c r="G1444" s="111" t="b">
        <v>0</v>
      </c>
    </row>
    <row r="1445" spans="1:7" ht="15">
      <c r="A1445" s="113" t="s">
        <v>1351</v>
      </c>
      <c r="B1445" s="111">
        <v>2</v>
      </c>
      <c r="C1445" s="115">
        <v>0.001106240363265106</v>
      </c>
      <c r="D1445" s="111" t="s">
        <v>820</v>
      </c>
      <c r="E1445" s="111" t="b">
        <v>0</v>
      </c>
      <c r="F1445" s="111" t="b">
        <v>0</v>
      </c>
      <c r="G1445" s="111" t="b">
        <v>0</v>
      </c>
    </row>
    <row r="1446" spans="1:7" ht="15">
      <c r="A1446" s="113" t="s">
        <v>1639</v>
      </c>
      <c r="B1446" s="111">
        <v>2</v>
      </c>
      <c r="C1446" s="115">
        <v>0.0013543079328275133</v>
      </c>
      <c r="D1446" s="111" t="s">
        <v>820</v>
      </c>
      <c r="E1446" s="111" t="b">
        <v>0</v>
      </c>
      <c r="F1446" s="111" t="b">
        <v>0</v>
      </c>
      <c r="G1446" s="111" t="b">
        <v>0</v>
      </c>
    </row>
    <row r="1447" spans="1:7" ht="15">
      <c r="A1447" s="113" t="s">
        <v>1640</v>
      </c>
      <c r="B1447" s="111">
        <v>2</v>
      </c>
      <c r="C1447" s="115">
        <v>0.0013543079328275133</v>
      </c>
      <c r="D1447" s="111" t="s">
        <v>820</v>
      </c>
      <c r="E1447" s="111" t="b">
        <v>0</v>
      </c>
      <c r="F1447" s="111" t="b">
        <v>0</v>
      </c>
      <c r="G1447" s="111" t="b">
        <v>0</v>
      </c>
    </row>
    <row r="1448" spans="1:7" ht="15">
      <c r="A1448" s="113" t="s">
        <v>1641</v>
      </c>
      <c r="B1448" s="111">
        <v>2</v>
      </c>
      <c r="C1448" s="115">
        <v>0.0013543079328275133</v>
      </c>
      <c r="D1448" s="111" t="s">
        <v>820</v>
      </c>
      <c r="E1448" s="111" t="b">
        <v>0</v>
      </c>
      <c r="F1448" s="111" t="b">
        <v>0</v>
      </c>
      <c r="G1448" s="111" t="b">
        <v>0</v>
      </c>
    </row>
    <row r="1449" spans="1:7" ht="15">
      <c r="A1449" s="113" t="s">
        <v>1644</v>
      </c>
      <c r="B1449" s="111">
        <v>2</v>
      </c>
      <c r="C1449" s="115">
        <v>0.0013543079328275133</v>
      </c>
      <c r="D1449" s="111" t="s">
        <v>820</v>
      </c>
      <c r="E1449" s="111" t="b">
        <v>0</v>
      </c>
      <c r="F1449" s="111" t="b">
        <v>0</v>
      </c>
      <c r="G1449" s="111" t="b">
        <v>0</v>
      </c>
    </row>
    <row r="1450" spans="1:7" ht="15">
      <c r="A1450" s="113" t="s">
        <v>1646</v>
      </c>
      <c r="B1450" s="111">
        <v>2</v>
      </c>
      <c r="C1450" s="115">
        <v>0.0013543079328275133</v>
      </c>
      <c r="D1450" s="111" t="s">
        <v>820</v>
      </c>
      <c r="E1450" s="111" t="b">
        <v>0</v>
      </c>
      <c r="F1450" s="111" t="b">
        <v>0</v>
      </c>
      <c r="G1450" s="111" t="b">
        <v>0</v>
      </c>
    </row>
    <row r="1451" spans="1:7" ht="15">
      <c r="A1451" s="113" t="s">
        <v>1352</v>
      </c>
      <c r="B1451" s="111">
        <v>2</v>
      </c>
      <c r="C1451" s="115">
        <v>0.001106240363265106</v>
      </c>
      <c r="D1451" s="111" t="s">
        <v>820</v>
      </c>
      <c r="E1451" s="111" t="b">
        <v>0</v>
      </c>
      <c r="F1451" s="111" t="b">
        <v>0</v>
      </c>
      <c r="G1451" s="111" t="b">
        <v>0</v>
      </c>
    </row>
    <row r="1452" spans="1:7" ht="15">
      <c r="A1452" s="113" t="s">
        <v>1648</v>
      </c>
      <c r="B1452" s="111">
        <v>2</v>
      </c>
      <c r="C1452" s="115">
        <v>0.0013543079328275133</v>
      </c>
      <c r="D1452" s="111" t="s">
        <v>820</v>
      </c>
      <c r="E1452" s="111" t="b">
        <v>0</v>
      </c>
      <c r="F1452" s="111" t="b">
        <v>0</v>
      </c>
      <c r="G1452" s="111" t="b">
        <v>0</v>
      </c>
    </row>
    <row r="1453" spans="1:7" ht="15">
      <c r="A1453" s="113" t="s">
        <v>1649</v>
      </c>
      <c r="B1453" s="111">
        <v>2</v>
      </c>
      <c r="C1453" s="115">
        <v>0.0013543079328275133</v>
      </c>
      <c r="D1453" s="111" t="s">
        <v>820</v>
      </c>
      <c r="E1453" s="111" t="b">
        <v>0</v>
      </c>
      <c r="F1453" s="111" t="b">
        <v>0</v>
      </c>
      <c r="G1453" s="111" t="b">
        <v>0</v>
      </c>
    </row>
    <row r="1454" spans="1:7" ht="15">
      <c r="A1454" s="113" t="s">
        <v>1650</v>
      </c>
      <c r="B1454" s="111">
        <v>2</v>
      </c>
      <c r="C1454" s="115">
        <v>0.0013543079328275133</v>
      </c>
      <c r="D1454" s="111" t="s">
        <v>820</v>
      </c>
      <c r="E1454" s="111" t="b">
        <v>0</v>
      </c>
      <c r="F1454" s="111" t="b">
        <v>0</v>
      </c>
      <c r="G1454" s="111" t="b">
        <v>0</v>
      </c>
    </row>
    <row r="1455" spans="1:7" ht="15">
      <c r="A1455" s="113" t="s">
        <v>1607</v>
      </c>
      <c r="B1455" s="111">
        <v>2</v>
      </c>
      <c r="C1455" s="115">
        <v>0.001106240363265106</v>
      </c>
      <c r="D1455" s="111" t="s">
        <v>820</v>
      </c>
      <c r="E1455" s="111" t="b">
        <v>0</v>
      </c>
      <c r="F1455" s="111" t="b">
        <v>0</v>
      </c>
      <c r="G1455" s="111" t="b">
        <v>0</v>
      </c>
    </row>
    <row r="1456" spans="1:7" ht="15">
      <c r="A1456" s="113" t="s">
        <v>1121</v>
      </c>
      <c r="B1456" s="111">
        <v>2</v>
      </c>
      <c r="C1456" s="115">
        <v>0.001106240363265106</v>
      </c>
      <c r="D1456" s="111" t="s">
        <v>820</v>
      </c>
      <c r="E1456" s="111" t="b">
        <v>0</v>
      </c>
      <c r="F1456" s="111" t="b">
        <v>0</v>
      </c>
      <c r="G1456" s="111" t="b">
        <v>0</v>
      </c>
    </row>
    <row r="1457" spans="1:7" ht="15">
      <c r="A1457" s="113" t="s">
        <v>1074</v>
      </c>
      <c r="B1457" s="111">
        <v>2</v>
      </c>
      <c r="C1457" s="115">
        <v>0.001106240363265106</v>
      </c>
      <c r="D1457" s="111" t="s">
        <v>820</v>
      </c>
      <c r="E1457" s="111" t="b">
        <v>0</v>
      </c>
      <c r="F1457" s="111" t="b">
        <v>0</v>
      </c>
      <c r="G1457" s="111" t="b">
        <v>0</v>
      </c>
    </row>
    <row r="1458" spans="1:7" ht="15">
      <c r="A1458" s="113" t="s">
        <v>1353</v>
      </c>
      <c r="B1458" s="111">
        <v>2</v>
      </c>
      <c r="C1458" s="115">
        <v>0.0013543079328275133</v>
      </c>
      <c r="D1458" s="111" t="s">
        <v>820</v>
      </c>
      <c r="E1458" s="111" t="b">
        <v>0</v>
      </c>
      <c r="F1458" s="111" t="b">
        <v>0</v>
      </c>
      <c r="G1458" s="111" t="b">
        <v>0</v>
      </c>
    </row>
    <row r="1459" spans="1:7" ht="15">
      <c r="A1459" s="113" t="s">
        <v>1654</v>
      </c>
      <c r="B1459" s="111">
        <v>2</v>
      </c>
      <c r="C1459" s="115">
        <v>0.0013543079328275133</v>
      </c>
      <c r="D1459" s="111" t="s">
        <v>820</v>
      </c>
      <c r="E1459" s="111" t="b">
        <v>0</v>
      </c>
      <c r="F1459" s="111" t="b">
        <v>0</v>
      </c>
      <c r="G1459" s="111" t="b">
        <v>0</v>
      </c>
    </row>
    <row r="1460" spans="1:7" ht="15">
      <c r="A1460" s="113" t="s">
        <v>1655</v>
      </c>
      <c r="B1460" s="111">
        <v>2</v>
      </c>
      <c r="C1460" s="115">
        <v>0.0013543079328275133</v>
      </c>
      <c r="D1460" s="111" t="s">
        <v>820</v>
      </c>
      <c r="E1460" s="111" t="b">
        <v>0</v>
      </c>
      <c r="F1460" s="111" t="b">
        <v>0</v>
      </c>
      <c r="G1460" s="111" t="b">
        <v>0</v>
      </c>
    </row>
    <row r="1461" spans="1:7" ht="15">
      <c r="A1461" s="113" t="s">
        <v>1656</v>
      </c>
      <c r="B1461" s="111">
        <v>2</v>
      </c>
      <c r="C1461" s="115">
        <v>0.001106240363265106</v>
      </c>
      <c r="D1461" s="111" t="s">
        <v>820</v>
      </c>
      <c r="E1461" s="111" t="b">
        <v>0</v>
      </c>
      <c r="F1461" s="111" t="b">
        <v>0</v>
      </c>
      <c r="G1461" s="111" t="b">
        <v>0</v>
      </c>
    </row>
    <row r="1462" spans="1:7" ht="15">
      <c r="A1462" s="113" t="s">
        <v>1004</v>
      </c>
      <c r="B1462" s="111">
        <v>2</v>
      </c>
      <c r="C1462" s="115">
        <v>0.001106240363265106</v>
      </c>
      <c r="D1462" s="111" t="s">
        <v>820</v>
      </c>
      <c r="E1462" s="111" t="b">
        <v>0</v>
      </c>
      <c r="F1462" s="111" t="b">
        <v>0</v>
      </c>
      <c r="G1462" s="111" t="b">
        <v>0</v>
      </c>
    </row>
    <row r="1463" spans="1:7" ht="15">
      <c r="A1463" s="113" t="s">
        <v>1657</v>
      </c>
      <c r="B1463" s="111">
        <v>2</v>
      </c>
      <c r="C1463" s="115">
        <v>0.0013543079328275133</v>
      </c>
      <c r="D1463" s="111" t="s">
        <v>820</v>
      </c>
      <c r="E1463" s="111" t="b">
        <v>0</v>
      </c>
      <c r="F1463" s="111" t="b">
        <v>0</v>
      </c>
      <c r="G1463" s="111" t="b">
        <v>0</v>
      </c>
    </row>
    <row r="1464" spans="1:7" ht="15">
      <c r="A1464" s="113" t="s">
        <v>915</v>
      </c>
      <c r="B1464" s="111">
        <v>2</v>
      </c>
      <c r="C1464" s="115">
        <v>0.001106240363265106</v>
      </c>
      <c r="D1464" s="111" t="s">
        <v>820</v>
      </c>
      <c r="E1464" s="111" t="b">
        <v>0</v>
      </c>
      <c r="F1464" s="111" t="b">
        <v>0</v>
      </c>
      <c r="G1464" s="111" t="b">
        <v>0</v>
      </c>
    </row>
    <row r="1465" spans="1:7" ht="15">
      <c r="A1465" s="113" t="s">
        <v>1356</v>
      </c>
      <c r="B1465" s="111">
        <v>2</v>
      </c>
      <c r="C1465" s="115">
        <v>0.0013543079328275133</v>
      </c>
      <c r="D1465" s="111" t="s">
        <v>820</v>
      </c>
      <c r="E1465" s="111" t="b">
        <v>0</v>
      </c>
      <c r="F1465" s="111" t="b">
        <v>0</v>
      </c>
      <c r="G1465" s="111" t="b">
        <v>0</v>
      </c>
    </row>
    <row r="1466" spans="1:7" ht="15">
      <c r="A1466" s="113" t="s">
        <v>1659</v>
      </c>
      <c r="B1466" s="111">
        <v>2</v>
      </c>
      <c r="C1466" s="115">
        <v>0.001106240363265106</v>
      </c>
      <c r="D1466" s="111" t="s">
        <v>820</v>
      </c>
      <c r="E1466" s="111" t="b">
        <v>0</v>
      </c>
      <c r="F1466" s="111" t="b">
        <v>0</v>
      </c>
      <c r="G1466" s="111" t="b">
        <v>0</v>
      </c>
    </row>
    <row r="1467" spans="1:7" ht="15">
      <c r="A1467" s="113" t="s">
        <v>1164</v>
      </c>
      <c r="B1467" s="111">
        <v>2</v>
      </c>
      <c r="C1467" s="115">
        <v>0.001106240363265106</v>
      </c>
      <c r="D1467" s="111" t="s">
        <v>820</v>
      </c>
      <c r="E1467" s="111" t="b">
        <v>0</v>
      </c>
      <c r="F1467" s="111" t="b">
        <v>0</v>
      </c>
      <c r="G1467" s="111" t="b">
        <v>0</v>
      </c>
    </row>
    <row r="1468" spans="1:7" ht="15">
      <c r="A1468" s="113" t="s">
        <v>1208</v>
      </c>
      <c r="B1468" s="111">
        <v>2</v>
      </c>
      <c r="C1468" s="115">
        <v>0.001106240363265106</v>
      </c>
      <c r="D1468" s="111" t="s">
        <v>820</v>
      </c>
      <c r="E1468" s="111" t="b">
        <v>0</v>
      </c>
      <c r="F1468" s="111" t="b">
        <v>0</v>
      </c>
      <c r="G1468" s="111" t="b">
        <v>0</v>
      </c>
    </row>
    <row r="1469" spans="1:7" ht="15">
      <c r="A1469" s="113" t="s">
        <v>1660</v>
      </c>
      <c r="B1469" s="111">
        <v>2</v>
      </c>
      <c r="C1469" s="115">
        <v>0.0013543079328275133</v>
      </c>
      <c r="D1469" s="111" t="s">
        <v>820</v>
      </c>
      <c r="E1469" s="111" t="b">
        <v>0</v>
      </c>
      <c r="F1469" s="111" t="b">
        <v>0</v>
      </c>
      <c r="G1469" s="111" t="b">
        <v>0</v>
      </c>
    </row>
    <row r="1470" spans="1:7" ht="15">
      <c r="A1470" s="113" t="s">
        <v>1663</v>
      </c>
      <c r="B1470" s="111">
        <v>2</v>
      </c>
      <c r="C1470" s="115">
        <v>0.0013543079328275133</v>
      </c>
      <c r="D1470" s="111" t="s">
        <v>820</v>
      </c>
      <c r="E1470" s="111" t="b">
        <v>0</v>
      </c>
      <c r="F1470" s="111" t="b">
        <v>0</v>
      </c>
      <c r="G1470" s="111" t="b">
        <v>0</v>
      </c>
    </row>
    <row r="1471" spans="1:7" ht="15">
      <c r="A1471" s="113" t="s">
        <v>1664</v>
      </c>
      <c r="B1471" s="111">
        <v>2</v>
      </c>
      <c r="C1471" s="115">
        <v>0.0013543079328275133</v>
      </c>
      <c r="D1471" s="111" t="s">
        <v>820</v>
      </c>
      <c r="E1471" s="111" t="b">
        <v>0</v>
      </c>
      <c r="F1471" s="111" t="b">
        <v>0</v>
      </c>
      <c r="G1471" s="111" t="b">
        <v>0</v>
      </c>
    </row>
    <row r="1472" spans="1:7" ht="15">
      <c r="A1472" s="113" t="s">
        <v>1665</v>
      </c>
      <c r="B1472" s="111">
        <v>2</v>
      </c>
      <c r="C1472" s="115">
        <v>0.0013543079328275133</v>
      </c>
      <c r="D1472" s="111" t="s">
        <v>820</v>
      </c>
      <c r="E1472" s="111" t="b">
        <v>0</v>
      </c>
      <c r="F1472" s="111" t="b">
        <v>0</v>
      </c>
      <c r="G1472" s="111" t="b">
        <v>0</v>
      </c>
    </row>
    <row r="1473" spans="1:7" ht="15">
      <c r="A1473" s="113" t="s">
        <v>958</v>
      </c>
      <c r="B1473" s="111">
        <v>2</v>
      </c>
      <c r="C1473" s="115">
        <v>0.001106240363265106</v>
      </c>
      <c r="D1473" s="111" t="s">
        <v>820</v>
      </c>
      <c r="E1473" s="111" t="b">
        <v>0</v>
      </c>
      <c r="F1473" s="111" t="b">
        <v>0</v>
      </c>
      <c r="G1473" s="111" t="b">
        <v>0</v>
      </c>
    </row>
    <row r="1474" spans="1:7" ht="15">
      <c r="A1474" s="113" t="s">
        <v>951</v>
      </c>
      <c r="B1474" s="111">
        <v>2</v>
      </c>
      <c r="C1474" s="115">
        <v>0.001106240363265106</v>
      </c>
      <c r="D1474" s="111" t="s">
        <v>820</v>
      </c>
      <c r="E1474" s="111" t="b">
        <v>0</v>
      </c>
      <c r="F1474" s="111" t="b">
        <v>0</v>
      </c>
      <c r="G1474" s="111" t="b">
        <v>0</v>
      </c>
    </row>
    <row r="1475" spans="1:7" ht="15">
      <c r="A1475" s="113" t="s">
        <v>1332</v>
      </c>
      <c r="B1475" s="111">
        <v>2</v>
      </c>
      <c r="C1475" s="115">
        <v>0.001106240363265106</v>
      </c>
      <c r="D1475" s="111" t="s">
        <v>820</v>
      </c>
      <c r="E1475" s="111" t="b">
        <v>0</v>
      </c>
      <c r="F1475" s="111" t="b">
        <v>0</v>
      </c>
      <c r="G1475" s="111" t="b">
        <v>0</v>
      </c>
    </row>
    <row r="1476" spans="1:7" ht="15">
      <c r="A1476" s="113" t="s">
        <v>1603</v>
      </c>
      <c r="B1476" s="111">
        <v>2</v>
      </c>
      <c r="C1476" s="115">
        <v>0.0013543079328275133</v>
      </c>
      <c r="D1476" s="111" t="s">
        <v>820</v>
      </c>
      <c r="E1476" s="111" t="b">
        <v>0</v>
      </c>
      <c r="F1476" s="111" t="b">
        <v>0</v>
      </c>
      <c r="G1476" s="111" t="b">
        <v>0</v>
      </c>
    </row>
    <row r="1477" spans="1:7" ht="15">
      <c r="A1477" s="113" t="s">
        <v>1210</v>
      </c>
      <c r="B1477" s="111">
        <v>2</v>
      </c>
      <c r="C1477" s="115">
        <v>0.0013543079328275133</v>
      </c>
      <c r="D1477" s="111" t="s">
        <v>820</v>
      </c>
      <c r="E1477" s="111" t="b">
        <v>0</v>
      </c>
      <c r="F1477" s="111" t="b">
        <v>0</v>
      </c>
      <c r="G1477" s="111" t="b">
        <v>0</v>
      </c>
    </row>
    <row r="1478" spans="1:7" ht="15">
      <c r="A1478" s="113" t="s">
        <v>1183</v>
      </c>
      <c r="B1478" s="111">
        <v>2</v>
      </c>
      <c r="C1478" s="115">
        <v>0.001106240363265106</v>
      </c>
      <c r="D1478" s="111" t="s">
        <v>820</v>
      </c>
      <c r="E1478" s="111" t="b">
        <v>0</v>
      </c>
      <c r="F1478" s="111" t="b">
        <v>0</v>
      </c>
      <c r="G1478" s="111" t="b">
        <v>0</v>
      </c>
    </row>
    <row r="1479" spans="1:7" ht="15">
      <c r="A1479" s="113" t="s">
        <v>1606</v>
      </c>
      <c r="B1479" s="111">
        <v>2</v>
      </c>
      <c r="C1479" s="115">
        <v>0.001106240363265106</v>
      </c>
      <c r="D1479" s="111" t="s">
        <v>820</v>
      </c>
      <c r="E1479" s="111" t="b">
        <v>0</v>
      </c>
      <c r="F1479" s="111" t="b">
        <v>0</v>
      </c>
      <c r="G1479" s="111" t="b">
        <v>0</v>
      </c>
    </row>
    <row r="1480" spans="1:7" ht="15">
      <c r="A1480" s="113" t="s">
        <v>1608</v>
      </c>
      <c r="B1480" s="111">
        <v>2</v>
      </c>
      <c r="C1480" s="115">
        <v>0.0013543079328275133</v>
      </c>
      <c r="D1480" s="111" t="s">
        <v>820</v>
      </c>
      <c r="E1480" s="111" t="b">
        <v>0</v>
      </c>
      <c r="F1480" s="111" t="b">
        <v>0</v>
      </c>
      <c r="G1480" s="111" t="b">
        <v>0</v>
      </c>
    </row>
    <row r="1481" spans="1:7" ht="15">
      <c r="A1481" s="113" t="s">
        <v>1159</v>
      </c>
      <c r="B1481" s="111">
        <v>2</v>
      </c>
      <c r="C1481" s="115">
        <v>0.0013543079328275133</v>
      </c>
      <c r="D1481" s="111" t="s">
        <v>820</v>
      </c>
      <c r="E1481" s="111" t="b">
        <v>0</v>
      </c>
      <c r="F1481" s="111" t="b">
        <v>0</v>
      </c>
      <c r="G1481" s="111" t="b">
        <v>0</v>
      </c>
    </row>
    <row r="1482" spans="1:7" ht="15">
      <c r="A1482" s="113" t="s">
        <v>1161</v>
      </c>
      <c r="B1482" s="111">
        <v>2</v>
      </c>
      <c r="C1482" s="115">
        <v>0.0013543079328275133</v>
      </c>
      <c r="D1482" s="111" t="s">
        <v>820</v>
      </c>
      <c r="E1482" s="111" t="b">
        <v>0</v>
      </c>
      <c r="F1482" s="111" t="b">
        <v>0</v>
      </c>
      <c r="G1482" s="111" t="b">
        <v>0</v>
      </c>
    </row>
    <row r="1483" spans="1:7" ht="15">
      <c r="A1483" s="113" t="s">
        <v>1022</v>
      </c>
      <c r="B1483" s="111">
        <v>2</v>
      </c>
      <c r="C1483" s="115">
        <v>0.001106240363265106</v>
      </c>
      <c r="D1483" s="111" t="s">
        <v>820</v>
      </c>
      <c r="E1483" s="111" t="b">
        <v>0</v>
      </c>
      <c r="F1483" s="111" t="b">
        <v>0</v>
      </c>
      <c r="G1483" s="111" t="b">
        <v>0</v>
      </c>
    </row>
    <row r="1484" spans="1:7" ht="15">
      <c r="A1484" s="113" t="s">
        <v>985</v>
      </c>
      <c r="B1484" s="111">
        <v>2</v>
      </c>
      <c r="C1484" s="115">
        <v>0.001106240363265106</v>
      </c>
      <c r="D1484" s="111" t="s">
        <v>820</v>
      </c>
      <c r="E1484" s="111" t="b">
        <v>0</v>
      </c>
      <c r="F1484" s="111" t="b">
        <v>0</v>
      </c>
      <c r="G1484" s="111" t="b">
        <v>0</v>
      </c>
    </row>
    <row r="1485" spans="1:7" ht="15">
      <c r="A1485" s="113" t="s">
        <v>956</v>
      </c>
      <c r="B1485" s="111">
        <v>2</v>
      </c>
      <c r="C1485" s="115">
        <v>0.0013543079328275133</v>
      </c>
      <c r="D1485" s="111" t="s">
        <v>820</v>
      </c>
      <c r="E1485" s="111" t="b">
        <v>0</v>
      </c>
      <c r="F1485" s="111" t="b">
        <v>0</v>
      </c>
      <c r="G1485" s="111" t="b">
        <v>0</v>
      </c>
    </row>
    <row r="1486" spans="1:7" ht="15">
      <c r="A1486" s="113" t="s">
        <v>1089</v>
      </c>
      <c r="B1486" s="111">
        <v>2</v>
      </c>
      <c r="C1486" s="115">
        <v>0.001106240363265106</v>
      </c>
      <c r="D1486" s="111" t="s">
        <v>820</v>
      </c>
      <c r="E1486" s="111" t="b">
        <v>0</v>
      </c>
      <c r="F1486" s="111" t="b">
        <v>0</v>
      </c>
      <c r="G1486" s="111" t="b">
        <v>0</v>
      </c>
    </row>
    <row r="1487" spans="1:7" ht="15">
      <c r="A1487" s="113" t="s">
        <v>1286</v>
      </c>
      <c r="B1487" s="111">
        <v>2</v>
      </c>
      <c r="C1487" s="115">
        <v>0.001106240363265106</v>
      </c>
      <c r="D1487" s="111" t="s">
        <v>820</v>
      </c>
      <c r="E1487" s="111" t="b">
        <v>0</v>
      </c>
      <c r="F1487" s="111" t="b">
        <v>0</v>
      </c>
      <c r="G1487" s="111" t="b">
        <v>0</v>
      </c>
    </row>
    <row r="1488" spans="1:7" ht="15">
      <c r="A1488" s="113" t="s">
        <v>1165</v>
      </c>
      <c r="B1488" s="111">
        <v>2</v>
      </c>
      <c r="C1488" s="115">
        <v>0.0013543079328275133</v>
      </c>
      <c r="D1488" s="111" t="s">
        <v>820</v>
      </c>
      <c r="E1488" s="111" t="b">
        <v>0</v>
      </c>
      <c r="F1488" s="111" t="b">
        <v>0</v>
      </c>
      <c r="G1488" s="111" t="b">
        <v>0</v>
      </c>
    </row>
    <row r="1489" spans="1:7" ht="15">
      <c r="A1489" s="113" t="s">
        <v>1031</v>
      </c>
      <c r="B1489" s="111">
        <v>2</v>
      </c>
      <c r="C1489" s="115">
        <v>0.001106240363265106</v>
      </c>
      <c r="D1489" s="111" t="s">
        <v>820</v>
      </c>
      <c r="E1489" s="111" t="b">
        <v>0</v>
      </c>
      <c r="F1489" s="111" t="b">
        <v>0</v>
      </c>
      <c r="G1489" s="111" t="b">
        <v>0</v>
      </c>
    </row>
    <row r="1490" spans="1:7" ht="15">
      <c r="A1490" s="113" t="s">
        <v>1166</v>
      </c>
      <c r="B1490" s="111">
        <v>2</v>
      </c>
      <c r="C1490" s="115">
        <v>0.0013543079328275133</v>
      </c>
      <c r="D1490" s="111" t="s">
        <v>820</v>
      </c>
      <c r="E1490" s="111" t="b">
        <v>0</v>
      </c>
      <c r="F1490" s="111" t="b">
        <v>0</v>
      </c>
      <c r="G1490" s="111" t="b">
        <v>0</v>
      </c>
    </row>
    <row r="1491" spans="1:7" ht="15">
      <c r="A1491" s="113" t="s">
        <v>1169</v>
      </c>
      <c r="B1491" s="111">
        <v>2</v>
      </c>
      <c r="C1491" s="115">
        <v>0.001106240363265106</v>
      </c>
      <c r="D1491" s="111" t="s">
        <v>820</v>
      </c>
      <c r="E1491" s="111" t="b">
        <v>0</v>
      </c>
      <c r="F1491" s="111" t="b">
        <v>0</v>
      </c>
      <c r="G1491" s="111" t="b">
        <v>0</v>
      </c>
    </row>
    <row r="1492" spans="1:7" ht="15">
      <c r="A1492" s="113" t="s">
        <v>1951</v>
      </c>
      <c r="B1492" s="111">
        <v>2</v>
      </c>
      <c r="C1492" s="115">
        <v>0.0013543079328275133</v>
      </c>
      <c r="D1492" s="111" t="s">
        <v>820</v>
      </c>
      <c r="E1492" s="111" t="b">
        <v>0</v>
      </c>
      <c r="F1492" s="111" t="b">
        <v>0</v>
      </c>
      <c r="G1492" s="111" t="b">
        <v>0</v>
      </c>
    </row>
    <row r="1493" spans="1:7" ht="15">
      <c r="A1493" s="113" t="s">
        <v>1952</v>
      </c>
      <c r="B1493" s="111">
        <v>2</v>
      </c>
      <c r="C1493" s="115">
        <v>0.0013543079328275133</v>
      </c>
      <c r="D1493" s="111" t="s">
        <v>820</v>
      </c>
      <c r="E1493" s="111" t="b">
        <v>0</v>
      </c>
      <c r="F1493" s="111" t="b">
        <v>0</v>
      </c>
      <c r="G1493" s="111" t="b">
        <v>0</v>
      </c>
    </row>
    <row r="1494" spans="1:7" ht="15">
      <c r="A1494" s="113" t="s">
        <v>1491</v>
      </c>
      <c r="B1494" s="111">
        <v>2</v>
      </c>
      <c r="C1494" s="115">
        <v>0.0013543079328275133</v>
      </c>
      <c r="D1494" s="111" t="s">
        <v>820</v>
      </c>
      <c r="E1494" s="111" t="b">
        <v>0</v>
      </c>
      <c r="F1494" s="111" t="b">
        <v>0</v>
      </c>
      <c r="G1494" s="111" t="b">
        <v>0</v>
      </c>
    </row>
    <row r="1495" spans="1:7" ht="15">
      <c r="A1495" s="113" t="s">
        <v>1953</v>
      </c>
      <c r="B1495" s="111">
        <v>2</v>
      </c>
      <c r="C1495" s="115">
        <v>0.0013543079328275133</v>
      </c>
      <c r="D1495" s="111" t="s">
        <v>820</v>
      </c>
      <c r="E1495" s="111" t="b">
        <v>0</v>
      </c>
      <c r="F1495" s="111" t="b">
        <v>0</v>
      </c>
      <c r="G1495" s="111" t="b">
        <v>0</v>
      </c>
    </row>
    <row r="1496" spans="1:7" ht="15">
      <c r="A1496" s="113" t="s">
        <v>1955</v>
      </c>
      <c r="B1496" s="111">
        <v>2</v>
      </c>
      <c r="C1496" s="115">
        <v>0.0013543079328275133</v>
      </c>
      <c r="D1496" s="111" t="s">
        <v>820</v>
      </c>
      <c r="E1496" s="111" t="b">
        <v>0</v>
      </c>
      <c r="F1496" s="111" t="b">
        <v>0</v>
      </c>
      <c r="G1496" s="111" t="b">
        <v>0</v>
      </c>
    </row>
    <row r="1497" spans="1:7" ht="15">
      <c r="A1497" s="113" t="s">
        <v>1320</v>
      </c>
      <c r="B1497" s="111">
        <v>2</v>
      </c>
      <c r="C1497" s="115">
        <v>0.001106240363265106</v>
      </c>
      <c r="D1497" s="111" t="s">
        <v>820</v>
      </c>
      <c r="E1497" s="111" t="b">
        <v>0</v>
      </c>
      <c r="F1497" s="111" t="b">
        <v>0</v>
      </c>
      <c r="G1497" s="111" t="b">
        <v>0</v>
      </c>
    </row>
    <row r="1498" spans="1:7" ht="15">
      <c r="A1498" s="113" t="s">
        <v>1107</v>
      </c>
      <c r="B1498" s="111">
        <v>2</v>
      </c>
      <c r="C1498" s="115">
        <v>0.001106240363265106</v>
      </c>
      <c r="D1498" s="111" t="s">
        <v>820</v>
      </c>
      <c r="E1498" s="111" t="b">
        <v>0</v>
      </c>
      <c r="F1498" s="111" t="b">
        <v>0</v>
      </c>
      <c r="G1498" s="111" t="b">
        <v>0</v>
      </c>
    </row>
    <row r="1499" spans="1:7" ht="15">
      <c r="A1499" s="113" t="s">
        <v>1256</v>
      </c>
      <c r="B1499" s="111">
        <v>2</v>
      </c>
      <c r="C1499" s="115">
        <v>0.001106240363265106</v>
      </c>
      <c r="D1499" s="111" t="s">
        <v>820</v>
      </c>
      <c r="E1499" s="111" t="b">
        <v>0</v>
      </c>
      <c r="F1499" s="111" t="b">
        <v>0</v>
      </c>
      <c r="G1499" s="111" t="b">
        <v>0</v>
      </c>
    </row>
    <row r="1500" spans="1:7" ht="15">
      <c r="A1500" s="113" t="s">
        <v>1949</v>
      </c>
      <c r="B1500" s="111">
        <v>2</v>
      </c>
      <c r="C1500" s="115">
        <v>0.0013543079328275133</v>
      </c>
      <c r="D1500" s="111" t="s">
        <v>820</v>
      </c>
      <c r="E1500" s="111" t="b">
        <v>0</v>
      </c>
      <c r="F1500" s="111" t="b">
        <v>0</v>
      </c>
      <c r="G1500" s="111" t="b">
        <v>0</v>
      </c>
    </row>
    <row r="1501" spans="1:7" ht="15">
      <c r="A1501" s="113" t="s">
        <v>1132</v>
      </c>
      <c r="B1501" s="111">
        <v>2</v>
      </c>
      <c r="C1501" s="115">
        <v>0.001106240363265106</v>
      </c>
      <c r="D1501" s="111" t="s">
        <v>820</v>
      </c>
      <c r="E1501" s="111" t="b">
        <v>0</v>
      </c>
      <c r="F1501" s="111" t="b">
        <v>0</v>
      </c>
      <c r="G1501" s="111" t="b">
        <v>0</v>
      </c>
    </row>
    <row r="1502" spans="1:7" ht="15">
      <c r="A1502" s="113" t="s">
        <v>1950</v>
      </c>
      <c r="B1502" s="111">
        <v>2</v>
      </c>
      <c r="C1502" s="115">
        <v>0.0013543079328275133</v>
      </c>
      <c r="D1502" s="111" t="s">
        <v>820</v>
      </c>
      <c r="E1502" s="111" t="b">
        <v>0</v>
      </c>
      <c r="F1502" s="111" t="b">
        <v>0</v>
      </c>
      <c r="G1502" s="111" t="b">
        <v>0</v>
      </c>
    </row>
    <row r="1503" spans="1:7" ht="15">
      <c r="A1503" s="113" t="s">
        <v>883</v>
      </c>
      <c r="B1503" s="111">
        <v>2</v>
      </c>
      <c r="C1503" s="115">
        <v>0.001106240363265106</v>
      </c>
      <c r="D1503" s="111" t="s">
        <v>820</v>
      </c>
      <c r="E1503" s="111" t="b">
        <v>0</v>
      </c>
      <c r="F1503" s="111" t="b">
        <v>0</v>
      </c>
      <c r="G1503" s="111" t="b">
        <v>0</v>
      </c>
    </row>
    <row r="1504" spans="1:7" ht="15">
      <c r="A1504" s="113" t="s">
        <v>1136</v>
      </c>
      <c r="B1504" s="111">
        <v>2</v>
      </c>
      <c r="C1504" s="115">
        <v>0.001106240363265106</v>
      </c>
      <c r="D1504" s="111" t="s">
        <v>820</v>
      </c>
      <c r="E1504" s="111" t="b">
        <v>0</v>
      </c>
      <c r="F1504" s="111" t="b">
        <v>0</v>
      </c>
      <c r="G1504" s="111" t="b">
        <v>0</v>
      </c>
    </row>
    <row r="1505" spans="1:7" ht="15">
      <c r="A1505" s="113" t="s">
        <v>1449</v>
      </c>
      <c r="B1505" s="111">
        <v>2</v>
      </c>
      <c r="C1505" s="115">
        <v>0.001106240363265106</v>
      </c>
      <c r="D1505" s="111" t="s">
        <v>820</v>
      </c>
      <c r="E1505" s="111" t="b">
        <v>0</v>
      </c>
      <c r="F1505" s="111" t="b">
        <v>0</v>
      </c>
      <c r="G1505" s="111" t="b">
        <v>0</v>
      </c>
    </row>
    <row r="1506" spans="1:7" ht="15">
      <c r="A1506" s="113" t="s">
        <v>1558</v>
      </c>
      <c r="B1506" s="111">
        <v>2</v>
      </c>
      <c r="C1506" s="115">
        <v>0.001106240363265106</v>
      </c>
      <c r="D1506" s="111" t="s">
        <v>820</v>
      </c>
      <c r="E1506" s="111" t="b">
        <v>0</v>
      </c>
      <c r="F1506" s="111" t="b">
        <v>1</v>
      </c>
      <c r="G1506" s="111" t="b">
        <v>0</v>
      </c>
    </row>
    <row r="1507" spans="1:7" ht="15">
      <c r="A1507" s="113" t="s">
        <v>1590</v>
      </c>
      <c r="B1507" s="111">
        <v>2</v>
      </c>
      <c r="C1507" s="115">
        <v>0.001106240363265106</v>
      </c>
      <c r="D1507" s="111" t="s">
        <v>820</v>
      </c>
      <c r="E1507" s="111" t="b">
        <v>0</v>
      </c>
      <c r="F1507" s="111" t="b">
        <v>0</v>
      </c>
      <c r="G1507" s="111" t="b">
        <v>0</v>
      </c>
    </row>
    <row r="1508" spans="1:7" ht="15">
      <c r="A1508" s="113" t="s">
        <v>1295</v>
      </c>
      <c r="B1508" s="111">
        <v>2</v>
      </c>
      <c r="C1508" s="115">
        <v>0.001106240363265106</v>
      </c>
      <c r="D1508" s="111" t="s">
        <v>820</v>
      </c>
      <c r="E1508" s="111" t="b">
        <v>0</v>
      </c>
      <c r="F1508" s="111" t="b">
        <v>0</v>
      </c>
      <c r="G1508" s="111" t="b">
        <v>0</v>
      </c>
    </row>
    <row r="1509" spans="1:7" ht="15">
      <c r="A1509" s="113" t="s">
        <v>1823</v>
      </c>
      <c r="B1509" s="111">
        <v>2</v>
      </c>
      <c r="C1509" s="115">
        <v>0.0013543079328275133</v>
      </c>
      <c r="D1509" s="111" t="s">
        <v>820</v>
      </c>
      <c r="E1509" s="111" t="b">
        <v>0</v>
      </c>
      <c r="F1509" s="111" t="b">
        <v>0</v>
      </c>
      <c r="G1509" s="111" t="b">
        <v>0</v>
      </c>
    </row>
    <row r="1510" spans="1:7" ht="15">
      <c r="A1510" s="113" t="s">
        <v>1824</v>
      </c>
      <c r="B1510" s="111">
        <v>2</v>
      </c>
      <c r="C1510" s="115">
        <v>0.0013543079328275133</v>
      </c>
      <c r="D1510" s="111" t="s">
        <v>820</v>
      </c>
      <c r="E1510" s="111" t="b">
        <v>0</v>
      </c>
      <c r="F1510" s="111" t="b">
        <v>0</v>
      </c>
      <c r="G1510" s="111" t="b">
        <v>0</v>
      </c>
    </row>
    <row r="1511" spans="1:7" ht="15">
      <c r="A1511" s="113" t="s">
        <v>1825</v>
      </c>
      <c r="B1511" s="111">
        <v>2</v>
      </c>
      <c r="C1511" s="115">
        <v>0.0013543079328275133</v>
      </c>
      <c r="D1511" s="111" t="s">
        <v>820</v>
      </c>
      <c r="E1511" s="111" t="b">
        <v>0</v>
      </c>
      <c r="F1511" s="111" t="b">
        <v>0</v>
      </c>
      <c r="G1511" s="111" t="b">
        <v>0</v>
      </c>
    </row>
    <row r="1512" spans="1:7" ht="15">
      <c r="A1512" s="113" t="s">
        <v>1298</v>
      </c>
      <c r="B1512" s="111">
        <v>2</v>
      </c>
      <c r="C1512" s="115">
        <v>0.001106240363265106</v>
      </c>
      <c r="D1512" s="111" t="s">
        <v>820</v>
      </c>
      <c r="E1512" s="111" t="b">
        <v>0</v>
      </c>
      <c r="F1512" s="111" t="b">
        <v>0</v>
      </c>
      <c r="G1512" s="111" t="b">
        <v>0</v>
      </c>
    </row>
    <row r="1513" spans="1:7" ht="15">
      <c r="A1513" s="113" t="s">
        <v>1826</v>
      </c>
      <c r="B1513" s="111">
        <v>2</v>
      </c>
      <c r="C1513" s="115">
        <v>0.0013543079328275133</v>
      </c>
      <c r="D1513" s="111" t="s">
        <v>820</v>
      </c>
      <c r="E1513" s="111" t="b">
        <v>0</v>
      </c>
      <c r="F1513" s="111" t="b">
        <v>0</v>
      </c>
      <c r="G1513" s="111" t="b">
        <v>0</v>
      </c>
    </row>
    <row r="1514" spans="1:7" ht="15">
      <c r="A1514" s="113" t="s">
        <v>1361</v>
      </c>
      <c r="B1514" s="111">
        <v>2</v>
      </c>
      <c r="C1514" s="115">
        <v>0.001106240363265106</v>
      </c>
      <c r="D1514" s="111" t="s">
        <v>820</v>
      </c>
      <c r="E1514" s="111" t="b">
        <v>0</v>
      </c>
      <c r="F1514" s="111" t="b">
        <v>0</v>
      </c>
      <c r="G1514" s="111" t="b">
        <v>0</v>
      </c>
    </row>
    <row r="1515" spans="1:7" ht="15">
      <c r="A1515" s="113" t="s">
        <v>954</v>
      </c>
      <c r="B1515" s="111">
        <v>2</v>
      </c>
      <c r="C1515" s="115">
        <v>0.001106240363265106</v>
      </c>
      <c r="D1515" s="111" t="s">
        <v>820</v>
      </c>
      <c r="E1515" s="111" t="b">
        <v>0</v>
      </c>
      <c r="F1515" s="111" t="b">
        <v>0</v>
      </c>
      <c r="G1515" s="111" t="b">
        <v>0</v>
      </c>
    </row>
    <row r="1516" spans="1:7" ht="15">
      <c r="A1516" s="113" t="s">
        <v>1828</v>
      </c>
      <c r="B1516" s="111">
        <v>2</v>
      </c>
      <c r="C1516" s="115">
        <v>0.0013543079328275133</v>
      </c>
      <c r="D1516" s="111" t="s">
        <v>820</v>
      </c>
      <c r="E1516" s="111" t="b">
        <v>0</v>
      </c>
      <c r="F1516" s="111" t="b">
        <v>0</v>
      </c>
      <c r="G1516" s="111" t="b">
        <v>0</v>
      </c>
    </row>
    <row r="1517" spans="1:7" ht="15">
      <c r="A1517" s="113" t="s">
        <v>1831</v>
      </c>
      <c r="B1517" s="111">
        <v>2</v>
      </c>
      <c r="C1517" s="115">
        <v>0.0013543079328275133</v>
      </c>
      <c r="D1517" s="111" t="s">
        <v>820</v>
      </c>
      <c r="E1517" s="111" t="b">
        <v>0</v>
      </c>
      <c r="F1517" s="111" t="b">
        <v>0</v>
      </c>
      <c r="G1517" s="111" t="b">
        <v>0</v>
      </c>
    </row>
    <row r="1518" spans="1:7" ht="15">
      <c r="A1518" s="113" t="s">
        <v>1832</v>
      </c>
      <c r="B1518" s="111">
        <v>2</v>
      </c>
      <c r="C1518" s="115">
        <v>0.0013543079328275133</v>
      </c>
      <c r="D1518" s="111" t="s">
        <v>820</v>
      </c>
      <c r="E1518" s="111" t="b">
        <v>0</v>
      </c>
      <c r="F1518" s="111" t="b">
        <v>0</v>
      </c>
      <c r="G1518" s="111" t="b">
        <v>0</v>
      </c>
    </row>
    <row r="1519" spans="1:7" ht="15">
      <c r="A1519" s="113" t="s">
        <v>1834</v>
      </c>
      <c r="B1519" s="111">
        <v>2</v>
      </c>
      <c r="C1519" s="115">
        <v>0.0013543079328275133</v>
      </c>
      <c r="D1519" s="111" t="s">
        <v>820</v>
      </c>
      <c r="E1519" s="111" t="b">
        <v>0</v>
      </c>
      <c r="F1519" s="111" t="b">
        <v>0</v>
      </c>
      <c r="G1519" s="111" t="b">
        <v>0</v>
      </c>
    </row>
    <row r="1520" spans="1:7" ht="15">
      <c r="A1520" s="113" t="s">
        <v>1835</v>
      </c>
      <c r="B1520" s="111">
        <v>2</v>
      </c>
      <c r="C1520" s="115">
        <v>0.0013543079328275133</v>
      </c>
      <c r="D1520" s="111" t="s">
        <v>820</v>
      </c>
      <c r="E1520" s="111" t="b">
        <v>0</v>
      </c>
      <c r="F1520" s="111" t="b">
        <v>0</v>
      </c>
      <c r="G1520" s="111" t="b">
        <v>0</v>
      </c>
    </row>
    <row r="1521" spans="1:7" ht="15">
      <c r="A1521" s="113" t="s">
        <v>1419</v>
      </c>
      <c r="B1521" s="111">
        <v>2</v>
      </c>
      <c r="C1521" s="115">
        <v>0.0013543079328275133</v>
      </c>
      <c r="D1521" s="111" t="s">
        <v>820</v>
      </c>
      <c r="E1521" s="111" t="b">
        <v>0</v>
      </c>
      <c r="F1521" s="111" t="b">
        <v>0</v>
      </c>
      <c r="G1521" s="111" t="b">
        <v>0</v>
      </c>
    </row>
    <row r="1522" spans="1:7" ht="15">
      <c r="A1522" s="113" t="s">
        <v>1836</v>
      </c>
      <c r="B1522" s="111">
        <v>2</v>
      </c>
      <c r="C1522" s="115">
        <v>0.0013543079328275133</v>
      </c>
      <c r="D1522" s="111" t="s">
        <v>820</v>
      </c>
      <c r="E1522" s="111" t="b">
        <v>0</v>
      </c>
      <c r="F1522" s="111" t="b">
        <v>0</v>
      </c>
      <c r="G1522" s="111" t="b">
        <v>0</v>
      </c>
    </row>
    <row r="1523" spans="1:7" ht="15">
      <c r="A1523" s="113" t="s">
        <v>1225</v>
      </c>
      <c r="B1523" s="111">
        <v>2</v>
      </c>
      <c r="C1523" s="115">
        <v>0.001106240363265106</v>
      </c>
      <c r="D1523" s="111" t="s">
        <v>820</v>
      </c>
      <c r="E1523" s="111" t="b">
        <v>0</v>
      </c>
      <c r="F1523" s="111" t="b">
        <v>0</v>
      </c>
      <c r="G1523" s="111" t="b">
        <v>0</v>
      </c>
    </row>
    <row r="1524" spans="1:7" ht="15">
      <c r="A1524" s="113" t="s">
        <v>1195</v>
      </c>
      <c r="B1524" s="111">
        <v>2</v>
      </c>
      <c r="C1524" s="115">
        <v>0.001106240363265106</v>
      </c>
      <c r="D1524" s="111" t="s">
        <v>820</v>
      </c>
      <c r="E1524" s="111" t="b">
        <v>0</v>
      </c>
      <c r="F1524" s="111" t="b">
        <v>0</v>
      </c>
      <c r="G1524" s="111" t="b">
        <v>0</v>
      </c>
    </row>
    <row r="1525" spans="1:7" ht="15">
      <c r="A1525" s="113" t="s">
        <v>1624</v>
      </c>
      <c r="B1525" s="111">
        <v>2</v>
      </c>
      <c r="C1525" s="115">
        <v>0.001106240363265106</v>
      </c>
      <c r="D1525" s="111" t="s">
        <v>820</v>
      </c>
      <c r="E1525" s="111" t="b">
        <v>0</v>
      </c>
      <c r="F1525" s="111" t="b">
        <v>0</v>
      </c>
      <c r="G1525" s="111" t="b">
        <v>0</v>
      </c>
    </row>
    <row r="1526" spans="1:7" ht="15">
      <c r="A1526" s="113" t="s">
        <v>1625</v>
      </c>
      <c r="B1526" s="111">
        <v>2</v>
      </c>
      <c r="C1526" s="115">
        <v>0.001106240363265106</v>
      </c>
      <c r="D1526" s="111" t="s">
        <v>820</v>
      </c>
      <c r="E1526" s="111" t="b">
        <v>0</v>
      </c>
      <c r="F1526" s="111" t="b">
        <v>0</v>
      </c>
      <c r="G1526" s="111" t="b">
        <v>0</v>
      </c>
    </row>
    <row r="1527" spans="1:7" ht="15">
      <c r="A1527" s="113" t="s">
        <v>1626</v>
      </c>
      <c r="B1527" s="111">
        <v>2</v>
      </c>
      <c r="C1527" s="115">
        <v>0.001106240363265106</v>
      </c>
      <c r="D1527" s="111" t="s">
        <v>820</v>
      </c>
      <c r="E1527" s="111" t="b">
        <v>0</v>
      </c>
      <c r="F1527" s="111" t="b">
        <v>0</v>
      </c>
      <c r="G1527" s="111" t="b">
        <v>0</v>
      </c>
    </row>
    <row r="1528" spans="1:7" ht="15">
      <c r="A1528" s="113" t="s">
        <v>1627</v>
      </c>
      <c r="B1528" s="111">
        <v>2</v>
      </c>
      <c r="C1528" s="115">
        <v>0.001106240363265106</v>
      </c>
      <c r="D1528" s="111" t="s">
        <v>820</v>
      </c>
      <c r="E1528" s="111" t="b">
        <v>0</v>
      </c>
      <c r="F1528" s="111" t="b">
        <v>0</v>
      </c>
      <c r="G1528" s="111" t="b">
        <v>0</v>
      </c>
    </row>
    <row r="1529" spans="1:7" ht="15">
      <c r="A1529" s="113" t="s">
        <v>1628</v>
      </c>
      <c r="B1529" s="111">
        <v>2</v>
      </c>
      <c r="C1529" s="115">
        <v>0.001106240363265106</v>
      </c>
      <c r="D1529" s="111" t="s">
        <v>820</v>
      </c>
      <c r="E1529" s="111" t="b">
        <v>0</v>
      </c>
      <c r="F1529" s="111" t="b">
        <v>0</v>
      </c>
      <c r="G1529" s="111" t="b">
        <v>0</v>
      </c>
    </row>
    <row r="1530" spans="1:7" ht="15">
      <c r="A1530" s="113" t="s">
        <v>1629</v>
      </c>
      <c r="B1530" s="111">
        <v>2</v>
      </c>
      <c r="C1530" s="115">
        <v>0.001106240363265106</v>
      </c>
      <c r="D1530" s="111" t="s">
        <v>820</v>
      </c>
      <c r="E1530" s="111" t="b">
        <v>0</v>
      </c>
      <c r="F1530" s="111" t="b">
        <v>0</v>
      </c>
      <c r="G1530" s="111" t="b">
        <v>0</v>
      </c>
    </row>
    <row r="1531" spans="1:7" ht="15">
      <c r="A1531" s="113" t="s">
        <v>1214</v>
      </c>
      <c r="B1531" s="111">
        <v>2</v>
      </c>
      <c r="C1531" s="115">
        <v>0.001106240363265106</v>
      </c>
      <c r="D1531" s="111" t="s">
        <v>820</v>
      </c>
      <c r="E1531" s="111" t="b">
        <v>0</v>
      </c>
      <c r="F1531" s="111" t="b">
        <v>0</v>
      </c>
      <c r="G1531" s="111" t="b">
        <v>0</v>
      </c>
    </row>
    <row r="1532" spans="1:7" ht="15">
      <c r="A1532" s="113" t="s">
        <v>1119</v>
      </c>
      <c r="B1532" s="111">
        <v>2</v>
      </c>
      <c r="C1532" s="115">
        <v>0.001106240363265106</v>
      </c>
      <c r="D1532" s="111" t="s">
        <v>820</v>
      </c>
      <c r="E1532" s="111" t="b">
        <v>0</v>
      </c>
      <c r="F1532" s="111" t="b">
        <v>0</v>
      </c>
      <c r="G1532" s="111" t="b">
        <v>0</v>
      </c>
    </row>
    <row r="1533" spans="1:7" ht="15">
      <c r="A1533" s="113" t="s">
        <v>1630</v>
      </c>
      <c r="B1533" s="111">
        <v>2</v>
      </c>
      <c r="C1533" s="115">
        <v>0.001106240363265106</v>
      </c>
      <c r="D1533" s="111" t="s">
        <v>820</v>
      </c>
      <c r="E1533" s="111" t="b">
        <v>0</v>
      </c>
      <c r="F1533" s="111" t="b">
        <v>0</v>
      </c>
      <c r="G1533" s="111" t="b">
        <v>0</v>
      </c>
    </row>
    <row r="1534" spans="1:7" ht="15">
      <c r="A1534" s="113" t="s">
        <v>1631</v>
      </c>
      <c r="B1534" s="111">
        <v>2</v>
      </c>
      <c r="C1534" s="115">
        <v>0.001106240363265106</v>
      </c>
      <c r="D1534" s="111" t="s">
        <v>820</v>
      </c>
      <c r="E1534" s="111" t="b">
        <v>0</v>
      </c>
      <c r="F1534" s="111" t="b">
        <v>0</v>
      </c>
      <c r="G1534" s="111" t="b">
        <v>0</v>
      </c>
    </row>
    <row r="1535" spans="1:7" ht="15">
      <c r="A1535" s="113" t="s">
        <v>1348</v>
      </c>
      <c r="B1535" s="111">
        <v>2</v>
      </c>
      <c r="C1535" s="115">
        <v>0.001106240363265106</v>
      </c>
      <c r="D1535" s="111" t="s">
        <v>820</v>
      </c>
      <c r="E1535" s="111" t="b">
        <v>1</v>
      </c>
      <c r="F1535" s="111" t="b">
        <v>0</v>
      </c>
      <c r="G1535" s="111" t="b">
        <v>0</v>
      </c>
    </row>
    <row r="1536" spans="1:7" ht="15">
      <c r="A1536" s="113" t="s">
        <v>1632</v>
      </c>
      <c r="B1536" s="111">
        <v>2</v>
      </c>
      <c r="C1536" s="115">
        <v>0.001106240363265106</v>
      </c>
      <c r="D1536" s="111" t="s">
        <v>820</v>
      </c>
      <c r="E1536" s="111" t="b">
        <v>0</v>
      </c>
      <c r="F1536" s="111" t="b">
        <v>0</v>
      </c>
      <c r="G1536" s="111" t="b">
        <v>0</v>
      </c>
    </row>
    <row r="1537" spans="1:7" ht="15">
      <c r="A1537" s="113" t="s">
        <v>1633</v>
      </c>
      <c r="B1537" s="111">
        <v>2</v>
      </c>
      <c r="C1537" s="115">
        <v>0.001106240363265106</v>
      </c>
      <c r="D1537" s="111" t="s">
        <v>820</v>
      </c>
      <c r="E1537" s="111" t="b">
        <v>0</v>
      </c>
      <c r="F1537" s="111" t="b">
        <v>1</v>
      </c>
      <c r="G1537" s="111" t="b">
        <v>0</v>
      </c>
    </row>
    <row r="1538" spans="1:7" ht="15">
      <c r="A1538" s="113" t="s">
        <v>1350</v>
      </c>
      <c r="B1538" s="111">
        <v>2</v>
      </c>
      <c r="C1538" s="115">
        <v>0.001106240363265106</v>
      </c>
      <c r="D1538" s="111" t="s">
        <v>820</v>
      </c>
      <c r="E1538" s="111" t="b">
        <v>0</v>
      </c>
      <c r="F1538" s="111" t="b">
        <v>0</v>
      </c>
      <c r="G1538" s="111" t="b">
        <v>0</v>
      </c>
    </row>
    <row r="1539" spans="1:7" ht="15">
      <c r="A1539" s="113" t="s">
        <v>1215</v>
      </c>
      <c r="B1539" s="111">
        <v>2</v>
      </c>
      <c r="C1539" s="115">
        <v>0.001106240363265106</v>
      </c>
      <c r="D1539" s="111" t="s">
        <v>820</v>
      </c>
      <c r="E1539" s="111" t="b">
        <v>0</v>
      </c>
      <c r="F1539" s="111" t="b">
        <v>1</v>
      </c>
      <c r="G1539" s="111" t="b">
        <v>0</v>
      </c>
    </row>
    <row r="1540" spans="1:7" ht="15">
      <c r="A1540" s="113" t="s">
        <v>1634</v>
      </c>
      <c r="B1540" s="111">
        <v>2</v>
      </c>
      <c r="C1540" s="115">
        <v>0.001106240363265106</v>
      </c>
      <c r="D1540" s="111" t="s">
        <v>820</v>
      </c>
      <c r="E1540" s="111" t="b">
        <v>0</v>
      </c>
      <c r="F1540" s="111" t="b">
        <v>1</v>
      </c>
      <c r="G1540" s="111" t="b">
        <v>0</v>
      </c>
    </row>
    <row r="1541" spans="1:7" ht="15">
      <c r="A1541" s="113" t="s">
        <v>1635</v>
      </c>
      <c r="B1541" s="111">
        <v>2</v>
      </c>
      <c r="C1541" s="115">
        <v>0.001106240363265106</v>
      </c>
      <c r="D1541" s="111" t="s">
        <v>820</v>
      </c>
      <c r="E1541" s="111" t="b">
        <v>0</v>
      </c>
      <c r="F1541" s="111" t="b">
        <v>0</v>
      </c>
      <c r="G1541" s="111" t="b">
        <v>0</v>
      </c>
    </row>
    <row r="1542" spans="1:7" ht="15">
      <c r="A1542" s="113" t="s">
        <v>1636</v>
      </c>
      <c r="B1542" s="111">
        <v>2</v>
      </c>
      <c r="C1542" s="115">
        <v>0.001106240363265106</v>
      </c>
      <c r="D1542" s="111" t="s">
        <v>820</v>
      </c>
      <c r="E1542" s="111" t="b">
        <v>0</v>
      </c>
      <c r="F1542" s="111" t="b">
        <v>0</v>
      </c>
      <c r="G1542" s="111" t="b">
        <v>0</v>
      </c>
    </row>
    <row r="1543" spans="1:7" ht="15">
      <c r="A1543" s="113" t="s">
        <v>1637</v>
      </c>
      <c r="B1543" s="111">
        <v>2</v>
      </c>
      <c r="C1543" s="115">
        <v>0.001106240363265106</v>
      </c>
      <c r="D1543" s="111" t="s">
        <v>820</v>
      </c>
      <c r="E1543" s="111" t="b">
        <v>0</v>
      </c>
      <c r="F1543" s="111" t="b">
        <v>0</v>
      </c>
      <c r="G1543" s="111" t="b">
        <v>0</v>
      </c>
    </row>
    <row r="1544" spans="1:7" ht="15">
      <c r="A1544" s="113" t="s">
        <v>1638</v>
      </c>
      <c r="B1544" s="111">
        <v>2</v>
      </c>
      <c r="C1544" s="115">
        <v>0.001106240363265106</v>
      </c>
      <c r="D1544" s="111" t="s">
        <v>820</v>
      </c>
      <c r="E1544" s="111" t="b">
        <v>0</v>
      </c>
      <c r="F1544" s="111" t="b">
        <v>0</v>
      </c>
      <c r="G1544" s="111" t="b">
        <v>0</v>
      </c>
    </row>
    <row r="1545" spans="1:7" ht="15">
      <c r="A1545" s="113" t="s">
        <v>1443</v>
      </c>
      <c r="B1545" s="111">
        <v>2</v>
      </c>
      <c r="C1545" s="115">
        <v>0.0013543079328275133</v>
      </c>
      <c r="D1545" s="111" t="s">
        <v>820</v>
      </c>
      <c r="E1545" s="111" t="b">
        <v>0</v>
      </c>
      <c r="F1545" s="111" t="b">
        <v>0</v>
      </c>
      <c r="G1545" s="111" t="b">
        <v>0</v>
      </c>
    </row>
    <row r="1546" spans="1:7" ht="15">
      <c r="A1546" s="113" t="s">
        <v>1293</v>
      </c>
      <c r="B1546" s="111">
        <v>2</v>
      </c>
      <c r="C1546" s="115">
        <v>0.001106240363265106</v>
      </c>
      <c r="D1546" s="111" t="s">
        <v>820</v>
      </c>
      <c r="E1546" s="111" t="b">
        <v>1</v>
      </c>
      <c r="F1546" s="111" t="b">
        <v>0</v>
      </c>
      <c r="G1546" s="111" t="b">
        <v>0</v>
      </c>
    </row>
    <row r="1547" spans="1:7" ht="15">
      <c r="A1547" s="113" t="s">
        <v>1122</v>
      </c>
      <c r="B1547" s="111">
        <v>2</v>
      </c>
      <c r="C1547" s="115">
        <v>0.001106240363265106</v>
      </c>
      <c r="D1547" s="111" t="s">
        <v>820</v>
      </c>
      <c r="E1547" s="111" t="b">
        <v>0</v>
      </c>
      <c r="F1547" s="111" t="b">
        <v>0</v>
      </c>
      <c r="G1547" s="111" t="b">
        <v>0</v>
      </c>
    </row>
    <row r="1548" spans="1:7" ht="15">
      <c r="A1548" s="113" t="s">
        <v>1189</v>
      </c>
      <c r="B1548" s="111">
        <v>2</v>
      </c>
      <c r="C1548" s="115">
        <v>0.001106240363265106</v>
      </c>
      <c r="D1548" s="111" t="s">
        <v>820</v>
      </c>
      <c r="E1548" s="111" t="b">
        <v>0</v>
      </c>
      <c r="F1548" s="111" t="b">
        <v>0</v>
      </c>
      <c r="G1548" s="111" t="b">
        <v>0</v>
      </c>
    </row>
    <row r="1549" spans="1:7" ht="15">
      <c r="A1549" s="113" t="s">
        <v>1101</v>
      </c>
      <c r="B1549" s="111">
        <v>2</v>
      </c>
      <c r="C1549" s="115">
        <v>0.001106240363265106</v>
      </c>
      <c r="D1549" s="111" t="s">
        <v>820</v>
      </c>
      <c r="E1549" s="111" t="b">
        <v>0</v>
      </c>
      <c r="F1549" s="111" t="b">
        <v>0</v>
      </c>
      <c r="G1549" s="111" t="b">
        <v>0</v>
      </c>
    </row>
    <row r="1550" spans="1:7" ht="15">
      <c r="A1550" s="113" t="s">
        <v>1321</v>
      </c>
      <c r="B1550" s="111">
        <v>2</v>
      </c>
      <c r="C1550" s="115">
        <v>0.001106240363265106</v>
      </c>
      <c r="D1550" s="111" t="s">
        <v>820</v>
      </c>
      <c r="E1550" s="111" t="b">
        <v>0</v>
      </c>
      <c r="F1550" s="111" t="b">
        <v>0</v>
      </c>
      <c r="G1550" s="111" t="b">
        <v>0</v>
      </c>
    </row>
    <row r="1551" spans="1:7" ht="15">
      <c r="A1551" s="113" t="s">
        <v>972</v>
      </c>
      <c r="B1551" s="111">
        <v>2</v>
      </c>
      <c r="C1551" s="115">
        <v>0.0013543079328275133</v>
      </c>
      <c r="D1551" s="111" t="s">
        <v>820</v>
      </c>
      <c r="E1551" s="111" t="b">
        <v>0</v>
      </c>
      <c r="F1551" s="111" t="b">
        <v>0</v>
      </c>
      <c r="G1551" s="111" t="b">
        <v>0</v>
      </c>
    </row>
    <row r="1552" spans="1:7" ht="15">
      <c r="A1552" s="113" t="s">
        <v>966</v>
      </c>
      <c r="B1552" s="111">
        <v>2</v>
      </c>
      <c r="C1552" s="115">
        <v>0.001106240363265106</v>
      </c>
      <c r="D1552" s="111" t="s">
        <v>820</v>
      </c>
      <c r="E1552" s="111" t="b">
        <v>0</v>
      </c>
      <c r="F1552" s="111" t="b">
        <v>0</v>
      </c>
      <c r="G1552" s="111" t="b">
        <v>0</v>
      </c>
    </row>
    <row r="1553" spans="1:7" ht="15">
      <c r="A1553" s="113" t="s">
        <v>1058</v>
      </c>
      <c r="B1553" s="111">
        <v>2</v>
      </c>
      <c r="C1553" s="115">
        <v>0.001106240363265106</v>
      </c>
      <c r="D1553" s="111" t="s">
        <v>820</v>
      </c>
      <c r="E1553" s="111" t="b">
        <v>0</v>
      </c>
      <c r="F1553" s="111" t="b">
        <v>0</v>
      </c>
      <c r="G1553" s="111" t="b">
        <v>0</v>
      </c>
    </row>
    <row r="1554" spans="1:7" ht="15">
      <c r="A1554" s="113" t="s">
        <v>913</v>
      </c>
      <c r="B1554" s="111">
        <v>2</v>
      </c>
      <c r="C1554" s="115">
        <v>0.001106240363265106</v>
      </c>
      <c r="D1554" s="111" t="s">
        <v>820</v>
      </c>
      <c r="E1554" s="111" t="b">
        <v>0</v>
      </c>
      <c r="F1554" s="111" t="b">
        <v>0</v>
      </c>
      <c r="G1554" s="111" t="b">
        <v>0</v>
      </c>
    </row>
    <row r="1555" spans="1:7" ht="15">
      <c r="A1555" s="113" t="s">
        <v>1184</v>
      </c>
      <c r="B1555" s="111">
        <v>2</v>
      </c>
      <c r="C1555" s="115">
        <v>0.001106240363265106</v>
      </c>
      <c r="D1555" s="111" t="s">
        <v>820</v>
      </c>
      <c r="E1555" s="111" t="b">
        <v>0</v>
      </c>
      <c r="F1555" s="111" t="b">
        <v>0</v>
      </c>
      <c r="G1555" s="111" t="b">
        <v>0</v>
      </c>
    </row>
    <row r="1556" spans="1:7" ht="15">
      <c r="A1556" s="113" t="s">
        <v>1315</v>
      </c>
      <c r="B1556" s="111">
        <v>2</v>
      </c>
      <c r="C1556" s="115">
        <v>0.001106240363265106</v>
      </c>
      <c r="D1556" s="111" t="s">
        <v>820</v>
      </c>
      <c r="E1556" s="111" t="b">
        <v>0</v>
      </c>
      <c r="F1556" s="111" t="b">
        <v>0</v>
      </c>
      <c r="G1556" s="111" t="b">
        <v>0</v>
      </c>
    </row>
    <row r="1557" spans="1:7" ht="15">
      <c r="A1557" s="113" t="s">
        <v>896</v>
      </c>
      <c r="B1557" s="111">
        <v>2</v>
      </c>
      <c r="C1557" s="115">
        <v>0.0013543079328275133</v>
      </c>
      <c r="D1557" s="111" t="s">
        <v>820</v>
      </c>
      <c r="E1557" s="111" t="b">
        <v>0</v>
      </c>
      <c r="F1557" s="111" t="b">
        <v>0</v>
      </c>
      <c r="G1557" s="111" t="b">
        <v>0</v>
      </c>
    </row>
    <row r="1558" spans="1:7" ht="15">
      <c r="A1558" s="113" t="s">
        <v>1100</v>
      </c>
      <c r="B1558" s="111">
        <v>2</v>
      </c>
      <c r="C1558" s="115">
        <v>0.001106240363265106</v>
      </c>
      <c r="D1558" s="111" t="s">
        <v>820</v>
      </c>
      <c r="E1558" s="111" t="b">
        <v>0</v>
      </c>
      <c r="F1558" s="111" t="b">
        <v>0</v>
      </c>
      <c r="G1558" s="111" t="b">
        <v>0</v>
      </c>
    </row>
    <row r="1559" spans="1:7" ht="15">
      <c r="A1559" s="113" t="s">
        <v>1692</v>
      </c>
      <c r="B1559" s="111">
        <v>2</v>
      </c>
      <c r="C1559" s="115">
        <v>0.001106240363265106</v>
      </c>
      <c r="D1559" s="111" t="s">
        <v>820</v>
      </c>
      <c r="E1559" s="111" t="b">
        <v>0</v>
      </c>
      <c r="F1559" s="111" t="b">
        <v>0</v>
      </c>
      <c r="G1559" s="111" t="b">
        <v>0</v>
      </c>
    </row>
    <row r="1560" spans="1:7" ht="15">
      <c r="A1560" s="113" t="s">
        <v>1135</v>
      </c>
      <c r="B1560" s="111">
        <v>2</v>
      </c>
      <c r="C1560" s="115">
        <v>0.0013543079328275133</v>
      </c>
      <c r="D1560" s="111" t="s">
        <v>820</v>
      </c>
      <c r="E1560" s="111" t="b">
        <v>0</v>
      </c>
      <c r="F1560" s="111" t="b">
        <v>0</v>
      </c>
      <c r="G1560" s="111" t="b">
        <v>0</v>
      </c>
    </row>
    <row r="1561" spans="1:7" ht="15">
      <c r="A1561" s="113" t="s">
        <v>1069</v>
      </c>
      <c r="B1561" s="111">
        <v>2</v>
      </c>
      <c r="C1561" s="115">
        <v>0.0013543079328275133</v>
      </c>
      <c r="D1561" s="111" t="s">
        <v>820</v>
      </c>
      <c r="E1561" s="111" t="b">
        <v>0</v>
      </c>
      <c r="F1561" s="111" t="b">
        <v>0</v>
      </c>
      <c r="G1561" s="111" t="b">
        <v>0</v>
      </c>
    </row>
    <row r="1562" spans="1:7" ht="15">
      <c r="A1562" s="113" t="s">
        <v>1571</v>
      </c>
      <c r="B1562" s="111">
        <v>2</v>
      </c>
      <c r="C1562" s="115">
        <v>0.001106240363265106</v>
      </c>
      <c r="D1562" s="111" t="s">
        <v>820</v>
      </c>
      <c r="E1562" s="111" t="b">
        <v>0</v>
      </c>
      <c r="F1562" s="111" t="b">
        <v>0</v>
      </c>
      <c r="G1562" s="111" t="b">
        <v>0</v>
      </c>
    </row>
    <row r="1563" spans="1:7" ht="15">
      <c r="A1563" s="113" t="s">
        <v>1172</v>
      </c>
      <c r="B1563" s="111">
        <v>2</v>
      </c>
      <c r="C1563" s="115">
        <v>0.001106240363265106</v>
      </c>
      <c r="D1563" s="111" t="s">
        <v>820</v>
      </c>
      <c r="E1563" s="111" t="b">
        <v>0</v>
      </c>
      <c r="F1563" s="111" t="b">
        <v>0</v>
      </c>
      <c r="G1563" s="111" t="b">
        <v>0</v>
      </c>
    </row>
    <row r="1564" spans="1:7" ht="15">
      <c r="A1564" s="113" t="s">
        <v>1170</v>
      </c>
      <c r="B1564" s="111">
        <v>2</v>
      </c>
      <c r="C1564" s="115">
        <v>0.001106240363265106</v>
      </c>
      <c r="D1564" s="111" t="s">
        <v>820</v>
      </c>
      <c r="E1564" s="111" t="b">
        <v>0</v>
      </c>
      <c r="F1564" s="111" t="b">
        <v>0</v>
      </c>
      <c r="G1564" s="111" t="b">
        <v>0</v>
      </c>
    </row>
    <row r="1565" spans="1:7" ht="15">
      <c r="A1565" s="113" t="s">
        <v>1105</v>
      </c>
      <c r="B1565" s="111">
        <v>2</v>
      </c>
      <c r="C1565" s="115">
        <v>0.001106240363265106</v>
      </c>
      <c r="D1565" s="111" t="s">
        <v>820</v>
      </c>
      <c r="E1565" s="111" t="b">
        <v>0</v>
      </c>
      <c r="F1565" s="111" t="b">
        <v>0</v>
      </c>
      <c r="G1565" s="111" t="b">
        <v>0</v>
      </c>
    </row>
    <row r="1566" spans="1:7" ht="15">
      <c r="A1566" s="113" t="s">
        <v>1063</v>
      </c>
      <c r="B1566" s="111">
        <v>2</v>
      </c>
      <c r="C1566" s="115">
        <v>0.001106240363265106</v>
      </c>
      <c r="D1566" s="111" t="s">
        <v>820</v>
      </c>
      <c r="E1566" s="111" t="b">
        <v>1</v>
      </c>
      <c r="F1566" s="111" t="b">
        <v>0</v>
      </c>
      <c r="G1566" s="111" t="b">
        <v>0</v>
      </c>
    </row>
    <row r="1567" spans="1:7" ht="15">
      <c r="A1567" s="113" t="s">
        <v>1062</v>
      </c>
      <c r="B1567" s="111">
        <v>2</v>
      </c>
      <c r="C1567" s="115">
        <v>0.001106240363265106</v>
      </c>
      <c r="D1567" s="111" t="s">
        <v>820</v>
      </c>
      <c r="E1567" s="111" t="b">
        <v>0</v>
      </c>
      <c r="F1567" s="111" t="b">
        <v>0</v>
      </c>
      <c r="G1567" s="111" t="b">
        <v>0</v>
      </c>
    </row>
    <row r="1568" spans="1:7" ht="15">
      <c r="A1568" s="113" t="s">
        <v>1553</v>
      </c>
      <c r="B1568" s="111">
        <v>2</v>
      </c>
      <c r="C1568" s="115">
        <v>0.001106240363265106</v>
      </c>
      <c r="D1568" s="111" t="s">
        <v>820</v>
      </c>
      <c r="E1568" s="111" t="b">
        <v>0</v>
      </c>
      <c r="F1568" s="111" t="b">
        <v>0</v>
      </c>
      <c r="G1568" s="111" t="b">
        <v>0</v>
      </c>
    </row>
    <row r="1569" spans="1:7" ht="15">
      <c r="A1569" s="113" t="s">
        <v>1131</v>
      </c>
      <c r="B1569" s="111">
        <v>2</v>
      </c>
      <c r="C1569" s="115">
        <v>0.001106240363265106</v>
      </c>
      <c r="D1569" s="111" t="s">
        <v>820</v>
      </c>
      <c r="E1569" s="111" t="b">
        <v>0</v>
      </c>
      <c r="F1569" s="111" t="b">
        <v>0</v>
      </c>
      <c r="G1569" s="111" t="b">
        <v>0</v>
      </c>
    </row>
    <row r="1570" spans="1:7" ht="15">
      <c r="A1570" s="113" t="s">
        <v>1102</v>
      </c>
      <c r="B1570" s="111">
        <v>2</v>
      </c>
      <c r="C1570" s="115">
        <v>0.001106240363265106</v>
      </c>
      <c r="D1570" s="111" t="s">
        <v>820</v>
      </c>
      <c r="E1570" s="111" t="b">
        <v>0</v>
      </c>
      <c r="F1570" s="111" t="b">
        <v>0</v>
      </c>
      <c r="G1570" s="111" t="b">
        <v>0</v>
      </c>
    </row>
    <row r="1571" spans="1:7" ht="15">
      <c r="A1571" s="113" t="s">
        <v>1308</v>
      </c>
      <c r="B1571" s="111">
        <v>2</v>
      </c>
      <c r="C1571" s="115">
        <v>0.0013543079328275133</v>
      </c>
      <c r="D1571" s="111" t="s">
        <v>820</v>
      </c>
      <c r="E1571" s="111" t="b">
        <v>0</v>
      </c>
      <c r="F1571" s="111" t="b">
        <v>0</v>
      </c>
      <c r="G1571" s="111" t="b">
        <v>0</v>
      </c>
    </row>
    <row r="1572" spans="1:7" ht="15">
      <c r="A1572" s="113" t="s">
        <v>1309</v>
      </c>
      <c r="B1572" s="111">
        <v>2</v>
      </c>
      <c r="C1572" s="115">
        <v>0.0013543079328275133</v>
      </c>
      <c r="D1572" s="111" t="s">
        <v>820</v>
      </c>
      <c r="E1572" s="111" t="b">
        <v>0</v>
      </c>
      <c r="F1572" s="111" t="b">
        <v>0</v>
      </c>
      <c r="G1572" s="111" t="b">
        <v>0</v>
      </c>
    </row>
    <row r="1573" spans="1:7" ht="15">
      <c r="A1573" s="113" t="s">
        <v>990</v>
      </c>
      <c r="B1573" s="111">
        <v>2</v>
      </c>
      <c r="C1573" s="115">
        <v>0.001106240363265106</v>
      </c>
      <c r="D1573" s="111" t="s">
        <v>820</v>
      </c>
      <c r="E1573" s="111" t="b">
        <v>0</v>
      </c>
      <c r="F1573" s="111" t="b">
        <v>0</v>
      </c>
      <c r="G1573" s="111" t="b">
        <v>0</v>
      </c>
    </row>
    <row r="1574" spans="1:7" ht="15">
      <c r="A1574" s="113" t="s">
        <v>1539</v>
      </c>
      <c r="B1574" s="111">
        <v>2</v>
      </c>
      <c r="C1574" s="115">
        <v>0.001106240363265106</v>
      </c>
      <c r="D1574" s="111" t="s">
        <v>820</v>
      </c>
      <c r="E1574" s="111" t="b">
        <v>0</v>
      </c>
      <c r="F1574" s="111" t="b">
        <v>0</v>
      </c>
      <c r="G1574" s="111" t="b">
        <v>0</v>
      </c>
    </row>
    <row r="1575" spans="1:7" ht="15">
      <c r="A1575" s="113" t="s">
        <v>1297</v>
      </c>
      <c r="B1575" s="111">
        <v>2</v>
      </c>
      <c r="C1575" s="115">
        <v>0.001106240363265106</v>
      </c>
      <c r="D1575" s="111" t="s">
        <v>820</v>
      </c>
      <c r="E1575" s="111" t="b">
        <v>0</v>
      </c>
      <c r="F1575" s="111" t="b">
        <v>0</v>
      </c>
      <c r="G1575" s="111" t="b">
        <v>0</v>
      </c>
    </row>
    <row r="1576" spans="1:7" ht="15">
      <c r="A1576" s="113" t="s">
        <v>1541</v>
      </c>
      <c r="B1576" s="111">
        <v>2</v>
      </c>
      <c r="C1576" s="115">
        <v>0.001106240363265106</v>
      </c>
      <c r="D1576" s="111" t="s">
        <v>820</v>
      </c>
      <c r="E1576" s="111" t="b">
        <v>0</v>
      </c>
      <c r="F1576" s="111" t="b">
        <v>0</v>
      </c>
      <c r="G1576" s="111" t="b">
        <v>0</v>
      </c>
    </row>
    <row r="1577" spans="1:7" ht="15">
      <c r="A1577" s="113" t="s">
        <v>1690</v>
      </c>
      <c r="B1577" s="111">
        <v>2</v>
      </c>
      <c r="C1577" s="115">
        <v>0.0013543079328275133</v>
      </c>
      <c r="D1577" s="111" t="s">
        <v>820</v>
      </c>
      <c r="E1577" s="111" t="b">
        <v>0</v>
      </c>
      <c r="F1577" s="111" t="b">
        <v>0</v>
      </c>
      <c r="G1577" s="111" t="b">
        <v>0</v>
      </c>
    </row>
    <row r="1578" spans="1:7" ht="15">
      <c r="A1578" s="113" t="s">
        <v>1591</v>
      </c>
      <c r="B1578" s="111">
        <v>2</v>
      </c>
      <c r="C1578" s="115">
        <v>0.0013543079328275133</v>
      </c>
      <c r="D1578" s="111" t="s">
        <v>820</v>
      </c>
      <c r="E1578" s="111" t="b">
        <v>0</v>
      </c>
      <c r="F1578" s="111" t="b">
        <v>0</v>
      </c>
      <c r="G1578" s="111" t="b">
        <v>0</v>
      </c>
    </row>
    <row r="1579" spans="1:7" ht="15">
      <c r="A1579" s="113" t="s">
        <v>1588</v>
      </c>
      <c r="B1579" s="111">
        <v>2</v>
      </c>
      <c r="C1579" s="115">
        <v>0.0013543079328275133</v>
      </c>
      <c r="D1579" s="111" t="s">
        <v>820</v>
      </c>
      <c r="E1579" s="111" t="b">
        <v>0</v>
      </c>
      <c r="F1579" s="111" t="b">
        <v>0</v>
      </c>
      <c r="G1579" s="111" t="b">
        <v>0</v>
      </c>
    </row>
    <row r="1580" spans="1:7" ht="15">
      <c r="A1580" s="113" t="s">
        <v>1318</v>
      </c>
      <c r="B1580" s="111">
        <v>2</v>
      </c>
      <c r="C1580" s="115">
        <v>0.0013543079328275133</v>
      </c>
      <c r="D1580" s="111" t="s">
        <v>820</v>
      </c>
      <c r="E1580" s="111" t="b">
        <v>0</v>
      </c>
      <c r="F1580" s="111" t="b">
        <v>0</v>
      </c>
      <c r="G1580" s="111" t="b">
        <v>0</v>
      </c>
    </row>
    <row r="1581" spans="1:7" ht="15">
      <c r="A1581" s="113" t="s">
        <v>840</v>
      </c>
      <c r="B1581" s="111">
        <v>36</v>
      </c>
      <c r="C1581" s="115">
        <v>0.0049034102669878775</v>
      </c>
      <c r="D1581" s="111" t="s">
        <v>821</v>
      </c>
      <c r="E1581" s="111" t="b">
        <v>0</v>
      </c>
      <c r="F1581" s="111" t="b">
        <v>0</v>
      </c>
      <c r="G1581" s="111" t="b">
        <v>0</v>
      </c>
    </row>
    <row r="1582" spans="1:7" ht="15">
      <c r="A1582" s="113" t="s">
        <v>841</v>
      </c>
      <c r="B1582" s="111">
        <v>35</v>
      </c>
      <c r="C1582" s="115">
        <v>0.004315562385665211</v>
      </c>
      <c r="D1582" s="111" t="s">
        <v>821</v>
      </c>
      <c r="E1582" s="111" t="b">
        <v>0</v>
      </c>
      <c r="F1582" s="111" t="b">
        <v>0</v>
      </c>
      <c r="G1582" s="111" t="b">
        <v>0</v>
      </c>
    </row>
    <row r="1583" spans="1:7" ht="15">
      <c r="A1583" s="113" t="s">
        <v>844</v>
      </c>
      <c r="B1583" s="111">
        <v>26</v>
      </c>
      <c r="C1583" s="115">
        <v>0.003541351859491245</v>
      </c>
      <c r="D1583" s="111" t="s">
        <v>821</v>
      </c>
      <c r="E1583" s="111" t="b">
        <v>0</v>
      </c>
      <c r="F1583" s="111" t="b">
        <v>0</v>
      </c>
      <c r="G1583" s="111" t="b">
        <v>0</v>
      </c>
    </row>
    <row r="1584" spans="1:7" ht="15">
      <c r="A1584" s="113" t="s">
        <v>858</v>
      </c>
      <c r="B1584" s="111">
        <v>23</v>
      </c>
      <c r="C1584" s="115">
        <v>0.014485423751798445</v>
      </c>
      <c r="D1584" s="111" t="s">
        <v>821</v>
      </c>
      <c r="E1584" s="111" t="b">
        <v>0</v>
      </c>
      <c r="F1584" s="111" t="b">
        <v>0</v>
      </c>
      <c r="G1584" s="111" t="b">
        <v>0</v>
      </c>
    </row>
    <row r="1585" spans="1:7" ht="15">
      <c r="A1585" s="113" t="s">
        <v>859</v>
      </c>
      <c r="B1585" s="111">
        <v>23</v>
      </c>
      <c r="C1585" s="115">
        <v>0.014485423751798445</v>
      </c>
      <c r="D1585" s="111" t="s">
        <v>821</v>
      </c>
      <c r="E1585" s="111" t="b">
        <v>0</v>
      </c>
      <c r="F1585" s="111" t="b">
        <v>0</v>
      </c>
      <c r="G1585" s="111" t="b">
        <v>0</v>
      </c>
    </row>
    <row r="1586" spans="1:7" ht="15">
      <c r="A1586" s="113" t="s">
        <v>847</v>
      </c>
      <c r="B1586" s="111">
        <v>19</v>
      </c>
      <c r="C1586" s="115">
        <v>0.0041580337126326415</v>
      </c>
      <c r="D1586" s="111" t="s">
        <v>821</v>
      </c>
      <c r="E1586" s="111" t="b">
        <v>0</v>
      </c>
      <c r="F1586" s="111" t="b">
        <v>0</v>
      </c>
      <c r="G1586" s="111" t="b">
        <v>0</v>
      </c>
    </row>
    <row r="1587" spans="1:7" ht="15">
      <c r="A1587" s="113" t="s">
        <v>857</v>
      </c>
      <c r="B1587" s="111">
        <v>17</v>
      </c>
      <c r="C1587" s="115">
        <v>0.005589266102743296</v>
      </c>
      <c r="D1587" s="111" t="s">
        <v>821</v>
      </c>
      <c r="E1587" s="111" t="b">
        <v>0</v>
      </c>
      <c r="F1587" s="111" t="b">
        <v>0</v>
      </c>
      <c r="G1587" s="111" t="b">
        <v>0</v>
      </c>
    </row>
    <row r="1588" spans="1:7" ht="15">
      <c r="A1588" s="113" t="s">
        <v>846</v>
      </c>
      <c r="B1588" s="111">
        <v>15</v>
      </c>
      <c r="C1588" s="115">
        <v>0.003987725826128548</v>
      </c>
      <c r="D1588" s="111" t="s">
        <v>821</v>
      </c>
      <c r="E1588" s="111" t="b">
        <v>0</v>
      </c>
      <c r="F1588" s="111" t="b">
        <v>0</v>
      </c>
      <c r="G1588" s="111" t="b">
        <v>0</v>
      </c>
    </row>
    <row r="1589" spans="1:7" ht="15">
      <c r="A1589" s="113" t="s">
        <v>855</v>
      </c>
      <c r="B1589" s="111">
        <v>15</v>
      </c>
      <c r="C1589" s="115">
        <v>0.004931705384773496</v>
      </c>
      <c r="D1589" s="111" t="s">
        <v>821</v>
      </c>
      <c r="E1589" s="111" t="b">
        <v>0</v>
      </c>
      <c r="F1589" s="111" t="b">
        <v>0</v>
      </c>
      <c r="G1589" s="111" t="b">
        <v>0</v>
      </c>
    </row>
    <row r="1590" spans="1:7" ht="15">
      <c r="A1590" s="113" t="s">
        <v>860</v>
      </c>
      <c r="B1590" s="111">
        <v>14</v>
      </c>
      <c r="C1590" s="115">
        <v>0.003372227455942367</v>
      </c>
      <c r="D1590" s="111" t="s">
        <v>821</v>
      </c>
      <c r="E1590" s="111" t="b">
        <v>1</v>
      </c>
      <c r="F1590" s="111" t="b">
        <v>0</v>
      </c>
      <c r="G1590" s="111" t="b">
        <v>0</v>
      </c>
    </row>
    <row r="1591" spans="1:7" ht="15">
      <c r="A1591" s="113" t="s">
        <v>843</v>
      </c>
      <c r="B1591" s="111">
        <v>13</v>
      </c>
      <c r="C1591" s="115">
        <v>0.0028449704349591755</v>
      </c>
      <c r="D1591" s="111" t="s">
        <v>821</v>
      </c>
      <c r="E1591" s="111" t="b">
        <v>0</v>
      </c>
      <c r="F1591" s="111" t="b">
        <v>0</v>
      </c>
      <c r="G1591" s="111" t="b">
        <v>0</v>
      </c>
    </row>
    <row r="1592" spans="1:7" ht="15">
      <c r="A1592" s="113" t="s">
        <v>869</v>
      </c>
      <c r="B1592" s="111">
        <v>13</v>
      </c>
      <c r="C1592" s="115">
        <v>0.004816707185797984</v>
      </c>
      <c r="D1592" s="111" t="s">
        <v>821</v>
      </c>
      <c r="E1592" s="111" t="b">
        <v>0</v>
      </c>
      <c r="F1592" s="111" t="b">
        <v>0</v>
      </c>
      <c r="G1592" s="111" t="b">
        <v>0</v>
      </c>
    </row>
    <row r="1593" spans="1:7" ht="15">
      <c r="A1593" s="113" t="s">
        <v>905</v>
      </c>
      <c r="B1593" s="111">
        <v>13</v>
      </c>
      <c r="C1593" s="115">
        <v>0.005516191929944366</v>
      </c>
      <c r="D1593" s="111" t="s">
        <v>821</v>
      </c>
      <c r="E1593" s="111" t="b">
        <v>0</v>
      </c>
      <c r="F1593" s="111" t="b">
        <v>0</v>
      </c>
      <c r="G1593" s="111" t="b">
        <v>0</v>
      </c>
    </row>
    <row r="1594" spans="1:7" ht="15">
      <c r="A1594" s="113" t="s">
        <v>845</v>
      </c>
      <c r="B1594" s="111">
        <v>12</v>
      </c>
      <c r="C1594" s="115">
        <v>0.002890480676522029</v>
      </c>
      <c r="D1594" s="111" t="s">
        <v>821</v>
      </c>
      <c r="E1594" s="111" t="b">
        <v>0</v>
      </c>
      <c r="F1594" s="111" t="b">
        <v>0</v>
      </c>
      <c r="G1594" s="111" t="b">
        <v>0</v>
      </c>
    </row>
    <row r="1595" spans="1:7" ht="15">
      <c r="A1595" s="113" t="s">
        <v>849</v>
      </c>
      <c r="B1595" s="111">
        <v>12</v>
      </c>
      <c r="C1595" s="115">
        <v>0.0035361589018879196</v>
      </c>
      <c r="D1595" s="111" t="s">
        <v>821</v>
      </c>
      <c r="E1595" s="111" t="b">
        <v>0</v>
      </c>
      <c r="F1595" s="111" t="b">
        <v>0</v>
      </c>
      <c r="G1595" s="111" t="b">
        <v>0</v>
      </c>
    </row>
    <row r="1596" spans="1:7" ht="15">
      <c r="A1596" s="113" t="s">
        <v>848</v>
      </c>
      <c r="B1596" s="111">
        <v>12</v>
      </c>
      <c r="C1596" s="115">
        <v>0.0026261265553469315</v>
      </c>
      <c r="D1596" s="111" t="s">
        <v>821</v>
      </c>
      <c r="E1596" s="111" t="b">
        <v>0</v>
      </c>
      <c r="F1596" s="111" t="b">
        <v>0</v>
      </c>
      <c r="G1596" s="111" t="b">
        <v>0</v>
      </c>
    </row>
    <row r="1597" spans="1:7" ht="15">
      <c r="A1597" s="113" t="s">
        <v>867</v>
      </c>
      <c r="B1597" s="111">
        <v>12</v>
      </c>
      <c r="C1597" s="115">
        <v>0.002389653735911918</v>
      </c>
      <c r="D1597" s="111" t="s">
        <v>821</v>
      </c>
      <c r="E1597" s="111" t="b">
        <v>0</v>
      </c>
      <c r="F1597" s="111" t="b">
        <v>0</v>
      </c>
      <c r="G1597" s="111" t="b">
        <v>0</v>
      </c>
    </row>
    <row r="1598" spans="1:7" ht="15">
      <c r="A1598" s="113" t="s">
        <v>894</v>
      </c>
      <c r="B1598" s="111">
        <v>10</v>
      </c>
      <c r="C1598" s="115">
        <v>0.002408733897101691</v>
      </c>
      <c r="D1598" s="111" t="s">
        <v>821</v>
      </c>
      <c r="E1598" s="111" t="b">
        <v>0</v>
      </c>
      <c r="F1598" s="111" t="b">
        <v>0</v>
      </c>
      <c r="G1598" s="111" t="b">
        <v>0</v>
      </c>
    </row>
    <row r="1599" spans="1:7" ht="15">
      <c r="A1599" s="113" t="s">
        <v>915</v>
      </c>
      <c r="B1599" s="111">
        <v>9</v>
      </c>
      <c r="C1599" s="115">
        <v>0.0021678605073915213</v>
      </c>
      <c r="D1599" s="111" t="s">
        <v>821</v>
      </c>
      <c r="E1599" s="111" t="b">
        <v>0</v>
      </c>
      <c r="F1599" s="111" t="b">
        <v>0</v>
      </c>
      <c r="G1599" s="111" t="b">
        <v>0</v>
      </c>
    </row>
    <row r="1600" spans="1:7" ht="15">
      <c r="A1600" s="113" t="s">
        <v>851</v>
      </c>
      <c r="B1600" s="111">
        <v>8</v>
      </c>
      <c r="C1600" s="115">
        <v>0.002630242871879198</v>
      </c>
      <c r="D1600" s="111" t="s">
        <v>821</v>
      </c>
      <c r="E1600" s="111" t="b">
        <v>0</v>
      </c>
      <c r="F1600" s="111" t="b">
        <v>0</v>
      </c>
      <c r="G1600" s="111" t="b">
        <v>0</v>
      </c>
    </row>
    <row r="1601" spans="1:7" ht="15">
      <c r="A1601" s="113" t="s">
        <v>889</v>
      </c>
      <c r="B1601" s="111">
        <v>8</v>
      </c>
      <c r="C1601" s="115">
        <v>0.00235743926792528</v>
      </c>
      <c r="D1601" s="111" t="s">
        <v>821</v>
      </c>
      <c r="E1601" s="111" t="b">
        <v>0</v>
      </c>
      <c r="F1601" s="111" t="b">
        <v>0</v>
      </c>
      <c r="G1601" s="111" t="b">
        <v>0</v>
      </c>
    </row>
    <row r="1602" spans="1:7" ht="15">
      <c r="A1602" s="113" t="s">
        <v>885</v>
      </c>
      <c r="B1602" s="111">
        <v>8</v>
      </c>
      <c r="C1602" s="115">
        <v>0.0019269871176813525</v>
      </c>
      <c r="D1602" s="111" t="s">
        <v>821</v>
      </c>
      <c r="E1602" s="111" t="b">
        <v>0</v>
      </c>
      <c r="F1602" s="111" t="b">
        <v>0</v>
      </c>
      <c r="G1602" s="111" t="b">
        <v>0</v>
      </c>
    </row>
    <row r="1603" spans="1:7" ht="15">
      <c r="A1603" s="113" t="s">
        <v>865</v>
      </c>
      <c r="B1603" s="111">
        <v>8</v>
      </c>
      <c r="C1603" s="115">
        <v>0.0029641274989526054</v>
      </c>
      <c r="D1603" s="111" t="s">
        <v>821</v>
      </c>
      <c r="E1603" s="111" t="b">
        <v>0</v>
      </c>
      <c r="F1603" s="111" t="b">
        <v>0</v>
      </c>
      <c r="G1603" s="111" t="b">
        <v>0</v>
      </c>
    </row>
    <row r="1604" spans="1:7" ht="15">
      <c r="A1604" s="113" t="s">
        <v>938</v>
      </c>
      <c r="B1604" s="111">
        <v>8</v>
      </c>
      <c r="C1604" s="115">
        <v>0.002630242871879198</v>
      </c>
      <c r="D1604" s="111" t="s">
        <v>821</v>
      </c>
      <c r="E1604" s="111" t="b">
        <v>0</v>
      </c>
      <c r="F1604" s="111" t="b">
        <v>0</v>
      </c>
      <c r="G1604" s="111" t="b">
        <v>0</v>
      </c>
    </row>
    <row r="1605" spans="1:7" ht="15">
      <c r="A1605" s="113" t="s">
        <v>982</v>
      </c>
      <c r="B1605" s="111">
        <v>8</v>
      </c>
      <c r="C1605" s="115">
        <v>0.0050384082614951115</v>
      </c>
      <c r="D1605" s="111" t="s">
        <v>821</v>
      </c>
      <c r="E1605" s="111" t="b">
        <v>0</v>
      </c>
      <c r="F1605" s="111" t="b">
        <v>0</v>
      </c>
      <c r="G1605" s="111" t="b">
        <v>0</v>
      </c>
    </row>
    <row r="1606" spans="1:7" ht="15">
      <c r="A1606" s="113" t="s">
        <v>890</v>
      </c>
      <c r="B1606" s="111">
        <v>7</v>
      </c>
      <c r="C1606" s="115">
        <v>0.00206275935943462</v>
      </c>
      <c r="D1606" s="111" t="s">
        <v>821</v>
      </c>
      <c r="E1606" s="111" t="b">
        <v>0</v>
      </c>
      <c r="F1606" s="111" t="b">
        <v>0</v>
      </c>
      <c r="G1606" s="111" t="b">
        <v>0</v>
      </c>
    </row>
    <row r="1607" spans="1:7" ht="15">
      <c r="A1607" s="113" t="s">
        <v>862</v>
      </c>
      <c r="B1607" s="111">
        <v>7</v>
      </c>
      <c r="C1607" s="115">
        <v>0.00206275935943462</v>
      </c>
      <c r="D1607" s="111" t="s">
        <v>821</v>
      </c>
      <c r="E1607" s="111" t="b">
        <v>0</v>
      </c>
      <c r="F1607" s="111" t="b">
        <v>0</v>
      </c>
      <c r="G1607" s="111" t="b">
        <v>0</v>
      </c>
    </row>
    <row r="1608" spans="1:7" ht="15">
      <c r="A1608" s="113" t="s">
        <v>880</v>
      </c>
      <c r="B1608" s="111">
        <v>7</v>
      </c>
      <c r="C1608" s="115">
        <v>0.0023014625128942984</v>
      </c>
      <c r="D1608" s="111" t="s">
        <v>821</v>
      </c>
      <c r="E1608" s="111" t="b">
        <v>0</v>
      </c>
      <c r="F1608" s="111" t="b">
        <v>0</v>
      </c>
      <c r="G1608" s="111" t="b">
        <v>0</v>
      </c>
    </row>
    <row r="1609" spans="1:7" ht="15">
      <c r="A1609" s="113" t="s">
        <v>910</v>
      </c>
      <c r="B1609" s="111">
        <v>7</v>
      </c>
      <c r="C1609" s="115">
        <v>0.0023014625128942984</v>
      </c>
      <c r="D1609" s="111" t="s">
        <v>821</v>
      </c>
      <c r="E1609" s="111" t="b">
        <v>1</v>
      </c>
      <c r="F1609" s="111" t="b">
        <v>0</v>
      </c>
      <c r="G1609" s="111" t="b">
        <v>0</v>
      </c>
    </row>
    <row r="1610" spans="1:7" ht="15">
      <c r="A1610" s="113" t="s">
        <v>884</v>
      </c>
      <c r="B1610" s="111">
        <v>7</v>
      </c>
      <c r="C1610" s="115">
        <v>0.00206275935943462</v>
      </c>
      <c r="D1610" s="111" t="s">
        <v>821</v>
      </c>
      <c r="E1610" s="111" t="b">
        <v>0</v>
      </c>
      <c r="F1610" s="111" t="b">
        <v>0</v>
      </c>
      <c r="G1610" s="111" t="b">
        <v>0</v>
      </c>
    </row>
    <row r="1611" spans="1:7" ht="15">
      <c r="A1611" s="113" t="s">
        <v>1009</v>
      </c>
      <c r="B1611" s="111">
        <v>7</v>
      </c>
      <c r="C1611" s="115">
        <v>0.002970257193046966</v>
      </c>
      <c r="D1611" s="111" t="s">
        <v>821</v>
      </c>
      <c r="E1611" s="111" t="b">
        <v>0</v>
      </c>
      <c r="F1611" s="111" t="b">
        <v>0</v>
      </c>
      <c r="G1611" s="111" t="b">
        <v>0</v>
      </c>
    </row>
    <row r="1612" spans="1:7" ht="15">
      <c r="A1612" s="113" t="s">
        <v>941</v>
      </c>
      <c r="B1612" s="111">
        <v>7</v>
      </c>
      <c r="C1612" s="115">
        <v>0.0023014625128942984</v>
      </c>
      <c r="D1612" s="111" t="s">
        <v>821</v>
      </c>
      <c r="E1612" s="111" t="b">
        <v>0</v>
      </c>
      <c r="F1612" s="111" t="b">
        <v>0</v>
      </c>
      <c r="G1612" s="111" t="b">
        <v>0</v>
      </c>
    </row>
    <row r="1613" spans="1:7" ht="15">
      <c r="A1613" s="113" t="s">
        <v>901</v>
      </c>
      <c r="B1613" s="111">
        <v>7</v>
      </c>
      <c r="C1613" s="115">
        <v>0.002970257193046966</v>
      </c>
      <c r="D1613" s="111" t="s">
        <v>821</v>
      </c>
      <c r="E1613" s="111" t="b">
        <v>0</v>
      </c>
      <c r="F1613" s="111" t="b">
        <v>0</v>
      </c>
      <c r="G1613" s="111" t="b">
        <v>0</v>
      </c>
    </row>
    <row r="1614" spans="1:7" ht="15">
      <c r="A1614" s="113" t="s">
        <v>1019</v>
      </c>
      <c r="B1614" s="111">
        <v>7</v>
      </c>
      <c r="C1614" s="115">
        <v>0.0044086072288082225</v>
      </c>
      <c r="D1614" s="111" t="s">
        <v>821</v>
      </c>
      <c r="E1614" s="111" t="b">
        <v>0</v>
      </c>
      <c r="F1614" s="111" t="b">
        <v>0</v>
      </c>
      <c r="G1614" s="111" t="b">
        <v>0</v>
      </c>
    </row>
    <row r="1615" spans="1:7" ht="15">
      <c r="A1615" s="113" t="s">
        <v>925</v>
      </c>
      <c r="B1615" s="111">
        <v>6</v>
      </c>
      <c r="C1615" s="115">
        <v>0.0019726821539093986</v>
      </c>
      <c r="D1615" s="111" t="s">
        <v>821</v>
      </c>
      <c r="E1615" s="111" t="b">
        <v>0</v>
      </c>
      <c r="F1615" s="111" t="b">
        <v>0</v>
      </c>
      <c r="G1615" s="111" t="b">
        <v>0</v>
      </c>
    </row>
    <row r="1616" spans="1:7" ht="15">
      <c r="A1616" s="113" t="s">
        <v>870</v>
      </c>
      <c r="B1616" s="111">
        <v>6</v>
      </c>
      <c r="C1616" s="115">
        <v>0.0017680794509439598</v>
      </c>
      <c r="D1616" s="111" t="s">
        <v>821</v>
      </c>
      <c r="E1616" s="111" t="b">
        <v>0</v>
      </c>
      <c r="F1616" s="111" t="b">
        <v>0</v>
      </c>
      <c r="G1616" s="111" t="b">
        <v>0</v>
      </c>
    </row>
    <row r="1617" spans="1:7" ht="15">
      <c r="A1617" s="113" t="s">
        <v>953</v>
      </c>
      <c r="B1617" s="111">
        <v>6</v>
      </c>
      <c r="C1617" s="115">
        <v>0.0017680794509439598</v>
      </c>
      <c r="D1617" s="111" t="s">
        <v>821</v>
      </c>
      <c r="E1617" s="111" t="b">
        <v>0</v>
      </c>
      <c r="F1617" s="111" t="b">
        <v>0</v>
      </c>
      <c r="G1617" s="111" t="b">
        <v>0</v>
      </c>
    </row>
    <row r="1618" spans="1:7" ht="15">
      <c r="A1618" s="113" t="s">
        <v>897</v>
      </c>
      <c r="B1618" s="111">
        <v>6</v>
      </c>
      <c r="C1618" s="115">
        <v>0.0019726821539093986</v>
      </c>
      <c r="D1618" s="111" t="s">
        <v>821</v>
      </c>
      <c r="E1618" s="111" t="b">
        <v>0</v>
      </c>
      <c r="F1618" s="111" t="b">
        <v>0</v>
      </c>
      <c r="G1618" s="111" t="b">
        <v>0</v>
      </c>
    </row>
    <row r="1619" spans="1:7" ht="15">
      <c r="A1619" s="113" t="s">
        <v>868</v>
      </c>
      <c r="B1619" s="111">
        <v>6</v>
      </c>
      <c r="C1619" s="115">
        <v>0.0019726821539093986</v>
      </c>
      <c r="D1619" s="111" t="s">
        <v>821</v>
      </c>
      <c r="E1619" s="111" t="b">
        <v>0</v>
      </c>
      <c r="F1619" s="111" t="b">
        <v>0</v>
      </c>
      <c r="G1619" s="111" t="b">
        <v>0</v>
      </c>
    </row>
    <row r="1620" spans="1:7" ht="15">
      <c r="A1620" s="113" t="s">
        <v>899</v>
      </c>
      <c r="B1620" s="111">
        <v>6</v>
      </c>
      <c r="C1620" s="115">
        <v>0.0019726821539093986</v>
      </c>
      <c r="D1620" s="111" t="s">
        <v>821</v>
      </c>
      <c r="E1620" s="111" t="b">
        <v>0</v>
      </c>
      <c r="F1620" s="111" t="b">
        <v>0</v>
      </c>
      <c r="G1620" s="111" t="b">
        <v>0</v>
      </c>
    </row>
    <row r="1621" spans="1:7" ht="15">
      <c r="A1621" s="113" t="s">
        <v>926</v>
      </c>
      <c r="B1621" s="111">
        <v>6</v>
      </c>
      <c r="C1621" s="115">
        <v>0.0019726821539093986</v>
      </c>
      <c r="D1621" s="111" t="s">
        <v>821</v>
      </c>
      <c r="E1621" s="111" t="b">
        <v>0</v>
      </c>
      <c r="F1621" s="111" t="b">
        <v>0</v>
      </c>
      <c r="G1621" s="111" t="b">
        <v>0</v>
      </c>
    </row>
    <row r="1622" spans="1:7" ht="15">
      <c r="A1622" s="113" t="s">
        <v>892</v>
      </c>
      <c r="B1622" s="111">
        <v>6</v>
      </c>
      <c r="C1622" s="115">
        <v>0.0025459347368973996</v>
      </c>
      <c r="D1622" s="111" t="s">
        <v>821</v>
      </c>
      <c r="E1622" s="111" t="b">
        <v>0</v>
      </c>
      <c r="F1622" s="111" t="b">
        <v>0</v>
      </c>
      <c r="G1622" s="111" t="b">
        <v>0</v>
      </c>
    </row>
    <row r="1623" spans="1:7" ht="15">
      <c r="A1623" s="113" t="s">
        <v>919</v>
      </c>
      <c r="B1623" s="111">
        <v>6</v>
      </c>
      <c r="C1623" s="115">
        <v>0.0025459347368973996</v>
      </c>
      <c r="D1623" s="111" t="s">
        <v>821</v>
      </c>
      <c r="E1623" s="111" t="b">
        <v>0</v>
      </c>
      <c r="F1623" s="111" t="b">
        <v>0</v>
      </c>
      <c r="G1623" s="111" t="b">
        <v>0</v>
      </c>
    </row>
    <row r="1624" spans="1:7" ht="15">
      <c r="A1624" s="113" t="s">
        <v>850</v>
      </c>
      <c r="B1624" s="111">
        <v>6</v>
      </c>
      <c r="C1624" s="115">
        <v>0.0025459347368973996</v>
      </c>
      <c r="D1624" s="111" t="s">
        <v>821</v>
      </c>
      <c r="E1624" s="111" t="b">
        <v>0</v>
      </c>
      <c r="F1624" s="111" t="b">
        <v>0</v>
      </c>
      <c r="G1624" s="111" t="b">
        <v>0</v>
      </c>
    </row>
    <row r="1625" spans="1:7" ht="15">
      <c r="A1625" s="113" t="s">
        <v>872</v>
      </c>
      <c r="B1625" s="111">
        <v>6</v>
      </c>
      <c r="C1625" s="115">
        <v>0.003000950910167894</v>
      </c>
      <c r="D1625" s="111" t="s">
        <v>821</v>
      </c>
      <c r="E1625" s="111" t="b">
        <v>0</v>
      </c>
      <c r="F1625" s="111" t="b">
        <v>0</v>
      </c>
      <c r="G1625" s="111" t="b">
        <v>0</v>
      </c>
    </row>
    <row r="1626" spans="1:7" ht="15">
      <c r="A1626" s="113" t="s">
        <v>923</v>
      </c>
      <c r="B1626" s="111">
        <v>6</v>
      </c>
      <c r="C1626" s="115">
        <v>0.003000950910167894</v>
      </c>
      <c r="D1626" s="111" t="s">
        <v>821</v>
      </c>
      <c r="E1626" s="111" t="b">
        <v>0</v>
      </c>
      <c r="F1626" s="111" t="b">
        <v>0</v>
      </c>
      <c r="G1626" s="111" t="b">
        <v>0</v>
      </c>
    </row>
    <row r="1627" spans="1:7" ht="15">
      <c r="A1627" s="113" t="s">
        <v>1087</v>
      </c>
      <c r="B1627" s="111">
        <v>6</v>
      </c>
      <c r="C1627" s="115">
        <v>0.0037788061961213336</v>
      </c>
      <c r="D1627" s="111" t="s">
        <v>821</v>
      </c>
      <c r="E1627" s="111" t="b">
        <v>0</v>
      </c>
      <c r="F1627" s="111" t="b">
        <v>0</v>
      </c>
      <c r="G1627" s="111" t="b">
        <v>0</v>
      </c>
    </row>
    <row r="1628" spans="1:7" ht="15">
      <c r="A1628" s="113" t="s">
        <v>907</v>
      </c>
      <c r="B1628" s="111">
        <v>6</v>
      </c>
      <c r="C1628" s="115">
        <v>0.0037788061961213336</v>
      </c>
      <c r="D1628" s="111" t="s">
        <v>821</v>
      </c>
      <c r="E1628" s="111" t="b">
        <v>0</v>
      </c>
      <c r="F1628" s="111" t="b">
        <v>0</v>
      </c>
      <c r="G1628" s="111" t="b">
        <v>0</v>
      </c>
    </row>
    <row r="1629" spans="1:7" ht="15">
      <c r="A1629" s="113" t="s">
        <v>875</v>
      </c>
      <c r="B1629" s="111">
        <v>5</v>
      </c>
      <c r="C1629" s="115">
        <v>0.001643901794924499</v>
      </c>
      <c r="D1629" s="111" t="s">
        <v>821</v>
      </c>
      <c r="E1629" s="111" t="b">
        <v>0</v>
      </c>
      <c r="F1629" s="111" t="b">
        <v>1</v>
      </c>
      <c r="G1629" s="111" t="b">
        <v>0</v>
      </c>
    </row>
    <row r="1630" spans="1:7" ht="15">
      <c r="A1630" s="113" t="s">
        <v>873</v>
      </c>
      <c r="B1630" s="111">
        <v>5</v>
      </c>
      <c r="C1630" s="115">
        <v>0.0018525796868453783</v>
      </c>
      <c r="D1630" s="111" t="s">
        <v>821</v>
      </c>
      <c r="E1630" s="111" t="b">
        <v>0</v>
      </c>
      <c r="F1630" s="111" t="b">
        <v>0</v>
      </c>
      <c r="G1630" s="111" t="b">
        <v>0</v>
      </c>
    </row>
    <row r="1631" spans="1:7" ht="15">
      <c r="A1631" s="113" t="s">
        <v>935</v>
      </c>
      <c r="B1631" s="111">
        <v>5</v>
      </c>
      <c r="C1631" s="115">
        <v>0.001643901794924499</v>
      </c>
      <c r="D1631" s="111" t="s">
        <v>821</v>
      </c>
      <c r="E1631" s="111" t="b">
        <v>0</v>
      </c>
      <c r="F1631" s="111" t="b">
        <v>0</v>
      </c>
      <c r="G1631" s="111" t="b">
        <v>0</v>
      </c>
    </row>
    <row r="1632" spans="1:7" ht="15">
      <c r="A1632" s="113" t="s">
        <v>853</v>
      </c>
      <c r="B1632" s="111">
        <v>5</v>
      </c>
      <c r="C1632" s="115">
        <v>0.002121612280747833</v>
      </c>
      <c r="D1632" s="111" t="s">
        <v>821</v>
      </c>
      <c r="E1632" s="111" t="b">
        <v>0</v>
      </c>
      <c r="F1632" s="111" t="b">
        <v>0</v>
      </c>
      <c r="G1632" s="111" t="b">
        <v>0</v>
      </c>
    </row>
    <row r="1633" spans="1:7" ht="15">
      <c r="A1633" s="113" t="s">
        <v>1088</v>
      </c>
      <c r="B1633" s="111">
        <v>5</v>
      </c>
      <c r="C1633" s="115">
        <v>0.002121612280747833</v>
      </c>
      <c r="D1633" s="111" t="s">
        <v>821</v>
      </c>
      <c r="E1633" s="111" t="b">
        <v>0</v>
      </c>
      <c r="F1633" s="111" t="b">
        <v>0</v>
      </c>
      <c r="G1633" s="111" t="b">
        <v>0</v>
      </c>
    </row>
    <row r="1634" spans="1:7" ht="15">
      <c r="A1634" s="113" t="s">
        <v>1079</v>
      </c>
      <c r="B1634" s="111">
        <v>5</v>
      </c>
      <c r="C1634" s="115">
        <v>0.0025007924251399115</v>
      </c>
      <c r="D1634" s="111" t="s">
        <v>821</v>
      </c>
      <c r="E1634" s="111" t="b">
        <v>0</v>
      </c>
      <c r="F1634" s="111" t="b">
        <v>0</v>
      </c>
      <c r="G1634" s="111" t="b">
        <v>0</v>
      </c>
    </row>
    <row r="1635" spans="1:7" ht="15">
      <c r="A1635" s="113" t="s">
        <v>900</v>
      </c>
      <c r="B1635" s="111">
        <v>5</v>
      </c>
      <c r="C1635" s="115">
        <v>0.002121612280747833</v>
      </c>
      <c r="D1635" s="111" t="s">
        <v>821</v>
      </c>
      <c r="E1635" s="111" t="b">
        <v>0</v>
      </c>
      <c r="F1635" s="111" t="b">
        <v>1</v>
      </c>
      <c r="G1635" s="111" t="b">
        <v>0</v>
      </c>
    </row>
    <row r="1636" spans="1:7" ht="15">
      <c r="A1636" s="113" t="s">
        <v>852</v>
      </c>
      <c r="B1636" s="111">
        <v>5</v>
      </c>
      <c r="C1636" s="115">
        <v>0.0018525796868453783</v>
      </c>
      <c r="D1636" s="111" t="s">
        <v>821</v>
      </c>
      <c r="E1636" s="111" t="b">
        <v>0</v>
      </c>
      <c r="F1636" s="111" t="b">
        <v>0</v>
      </c>
      <c r="G1636" s="111" t="b">
        <v>0</v>
      </c>
    </row>
    <row r="1637" spans="1:7" ht="15">
      <c r="A1637" s="113" t="s">
        <v>972</v>
      </c>
      <c r="B1637" s="111">
        <v>5</v>
      </c>
      <c r="C1637" s="115">
        <v>0.002121612280747833</v>
      </c>
      <c r="D1637" s="111" t="s">
        <v>821</v>
      </c>
      <c r="E1637" s="111" t="b">
        <v>0</v>
      </c>
      <c r="F1637" s="111" t="b">
        <v>0</v>
      </c>
      <c r="G1637" s="111" t="b">
        <v>0</v>
      </c>
    </row>
    <row r="1638" spans="1:7" ht="15">
      <c r="A1638" s="113" t="s">
        <v>1156</v>
      </c>
      <c r="B1638" s="111">
        <v>5</v>
      </c>
      <c r="C1638" s="115">
        <v>0.002121612280747833</v>
      </c>
      <c r="D1638" s="111" t="s">
        <v>821</v>
      </c>
      <c r="E1638" s="111" t="b">
        <v>0</v>
      </c>
      <c r="F1638" s="111" t="b">
        <v>0</v>
      </c>
      <c r="G1638" s="111" t="b">
        <v>0</v>
      </c>
    </row>
    <row r="1639" spans="1:7" ht="15">
      <c r="A1639" s="113" t="s">
        <v>950</v>
      </c>
      <c r="B1639" s="111">
        <v>5</v>
      </c>
      <c r="C1639" s="115">
        <v>0.001643901794924499</v>
      </c>
      <c r="D1639" s="111" t="s">
        <v>821</v>
      </c>
      <c r="E1639" s="111" t="b">
        <v>0</v>
      </c>
      <c r="F1639" s="111" t="b">
        <v>0</v>
      </c>
      <c r="G1639" s="111" t="b">
        <v>0</v>
      </c>
    </row>
    <row r="1640" spans="1:7" ht="15">
      <c r="A1640" s="113" t="s">
        <v>1067</v>
      </c>
      <c r="B1640" s="111">
        <v>5</v>
      </c>
      <c r="C1640" s="115">
        <v>0.0018525796868453783</v>
      </c>
      <c r="D1640" s="111" t="s">
        <v>821</v>
      </c>
      <c r="E1640" s="111" t="b">
        <v>0</v>
      </c>
      <c r="F1640" s="111" t="b">
        <v>0</v>
      </c>
      <c r="G1640" s="111" t="b">
        <v>0</v>
      </c>
    </row>
    <row r="1641" spans="1:7" ht="15">
      <c r="A1641" s="113" t="s">
        <v>1043</v>
      </c>
      <c r="B1641" s="111">
        <v>5</v>
      </c>
      <c r="C1641" s="115">
        <v>0.0018525796868453783</v>
      </c>
      <c r="D1641" s="111" t="s">
        <v>821</v>
      </c>
      <c r="E1641" s="111" t="b">
        <v>0</v>
      </c>
      <c r="F1641" s="111" t="b">
        <v>0</v>
      </c>
      <c r="G1641" s="111" t="b">
        <v>0</v>
      </c>
    </row>
    <row r="1642" spans="1:7" ht="15">
      <c r="A1642" s="113" t="s">
        <v>902</v>
      </c>
      <c r="B1642" s="111">
        <v>5</v>
      </c>
      <c r="C1642" s="115">
        <v>0.001643901794924499</v>
      </c>
      <c r="D1642" s="111" t="s">
        <v>821</v>
      </c>
      <c r="E1642" s="111" t="b">
        <v>0</v>
      </c>
      <c r="F1642" s="111" t="b">
        <v>0</v>
      </c>
      <c r="G1642" s="111" t="b">
        <v>0</v>
      </c>
    </row>
    <row r="1643" spans="1:7" ht="15">
      <c r="A1643" s="113" t="s">
        <v>908</v>
      </c>
      <c r="B1643" s="111">
        <v>5</v>
      </c>
      <c r="C1643" s="115">
        <v>0.002121612280747833</v>
      </c>
      <c r="D1643" s="111" t="s">
        <v>821</v>
      </c>
      <c r="E1643" s="111" t="b">
        <v>0</v>
      </c>
      <c r="F1643" s="111" t="b">
        <v>0</v>
      </c>
      <c r="G1643" s="111" t="b">
        <v>0</v>
      </c>
    </row>
    <row r="1644" spans="1:7" ht="15">
      <c r="A1644" s="113" t="s">
        <v>883</v>
      </c>
      <c r="B1644" s="111">
        <v>5</v>
      </c>
      <c r="C1644" s="115">
        <v>0.0025007924251399115</v>
      </c>
      <c r="D1644" s="111" t="s">
        <v>821</v>
      </c>
      <c r="E1644" s="111" t="b">
        <v>0</v>
      </c>
      <c r="F1644" s="111" t="b">
        <v>0</v>
      </c>
      <c r="G1644" s="111" t="b">
        <v>0</v>
      </c>
    </row>
    <row r="1645" spans="1:7" ht="15">
      <c r="A1645" s="113" t="s">
        <v>1155</v>
      </c>
      <c r="B1645" s="111">
        <v>5</v>
      </c>
      <c r="C1645" s="115">
        <v>0.0025007924251399115</v>
      </c>
      <c r="D1645" s="111" t="s">
        <v>821</v>
      </c>
      <c r="E1645" s="111" t="b">
        <v>0</v>
      </c>
      <c r="F1645" s="111" t="b">
        <v>0</v>
      </c>
      <c r="G1645" s="111" t="b">
        <v>0</v>
      </c>
    </row>
    <row r="1646" spans="1:7" ht="15">
      <c r="A1646" s="113" t="s">
        <v>1086</v>
      </c>
      <c r="B1646" s="111">
        <v>5</v>
      </c>
      <c r="C1646" s="115">
        <v>0.002121612280747833</v>
      </c>
      <c r="D1646" s="111" t="s">
        <v>821</v>
      </c>
      <c r="E1646" s="111" t="b">
        <v>0</v>
      </c>
      <c r="F1646" s="111" t="b">
        <v>0</v>
      </c>
      <c r="G1646" s="111" t="b">
        <v>0</v>
      </c>
    </row>
    <row r="1647" spans="1:7" ht="15">
      <c r="A1647" s="113" t="s">
        <v>1034</v>
      </c>
      <c r="B1647" s="111">
        <v>5</v>
      </c>
      <c r="C1647" s="115">
        <v>0.0025007924251399115</v>
      </c>
      <c r="D1647" s="111" t="s">
        <v>821</v>
      </c>
      <c r="E1647" s="111" t="b">
        <v>0</v>
      </c>
      <c r="F1647" s="111" t="b">
        <v>0</v>
      </c>
      <c r="G1647" s="111" t="b">
        <v>0</v>
      </c>
    </row>
    <row r="1648" spans="1:7" ht="15">
      <c r="A1648" s="113" t="s">
        <v>1018</v>
      </c>
      <c r="B1648" s="111">
        <v>5</v>
      </c>
      <c r="C1648" s="115">
        <v>0.002121612280747833</v>
      </c>
      <c r="D1648" s="111" t="s">
        <v>821</v>
      </c>
      <c r="E1648" s="111" t="b">
        <v>0</v>
      </c>
      <c r="F1648" s="111" t="b">
        <v>0</v>
      </c>
      <c r="G1648" s="111" t="b">
        <v>0</v>
      </c>
    </row>
    <row r="1649" spans="1:7" ht="15">
      <c r="A1649" s="113" t="s">
        <v>1015</v>
      </c>
      <c r="B1649" s="111">
        <v>4</v>
      </c>
      <c r="C1649" s="115">
        <v>0.002000633940111929</v>
      </c>
      <c r="D1649" s="111" t="s">
        <v>821</v>
      </c>
      <c r="E1649" s="111" t="b">
        <v>0</v>
      </c>
      <c r="F1649" s="111" t="b">
        <v>0</v>
      </c>
      <c r="G1649" s="111" t="b">
        <v>0</v>
      </c>
    </row>
    <row r="1650" spans="1:7" ht="15">
      <c r="A1650" s="113" t="s">
        <v>896</v>
      </c>
      <c r="B1650" s="111">
        <v>4</v>
      </c>
      <c r="C1650" s="115">
        <v>0.0016972898245982662</v>
      </c>
      <c r="D1650" s="111" t="s">
        <v>821</v>
      </c>
      <c r="E1650" s="111" t="b">
        <v>0</v>
      </c>
      <c r="F1650" s="111" t="b">
        <v>0</v>
      </c>
      <c r="G1650" s="111" t="b">
        <v>0</v>
      </c>
    </row>
    <row r="1651" spans="1:7" ht="15">
      <c r="A1651" s="113" t="s">
        <v>990</v>
      </c>
      <c r="B1651" s="111">
        <v>4</v>
      </c>
      <c r="C1651" s="115">
        <v>0.002000633940111929</v>
      </c>
      <c r="D1651" s="111" t="s">
        <v>821</v>
      </c>
      <c r="E1651" s="111" t="b">
        <v>0</v>
      </c>
      <c r="F1651" s="111" t="b">
        <v>0</v>
      </c>
      <c r="G1651" s="111" t="b">
        <v>0</v>
      </c>
    </row>
    <row r="1652" spans="1:7" ht="15">
      <c r="A1652" s="113" t="s">
        <v>947</v>
      </c>
      <c r="B1652" s="111">
        <v>4</v>
      </c>
      <c r="C1652" s="115">
        <v>0.0014820637494763027</v>
      </c>
      <c r="D1652" s="111" t="s">
        <v>821</v>
      </c>
      <c r="E1652" s="111" t="b">
        <v>0</v>
      </c>
      <c r="F1652" s="111" t="b">
        <v>0</v>
      </c>
      <c r="G1652" s="111" t="b">
        <v>0</v>
      </c>
    </row>
    <row r="1653" spans="1:7" ht="15">
      <c r="A1653" s="113" t="s">
        <v>1013</v>
      </c>
      <c r="B1653" s="111">
        <v>4</v>
      </c>
      <c r="C1653" s="115">
        <v>0.0016972898245982662</v>
      </c>
      <c r="D1653" s="111" t="s">
        <v>821</v>
      </c>
      <c r="E1653" s="111" t="b">
        <v>0</v>
      </c>
      <c r="F1653" s="111" t="b">
        <v>0</v>
      </c>
      <c r="G1653" s="111" t="b">
        <v>0</v>
      </c>
    </row>
    <row r="1654" spans="1:7" ht="15">
      <c r="A1654" s="113" t="s">
        <v>1063</v>
      </c>
      <c r="B1654" s="111">
        <v>4</v>
      </c>
      <c r="C1654" s="115">
        <v>0.0014820637494763027</v>
      </c>
      <c r="D1654" s="111" t="s">
        <v>821</v>
      </c>
      <c r="E1654" s="111" t="b">
        <v>1</v>
      </c>
      <c r="F1654" s="111" t="b">
        <v>0</v>
      </c>
      <c r="G1654" s="111" t="b">
        <v>0</v>
      </c>
    </row>
    <row r="1655" spans="1:7" ht="15">
      <c r="A1655" s="113" t="s">
        <v>856</v>
      </c>
      <c r="B1655" s="111">
        <v>4</v>
      </c>
      <c r="C1655" s="115">
        <v>0.0025192041307475557</v>
      </c>
      <c r="D1655" s="111" t="s">
        <v>821</v>
      </c>
      <c r="E1655" s="111" t="b">
        <v>0</v>
      </c>
      <c r="F1655" s="111" t="b">
        <v>0</v>
      </c>
      <c r="G1655" s="111" t="b">
        <v>0</v>
      </c>
    </row>
    <row r="1656" spans="1:7" ht="15">
      <c r="A1656" s="113" t="s">
        <v>936</v>
      </c>
      <c r="B1656" s="111">
        <v>4</v>
      </c>
      <c r="C1656" s="115">
        <v>0.0014820637494763027</v>
      </c>
      <c r="D1656" s="111" t="s">
        <v>821</v>
      </c>
      <c r="E1656" s="111" t="b">
        <v>0</v>
      </c>
      <c r="F1656" s="111" t="b">
        <v>0</v>
      </c>
      <c r="G1656" s="111" t="b">
        <v>0</v>
      </c>
    </row>
    <row r="1657" spans="1:7" ht="15">
      <c r="A1657" s="113" t="s">
        <v>1031</v>
      </c>
      <c r="B1657" s="111">
        <v>4</v>
      </c>
      <c r="C1657" s="115">
        <v>0.0016972898245982662</v>
      </c>
      <c r="D1657" s="111" t="s">
        <v>821</v>
      </c>
      <c r="E1657" s="111" t="b">
        <v>0</v>
      </c>
      <c r="F1657" s="111" t="b">
        <v>0</v>
      </c>
      <c r="G1657" s="111" t="b">
        <v>0</v>
      </c>
    </row>
    <row r="1658" spans="1:7" ht="15">
      <c r="A1658" s="113" t="s">
        <v>1051</v>
      </c>
      <c r="B1658" s="111">
        <v>4</v>
      </c>
      <c r="C1658" s="115">
        <v>0.002000633940111929</v>
      </c>
      <c r="D1658" s="111" t="s">
        <v>821</v>
      </c>
      <c r="E1658" s="111" t="b">
        <v>0</v>
      </c>
      <c r="F1658" s="111" t="b">
        <v>0</v>
      </c>
      <c r="G1658" s="111" t="b">
        <v>0</v>
      </c>
    </row>
    <row r="1659" spans="1:7" ht="15">
      <c r="A1659" s="113" t="s">
        <v>1050</v>
      </c>
      <c r="B1659" s="111">
        <v>4</v>
      </c>
      <c r="C1659" s="115">
        <v>0.002000633940111929</v>
      </c>
      <c r="D1659" s="111" t="s">
        <v>821</v>
      </c>
      <c r="E1659" s="111" t="b">
        <v>0</v>
      </c>
      <c r="F1659" s="111" t="b">
        <v>0</v>
      </c>
      <c r="G1659" s="111" t="b">
        <v>0</v>
      </c>
    </row>
    <row r="1660" spans="1:7" ht="15">
      <c r="A1660" s="113" t="s">
        <v>1065</v>
      </c>
      <c r="B1660" s="111">
        <v>4</v>
      </c>
      <c r="C1660" s="115">
        <v>0.0016972898245982662</v>
      </c>
      <c r="D1660" s="111" t="s">
        <v>821</v>
      </c>
      <c r="E1660" s="111" t="b">
        <v>1</v>
      </c>
      <c r="F1660" s="111" t="b">
        <v>0</v>
      </c>
      <c r="G1660" s="111" t="b">
        <v>0</v>
      </c>
    </row>
    <row r="1661" spans="1:7" ht="15">
      <c r="A1661" s="113" t="s">
        <v>878</v>
      </c>
      <c r="B1661" s="111">
        <v>4</v>
      </c>
      <c r="C1661" s="115">
        <v>0.0016972898245982662</v>
      </c>
      <c r="D1661" s="111" t="s">
        <v>821</v>
      </c>
      <c r="E1661" s="111" t="b">
        <v>0</v>
      </c>
      <c r="F1661" s="111" t="b">
        <v>0</v>
      </c>
      <c r="G1661" s="111" t="b">
        <v>0</v>
      </c>
    </row>
    <row r="1662" spans="1:7" ht="15">
      <c r="A1662" s="113" t="s">
        <v>1025</v>
      </c>
      <c r="B1662" s="111">
        <v>4</v>
      </c>
      <c r="C1662" s="115">
        <v>0.0014820637494763027</v>
      </c>
      <c r="D1662" s="111" t="s">
        <v>821</v>
      </c>
      <c r="E1662" s="111" t="b">
        <v>0</v>
      </c>
      <c r="F1662" s="111" t="b">
        <v>0</v>
      </c>
      <c r="G1662" s="111" t="b">
        <v>0</v>
      </c>
    </row>
    <row r="1663" spans="1:7" ht="15">
      <c r="A1663" s="113" t="s">
        <v>1203</v>
      </c>
      <c r="B1663" s="111">
        <v>4</v>
      </c>
      <c r="C1663" s="115">
        <v>0.0014820637494763027</v>
      </c>
      <c r="D1663" s="111" t="s">
        <v>821</v>
      </c>
      <c r="E1663" s="111" t="b">
        <v>0</v>
      </c>
      <c r="F1663" s="111" t="b">
        <v>0</v>
      </c>
      <c r="G1663" s="111" t="b">
        <v>0</v>
      </c>
    </row>
    <row r="1664" spans="1:7" ht="15">
      <c r="A1664" s="113" t="s">
        <v>1042</v>
      </c>
      <c r="B1664" s="111">
        <v>4</v>
      </c>
      <c r="C1664" s="115">
        <v>0.0014820637494763027</v>
      </c>
      <c r="D1664" s="111" t="s">
        <v>821</v>
      </c>
      <c r="E1664" s="111" t="b">
        <v>0</v>
      </c>
      <c r="F1664" s="111" t="b">
        <v>0</v>
      </c>
      <c r="G1664" s="111" t="b">
        <v>0</v>
      </c>
    </row>
    <row r="1665" spans="1:7" ht="15">
      <c r="A1665" s="113" t="s">
        <v>1204</v>
      </c>
      <c r="B1665" s="111">
        <v>4</v>
      </c>
      <c r="C1665" s="115">
        <v>0.0014820637494763027</v>
      </c>
      <c r="D1665" s="111" t="s">
        <v>821</v>
      </c>
      <c r="E1665" s="111" t="b">
        <v>0</v>
      </c>
      <c r="F1665" s="111" t="b">
        <v>0</v>
      </c>
      <c r="G1665" s="111" t="b">
        <v>0</v>
      </c>
    </row>
    <row r="1666" spans="1:7" ht="15">
      <c r="A1666" s="113" t="s">
        <v>1205</v>
      </c>
      <c r="B1666" s="111">
        <v>4</v>
      </c>
      <c r="C1666" s="115">
        <v>0.0014820637494763027</v>
      </c>
      <c r="D1666" s="111" t="s">
        <v>821</v>
      </c>
      <c r="E1666" s="111" t="b">
        <v>0</v>
      </c>
      <c r="F1666" s="111" t="b">
        <v>0</v>
      </c>
      <c r="G1666" s="111" t="b">
        <v>0</v>
      </c>
    </row>
    <row r="1667" spans="1:7" ht="15">
      <c r="A1667" s="113" t="s">
        <v>965</v>
      </c>
      <c r="B1667" s="111">
        <v>4</v>
      </c>
      <c r="C1667" s="115">
        <v>0.0014820637494763027</v>
      </c>
      <c r="D1667" s="111" t="s">
        <v>821</v>
      </c>
      <c r="E1667" s="111" t="b">
        <v>0</v>
      </c>
      <c r="F1667" s="111" t="b">
        <v>0</v>
      </c>
      <c r="G1667" s="111" t="b">
        <v>0</v>
      </c>
    </row>
    <row r="1668" spans="1:7" ht="15">
      <c r="A1668" s="113" t="s">
        <v>1064</v>
      </c>
      <c r="B1668" s="111">
        <v>4</v>
      </c>
      <c r="C1668" s="115">
        <v>0.0014820637494763027</v>
      </c>
      <c r="D1668" s="111" t="s">
        <v>821</v>
      </c>
      <c r="E1668" s="111" t="b">
        <v>0</v>
      </c>
      <c r="F1668" s="111" t="b">
        <v>0</v>
      </c>
      <c r="G1668" s="111" t="b">
        <v>0</v>
      </c>
    </row>
    <row r="1669" spans="1:7" ht="15">
      <c r="A1669" s="113" t="s">
        <v>1206</v>
      </c>
      <c r="B1669" s="111">
        <v>4</v>
      </c>
      <c r="C1669" s="115">
        <v>0.0014820637494763027</v>
      </c>
      <c r="D1669" s="111" t="s">
        <v>821</v>
      </c>
      <c r="E1669" s="111" t="b">
        <v>0</v>
      </c>
      <c r="F1669" s="111" t="b">
        <v>0</v>
      </c>
      <c r="G1669" s="111" t="b">
        <v>0</v>
      </c>
    </row>
    <row r="1670" spans="1:7" ht="15">
      <c r="A1670" s="113" t="s">
        <v>1207</v>
      </c>
      <c r="B1670" s="111">
        <v>4</v>
      </c>
      <c r="C1670" s="115">
        <v>0.0014820637494763027</v>
      </c>
      <c r="D1670" s="111" t="s">
        <v>821</v>
      </c>
      <c r="E1670" s="111" t="b">
        <v>1</v>
      </c>
      <c r="F1670" s="111" t="b">
        <v>0</v>
      </c>
      <c r="G1670" s="111" t="b">
        <v>0</v>
      </c>
    </row>
    <row r="1671" spans="1:7" ht="15">
      <c r="A1671" s="113" t="s">
        <v>893</v>
      </c>
      <c r="B1671" s="111">
        <v>4</v>
      </c>
      <c r="C1671" s="115">
        <v>0.0014820637494763027</v>
      </c>
      <c r="D1671" s="111" t="s">
        <v>821</v>
      </c>
      <c r="E1671" s="111" t="b">
        <v>0</v>
      </c>
      <c r="F1671" s="111" t="b">
        <v>0</v>
      </c>
      <c r="G1671" s="111" t="b">
        <v>0</v>
      </c>
    </row>
    <row r="1672" spans="1:7" ht="15">
      <c r="A1672" s="113" t="s">
        <v>1068</v>
      </c>
      <c r="B1672" s="111">
        <v>4</v>
      </c>
      <c r="C1672" s="115">
        <v>0.0014820637494763027</v>
      </c>
      <c r="D1672" s="111" t="s">
        <v>821</v>
      </c>
      <c r="E1672" s="111" t="b">
        <v>0</v>
      </c>
      <c r="F1672" s="111" t="b">
        <v>0</v>
      </c>
      <c r="G1672" s="111" t="b">
        <v>0</v>
      </c>
    </row>
    <row r="1673" spans="1:7" ht="15">
      <c r="A1673" s="113" t="s">
        <v>1276</v>
      </c>
      <c r="B1673" s="111">
        <v>4</v>
      </c>
      <c r="C1673" s="115">
        <v>0.0025192041307475557</v>
      </c>
      <c r="D1673" s="111" t="s">
        <v>821</v>
      </c>
      <c r="E1673" s="111" t="b">
        <v>0</v>
      </c>
      <c r="F1673" s="111" t="b">
        <v>0</v>
      </c>
      <c r="G1673" s="111" t="b">
        <v>0</v>
      </c>
    </row>
    <row r="1674" spans="1:7" ht="15">
      <c r="A1674" s="113" t="s">
        <v>987</v>
      </c>
      <c r="B1674" s="111">
        <v>4</v>
      </c>
      <c r="C1674" s="115">
        <v>0.0016972898245982662</v>
      </c>
      <c r="D1674" s="111" t="s">
        <v>821</v>
      </c>
      <c r="E1674" s="111" t="b">
        <v>0</v>
      </c>
      <c r="F1674" s="111" t="b">
        <v>0</v>
      </c>
      <c r="G1674" s="111" t="b">
        <v>0</v>
      </c>
    </row>
    <row r="1675" spans="1:7" ht="15">
      <c r="A1675" s="113" t="s">
        <v>1272</v>
      </c>
      <c r="B1675" s="111">
        <v>4</v>
      </c>
      <c r="C1675" s="115">
        <v>0.002000633940111929</v>
      </c>
      <c r="D1675" s="111" t="s">
        <v>821</v>
      </c>
      <c r="E1675" s="111" t="b">
        <v>0</v>
      </c>
      <c r="F1675" s="111" t="b">
        <v>0</v>
      </c>
      <c r="G1675" s="111" t="b">
        <v>0</v>
      </c>
    </row>
    <row r="1676" spans="1:7" ht="15">
      <c r="A1676" s="113" t="s">
        <v>1129</v>
      </c>
      <c r="B1676" s="111">
        <v>4</v>
      </c>
      <c r="C1676" s="115">
        <v>0.0016972898245982662</v>
      </c>
      <c r="D1676" s="111" t="s">
        <v>821</v>
      </c>
      <c r="E1676" s="111" t="b">
        <v>0</v>
      </c>
      <c r="F1676" s="111" t="b">
        <v>0</v>
      </c>
      <c r="G1676" s="111" t="b">
        <v>0</v>
      </c>
    </row>
    <row r="1677" spans="1:7" ht="15">
      <c r="A1677" s="113" t="s">
        <v>871</v>
      </c>
      <c r="B1677" s="111">
        <v>4</v>
      </c>
      <c r="C1677" s="115">
        <v>0.0014820637494763027</v>
      </c>
      <c r="D1677" s="111" t="s">
        <v>821</v>
      </c>
      <c r="E1677" s="111" t="b">
        <v>0</v>
      </c>
      <c r="F1677" s="111" t="b">
        <v>0</v>
      </c>
      <c r="G1677" s="111" t="b">
        <v>0</v>
      </c>
    </row>
    <row r="1678" spans="1:7" ht="15">
      <c r="A1678" s="113" t="s">
        <v>1269</v>
      </c>
      <c r="B1678" s="111">
        <v>4</v>
      </c>
      <c r="C1678" s="115">
        <v>0.002000633940111929</v>
      </c>
      <c r="D1678" s="111" t="s">
        <v>821</v>
      </c>
      <c r="E1678" s="111" t="b">
        <v>0</v>
      </c>
      <c r="F1678" s="111" t="b">
        <v>0</v>
      </c>
      <c r="G1678" s="111" t="b">
        <v>0</v>
      </c>
    </row>
    <row r="1679" spans="1:7" ht="15">
      <c r="A1679" s="113" t="s">
        <v>913</v>
      </c>
      <c r="B1679" s="111">
        <v>4</v>
      </c>
      <c r="C1679" s="115">
        <v>0.0016972898245982662</v>
      </c>
      <c r="D1679" s="111" t="s">
        <v>821</v>
      </c>
      <c r="E1679" s="111" t="b">
        <v>0</v>
      </c>
      <c r="F1679" s="111" t="b">
        <v>0</v>
      </c>
      <c r="G1679" s="111" t="b">
        <v>0</v>
      </c>
    </row>
    <row r="1680" spans="1:7" ht="15">
      <c r="A1680" s="113" t="s">
        <v>1092</v>
      </c>
      <c r="B1680" s="111">
        <v>4</v>
      </c>
      <c r="C1680" s="115">
        <v>0.002000633940111929</v>
      </c>
      <c r="D1680" s="111" t="s">
        <v>821</v>
      </c>
      <c r="E1680" s="111" t="b">
        <v>0</v>
      </c>
      <c r="F1680" s="111" t="b">
        <v>0</v>
      </c>
      <c r="G1680" s="111" t="b">
        <v>0</v>
      </c>
    </row>
    <row r="1681" spans="1:7" ht="15">
      <c r="A1681" s="113" t="s">
        <v>931</v>
      </c>
      <c r="B1681" s="111">
        <v>4</v>
      </c>
      <c r="C1681" s="115">
        <v>0.002000633940111929</v>
      </c>
      <c r="D1681" s="111" t="s">
        <v>821</v>
      </c>
      <c r="E1681" s="111" t="b">
        <v>0</v>
      </c>
      <c r="F1681" s="111" t="b">
        <v>0</v>
      </c>
      <c r="G1681" s="111" t="b">
        <v>0</v>
      </c>
    </row>
    <row r="1682" spans="1:7" ht="15">
      <c r="A1682" s="113" t="s">
        <v>994</v>
      </c>
      <c r="B1682" s="111">
        <v>4</v>
      </c>
      <c r="C1682" s="115">
        <v>0.0016972898245982662</v>
      </c>
      <c r="D1682" s="111" t="s">
        <v>821</v>
      </c>
      <c r="E1682" s="111" t="b">
        <v>0</v>
      </c>
      <c r="F1682" s="111" t="b">
        <v>0</v>
      </c>
      <c r="G1682" s="111" t="b">
        <v>0</v>
      </c>
    </row>
    <row r="1683" spans="1:7" ht="15">
      <c r="A1683" s="113" t="s">
        <v>958</v>
      </c>
      <c r="B1683" s="111">
        <v>4</v>
      </c>
      <c r="C1683" s="115">
        <v>0.0016972898245982662</v>
      </c>
      <c r="D1683" s="111" t="s">
        <v>821</v>
      </c>
      <c r="E1683" s="111" t="b">
        <v>0</v>
      </c>
      <c r="F1683" s="111" t="b">
        <v>0</v>
      </c>
      <c r="G1683" s="111" t="b">
        <v>0</v>
      </c>
    </row>
    <row r="1684" spans="1:7" ht="15">
      <c r="A1684" s="113" t="s">
        <v>1273</v>
      </c>
      <c r="B1684" s="111">
        <v>4</v>
      </c>
      <c r="C1684" s="115">
        <v>0.0025192041307475557</v>
      </c>
      <c r="D1684" s="111" t="s">
        <v>821</v>
      </c>
      <c r="E1684" s="111" t="b">
        <v>0</v>
      </c>
      <c r="F1684" s="111" t="b">
        <v>0</v>
      </c>
      <c r="G1684" s="111" t="b">
        <v>0</v>
      </c>
    </row>
    <row r="1685" spans="1:7" ht="15">
      <c r="A1685" s="113" t="s">
        <v>1073</v>
      </c>
      <c r="B1685" s="111">
        <v>4</v>
      </c>
      <c r="C1685" s="115">
        <v>0.0016972898245982662</v>
      </c>
      <c r="D1685" s="111" t="s">
        <v>821</v>
      </c>
      <c r="E1685" s="111" t="b">
        <v>0</v>
      </c>
      <c r="F1685" s="111" t="b">
        <v>0</v>
      </c>
      <c r="G1685" s="111" t="b">
        <v>0</v>
      </c>
    </row>
    <row r="1686" spans="1:7" ht="15">
      <c r="A1686" s="113" t="s">
        <v>911</v>
      </c>
      <c r="B1686" s="111">
        <v>4</v>
      </c>
      <c r="C1686" s="115">
        <v>0.0016972898245982662</v>
      </c>
      <c r="D1686" s="111" t="s">
        <v>821</v>
      </c>
      <c r="E1686" s="111" t="b">
        <v>1</v>
      </c>
      <c r="F1686" s="111" t="b">
        <v>0</v>
      </c>
      <c r="G1686" s="111" t="b">
        <v>0</v>
      </c>
    </row>
    <row r="1687" spans="1:7" ht="15">
      <c r="A1687" s="113" t="s">
        <v>974</v>
      </c>
      <c r="B1687" s="111">
        <v>4</v>
      </c>
      <c r="C1687" s="115">
        <v>0.0016972898245982662</v>
      </c>
      <c r="D1687" s="111" t="s">
        <v>821</v>
      </c>
      <c r="E1687" s="111" t="b">
        <v>1</v>
      </c>
      <c r="F1687" s="111" t="b">
        <v>0</v>
      </c>
      <c r="G1687" s="111" t="b">
        <v>0</v>
      </c>
    </row>
    <row r="1688" spans="1:7" ht="15">
      <c r="A1688" s="113" t="s">
        <v>957</v>
      </c>
      <c r="B1688" s="111">
        <v>4</v>
      </c>
      <c r="C1688" s="115">
        <v>0.0016972898245982662</v>
      </c>
      <c r="D1688" s="111" t="s">
        <v>821</v>
      </c>
      <c r="E1688" s="111" t="b">
        <v>0</v>
      </c>
      <c r="F1688" s="111" t="b">
        <v>0</v>
      </c>
      <c r="G1688" s="111" t="b">
        <v>0</v>
      </c>
    </row>
    <row r="1689" spans="1:7" ht="15">
      <c r="A1689" s="113" t="s">
        <v>1270</v>
      </c>
      <c r="B1689" s="111">
        <v>4</v>
      </c>
      <c r="C1689" s="115">
        <v>0.0025192041307475557</v>
      </c>
      <c r="D1689" s="111" t="s">
        <v>821</v>
      </c>
      <c r="E1689" s="111" t="b">
        <v>0</v>
      </c>
      <c r="F1689" s="111" t="b">
        <v>1</v>
      </c>
      <c r="G1689" s="111" t="b">
        <v>0</v>
      </c>
    </row>
    <row r="1690" spans="1:7" ht="15">
      <c r="A1690" s="113" t="s">
        <v>1271</v>
      </c>
      <c r="B1690" s="111">
        <v>4</v>
      </c>
      <c r="C1690" s="115">
        <v>0.0025192041307475557</v>
      </c>
      <c r="D1690" s="111" t="s">
        <v>821</v>
      </c>
      <c r="E1690" s="111" t="b">
        <v>0</v>
      </c>
      <c r="F1690" s="111" t="b">
        <v>1</v>
      </c>
      <c r="G1690" s="111" t="b">
        <v>0</v>
      </c>
    </row>
    <row r="1691" spans="1:7" ht="15">
      <c r="A1691" s="113" t="s">
        <v>1138</v>
      </c>
      <c r="B1691" s="111">
        <v>3</v>
      </c>
      <c r="C1691" s="115">
        <v>0.001500475455083947</v>
      </c>
      <c r="D1691" s="111" t="s">
        <v>821</v>
      </c>
      <c r="E1691" s="111" t="b">
        <v>0</v>
      </c>
      <c r="F1691" s="111" t="b">
        <v>0</v>
      </c>
      <c r="G1691" s="111" t="b">
        <v>0</v>
      </c>
    </row>
    <row r="1692" spans="1:7" ht="15">
      <c r="A1692" s="113" t="s">
        <v>989</v>
      </c>
      <c r="B1692" s="111">
        <v>3</v>
      </c>
      <c r="C1692" s="115">
        <v>0.0018894030980606668</v>
      </c>
      <c r="D1692" s="111" t="s">
        <v>821</v>
      </c>
      <c r="E1692" s="111" t="b">
        <v>0</v>
      </c>
      <c r="F1692" s="111" t="b">
        <v>0</v>
      </c>
      <c r="G1692" s="111" t="b">
        <v>0</v>
      </c>
    </row>
    <row r="1693" spans="1:7" ht="15">
      <c r="A1693" s="113" t="s">
        <v>921</v>
      </c>
      <c r="B1693" s="111">
        <v>3</v>
      </c>
      <c r="C1693" s="115">
        <v>0.001500475455083947</v>
      </c>
      <c r="D1693" s="111" t="s">
        <v>821</v>
      </c>
      <c r="E1693" s="111" t="b">
        <v>0</v>
      </c>
      <c r="F1693" s="111" t="b">
        <v>0</v>
      </c>
      <c r="G1693" s="111" t="b">
        <v>0</v>
      </c>
    </row>
    <row r="1694" spans="1:7" ht="15">
      <c r="A1694" s="113" t="s">
        <v>1084</v>
      </c>
      <c r="B1694" s="111">
        <v>3</v>
      </c>
      <c r="C1694" s="115">
        <v>0.001500475455083947</v>
      </c>
      <c r="D1694" s="111" t="s">
        <v>821</v>
      </c>
      <c r="E1694" s="111" t="b">
        <v>0</v>
      </c>
      <c r="F1694" s="111" t="b">
        <v>0</v>
      </c>
      <c r="G1694" s="111" t="b">
        <v>0</v>
      </c>
    </row>
    <row r="1695" spans="1:7" ht="15">
      <c r="A1695" s="113" t="s">
        <v>946</v>
      </c>
      <c r="B1695" s="111">
        <v>3</v>
      </c>
      <c r="C1695" s="115">
        <v>0.0012729673684486998</v>
      </c>
      <c r="D1695" s="111" t="s">
        <v>821</v>
      </c>
      <c r="E1695" s="111" t="b">
        <v>0</v>
      </c>
      <c r="F1695" s="111" t="b">
        <v>0</v>
      </c>
      <c r="G1695" s="111" t="b">
        <v>0</v>
      </c>
    </row>
    <row r="1696" spans="1:7" ht="15">
      <c r="A1696" s="113" t="s">
        <v>1329</v>
      </c>
      <c r="B1696" s="111">
        <v>3</v>
      </c>
      <c r="C1696" s="115">
        <v>0.001500475455083947</v>
      </c>
      <c r="D1696" s="111" t="s">
        <v>821</v>
      </c>
      <c r="E1696" s="111" t="b">
        <v>0</v>
      </c>
      <c r="F1696" s="111" t="b">
        <v>0</v>
      </c>
      <c r="G1696" s="111" t="b">
        <v>0</v>
      </c>
    </row>
    <row r="1697" spans="1:7" ht="15">
      <c r="A1697" s="113" t="s">
        <v>930</v>
      </c>
      <c r="B1697" s="111">
        <v>3</v>
      </c>
      <c r="C1697" s="115">
        <v>0.0012729673684486998</v>
      </c>
      <c r="D1697" s="111" t="s">
        <v>821</v>
      </c>
      <c r="E1697" s="111" t="b">
        <v>0</v>
      </c>
      <c r="F1697" s="111" t="b">
        <v>0</v>
      </c>
      <c r="G1697" s="111" t="b">
        <v>0</v>
      </c>
    </row>
    <row r="1698" spans="1:7" ht="15">
      <c r="A1698" s="113" t="s">
        <v>954</v>
      </c>
      <c r="B1698" s="111">
        <v>3</v>
      </c>
      <c r="C1698" s="115">
        <v>0.001500475455083947</v>
      </c>
      <c r="D1698" s="111" t="s">
        <v>821</v>
      </c>
      <c r="E1698" s="111" t="b">
        <v>0</v>
      </c>
      <c r="F1698" s="111" t="b">
        <v>0</v>
      </c>
      <c r="G1698" s="111" t="b">
        <v>0</v>
      </c>
    </row>
    <row r="1699" spans="1:7" ht="15">
      <c r="A1699" s="113" t="s">
        <v>1148</v>
      </c>
      <c r="B1699" s="111">
        <v>3</v>
      </c>
      <c r="C1699" s="115">
        <v>0.0012729673684486998</v>
      </c>
      <c r="D1699" s="111" t="s">
        <v>821</v>
      </c>
      <c r="E1699" s="111" t="b">
        <v>0</v>
      </c>
      <c r="F1699" s="111" t="b">
        <v>0</v>
      </c>
      <c r="G1699" s="111" t="b">
        <v>0</v>
      </c>
    </row>
    <row r="1700" spans="1:7" ht="15">
      <c r="A1700" s="113" t="s">
        <v>1504</v>
      </c>
      <c r="B1700" s="111">
        <v>3</v>
      </c>
      <c r="C1700" s="115">
        <v>0.001500475455083947</v>
      </c>
      <c r="D1700" s="111" t="s">
        <v>821</v>
      </c>
      <c r="E1700" s="111" t="b">
        <v>0</v>
      </c>
      <c r="F1700" s="111" t="b">
        <v>0</v>
      </c>
      <c r="G1700" s="111" t="b">
        <v>0</v>
      </c>
    </row>
    <row r="1701" spans="1:7" ht="15">
      <c r="A1701" s="113" t="s">
        <v>1080</v>
      </c>
      <c r="B1701" s="111">
        <v>3</v>
      </c>
      <c r="C1701" s="115">
        <v>0.001500475455083947</v>
      </c>
      <c r="D1701" s="111" t="s">
        <v>821</v>
      </c>
      <c r="E1701" s="111" t="b">
        <v>0</v>
      </c>
      <c r="F1701" s="111" t="b">
        <v>0</v>
      </c>
      <c r="G1701" s="111" t="b">
        <v>0</v>
      </c>
    </row>
    <row r="1702" spans="1:7" ht="15">
      <c r="A1702" s="113" t="s">
        <v>1494</v>
      </c>
      <c r="B1702" s="111">
        <v>3</v>
      </c>
      <c r="C1702" s="115">
        <v>0.001500475455083947</v>
      </c>
      <c r="D1702" s="111" t="s">
        <v>821</v>
      </c>
      <c r="E1702" s="111" t="b">
        <v>0</v>
      </c>
      <c r="F1702" s="111" t="b">
        <v>0</v>
      </c>
      <c r="G1702" s="111" t="b">
        <v>0</v>
      </c>
    </row>
    <row r="1703" spans="1:7" ht="15">
      <c r="A1703" s="113" t="s">
        <v>934</v>
      </c>
      <c r="B1703" s="111">
        <v>3</v>
      </c>
      <c r="C1703" s="115">
        <v>0.0012729673684486998</v>
      </c>
      <c r="D1703" s="111" t="s">
        <v>821</v>
      </c>
      <c r="E1703" s="111" t="b">
        <v>0</v>
      </c>
      <c r="F1703" s="111" t="b">
        <v>0</v>
      </c>
      <c r="G1703" s="111" t="b">
        <v>0</v>
      </c>
    </row>
    <row r="1704" spans="1:7" ht="15">
      <c r="A1704" s="113" t="s">
        <v>1196</v>
      </c>
      <c r="B1704" s="111">
        <v>3</v>
      </c>
      <c r="C1704" s="115">
        <v>0.0012729673684486998</v>
      </c>
      <c r="D1704" s="111" t="s">
        <v>821</v>
      </c>
      <c r="E1704" s="111" t="b">
        <v>0</v>
      </c>
      <c r="F1704" s="111" t="b">
        <v>0</v>
      </c>
      <c r="G1704" s="111" t="b">
        <v>0</v>
      </c>
    </row>
    <row r="1705" spans="1:7" ht="15">
      <c r="A1705" s="113" t="s">
        <v>1056</v>
      </c>
      <c r="B1705" s="111">
        <v>3</v>
      </c>
      <c r="C1705" s="115">
        <v>0.001500475455083947</v>
      </c>
      <c r="D1705" s="111" t="s">
        <v>821</v>
      </c>
      <c r="E1705" s="111" t="b">
        <v>0</v>
      </c>
      <c r="F1705" s="111" t="b">
        <v>0</v>
      </c>
      <c r="G1705" s="111" t="b">
        <v>0</v>
      </c>
    </row>
    <row r="1706" spans="1:7" ht="15">
      <c r="A1706" s="113" t="s">
        <v>1199</v>
      </c>
      <c r="B1706" s="111">
        <v>3</v>
      </c>
      <c r="C1706" s="115">
        <v>0.001500475455083947</v>
      </c>
      <c r="D1706" s="111" t="s">
        <v>821</v>
      </c>
      <c r="E1706" s="111" t="b">
        <v>0</v>
      </c>
      <c r="F1706" s="111" t="b">
        <v>0</v>
      </c>
      <c r="G1706" s="111" t="b">
        <v>0</v>
      </c>
    </row>
    <row r="1707" spans="1:7" ht="15">
      <c r="A1707" s="113" t="s">
        <v>1492</v>
      </c>
      <c r="B1707" s="111">
        <v>3</v>
      </c>
      <c r="C1707" s="115">
        <v>0.001500475455083947</v>
      </c>
      <c r="D1707" s="111" t="s">
        <v>821</v>
      </c>
      <c r="E1707" s="111" t="b">
        <v>0</v>
      </c>
      <c r="F1707" s="111" t="b">
        <v>0</v>
      </c>
      <c r="G1707" s="111" t="b">
        <v>0</v>
      </c>
    </row>
    <row r="1708" spans="1:7" ht="15">
      <c r="A1708" s="113" t="s">
        <v>1258</v>
      </c>
      <c r="B1708" s="111">
        <v>3</v>
      </c>
      <c r="C1708" s="115">
        <v>0.0012729673684486998</v>
      </c>
      <c r="D1708" s="111" t="s">
        <v>821</v>
      </c>
      <c r="E1708" s="111" t="b">
        <v>0</v>
      </c>
      <c r="F1708" s="111" t="b">
        <v>0</v>
      </c>
      <c r="G1708" s="111" t="b">
        <v>0</v>
      </c>
    </row>
    <row r="1709" spans="1:7" ht="15">
      <c r="A1709" s="113" t="s">
        <v>1135</v>
      </c>
      <c r="B1709" s="111">
        <v>3</v>
      </c>
      <c r="C1709" s="115">
        <v>0.001500475455083947</v>
      </c>
      <c r="D1709" s="111" t="s">
        <v>821</v>
      </c>
      <c r="E1709" s="111" t="b">
        <v>0</v>
      </c>
      <c r="F1709" s="111" t="b">
        <v>0</v>
      </c>
      <c r="G1709" s="111" t="b">
        <v>0</v>
      </c>
    </row>
    <row r="1710" spans="1:7" ht="15">
      <c r="A1710" s="113" t="s">
        <v>1327</v>
      </c>
      <c r="B1710" s="111">
        <v>3</v>
      </c>
      <c r="C1710" s="115">
        <v>0.0012729673684486998</v>
      </c>
      <c r="D1710" s="111" t="s">
        <v>821</v>
      </c>
      <c r="E1710" s="111" t="b">
        <v>0</v>
      </c>
      <c r="F1710" s="111" t="b">
        <v>0</v>
      </c>
      <c r="G1710" s="111" t="b">
        <v>0</v>
      </c>
    </row>
    <row r="1711" spans="1:7" ht="15">
      <c r="A1711" s="113" t="s">
        <v>920</v>
      </c>
      <c r="B1711" s="111">
        <v>3</v>
      </c>
      <c r="C1711" s="115">
        <v>0.0012729673684486998</v>
      </c>
      <c r="D1711" s="111" t="s">
        <v>821</v>
      </c>
      <c r="E1711" s="111" t="b">
        <v>0</v>
      </c>
      <c r="F1711" s="111" t="b">
        <v>0</v>
      </c>
      <c r="G1711" s="111" t="b">
        <v>0</v>
      </c>
    </row>
    <row r="1712" spans="1:7" ht="15">
      <c r="A1712" s="113" t="s">
        <v>1121</v>
      </c>
      <c r="B1712" s="111">
        <v>3</v>
      </c>
      <c r="C1712" s="115">
        <v>0.001500475455083947</v>
      </c>
      <c r="D1712" s="111" t="s">
        <v>821</v>
      </c>
      <c r="E1712" s="111" t="b">
        <v>0</v>
      </c>
      <c r="F1712" s="111" t="b">
        <v>0</v>
      </c>
      <c r="G1712" s="111" t="b">
        <v>0</v>
      </c>
    </row>
    <row r="1713" spans="1:7" ht="15">
      <c r="A1713" s="113" t="s">
        <v>864</v>
      </c>
      <c r="B1713" s="111">
        <v>3</v>
      </c>
      <c r="C1713" s="115">
        <v>0.0018894030980606668</v>
      </c>
      <c r="D1713" s="111" t="s">
        <v>821</v>
      </c>
      <c r="E1713" s="111" t="b">
        <v>0</v>
      </c>
      <c r="F1713" s="111" t="b">
        <v>0</v>
      </c>
      <c r="G1713" s="111" t="b">
        <v>0</v>
      </c>
    </row>
    <row r="1714" spans="1:7" ht="15">
      <c r="A1714" s="113" t="s">
        <v>993</v>
      </c>
      <c r="B1714" s="111">
        <v>3</v>
      </c>
      <c r="C1714" s="115">
        <v>0.0012729673684486998</v>
      </c>
      <c r="D1714" s="111" t="s">
        <v>821</v>
      </c>
      <c r="E1714" s="111" t="b">
        <v>0</v>
      </c>
      <c r="F1714" s="111" t="b">
        <v>1</v>
      </c>
      <c r="G1714" s="111" t="b">
        <v>0</v>
      </c>
    </row>
    <row r="1715" spans="1:7" ht="15">
      <c r="A1715" s="113" t="s">
        <v>1109</v>
      </c>
      <c r="B1715" s="111">
        <v>3</v>
      </c>
      <c r="C1715" s="115">
        <v>0.0012729673684486998</v>
      </c>
      <c r="D1715" s="111" t="s">
        <v>821</v>
      </c>
      <c r="E1715" s="111" t="b">
        <v>0</v>
      </c>
      <c r="F1715" s="111" t="b">
        <v>0</v>
      </c>
      <c r="G1715" s="111" t="b">
        <v>0</v>
      </c>
    </row>
    <row r="1716" spans="1:7" ht="15">
      <c r="A1716" s="113" t="s">
        <v>964</v>
      </c>
      <c r="B1716" s="111">
        <v>3</v>
      </c>
      <c r="C1716" s="115">
        <v>0.0012729673684486998</v>
      </c>
      <c r="D1716" s="111" t="s">
        <v>821</v>
      </c>
      <c r="E1716" s="111" t="b">
        <v>1</v>
      </c>
      <c r="F1716" s="111" t="b">
        <v>0</v>
      </c>
      <c r="G1716" s="111" t="b">
        <v>0</v>
      </c>
    </row>
    <row r="1717" spans="1:7" ht="15">
      <c r="A1717" s="113" t="s">
        <v>1066</v>
      </c>
      <c r="B1717" s="111">
        <v>3</v>
      </c>
      <c r="C1717" s="115">
        <v>0.001500475455083947</v>
      </c>
      <c r="D1717" s="111" t="s">
        <v>821</v>
      </c>
      <c r="E1717" s="111" t="b">
        <v>0</v>
      </c>
      <c r="F1717" s="111" t="b">
        <v>0</v>
      </c>
      <c r="G1717" s="111" t="b">
        <v>0</v>
      </c>
    </row>
    <row r="1718" spans="1:7" ht="15">
      <c r="A1718" s="113" t="s">
        <v>854</v>
      </c>
      <c r="B1718" s="111">
        <v>3</v>
      </c>
      <c r="C1718" s="115">
        <v>0.0012729673684486998</v>
      </c>
      <c r="D1718" s="111" t="s">
        <v>821</v>
      </c>
      <c r="E1718" s="111" t="b">
        <v>0</v>
      </c>
      <c r="F1718" s="111" t="b">
        <v>0</v>
      </c>
      <c r="G1718" s="111" t="b">
        <v>0</v>
      </c>
    </row>
    <row r="1719" spans="1:7" ht="15">
      <c r="A1719" s="113" t="s">
        <v>1131</v>
      </c>
      <c r="B1719" s="111">
        <v>3</v>
      </c>
      <c r="C1719" s="115">
        <v>0.0012729673684486998</v>
      </c>
      <c r="D1719" s="111" t="s">
        <v>821</v>
      </c>
      <c r="E1719" s="111" t="b">
        <v>0</v>
      </c>
      <c r="F1719" s="111" t="b">
        <v>0</v>
      </c>
      <c r="G1719" s="111" t="b">
        <v>0</v>
      </c>
    </row>
    <row r="1720" spans="1:7" ht="15">
      <c r="A1720" s="113" t="s">
        <v>1039</v>
      </c>
      <c r="B1720" s="111">
        <v>3</v>
      </c>
      <c r="C1720" s="115">
        <v>0.001500475455083947</v>
      </c>
      <c r="D1720" s="111" t="s">
        <v>821</v>
      </c>
      <c r="E1720" s="111" t="b">
        <v>0</v>
      </c>
      <c r="F1720" s="111" t="b">
        <v>0</v>
      </c>
      <c r="G1720" s="111" t="b">
        <v>0</v>
      </c>
    </row>
    <row r="1721" spans="1:7" ht="15">
      <c r="A1721" s="113" t="s">
        <v>863</v>
      </c>
      <c r="B1721" s="111">
        <v>3</v>
      </c>
      <c r="C1721" s="115">
        <v>0.001500475455083947</v>
      </c>
      <c r="D1721" s="111" t="s">
        <v>821</v>
      </c>
      <c r="E1721" s="111" t="b">
        <v>0</v>
      </c>
      <c r="F1721" s="111" t="b">
        <v>1</v>
      </c>
      <c r="G1721" s="111" t="b">
        <v>0</v>
      </c>
    </row>
    <row r="1722" spans="1:7" ht="15">
      <c r="A1722" s="113" t="s">
        <v>929</v>
      </c>
      <c r="B1722" s="111">
        <v>3</v>
      </c>
      <c r="C1722" s="115">
        <v>0.001500475455083947</v>
      </c>
      <c r="D1722" s="111" t="s">
        <v>821</v>
      </c>
      <c r="E1722" s="111" t="b">
        <v>0</v>
      </c>
      <c r="F1722" s="111" t="b">
        <v>0</v>
      </c>
      <c r="G1722" s="111" t="b">
        <v>0</v>
      </c>
    </row>
    <row r="1723" spans="1:7" ht="15">
      <c r="A1723" s="113" t="s">
        <v>967</v>
      </c>
      <c r="B1723" s="111">
        <v>3</v>
      </c>
      <c r="C1723" s="115">
        <v>0.0012729673684486998</v>
      </c>
      <c r="D1723" s="111" t="s">
        <v>821</v>
      </c>
      <c r="E1723" s="111" t="b">
        <v>0</v>
      </c>
      <c r="F1723" s="111" t="b">
        <v>0</v>
      </c>
      <c r="G1723" s="111" t="b">
        <v>0</v>
      </c>
    </row>
    <row r="1724" spans="1:7" ht="15">
      <c r="A1724" s="113" t="s">
        <v>1232</v>
      </c>
      <c r="B1724" s="111">
        <v>3</v>
      </c>
      <c r="C1724" s="115">
        <v>0.0012729673684486998</v>
      </c>
      <c r="D1724" s="111" t="s">
        <v>821</v>
      </c>
      <c r="E1724" s="111" t="b">
        <v>0</v>
      </c>
      <c r="F1724" s="111" t="b">
        <v>0</v>
      </c>
      <c r="G1724" s="111" t="b">
        <v>0</v>
      </c>
    </row>
    <row r="1725" spans="1:7" ht="15">
      <c r="A1725" s="113" t="s">
        <v>1233</v>
      </c>
      <c r="B1725" s="111">
        <v>3</v>
      </c>
      <c r="C1725" s="115">
        <v>0.0012729673684486998</v>
      </c>
      <c r="D1725" s="111" t="s">
        <v>821</v>
      </c>
      <c r="E1725" s="111" t="b">
        <v>0</v>
      </c>
      <c r="F1725" s="111" t="b">
        <v>0</v>
      </c>
      <c r="G1725" s="111" t="b">
        <v>0</v>
      </c>
    </row>
    <row r="1726" spans="1:7" ht="15">
      <c r="A1726" s="113" t="s">
        <v>1234</v>
      </c>
      <c r="B1726" s="111">
        <v>3</v>
      </c>
      <c r="C1726" s="115">
        <v>0.0012729673684486998</v>
      </c>
      <c r="D1726" s="111" t="s">
        <v>821</v>
      </c>
      <c r="E1726" s="111" t="b">
        <v>0</v>
      </c>
      <c r="F1726" s="111" t="b">
        <v>0</v>
      </c>
      <c r="G1726" s="111" t="b">
        <v>0</v>
      </c>
    </row>
    <row r="1727" spans="1:7" ht="15">
      <c r="A1727" s="113" t="s">
        <v>1130</v>
      </c>
      <c r="B1727" s="111">
        <v>3</v>
      </c>
      <c r="C1727" s="115">
        <v>0.0012729673684486998</v>
      </c>
      <c r="D1727" s="111" t="s">
        <v>821</v>
      </c>
      <c r="E1727" s="111" t="b">
        <v>0</v>
      </c>
      <c r="F1727" s="111" t="b">
        <v>0</v>
      </c>
      <c r="G1727" s="111" t="b">
        <v>0</v>
      </c>
    </row>
    <row r="1728" spans="1:7" ht="15">
      <c r="A1728" s="113" t="s">
        <v>1007</v>
      </c>
      <c r="B1728" s="111">
        <v>3</v>
      </c>
      <c r="C1728" s="115">
        <v>0.0012729673684486998</v>
      </c>
      <c r="D1728" s="111" t="s">
        <v>821</v>
      </c>
      <c r="E1728" s="111" t="b">
        <v>0</v>
      </c>
      <c r="F1728" s="111" t="b">
        <v>0</v>
      </c>
      <c r="G1728" s="111" t="b">
        <v>0</v>
      </c>
    </row>
    <row r="1729" spans="1:7" ht="15">
      <c r="A1729" s="113" t="s">
        <v>1486</v>
      </c>
      <c r="B1729" s="111">
        <v>3</v>
      </c>
      <c r="C1729" s="115">
        <v>0.001500475455083947</v>
      </c>
      <c r="D1729" s="111" t="s">
        <v>821</v>
      </c>
      <c r="E1729" s="111" t="b">
        <v>0</v>
      </c>
      <c r="F1729" s="111" t="b">
        <v>0</v>
      </c>
      <c r="G1729" s="111" t="b">
        <v>0</v>
      </c>
    </row>
    <row r="1730" spans="1:7" ht="15">
      <c r="A1730" s="113" t="s">
        <v>1501</v>
      </c>
      <c r="B1730" s="111">
        <v>3</v>
      </c>
      <c r="C1730" s="115">
        <v>0.0018894030980606668</v>
      </c>
      <c r="D1730" s="111" t="s">
        <v>821</v>
      </c>
      <c r="E1730" s="111" t="b">
        <v>0</v>
      </c>
      <c r="F1730" s="111" t="b">
        <v>0</v>
      </c>
      <c r="G1730" s="111" t="b">
        <v>0</v>
      </c>
    </row>
    <row r="1731" spans="1:7" ht="15">
      <c r="A1731" s="113" t="s">
        <v>876</v>
      </c>
      <c r="B1731" s="111">
        <v>3</v>
      </c>
      <c r="C1731" s="115">
        <v>0.0012729673684486998</v>
      </c>
      <c r="D1731" s="111" t="s">
        <v>821</v>
      </c>
      <c r="E1731" s="111" t="b">
        <v>0</v>
      </c>
      <c r="F1731" s="111" t="b">
        <v>0</v>
      </c>
      <c r="G1731" s="111" t="b">
        <v>0</v>
      </c>
    </row>
    <row r="1732" spans="1:7" ht="15">
      <c r="A1732" s="113" t="s">
        <v>942</v>
      </c>
      <c r="B1732" s="111">
        <v>3</v>
      </c>
      <c r="C1732" s="115">
        <v>0.001500475455083947</v>
      </c>
      <c r="D1732" s="111" t="s">
        <v>821</v>
      </c>
      <c r="E1732" s="111" t="b">
        <v>0</v>
      </c>
      <c r="F1732" s="111" t="b">
        <v>0</v>
      </c>
      <c r="G1732" s="111" t="b">
        <v>0</v>
      </c>
    </row>
    <row r="1733" spans="1:7" ht="15">
      <c r="A1733" s="113" t="s">
        <v>996</v>
      </c>
      <c r="B1733" s="111">
        <v>3</v>
      </c>
      <c r="C1733" s="115">
        <v>0.0012729673684486998</v>
      </c>
      <c r="D1733" s="111" t="s">
        <v>821</v>
      </c>
      <c r="E1733" s="111" t="b">
        <v>0</v>
      </c>
      <c r="F1733" s="111" t="b">
        <v>0</v>
      </c>
      <c r="G1733" s="111" t="b">
        <v>0</v>
      </c>
    </row>
    <row r="1734" spans="1:7" ht="15">
      <c r="A1734" s="113" t="s">
        <v>877</v>
      </c>
      <c r="B1734" s="111">
        <v>3</v>
      </c>
      <c r="C1734" s="115">
        <v>0.001500475455083947</v>
      </c>
      <c r="D1734" s="111" t="s">
        <v>821</v>
      </c>
      <c r="E1734" s="111" t="b">
        <v>0</v>
      </c>
      <c r="F1734" s="111" t="b">
        <v>1</v>
      </c>
      <c r="G1734" s="111" t="b">
        <v>0</v>
      </c>
    </row>
    <row r="1735" spans="1:7" ht="15">
      <c r="A1735" s="113" t="s">
        <v>971</v>
      </c>
      <c r="B1735" s="111">
        <v>3</v>
      </c>
      <c r="C1735" s="115">
        <v>0.0012729673684486998</v>
      </c>
      <c r="D1735" s="111" t="s">
        <v>821</v>
      </c>
      <c r="E1735" s="111" t="b">
        <v>0</v>
      </c>
      <c r="F1735" s="111" t="b">
        <v>0</v>
      </c>
      <c r="G1735" s="111" t="b">
        <v>0</v>
      </c>
    </row>
    <row r="1736" spans="1:7" ht="15">
      <c r="A1736" s="113" t="s">
        <v>1476</v>
      </c>
      <c r="B1736" s="111">
        <v>3</v>
      </c>
      <c r="C1736" s="115">
        <v>0.001500475455083947</v>
      </c>
      <c r="D1736" s="111" t="s">
        <v>821</v>
      </c>
      <c r="E1736" s="111" t="b">
        <v>0</v>
      </c>
      <c r="F1736" s="111" t="b">
        <v>0</v>
      </c>
      <c r="G1736" s="111" t="b">
        <v>0</v>
      </c>
    </row>
    <row r="1737" spans="1:7" ht="15">
      <c r="A1737" s="113" t="s">
        <v>1500</v>
      </c>
      <c r="B1737" s="111">
        <v>3</v>
      </c>
      <c r="C1737" s="115">
        <v>0.0018894030980606668</v>
      </c>
      <c r="D1737" s="111" t="s">
        <v>821</v>
      </c>
      <c r="E1737" s="111" t="b">
        <v>0</v>
      </c>
      <c r="F1737" s="111" t="b">
        <v>0</v>
      </c>
      <c r="G1737" s="111" t="b">
        <v>0</v>
      </c>
    </row>
    <row r="1738" spans="1:7" ht="15">
      <c r="A1738" s="113" t="s">
        <v>1145</v>
      </c>
      <c r="B1738" s="111">
        <v>3</v>
      </c>
      <c r="C1738" s="115">
        <v>0.001500475455083947</v>
      </c>
      <c r="D1738" s="111" t="s">
        <v>821</v>
      </c>
      <c r="E1738" s="111" t="b">
        <v>0</v>
      </c>
      <c r="F1738" s="111" t="b">
        <v>0</v>
      </c>
      <c r="G1738" s="111" t="b">
        <v>0</v>
      </c>
    </row>
    <row r="1739" spans="1:7" ht="15">
      <c r="A1739" s="113" t="s">
        <v>956</v>
      </c>
      <c r="B1739" s="111">
        <v>3</v>
      </c>
      <c r="C1739" s="115">
        <v>0.001500475455083947</v>
      </c>
      <c r="D1739" s="111" t="s">
        <v>821</v>
      </c>
      <c r="E1739" s="111" t="b">
        <v>0</v>
      </c>
      <c r="F1739" s="111" t="b">
        <v>0</v>
      </c>
      <c r="G1739" s="111" t="b">
        <v>0</v>
      </c>
    </row>
    <row r="1740" spans="1:7" ht="15">
      <c r="A1740" s="113" t="s">
        <v>1483</v>
      </c>
      <c r="B1740" s="111">
        <v>3</v>
      </c>
      <c r="C1740" s="115">
        <v>0.0012729673684486998</v>
      </c>
      <c r="D1740" s="111" t="s">
        <v>821</v>
      </c>
      <c r="E1740" s="111" t="b">
        <v>0</v>
      </c>
      <c r="F1740" s="111" t="b">
        <v>0</v>
      </c>
      <c r="G1740" s="111" t="b">
        <v>0</v>
      </c>
    </row>
    <row r="1741" spans="1:7" ht="15">
      <c r="A1741" s="113" t="s">
        <v>1022</v>
      </c>
      <c r="B1741" s="111">
        <v>3</v>
      </c>
      <c r="C1741" s="115">
        <v>0.0012729673684486998</v>
      </c>
      <c r="D1741" s="111" t="s">
        <v>821</v>
      </c>
      <c r="E1741" s="111" t="b">
        <v>0</v>
      </c>
      <c r="F1741" s="111" t="b">
        <v>0</v>
      </c>
      <c r="G1741" s="111" t="b">
        <v>0</v>
      </c>
    </row>
    <row r="1742" spans="1:7" ht="15">
      <c r="A1742" s="113" t="s">
        <v>1499</v>
      </c>
      <c r="B1742" s="111">
        <v>3</v>
      </c>
      <c r="C1742" s="115">
        <v>0.0018894030980606668</v>
      </c>
      <c r="D1742" s="111" t="s">
        <v>821</v>
      </c>
      <c r="E1742" s="111" t="b">
        <v>0</v>
      </c>
      <c r="F1742" s="111" t="b">
        <v>0</v>
      </c>
      <c r="G1742" s="111" t="b">
        <v>0</v>
      </c>
    </row>
    <row r="1743" spans="1:7" ht="15">
      <c r="A1743" s="113" t="s">
        <v>1029</v>
      </c>
      <c r="B1743" s="111">
        <v>3</v>
      </c>
      <c r="C1743" s="115">
        <v>0.001500475455083947</v>
      </c>
      <c r="D1743" s="111" t="s">
        <v>821</v>
      </c>
      <c r="E1743" s="111" t="b">
        <v>1</v>
      </c>
      <c r="F1743" s="111" t="b">
        <v>0</v>
      </c>
      <c r="G1743" s="111" t="b">
        <v>0</v>
      </c>
    </row>
    <row r="1744" spans="1:7" ht="15">
      <c r="A1744" s="113" t="s">
        <v>961</v>
      </c>
      <c r="B1744" s="111">
        <v>3</v>
      </c>
      <c r="C1744" s="115">
        <v>0.001500475455083947</v>
      </c>
      <c r="D1744" s="111" t="s">
        <v>821</v>
      </c>
      <c r="E1744" s="111" t="b">
        <v>0</v>
      </c>
      <c r="F1744" s="111" t="b">
        <v>0</v>
      </c>
      <c r="G1744" s="111" t="b">
        <v>0</v>
      </c>
    </row>
    <row r="1745" spans="1:7" ht="15">
      <c r="A1745" s="113" t="s">
        <v>1488</v>
      </c>
      <c r="B1745" s="111">
        <v>3</v>
      </c>
      <c r="C1745" s="115">
        <v>0.001500475455083947</v>
      </c>
      <c r="D1745" s="111" t="s">
        <v>821</v>
      </c>
      <c r="E1745" s="111" t="b">
        <v>1</v>
      </c>
      <c r="F1745" s="111" t="b">
        <v>0</v>
      </c>
      <c r="G1745" s="111" t="b">
        <v>0</v>
      </c>
    </row>
    <row r="1746" spans="1:7" ht="15">
      <c r="A1746" s="113" t="s">
        <v>1487</v>
      </c>
      <c r="B1746" s="111">
        <v>3</v>
      </c>
      <c r="C1746" s="115">
        <v>0.001500475455083947</v>
      </c>
      <c r="D1746" s="111" t="s">
        <v>821</v>
      </c>
      <c r="E1746" s="111" t="b">
        <v>0</v>
      </c>
      <c r="F1746" s="111" t="b">
        <v>0</v>
      </c>
      <c r="G1746" s="111" t="b">
        <v>0</v>
      </c>
    </row>
    <row r="1747" spans="1:7" ht="15">
      <c r="A1747" s="113" t="s">
        <v>1493</v>
      </c>
      <c r="B1747" s="111">
        <v>3</v>
      </c>
      <c r="C1747" s="115">
        <v>0.001500475455083947</v>
      </c>
      <c r="D1747" s="111" t="s">
        <v>821</v>
      </c>
      <c r="E1747" s="111" t="b">
        <v>0</v>
      </c>
      <c r="F1747" s="111" t="b">
        <v>0</v>
      </c>
      <c r="G1747" s="111" t="b">
        <v>0</v>
      </c>
    </row>
    <row r="1748" spans="1:7" ht="15">
      <c r="A1748" s="113" t="s">
        <v>1495</v>
      </c>
      <c r="B1748" s="111">
        <v>3</v>
      </c>
      <c r="C1748" s="115">
        <v>0.0018894030980606668</v>
      </c>
      <c r="D1748" s="111" t="s">
        <v>821</v>
      </c>
      <c r="E1748" s="111" t="b">
        <v>0</v>
      </c>
      <c r="F1748" s="111" t="b">
        <v>0</v>
      </c>
      <c r="G1748" s="111" t="b">
        <v>0</v>
      </c>
    </row>
    <row r="1749" spans="1:7" ht="15">
      <c r="A1749" s="113" t="s">
        <v>1496</v>
      </c>
      <c r="B1749" s="111">
        <v>3</v>
      </c>
      <c r="C1749" s="115">
        <v>0.0018894030980606668</v>
      </c>
      <c r="D1749" s="111" t="s">
        <v>821</v>
      </c>
      <c r="E1749" s="111" t="b">
        <v>0</v>
      </c>
      <c r="F1749" s="111" t="b">
        <v>0</v>
      </c>
      <c r="G1749" s="111" t="b">
        <v>0</v>
      </c>
    </row>
    <row r="1750" spans="1:7" ht="15">
      <c r="A1750" s="113" t="s">
        <v>1497</v>
      </c>
      <c r="B1750" s="111">
        <v>3</v>
      </c>
      <c r="C1750" s="115">
        <v>0.0018894030980606668</v>
      </c>
      <c r="D1750" s="111" t="s">
        <v>821</v>
      </c>
      <c r="E1750" s="111" t="b">
        <v>0</v>
      </c>
      <c r="F1750" s="111" t="b">
        <v>0</v>
      </c>
      <c r="G1750" s="111" t="b">
        <v>0</v>
      </c>
    </row>
    <row r="1751" spans="1:7" ht="15">
      <c r="A1751" s="113" t="s">
        <v>933</v>
      </c>
      <c r="B1751" s="111">
        <v>3</v>
      </c>
      <c r="C1751" s="115">
        <v>0.0018894030980606668</v>
      </c>
      <c r="D1751" s="111" t="s">
        <v>821</v>
      </c>
      <c r="E1751" s="111" t="b">
        <v>0</v>
      </c>
      <c r="F1751" s="111" t="b">
        <v>0</v>
      </c>
      <c r="G1751" s="111" t="b">
        <v>0</v>
      </c>
    </row>
    <row r="1752" spans="1:7" ht="15">
      <c r="A1752" s="113" t="s">
        <v>1490</v>
      </c>
      <c r="B1752" s="111">
        <v>3</v>
      </c>
      <c r="C1752" s="115">
        <v>0.0018894030980606668</v>
      </c>
      <c r="D1752" s="111" t="s">
        <v>821</v>
      </c>
      <c r="E1752" s="111" t="b">
        <v>0</v>
      </c>
      <c r="F1752" s="111" t="b">
        <v>0</v>
      </c>
      <c r="G1752" s="111" t="b">
        <v>0</v>
      </c>
    </row>
    <row r="1753" spans="1:7" ht="15">
      <c r="A1753" s="113" t="s">
        <v>1011</v>
      </c>
      <c r="B1753" s="111">
        <v>3</v>
      </c>
      <c r="C1753" s="115">
        <v>0.001500475455083947</v>
      </c>
      <c r="D1753" s="111" t="s">
        <v>821</v>
      </c>
      <c r="E1753" s="111" t="b">
        <v>0</v>
      </c>
      <c r="F1753" s="111" t="b">
        <v>0</v>
      </c>
      <c r="G1753" s="111" t="b">
        <v>0</v>
      </c>
    </row>
    <row r="1754" spans="1:7" ht="15">
      <c r="A1754" s="113" t="s">
        <v>1480</v>
      </c>
      <c r="B1754" s="111">
        <v>3</v>
      </c>
      <c r="C1754" s="115">
        <v>0.001500475455083947</v>
      </c>
      <c r="D1754" s="111" t="s">
        <v>821</v>
      </c>
      <c r="E1754" s="111" t="b">
        <v>0</v>
      </c>
      <c r="F1754" s="111" t="b">
        <v>0</v>
      </c>
      <c r="G1754" s="111" t="b">
        <v>0</v>
      </c>
    </row>
    <row r="1755" spans="1:7" ht="15">
      <c r="A1755" s="113" t="s">
        <v>1489</v>
      </c>
      <c r="B1755" s="111">
        <v>3</v>
      </c>
      <c r="C1755" s="115">
        <v>0.0018894030980606668</v>
      </c>
      <c r="D1755" s="111" t="s">
        <v>821</v>
      </c>
      <c r="E1755" s="111" t="b">
        <v>0</v>
      </c>
      <c r="F1755" s="111" t="b">
        <v>0</v>
      </c>
      <c r="G1755" s="111" t="b">
        <v>0</v>
      </c>
    </row>
    <row r="1756" spans="1:7" ht="15">
      <c r="A1756" s="113" t="s">
        <v>980</v>
      </c>
      <c r="B1756" s="111">
        <v>3</v>
      </c>
      <c r="C1756" s="115">
        <v>0.001500475455083947</v>
      </c>
      <c r="D1756" s="111" t="s">
        <v>821</v>
      </c>
      <c r="E1756" s="111" t="b">
        <v>0</v>
      </c>
      <c r="F1756" s="111" t="b">
        <v>0</v>
      </c>
      <c r="G1756" s="111" t="b">
        <v>0</v>
      </c>
    </row>
    <row r="1757" spans="1:7" ht="15">
      <c r="A1757" s="113" t="s">
        <v>1485</v>
      </c>
      <c r="B1757" s="111">
        <v>3</v>
      </c>
      <c r="C1757" s="115">
        <v>0.0018894030980606668</v>
      </c>
      <c r="D1757" s="111" t="s">
        <v>821</v>
      </c>
      <c r="E1757" s="111" t="b">
        <v>0</v>
      </c>
      <c r="F1757" s="111" t="b">
        <v>0</v>
      </c>
      <c r="G1757" s="111" t="b">
        <v>0</v>
      </c>
    </row>
    <row r="1758" spans="1:7" ht="15">
      <c r="A1758" s="113" t="s">
        <v>1107</v>
      </c>
      <c r="B1758" s="111">
        <v>3</v>
      </c>
      <c r="C1758" s="115">
        <v>0.0018894030980606668</v>
      </c>
      <c r="D1758" s="111" t="s">
        <v>821</v>
      </c>
      <c r="E1758" s="111" t="b">
        <v>0</v>
      </c>
      <c r="F1758" s="111" t="b">
        <v>0</v>
      </c>
      <c r="G1758" s="111" t="b">
        <v>0</v>
      </c>
    </row>
    <row r="1759" spans="1:7" ht="15">
      <c r="A1759" s="113" t="s">
        <v>1477</v>
      </c>
      <c r="B1759" s="111">
        <v>3</v>
      </c>
      <c r="C1759" s="115">
        <v>0.0018894030980606668</v>
      </c>
      <c r="D1759" s="111" t="s">
        <v>821</v>
      </c>
      <c r="E1759" s="111" t="b">
        <v>0</v>
      </c>
      <c r="F1759" s="111" t="b">
        <v>0</v>
      </c>
      <c r="G1759" s="111" t="b">
        <v>0</v>
      </c>
    </row>
    <row r="1760" spans="1:7" ht="15">
      <c r="A1760" s="113" t="s">
        <v>1479</v>
      </c>
      <c r="B1760" s="111">
        <v>3</v>
      </c>
      <c r="C1760" s="115">
        <v>0.0018894030980606668</v>
      </c>
      <c r="D1760" s="111" t="s">
        <v>821</v>
      </c>
      <c r="E1760" s="111" t="b">
        <v>0</v>
      </c>
      <c r="F1760" s="111" t="b">
        <v>0</v>
      </c>
      <c r="G1760" s="111" t="b">
        <v>0</v>
      </c>
    </row>
    <row r="1761" spans="1:7" ht="15">
      <c r="A1761" s="113" t="s">
        <v>1481</v>
      </c>
      <c r="B1761" s="111">
        <v>3</v>
      </c>
      <c r="C1761" s="115">
        <v>0.0018894030980606668</v>
      </c>
      <c r="D1761" s="111" t="s">
        <v>821</v>
      </c>
      <c r="E1761" s="111" t="b">
        <v>0</v>
      </c>
      <c r="F1761" s="111" t="b">
        <v>0</v>
      </c>
      <c r="G1761" s="111" t="b">
        <v>0</v>
      </c>
    </row>
    <row r="1762" spans="1:7" ht="15">
      <c r="A1762" s="113" t="s">
        <v>1482</v>
      </c>
      <c r="B1762" s="111">
        <v>3</v>
      </c>
      <c r="C1762" s="115">
        <v>0.0018894030980606668</v>
      </c>
      <c r="D1762" s="111" t="s">
        <v>821</v>
      </c>
      <c r="E1762" s="111" t="b">
        <v>0</v>
      </c>
      <c r="F1762" s="111" t="b">
        <v>0</v>
      </c>
      <c r="G1762" s="111" t="b">
        <v>0</v>
      </c>
    </row>
    <row r="1763" spans="1:7" ht="15">
      <c r="A1763" s="113" t="s">
        <v>1484</v>
      </c>
      <c r="B1763" s="111">
        <v>3</v>
      </c>
      <c r="C1763" s="115">
        <v>0.0018894030980606668</v>
      </c>
      <c r="D1763" s="111" t="s">
        <v>821</v>
      </c>
      <c r="E1763" s="111" t="b">
        <v>0</v>
      </c>
      <c r="F1763" s="111" t="b">
        <v>0</v>
      </c>
      <c r="G1763" s="111" t="b">
        <v>0</v>
      </c>
    </row>
    <row r="1764" spans="1:7" ht="15">
      <c r="A1764" s="113" t="s">
        <v>1235</v>
      </c>
      <c r="B1764" s="111">
        <v>3</v>
      </c>
      <c r="C1764" s="115">
        <v>0.0018894030980606668</v>
      </c>
      <c r="D1764" s="111" t="s">
        <v>821</v>
      </c>
      <c r="E1764" s="111" t="b">
        <v>0</v>
      </c>
      <c r="F1764" s="111" t="b">
        <v>0</v>
      </c>
      <c r="G1764" s="111" t="b">
        <v>0</v>
      </c>
    </row>
    <row r="1765" spans="1:7" ht="15">
      <c r="A1765" s="113" t="s">
        <v>1371</v>
      </c>
      <c r="B1765" s="111">
        <v>3</v>
      </c>
      <c r="C1765" s="115">
        <v>0.0018894030980606668</v>
      </c>
      <c r="D1765" s="111" t="s">
        <v>821</v>
      </c>
      <c r="E1765" s="111" t="b">
        <v>0</v>
      </c>
      <c r="F1765" s="111" t="b">
        <v>0</v>
      </c>
      <c r="G1765" s="111" t="b">
        <v>0</v>
      </c>
    </row>
    <row r="1766" spans="1:7" ht="15">
      <c r="A1766" s="113" t="s">
        <v>1372</v>
      </c>
      <c r="B1766" s="111">
        <v>3</v>
      </c>
      <c r="C1766" s="115">
        <v>0.0018894030980606668</v>
      </c>
      <c r="D1766" s="111" t="s">
        <v>821</v>
      </c>
      <c r="E1766" s="111" t="b">
        <v>0</v>
      </c>
      <c r="F1766" s="111" t="b">
        <v>0</v>
      </c>
      <c r="G1766" s="111" t="b">
        <v>0</v>
      </c>
    </row>
    <row r="1767" spans="1:7" ht="15">
      <c r="A1767" s="113" t="s">
        <v>1027</v>
      </c>
      <c r="B1767" s="111">
        <v>3</v>
      </c>
      <c r="C1767" s="115">
        <v>0.0018894030980606668</v>
      </c>
      <c r="D1767" s="111" t="s">
        <v>821</v>
      </c>
      <c r="E1767" s="111" t="b">
        <v>0</v>
      </c>
      <c r="F1767" s="111" t="b">
        <v>0</v>
      </c>
      <c r="G1767" s="111" t="b">
        <v>0</v>
      </c>
    </row>
    <row r="1768" spans="1:7" ht="15">
      <c r="A1768" s="113" t="s">
        <v>1028</v>
      </c>
      <c r="B1768" s="111">
        <v>3</v>
      </c>
      <c r="C1768" s="115">
        <v>0.0018894030980606668</v>
      </c>
      <c r="D1768" s="111" t="s">
        <v>821</v>
      </c>
      <c r="E1768" s="111" t="b">
        <v>0</v>
      </c>
      <c r="F1768" s="111" t="b">
        <v>0</v>
      </c>
      <c r="G1768" s="111" t="b">
        <v>0</v>
      </c>
    </row>
    <row r="1769" spans="1:7" ht="15">
      <c r="A1769" s="113" t="s">
        <v>1032</v>
      </c>
      <c r="B1769" s="111">
        <v>3</v>
      </c>
      <c r="C1769" s="115">
        <v>0.0018894030980606668</v>
      </c>
      <c r="D1769" s="111" t="s">
        <v>821</v>
      </c>
      <c r="E1769" s="111" t="b">
        <v>0</v>
      </c>
      <c r="F1769" s="111" t="b">
        <v>0</v>
      </c>
      <c r="G1769" s="111" t="b">
        <v>0</v>
      </c>
    </row>
    <row r="1770" spans="1:7" ht="15">
      <c r="A1770" s="113" t="s">
        <v>1252</v>
      </c>
      <c r="B1770" s="111">
        <v>2</v>
      </c>
      <c r="C1770" s="115">
        <v>0.0012596020653737779</v>
      </c>
      <c r="D1770" s="111" t="s">
        <v>821</v>
      </c>
      <c r="E1770" s="111" t="b">
        <v>0</v>
      </c>
      <c r="F1770" s="111" t="b">
        <v>0</v>
      </c>
      <c r="G1770" s="111" t="b">
        <v>0</v>
      </c>
    </row>
    <row r="1771" spans="1:7" ht="15">
      <c r="A1771" s="113" t="s">
        <v>1941</v>
      </c>
      <c r="B1771" s="111">
        <v>2</v>
      </c>
      <c r="C1771" s="115">
        <v>0.0010003169700559646</v>
      </c>
      <c r="D1771" s="111" t="s">
        <v>821</v>
      </c>
      <c r="E1771" s="111" t="b">
        <v>0</v>
      </c>
      <c r="F1771" s="111" t="b">
        <v>0</v>
      </c>
      <c r="G1771" s="111" t="b">
        <v>0</v>
      </c>
    </row>
    <row r="1772" spans="1:7" ht="15">
      <c r="A1772" s="113" t="s">
        <v>949</v>
      </c>
      <c r="B1772" s="111">
        <v>2</v>
      </c>
      <c r="C1772" s="115">
        <v>0.0010003169700559646</v>
      </c>
      <c r="D1772" s="111" t="s">
        <v>821</v>
      </c>
      <c r="E1772" s="111" t="b">
        <v>0</v>
      </c>
      <c r="F1772" s="111" t="b">
        <v>0</v>
      </c>
      <c r="G1772" s="111" t="b">
        <v>0</v>
      </c>
    </row>
    <row r="1773" spans="1:7" ht="15">
      <c r="A1773" s="113" t="s">
        <v>1045</v>
      </c>
      <c r="B1773" s="111">
        <v>2</v>
      </c>
      <c r="C1773" s="115">
        <v>0.0010003169700559646</v>
      </c>
      <c r="D1773" s="111" t="s">
        <v>821</v>
      </c>
      <c r="E1773" s="111" t="b">
        <v>0</v>
      </c>
      <c r="F1773" s="111" t="b">
        <v>0</v>
      </c>
      <c r="G1773" s="111" t="b">
        <v>0</v>
      </c>
    </row>
    <row r="1774" spans="1:7" ht="15">
      <c r="A1774" s="113" t="s">
        <v>1600</v>
      </c>
      <c r="B1774" s="111">
        <v>2</v>
      </c>
      <c r="C1774" s="115">
        <v>0.0010003169700559646</v>
      </c>
      <c r="D1774" s="111" t="s">
        <v>821</v>
      </c>
      <c r="E1774" s="111" t="b">
        <v>0</v>
      </c>
      <c r="F1774" s="111" t="b">
        <v>0</v>
      </c>
      <c r="G1774" s="111" t="b">
        <v>0</v>
      </c>
    </row>
    <row r="1775" spans="1:7" ht="15">
      <c r="A1775" s="113" t="s">
        <v>1910</v>
      </c>
      <c r="B1775" s="111">
        <v>2</v>
      </c>
      <c r="C1775" s="115">
        <v>0.0010003169700559646</v>
      </c>
      <c r="D1775" s="111" t="s">
        <v>821</v>
      </c>
      <c r="E1775" s="111" t="b">
        <v>0</v>
      </c>
      <c r="F1775" s="111" t="b">
        <v>0</v>
      </c>
      <c r="G1775" s="111" t="b">
        <v>0</v>
      </c>
    </row>
    <row r="1776" spans="1:7" ht="15">
      <c r="A1776" s="113" t="s">
        <v>963</v>
      </c>
      <c r="B1776" s="111">
        <v>2</v>
      </c>
      <c r="C1776" s="115">
        <v>0.0010003169700559646</v>
      </c>
      <c r="D1776" s="111" t="s">
        <v>821</v>
      </c>
      <c r="E1776" s="111" t="b">
        <v>0</v>
      </c>
      <c r="F1776" s="111" t="b">
        <v>0</v>
      </c>
      <c r="G1776" s="111" t="b">
        <v>0</v>
      </c>
    </row>
    <row r="1777" spans="1:7" ht="15">
      <c r="A1777" s="113" t="s">
        <v>1128</v>
      </c>
      <c r="B1777" s="111">
        <v>2</v>
      </c>
      <c r="C1777" s="115">
        <v>0.0010003169700559646</v>
      </c>
      <c r="D1777" s="111" t="s">
        <v>821</v>
      </c>
      <c r="E1777" s="111" t="b">
        <v>0</v>
      </c>
      <c r="F1777" s="111" t="b">
        <v>0</v>
      </c>
      <c r="G1777" s="111" t="b">
        <v>0</v>
      </c>
    </row>
    <row r="1778" spans="1:7" ht="15">
      <c r="A1778" s="113" t="s">
        <v>1037</v>
      </c>
      <c r="B1778" s="111">
        <v>2</v>
      </c>
      <c r="C1778" s="115">
        <v>0.0010003169700559646</v>
      </c>
      <c r="D1778" s="111" t="s">
        <v>821</v>
      </c>
      <c r="E1778" s="111" t="b">
        <v>0</v>
      </c>
      <c r="F1778" s="111" t="b">
        <v>0</v>
      </c>
      <c r="G1778" s="111" t="b">
        <v>0</v>
      </c>
    </row>
    <row r="1779" spans="1:7" ht="15">
      <c r="A1779" s="113" t="s">
        <v>1181</v>
      </c>
      <c r="B1779" s="111">
        <v>2</v>
      </c>
      <c r="C1779" s="115">
        <v>0.0012596020653737779</v>
      </c>
      <c r="D1779" s="111" t="s">
        <v>821</v>
      </c>
      <c r="E1779" s="111" t="b">
        <v>0</v>
      </c>
      <c r="F1779" s="111" t="b">
        <v>0</v>
      </c>
      <c r="G1779" s="111" t="b">
        <v>0</v>
      </c>
    </row>
    <row r="1780" spans="1:7" ht="15">
      <c r="A1780" s="113" t="s">
        <v>1117</v>
      </c>
      <c r="B1780" s="111">
        <v>2</v>
      </c>
      <c r="C1780" s="115">
        <v>0.0010003169700559646</v>
      </c>
      <c r="D1780" s="111" t="s">
        <v>821</v>
      </c>
      <c r="E1780" s="111" t="b">
        <v>0</v>
      </c>
      <c r="F1780" s="111" t="b">
        <v>0</v>
      </c>
      <c r="G1780" s="111" t="b">
        <v>0</v>
      </c>
    </row>
    <row r="1781" spans="1:7" ht="15">
      <c r="A1781" s="113" t="s">
        <v>1038</v>
      </c>
      <c r="B1781" s="111">
        <v>2</v>
      </c>
      <c r="C1781" s="115">
        <v>0.0010003169700559646</v>
      </c>
      <c r="D1781" s="111" t="s">
        <v>821</v>
      </c>
      <c r="E1781" s="111" t="b">
        <v>0</v>
      </c>
      <c r="F1781" s="111" t="b">
        <v>0</v>
      </c>
      <c r="G1781" s="111" t="b">
        <v>0</v>
      </c>
    </row>
    <row r="1782" spans="1:7" ht="15">
      <c r="A1782" s="113" t="s">
        <v>1975</v>
      </c>
      <c r="B1782" s="111">
        <v>2</v>
      </c>
      <c r="C1782" s="115">
        <v>0.0012596020653737779</v>
      </c>
      <c r="D1782" s="111" t="s">
        <v>821</v>
      </c>
      <c r="E1782" s="111" t="b">
        <v>0</v>
      </c>
      <c r="F1782" s="111" t="b">
        <v>0</v>
      </c>
      <c r="G1782" s="111" t="b">
        <v>0</v>
      </c>
    </row>
    <row r="1783" spans="1:7" ht="15">
      <c r="A1783" s="113" t="s">
        <v>1114</v>
      </c>
      <c r="B1783" s="111">
        <v>2</v>
      </c>
      <c r="C1783" s="115">
        <v>0.0012596020653737779</v>
      </c>
      <c r="D1783" s="111" t="s">
        <v>821</v>
      </c>
      <c r="E1783" s="111" t="b">
        <v>1</v>
      </c>
      <c r="F1783" s="111" t="b">
        <v>0</v>
      </c>
      <c r="G1783" s="111" t="b">
        <v>0</v>
      </c>
    </row>
    <row r="1784" spans="1:7" ht="15">
      <c r="A1784" s="113" t="s">
        <v>916</v>
      </c>
      <c r="B1784" s="111">
        <v>2</v>
      </c>
      <c r="C1784" s="115">
        <v>0.0012596020653737779</v>
      </c>
      <c r="D1784" s="111" t="s">
        <v>821</v>
      </c>
      <c r="E1784" s="111" t="b">
        <v>0</v>
      </c>
      <c r="F1784" s="111" t="b">
        <v>0</v>
      </c>
      <c r="G1784" s="111" t="b">
        <v>0</v>
      </c>
    </row>
    <row r="1785" spans="1:7" ht="15">
      <c r="A1785" s="113" t="s">
        <v>1976</v>
      </c>
      <c r="B1785" s="111">
        <v>2</v>
      </c>
      <c r="C1785" s="115">
        <v>0.0012596020653737779</v>
      </c>
      <c r="D1785" s="111" t="s">
        <v>821</v>
      </c>
      <c r="E1785" s="111" t="b">
        <v>0</v>
      </c>
      <c r="F1785" s="111" t="b">
        <v>0</v>
      </c>
      <c r="G1785" s="111" t="b">
        <v>0</v>
      </c>
    </row>
    <row r="1786" spans="1:7" ht="15">
      <c r="A1786" s="113" t="s">
        <v>922</v>
      </c>
      <c r="B1786" s="111">
        <v>2</v>
      </c>
      <c r="C1786" s="115">
        <v>0.0010003169700559646</v>
      </c>
      <c r="D1786" s="111" t="s">
        <v>821</v>
      </c>
      <c r="E1786" s="111" t="b">
        <v>1</v>
      </c>
      <c r="F1786" s="111" t="b">
        <v>0</v>
      </c>
      <c r="G1786" s="111" t="b">
        <v>0</v>
      </c>
    </row>
    <row r="1787" spans="1:7" ht="15">
      <c r="A1787" s="113" t="s">
        <v>1041</v>
      </c>
      <c r="B1787" s="111">
        <v>2</v>
      </c>
      <c r="C1787" s="115">
        <v>0.0010003169700559646</v>
      </c>
      <c r="D1787" s="111" t="s">
        <v>821</v>
      </c>
      <c r="E1787" s="111" t="b">
        <v>0</v>
      </c>
      <c r="F1787" s="111" t="b">
        <v>0</v>
      </c>
      <c r="G1787" s="111" t="b">
        <v>0</v>
      </c>
    </row>
    <row r="1788" spans="1:7" ht="15">
      <c r="A1788" s="113" t="s">
        <v>891</v>
      </c>
      <c r="B1788" s="111">
        <v>2</v>
      </c>
      <c r="C1788" s="115">
        <v>0.0010003169700559646</v>
      </c>
      <c r="D1788" s="111" t="s">
        <v>821</v>
      </c>
      <c r="E1788" s="111" t="b">
        <v>0</v>
      </c>
      <c r="F1788" s="111" t="b">
        <v>0</v>
      </c>
      <c r="G1788" s="111" t="b">
        <v>0</v>
      </c>
    </row>
    <row r="1789" spans="1:7" ht="15">
      <c r="A1789" s="113" t="s">
        <v>1230</v>
      </c>
      <c r="B1789" s="111">
        <v>2</v>
      </c>
      <c r="C1789" s="115">
        <v>0.0010003169700559646</v>
      </c>
      <c r="D1789" s="111" t="s">
        <v>821</v>
      </c>
      <c r="E1789" s="111" t="b">
        <v>0</v>
      </c>
      <c r="F1789" s="111" t="b">
        <v>0</v>
      </c>
      <c r="G1789" s="111" t="b">
        <v>0</v>
      </c>
    </row>
    <row r="1790" spans="1:7" ht="15">
      <c r="A1790" s="113" t="s">
        <v>1945</v>
      </c>
      <c r="B1790" s="111">
        <v>2</v>
      </c>
      <c r="C1790" s="115">
        <v>0.0010003169700559646</v>
      </c>
      <c r="D1790" s="111" t="s">
        <v>821</v>
      </c>
      <c r="E1790" s="111" t="b">
        <v>0</v>
      </c>
      <c r="F1790" s="111" t="b">
        <v>0</v>
      </c>
      <c r="G1790" s="111" t="b">
        <v>0</v>
      </c>
    </row>
    <row r="1791" spans="1:7" ht="15">
      <c r="A1791" s="113" t="s">
        <v>909</v>
      </c>
      <c r="B1791" s="111">
        <v>2</v>
      </c>
      <c r="C1791" s="115">
        <v>0.0010003169700559646</v>
      </c>
      <c r="D1791" s="111" t="s">
        <v>821</v>
      </c>
      <c r="E1791" s="111" t="b">
        <v>0</v>
      </c>
      <c r="F1791" s="111" t="b">
        <v>0</v>
      </c>
      <c r="G1791" s="111" t="b">
        <v>0</v>
      </c>
    </row>
    <row r="1792" spans="1:7" ht="15">
      <c r="A1792" s="113" t="s">
        <v>1076</v>
      </c>
      <c r="B1792" s="111">
        <v>2</v>
      </c>
      <c r="C1792" s="115">
        <v>0.0010003169700559646</v>
      </c>
      <c r="D1792" s="111" t="s">
        <v>821</v>
      </c>
      <c r="E1792" s="111" t="b">
        <v>0</v>
      </c>
      <c r="F1792" s="111" t="b">
        <v>0</v>
      </c>
      <c r="G1792" s="111" t="b">
        <v>0</v>
      </c>
    </row>
    <row r="1793" spans="1:7" ht="15">
      <c r="A1793" s="113" t="s">
        <v>1904</v>
      </c>
      <c r="B1793" s="111">
        <v>2</v>
      </c>
      <c r="C1793" s="115">
        <v>0.0010003169700559646</v>
      </c>
      <c r="D1793" s="111" t="s">
        <v>821</v>
      </c>
      <c r="E1793" s="111" t="b">
        <v>0</v>
      </c>
      <c r="F1793" s="111" t="b">
        <v>0</v>
      </c>
      <c r="G1793" s="111" t="b">
        <v>0</v>
      </c>
    </row>
    <row r="1794" spans="1:7" ht="15">
      <c r="A1794" s="113" t="s">
        <v>991</v>
      </c>
      <c r="B1794" s="111">
        <v>2</v>
      </c>
      <c r="C1794" s="115">
        <v>0.0010003169700559646</v>
      </c>
      <c r="D1794" s="111" t="s">
        <v>821</v>
      </c>
      <c r="E1794" s="111" t="b">
        <v>0</v>
      </c>
      <c r="F1794" s="111" t="b">
        <v>0</v>
      </c>
      <c r="G1794" s="111" t="b">
        <v>0</v>
      </c>
    </row>
    <row r="1795" spans="1:7" ht="15">
      <c r="A1795" s="113" t="s">
        <v>928</v>
      </c>
      <c r="B1795" s="111">
        <v>2</v>
      </c>
      <c r="C1795" s="115">
        <v>0.0010003169700559646</v>
      </c>
      <c r="D1795" s="111" t="s">
        <v>821</v>
      </c>
      <c r="E1795" s="111" t="b">
        <v>0</v>
      </c>
      <c r="F1795" s="111" t="b">
        <v>0</v>
      </c>
      <c r="G1795" s="111" t="b">
        <v>0</v>
      </c>
    </row>
    <row r="1796" spans="1:7" ht="15">
      <c r="A1796" s="113" t="s">
        <v>1200</v>
      </c>
      <c r="B1796" s="111">
        <v>2</v>
      </c>
      <c r="C1796" s="115">
        <v>0.0010003169700559646</v>
      </c>
      <c r="D1796" s="111" t="s">
        <v>821</v>
      </c>
      <c r="E1796" s="111" t="b">
        <v>0</v>
      </c>
      <c r="F1796" s="111" t="b">
        <v>0</v>
      </c>
      <c r="G1796" s="111" t="b">
        <v>0</v>
      </c>
    </row>
    <row r="1797" spans="1:7" ht="15">
      <c r="A1797" s="113" t="s">
        <v>1909</v>
      </c>
      <c r="B1797" s="111">
        <v>2</v>
      </c>
      <c r="C1797" s="115">
        <v>0.0010003169700559646</v>
      </c>
      <c r="D1797" s="111" t="s">
        <v>821</v>
      </c>
      <c r="E1797" s="111" t="b">
        <v>0</v>
      </c>
      <c r="F1797" s="111" t="b">
        <v>0</v>
      </c>
      <c r="G1797" s="111" t="b">
        <v>0</v>
      </c>
    </row>
    <row r="1798" spans="1:7" ht="15">
      <c r="A1798" s="113" t="s">
        <v>944</v>
      </c>
      <c r="B1798" s="111">
        <v>2</v>
      </c>
      <c r="C1798" s="115">
        <v>0.0010003169700559646</v>
      </c>
      <c r="D1798" s="111" t="s">
        <v>821</v>
      </c>
      <c r="E1798" s="111" t="b">
        <v>0</v>
      </c>
      <c r="F1798" s="111" t="b">
        <v>0</v>
      </c>
      <c r="G1798" s="111" t="b">
        <v>0</v>
      </c>
    </row>
    <row r="1799" spans="1:7" ht="15">
      <c r="A1799" s="113" t="s">
        <v>1288</v>
      </c>
      <c r="B1799" s="111">
        <v>2</v>
      </c>
      <c r="C1799" s="115">
        <v>0.0010003169700559646</v>
      </c>
      <c r="D1799" s="111" t="s">
        <v>821</v>
      </c>
      <c r="E1799" s="111" t="b">
        <v>1</v>
      </c>
      <c r="F1799" s="111" t="b">
        <v>0</v>
      </c>
      <c r="G1799" s="111" t="b">
        <v>0</v>
      </c>
    </row>
    <row r="1800" spans="1:7" ht="15">
      <c r="A1800" s="113" t="s">
        <v>1958</v>
      </c>
      <c r="B1800" s="111">
        <v>2</v>
      </c>
      <c r="C1800" s="115">
        <v>0.0010003169700559646</v>
      </c>
      <c r="D1800" s="111" t="s">
        <v>821</v>
      </c>
      <c r="E1800" s="111" t="b">
        <v>0</v>
      </c>
      <c r="F1800" s="111" t="b">
        <v>0</v>
      </c>
      <c r="G1800" s="111" t="b">
        <v>0</v>
      </c>
    </row>
    <row r="1801" spans="1:7" ht="15">
      <c r="A1801" s="113" t="s">
        <v>1451</v>
      </c>
      <c r="B1801" s="111">
        <v>2</v>
      </c>
      <c r="C1801" s="115">
        <v>0.0010003169700559646</v>
      </c>
      <c r="D1801" s="111" t="s">
        <v>821</v>
      </c>
      <c r="E1801" s="111" t="b">
        <v>1</v>
      </c>
      <c r="F1801" s="111" t="b">
        <v>0</v>
      </c>
      <c r="G1801" s="111" t="b">
        <v>0</v>
      </c>
    </row>
    <row r="1802" spans="1:7" ht="15">
      <c r="A1802" s="113" t="s">
        <v>1933</v>
      </c>
      <c r="B1802" s="111">
        <v>2</v>
      </c>
      <c r="C1802" s="115">
        <v>0.0010003169700559646</v>
      </c>
      <c r="D1802" s="111" t="s">
        <v>821</v>
      </c>
      <c r="E1802" s="111" t="b">
        <v>0</v>
      </c>
      <c r="F1802" s="111" t="b">
        <v>0</v>
      </c>
      <c r="G1802" s="111" t="b">
        <v>0</v>
      </c>
    </row>
    <row r="1803" spans="1:7" ht="15">
      <c r="A1803" s="113" t="s">
        <v>1262</v>
      </c>
      <c r="B1803" s="111">
        <v>2</v>
      </c>
      <c r="C1803" s="115">
        <v>0.0010003169700559646</v>
      </c>
      <c r="D1803" s="111" t="s">
        <v>821</v>
      </c>
      <c r="E1803" s="111" t="b">
        <v>1</v>
      </c>
      <c r="F1803" s="111" t="b">
        <v>0</v>
      </c>
      <c r="G1803" s="111" t="b">
        <v>0</v>
      </c>
    </row>
    <row r="1804" spans="1:7" ht="15">
      <c r="A1804" s="113" t="s">
        <v>1459</v>
      </c>
      <c r="B1804" s="111">
        <v>2</v>
      </c>
      <c r="C1804" s="115">
        <v>0.0010003169700559646</v>
      </c>
      <c r="D1804" s="111" t="s">
        <v>821</v>
      </c>
      <c r="E1804" s="111" t="b">
        <v>0</v>
      </c>
      <c r="F1804" s="111" t="b">
        <v>0</v>
      </c>
      <c r="G1804" s="111" t="b">
        <v>0</v>
      </c>
    </row>
    <row r="1805" spans="1:7" ht="15">
      <c r="A1805" s="113" t="s">
        <v>1977</v>
      </c>
      <c r="B1805" s="111">
        <v>2</v>
      </c>
      <c r="C1805" s="115">
        <v>0.0012596020653737779</v>
      </c>
      <c r="D1805" s="111" t="s">
        <v>821</v>
      </c>
      <c r="E1805" s="111" t="b">
        <v>0</v>
      </c>
      <c r="F1805" s="111" t="b">
        <v>0</v>
      </c>
      <c r="G1805" s="111" t="b">
        <v>0</v>
      </c>
    </row>
    <row r="1806" spans="1:7" ht="15">
      <c r="A1806" s="113" t="s">
        <v>1978</v>
      </c>
      <c r="B1806" s="111">
        <v>2</v>
      </c>
      <c r="C1806" s="115">
        <v>0.0012596020653737779</v>
      </c>
      <c r="D1806" s="111" t="s">
        <v>821</v>
      </c>
      <c r="E1806" s="111" t="b">
        <v>0</v>
      </c>
      <c r="F1806" s="111" t="b">
        <v>0</v>
      </c>
      <c r="G1806" s="111" t="b">
        <v>0</v>
      </c>
    </row>
    <row r="1807" spans="1:7" ht="15">
      <c r="A1807" s="113" t="s">
        <v>1979</v>
      </c>
      <c r="B1807" s="111">
        <v>2</v>
      </c>
      <c r="C1807" s="115">
        <v>0.0012596020653737779</v>
      </c>
      <c r="D1807" s="111" t="s">
        <v>821</v>
      </c>
      <c r="E1807" s="111" t="b">
        <v>0</v>
      </c>
      <c r="F1807" s="111" t="b">
        <v>0</v>
      </c>
      <c r="G1807" s="111" t="b">
        <v>0</v>
      </c>
    </row>
    <row r="1808" spans="1:7" ht="15">
      <c r="A1808" s="113" t="s">
        <v>1980</v>
      </c>
      <c r="B1808" s="111">
        <v>2</v>
      </c>
      <c r="C1808" s="115">
        <v>0.0012596020653737779</v>
      </c>
      <c r="D1808" s="111" t="s">
        <v>821</v>
      </c>
      <c r="E1808" s="111" t="b">
        <v>0</v>
      </c>
      <c r="F1808" s="111" t="b">
        <v>0</v>
      </c>
      <c r="G1808" s="111" t="b">
        <v>0</v>
      </c>
    </row>
    <row r="1809" spans="1:7" ht="15">
      <c r="A1809" s="113" t="s">
        <v>1981</v>
      </c>
      <c r="B1809" s="111">
        <v>2</v>
      </c>
      <c r="C1809" s="115">
        <v>0.0012596020653737779</v>
      </c>
      <c r="D1809" s="111" t="s">
        <v>821</v>
      </c>
      <c r="E1809" s="111" t="b">
        <v>0</v>
      </c>
      <c r="F1809" s="111" t="b">
        <v>0</v>
      </c>
      <c r="G1809" s="111" t="b">
        <v>0</v>
      </c>
    </row>
    <row r="1810" spans="1:7" ht="15">
      <c r="A1810" s="113" t="s">
        <v>1982</v>
      </c>
      <c r="B1810" s="111">
        <v>2</v>
      </c>
      <c r="C1810" s="115">
        <v>0.0012596020653737779</v>
      </c>
      <c r="D1810" s="111" t="s">
        <v>821</v>
      </c>
      <c r="E1810" s="111" t="b">
        <v>0</v>
      </c>
      <c r="F1810" s="111" t="b">
        <v>0</v>
      </c>
      <c r="G1810" s="111" t="b">
        <v>0</v>
      </c>
    </row>
    <row r="1811" spans="1:7" ht="15">
      <c r="A1811" s="113" t="s">
        <v>1983</v>
      </c>
      <c r="B1811" s="111">
        <v>2</v>
      </c>
      <c r="C1811" s="115">
        <v>0.0012596020653737779</v>
      </c>
      <c r="D1811" s="111" t="s">
        <v>821</v>
      </c>
      <c r="E1811" s="111" t="b">
        <v>0</v>
      </c>
      <c r="F1811" s="111" t="b">
        <v>0</v>
      </c>
      <c r="G1811" s="111" t="b">
        <v>0</v>
      </c>
    </row>
    <row r="1812" spans="1:7" ht="15">
      <c r="A1812" s="113" t="s">
        <v>1984</v>
      </c>
      <c r="B1812" s="111">
        <v>2</v>
      </c>
      <c r="C1812" s="115">
        <v>0.0012596020653737779</v>
      </c>
      <c r="D1812" s="111" t="s">
        <v>821</v>
      </c>
      <c r="E1812" s="111" t="b">
        <v>0</v>
      </c>
      <c r="F1812" s="111" t="b">
        <v>0</v>
      </c>
      <c r="G1812" s="111" t="b">
        <v>0</v>
      </c>
    </row>
    <row r="1813" spans="1:7" ht="15">
      <c r="A1813" s="113" t="s">
        <v>1330</v>
      </c>
      <c r="B1813" s="111">
        <v>2</v>
      </c>
      <c r="C1813" s="115">
        <v>0.0010003169700559646</v>
      </c>
      <c r="D1813" s="111" t="s">
        <v>821</v>
      </c>
      <c r="E1813" s="111" t="b">
        <v>0</v>
      </c>
      <c r="F1813" s="111" t="b">
        <v>0</v>
      </c>
      <c r="G1813" s="111" t="b">
        <v>0</v>
      </c>
    </row>
    <row r="1814" spans="1:7" ht="15">
      <c r="A1814" s="113" t="s">
        <v>1441</v>
      </c>
      <c r="B1814" s="111">
        <v>2</v>
      </c>
      <c r="C1814" s="115">
        <v>0.0010003169700559646</v>
      </c>
      <c r="D1814" s="111" t="s">
        <v>821</v>
      </c>
      <c r="E1814" s="111" t="b">
        <v>0</v>
      </c>
      <c r="F1814" s="111" t="b">
        <v>0</v>
      </c>
      <c r="G1814" s="111" t="b">
        <v>0</v>
      </c>
    </row>
    <row r="1815" spans="1:7" ht="15">
      <c r="A1815" s="113" t="s">
        <v>1963</v>
      </c>
      <c r="B1815" s="111">
        <v>2</v>
      </c>
      <c r="C1815" s="115">
        <v>0.0012596020653737779</v>
      </c>
      <c r="D1815" s="111" t="s">
        <v>821</v>
      </c>
      <c r="E1815" s="111" t="b">
        <v>0</v>
      </c>
      <c r="F1815" s="111" t="b">
        <v>0</v>
      </c>
      <c r="G1815" s="111" t="b">
        <v>0</v>
      </c>
    </row>
    <row r="1816" spans="1:7" ht="15">
      <c r="A1816" s="113" t="s">
        <v>1189</v>
      </c>
      <c r="B1816" s="111">
        <v>2</v>
      </c>
      <c r="C1816" s="115">
        <v>0.0010003169700559646</v>
      </c>
      <c r="D1816" s="111" t="s">
        <v>821</v>
      </c>
      <c r="E1816" s="111" t="b">
        <v>0</v>
      </c>
      <c r="F1816" s="111" t="b">
        <v>0</v>
      </c>
      <c r="G1816" s="111" t="b">
        <v>0</v>
      </c>
    </row>
    <row r="1817" spans="1:7" ht="15">
      <c r="A1817" s="113" t="s">
        <v>1055</v>
      </c>
      <c r="B1817" s="111">
        <v>2</v>
      </c>
      <c r="C1817" s="115">
        <v>0.0010003169700559646</v>
      </c>
      <c r="D1817" s="111" t="s">
        <v>821</v>
      </c>
      <c r="E1817" s="111" t="b">
        <v>0</v>
      </c>
      <c r="F1817" s="111" t="b">
        <v>0</v>
      </c>
      <c r="G1817" s="111" t="b">
        <v>0</v>
      </c>
    </row>
    <row r="1818" spans="1:7" ht="15">
      <c r="A1818" s="113" t="s">
        <v>1201</v>
      </c>
      <c r="B1818" s="111">
        <v>2</v>
      </c>
      <c r="C1818" s="115">
        <v>0.0012596020653737779</v>
      </c>
      <c r="D1818" s="111" t="s">
        <v>821</v>
      </c>
      <c r="E1818" s="111" t="b">
        <v>0</v>
      </c>
      <c r="F1818" s="111" t="b">
        <v>0</v>
      </c>
      <c r="G1818" s="111" t="b">
        <v>0</v>
      </c>
    </row>
    <row r="1819" spans="1:7" ht="15">
      <c r="A1819" s="113" t="s">
        <v>1326</v>
      </c>
      <c r="B1819" s="111">
        <v>2</v>
      </c>
      <c r="C1819" s="115">
        <v>0.0010003169700559646</v>
      </c>
      <c r="D1819" s="111" t="s">
        <v>821</v>
      </c>
      <c r="E1819" s="111" t="b">
        <v>0</v>
      </c>
      <c r="F1819" s="111" t="b">
        <v>0</v>
      </c>
      <c r="G1819" s="111" t="b">
        <v>0</v>
      </c>
    </row>
    <row r="1820" spans="1:7" ht="15">
      <c r="A1820" s="113" t="s">
        <v>1597</v>
      </c>
      <c r="B1820" s="111">
        <v>2</v>
      </c>
      <c r="C1820" s="115">
        <v>0.0010003169700559646</v>
      </c>
      <c r="D1820" s="111" t="s">
        <v>821</v>
      </c>
      <c r="E1820" s="111" t="b">
        <v>0</v>
      </c>
      <c r="F1820" s="111" t="b">
        <v>0</v>
      </c>
      <c r="G1820" s="111" t="b">
        <v>0</v>
      </c>
    </row>
    <row r="1821" spans="1:7" ht="15">
      <c r="A1821" s="113" t="s">
        <v>912</v>
      </c>
      <c r="B1821" s="111">
        <v>2</v>
      </c>
      <c r="C1821" s="115">
        <v>0.0010003169700559646</v>
      </c>
      <c r="D1821" s="111" t="s">
        <v>821</v>
      </c>
      <c r="E1821" s="111" t="b">
        <v>0</v>
      </c>
      <c r="F1821" s="111" t="b">
        <v>0</v>
      </c>
      <c r="G1821" s="111" t="b">
        <v>0</v>
      </c>
    </row>
    <row r="1822" spans="1:7" ht="15">
      <c r="A1822" s="113" t="s">
        <v>914</v>
      </c>
      <c r="B1822" s="111">
        <v>2</v>
      </c>
      <c r="C1822" s="115">
        <v>0.0010003169700559646</v>
      </c>
      <c r="D1822" s="111" t="s">
        <v>821</v>
      </c>
      <c r="E1822" s="111" t="b">
        <v>0</v>
      </c>
      <c r="F1822" s="111" t="b">
        <v>0</v>
      </c>
      <c r="G1822" s="111" t="b">
        <v>0</v>
      </c>
    </row>
    <row r="1823" spans="1:7" ht="15">
      <c r="A1823" s="113" t="s">
        <v>1601</v>
      </c>
      <c r="B1823" s="111">
        <v>2</v>
      </c>
      <c r="C1823" s="115">
        <v>0.0010003169700559646</v>
      </c>
      <c r="D1823" s="111" t="s">
        <v>821</v>
      </c>
      <c r="E1823" s="111" t="b">
        <v>0</v>
      </c>
      <c r="F1823" s="111" t="b">
        <v>0</v>
      </c>
      <c r="G1823" s="111" t="b">
        <v>0</v>
      </c>
    </row>
    <row r="1824" spans="1:7" ht="15">
      <c r="A1824" s="113" t="s">
        <v>1202</v>
      </c>
      <c r="B1824" s="111">
        <v>2</v>
      </c>
      <c r="C1824" s="115">
        <v>0.0010003169700559646</v>
      </c>
      <c r="D1824" s="111" t="s">
        <v>821</v>
      </c>
      <c r="E1824" s="111" t="b">
        <v>0</v>
      </c>
      <c r="F1824" s="111" t="b">
        <v>0</v>
      </c>
      <c r="G1824" s="111" t="b">
        <v>0</v>
      </c>
    </row>
    <row r="1825" spans="1:7" ht="15">
      <c r="A1825" s="113" t="s">
        <v>1602</v>
      </c>
      <c r="B1825" s="111">
        <v>2</v>
      </c>
      <c r="C1825" s="115">
        <v>0.0010003169700559646</v>
      </c>
      <c r="D1825" s="111" t="s">
        <v>821</v>
      </c>
      <c r="E1825" s="111" t="b">
        <v>0</v>
      </c>
      <c r="F1825" s="111" t="b">
        <v>0</v>
      </c>
      <c r="G1825" s="111" t="b">
        <v>0</v>
      </c>
    </row>
    <row r="1826" spans="1:7" ht="15">
      <c r="A1826" s="113" t="s">
        <v>1916</v>
      </c>
      <c r="B1826" s="111">
        <v>2</v>
      </c>
      <c r="C1826" s="115">
        <v>0.0010003169700559646</v>
      </c>
      <c r="D1826" s="111" t="s">
        <v>821</v>
      </c>
      <c r="E1826" s="111" t="b">
        <v>0</v>
      </c>
      <c r="F1826" s="111" t="b">
        <v>0</v>
      </c>
      <c r="G1826" s="111" t="b">
        <v>0</v>
      </c>
    </row>
    <row r="1827" spans="1:7" ht="15">
      <c r="A1827" s="113" t="s">
        <v>1956</v>
      </c>
      <c r="B1827" s="111">
        <v>2</v>
      </c>
      <c r="C1827" s="115">
        <v>0.0010003169700559646</v>
      </c>
      <c r="D1827" s="111" t="s">
        <v>821</v>
      </c>
      <c r="E1827" s="111" t="b">
        <v>0</v>
      </c>
      <c r="F1827" s="111" t="b">
        <v>0</v>
      </c>
      <c r="G1827" s="111" t="b">
        <v>0</v>
      </c>
    </row>
    <row r="1828" spans="1:7" ht="15">
      <c r="A1828" s="113" t="s">
        <v>924</v>
      </c>
      <c r="B1828" s="111">
        <v>2</v>
      </c>
      <c r="C1828" s="115">
        <v>0.0010003169700559646</v>
      </c>
      <c r="D1828" s="111" t="s">
        <v>821</v>
      </c>
      <c r="E1828" s="111" t="b">
        <v>0</v>
      </c>
      <c r="F1828" s="111" t="b">
        <v>0</v>
      </c>
      <c r="G1828" s="111" t="b">
        <v>0</v>
      </c>
    </row>
    <row r="1829" spans="1:7" ht="15">
      <c r="A1829" s="113" t="s">
        <v>1057</v>
      </c>
      <c r="B1829" s="111">
        <v>2</v>
      </c>
      <c r="C1829" s="115">
        <v>0.0010003169700559646</v>
      </c>
      <c r="D1829" s="111" t="s">
        <v>821</v>
      </c>
      <c r="E1829" s="111" t="b">
        <v>0</v>
      </c>
      <c r="F1829" s="111" t="b">
        <v>0</v>
      </c>
      <c r="G1829" s="111" t="b">
        <v>0</v>
      </c>
    </row>
    <row r="1830" spans="1:7" ht="15">
      <c r="A1830" s="113" t="s">
        <v>943</v>
      </c>
      <c r="B1830" s="111">
        <v>2</v>
      </c>
      <c r="C1830" s="115">
        <v>0.0010003169700559646</v>
      </c>
      <c r="D1830" s="111" t="s">
        <v>821</v>
      </c>
      <c r="E1830" s="111" t="b">
        <v>0</v>
      </c>
      <c r="F1830" s="111" t="b">
        <v>0</v>
      </c>
      <c r="G1830" s="111" t="b">
        <v>0</v>
      </c>
    </row>
    <row r="1831" spans="1:7" ht="15">
      <c r="A1831" s="113" t="s">
        <v>1188</v>
      </c>
      <c r="B1831" s="111">
        <v>2</v>
      </c>
      <c r="C1831" s="115">
        <v>0.0010003169700559646</v>
      </c>
      <c r="D1831" s="111" t="s">
        <v>821</v>
      </c>
      <c r="E1831" s="111" t="b">
        <v>0</v>
      </c>
      <c r="F1831" s="111" t="b">
        <v>0</v>
      </c>
      <c r="G1831" s="111" t="b">
        <v>0</v>
      </c>
    </row>
    <row r="1832" spans="1:7" ht="15">
      <c r="A1832" s="113" t="s">
        <v>1914</v>
      </c>
      <c r="B1832" s="111">
        <v>2</v>
      </c>
      <c r="C1832" s="115">
        <v>0.0010003169700559646</v>
      </c>
      <c r="D1832" s="111" t="s">
        <v>821</v>
      </c>
      <c r="E1832" s="111" t="b">
        <v>0</v>
      </c>
      <c r="F1832" s="111" t="b">
        <v>1</v>
      </c>
      <c r="G1832" s="111" t="b">
        <v>0</v>
      </c>
    </row>
    <row r="1833" spans="1:7" ht="15">
      <c r="A1833" s="113" t="s">
        <v>1016</v>
      </c>
      <c r="B1833" s="111">
        <v>2</v>
      </c>
      <c r="C1833" s="115">
        <v>0.0010003169700559646</v>
      </c>
      <c r="D1833" s="111" t="s">
        <v>821</v>
      </c>
      <c r="E1833" s="111" t="b">
        <v>0</v>
      </c>
      <c r="F1833" s="111" t="b">
        <v>0</v>
      </c>
      <c r="G1833" s="111" t="b">
        <v>0</v>
      </c>
    </row>
    <row r="1834" spans="1:7" ht="15">
      <c r="A1834" s="113" t="s">
        <v>1358</v>
      </c>
      <c r="B1834" s="111">
        <v>2</v>
      </c>
      <c r="C1834" s="115">
        <v>0.0010003169700559646</v>
      </c>
      <c r="D1834" s="111" t="s">
        <v>821</v>
      </c>
      <c r="E1834" s="111" t="b">
        <v>0</v>
      </c>
      <c r="F1834" s="111" t="b">
        <v>0</v>
      </c>
      <c r="G1834" s="111" t="b">
        <v>0</v>
      </c>
    </row>
    <row r="1835" spans="1:7" ht="15">
      <c r="A1835" s="113" t="s">
        <v>1151</v>
      </c>
      <c r="B1835" s="111">
        <v>2</v>
      </c>
      <c r="C1835" s="115">
        <v>0.0012596020653737779</v>
      </c>
      <c r="D1835" s="111" t="s">
        <v>821</v>
      </c>
      <c r="E1835" s="111" t="b">
        <v>0</v>
      </c>
      <c r="F1835" s="111" t="b">
        <v>0</v>
      </c>
      <c r="G1835" s="111" t="b">
        <v>0</v>
      </c>
    </row>
    <row r="1836" spans="1:7" ht="15">
      <c r="A1836" s="113" t="s">
        <v>1263</v>
      </c>
      <c r="B1836" s="111">
        <v>2</v>
      </c>
      <c r="C1836" s="115">
        <v>0.0012596020653737779</v>
      </c>
      <c r="D1836" s="111" t="s">
        <v>821</v>
      </c>
      <c r="E1836" s="111" t="b">
        <v>0</v>
      </c>
      <c r="F1836" s="111" t="b">
        <v>0</v>
      </c>
      <c r="G1836" s="111" t="b">
        <v>0</v>
      </c>
    </row>
    <row r="1837" spans="1:7" ht="15">
      <c r="A1837" s="113" t="s">
        <v>1100</v>
      </c>
      <c r="B1837" s="111">
        <v>2</v>
      </c>
      <c r="C1837" s="115">
        <v>0.0010003169700559646</v>
      </c>
      <c r="D1837" s="111" t="s">
        <v>821</v>
      </c>
      <c r="E1837" s="111" t="b">
        <v>0</v>
      </c>
      <c r="F1837" s="111" t="b">
        <v>0</v>
      </c>
      <c r="G1837" s="111" t="b">
        <v>0</v>
      </c>
    </row>
    <row r="1838" spans="1:7" ht="15">
      <c r="A1838" s="113" t="s">
        <v>1932</v>
      </c>
      <c r="B1838" s="111">
        <v>2</v>
      </c>
      <c r="C1838" s="115">
        <v>0.0010003169700559646</v>
      </c>
      <c r="D1838" s="111" t="s">
        <v>821</v>
      </c>
      <c r="E1838" s="111" t="b">
        <v>0</v>
      </c>
      <c r="F1838" s="111" t="b">
        <v>0</v>
      </c>
      <c r="G1838" s="111" t="b">
        <v>0</v>
      </c>
    </row>
    <row r="1839" spans="1:7" ht="15">
      <c r="A1839" s="113" t="s">
        <v>1959</v>
      </c>
      <c r="B1839" s="111">
        <v>2</v>
      </c>
      <c r="C1839" s="115">
        <v>0.0012596020653737779</v>
      </c>
      <c r="D1839" s="111" t="s">
        <v>821</v>
      </c>
      <c r="E1839" s="111" t="b">
        <v>0</v>
      </c>
      <c r="F1839" s="111" t="b">
        <v>0</v>
      </c>
      <c r="G1839" s="111" t="b">
        <v>0</v>
      </c>
    </row>
    <row r="1840" spans="1:7" ht="15">
      <c r="A1840" s="113" t="s">
        <v>1960</v>
      </c>
      <c r="B1840" s="111">
        <v>2</v>
      </c>
      <c r="C1840" s="115">
        <v>0.0012596020653737779</v>
      </c>
      <c r="D1840" s="111" t="s">
        <v>821</v>
      </c>
      <c r="E1840" s="111" t="b">
        <v>0</v>
      </c>
      <c r="F1840" s="111" t="b">
        <v>0</v>
      </c>
      <c r="G1840" s="111" t="b">
        <v>0</v>
      </c>
    </row>
    <row r="1841" spans="1:7" ht="15">
      <c r="A1841" s="113" t="s">
        <v>1961</v>
      </c>
      <c r="B1841" s="111">
        <v>2</v>
      </c>
      <c r="C1841" s="115">
        <v>0.0012596020653737779</v>
      </c>
      <c r="D1841" s="111" t="s">
        <v>821</v>
      </c>
      <c r="E1841" s="111" t="b">
        <v>0</v>
      </c>
      <c r="F1841" s="111" t="b">
        <v>0</v>
      </c>
      <c r="G1841" s="111" t="b">
        <v>0</v>
      </c>
    </row>
    <row r="1842" spans="1:7" ht="15">
      <c r="A1842" s="113" t="s">
        <v>1962</v>
      </c>
      <c r="B1842" s="111">
        <v>2</v>
      </c>
      <c r="C1842" s="115">
        <v>0.0012596020653737779</v>
      </c>
      <c r="D1842" s="111" t="s">
        <v>821</v>
      </c>
      <c r="E1842" s="111" t="b">
        <v>0</v>
      </c>
      <c r="F1842" s="111" t="b">
        <v>0</v>
      </c>
      <c r="G1842" s="111" t="b">
        <v>0</v>
      </c>
    </row>
    <row r="1843" spans="1:7" ht="15">
      <c r="A1843" s="113" t="s">
        <v>1957</v>
      </c>
      <c r="B1843" s="111">
        <v>2</v>
      </c>
      <c r="C1843" s="115">
        <v>0.0012596020653737779</v>
      </c>
      <c r="D1843" s="111" t="s">
        <v>821</v>
      </c>
      <c r="E1843" s="111" t="b">
        <v>0</v>
      </c>
      <c r="F1843" s="111" t="b">
        <v>0</v>
      </c>
      <c r="G1843" s="111" t="b">
        <v>0</v>
      </c>
    </row>
    <row r="1844" spans="1:7" ht="15">
      <c r="A1844" s="113" t="s">
        <v>1256</v>
      </c>
      <c r="B1844" s="111">
        <v>2</v>
      </c>
      <c r="C1844" s="115">
        <v>0.0012596020653737779</v>
      </c>
      <c r="D1844" s="111" t="s">
        <v>821</v>
      </c>
      <c r="E1844" s="111" t="b">
        <v>0</v>
      </c>
      <c r="F1844" s="111" t="b">
        <v>0</v>
      </c>
      <c r="G1844" s="111" t="b">
        <v>0</v>
      </c>
    </row>
    <row r="1845" spans="1:7" ht="15">
      <c r="A1845" s="113" t="s">
        <v>1243</v>
      </c>
      <c r="B1845" s="111">
        <v>2</v>
      </c>
      <c r="C1845" s="115">
        <v>0.0010003169700559646</v>
      </c>
      <c r="D1845" s="111" t="s">
        <v>821</v>
      </c>
      <c r="E1845" s="111" t="b">
        <v>0</v>
      </c>
      <c r="F1845" s="111" t="b">
        <v>0</v>
      </c>
      <c r="G1845" s="111" t="b">
        <v>0</v>
      </c>
    </row>
    <row r="1846" spans="1:7" ht="15">
      <c r="A1846" s="113" t="s">
        <v>1251</v>
      </c>
      <c r="B1846" s="111">
        <v>2</v>
      </c>
      <c r="C1846" s="115">
        <v>0.0010003169700559646</v>
      </c>
      <c r="D1846" s="111" t="s">
        <v>821</v>
      </c>
      <c r="E1846" s="111" t="b">
        <v>1</v>
      </c>
      <c r="F1846" s="111" t="b">
        <v>0</v>
      </c>
      <c r="G1846" s="111" t="b">
        <v>0</v>
      </c>
    </row>
    <row r="1847" spans="1:7" ht="15">
      <c r="A1847" s="113" t="s">
        <v>1164</v>
      </c>
      <c r="B1847" s="111">
        <v>2</v>
      </c>
      <c r="C1847" s="115">
        <v>0.0010003169700559646</v>
      </c>
      <c r="D1847" s="111" t="s">
        <v>821</v>
      </c>
      <c r="E1847" s="111" t="b">
        <v>0</v>
      </c>
      <c r="F1847" s="111" t="b">
        <v>0</v>
      </c>
      <c r="G1847" s="111" t="b">
        <v>0</v>
      </c>
    </row>
    <row r="1848" spans="1:7" ht="15">
      <c r="A1848" s="113" t="s">
        <v>1082</v>
      </c>
      <c r="B1848" s="111">
        <v>2</v>
      </c>
      <c r="C1848" s="115">
        <v>0.0010003169700559646</v>
      </c>
      <c r="D1848" s="111" t="s">
        <v>821</v>
      </c>
      <c r="E1848" s="111" t="b">
        <v>0</v>
      </c>
      <c r="F1848" s="111" t="b">
        <v>0</v>
      </c>
      <c r="G1848" s="111" t="b">
        <v>0</v>
      </c>
    </row>
    <row r="1849" spans="1:7" ht="15">
      <c r="A1849" s="113" t="s">
        <v>775</v>
      </c>
      <c r="B1849" s="111">
        <v>2</v>
      </c>
      <c r="C1849" s="115">
        <v>0.0012596020653737779</v>
      </c>
      <c r="D1849" s="111" t="s">
        <v>821</v>
      </c>
      <c r="E1849" s="111" t="b">
        <v>0</v>
      </c>
      <c r="F1849" s="111" t="b">
        <v>0</v>
      </c>
      <c r="G1849" s="111" t="b">
        <v>0</v>
      </c>
    </row>
    <row r="1850" spans="1:7" ht="15">
      <c r="A1850" s="113" t="s">
        <v>1440</v>
      </c>
      <c r="B1850" s="111">
        <v>2</v>
      </c>
      <c r="C1850" s="115">
        <v>0.0010003169700559646</v>
      </c>
      <c r="D1850" s="111" t="s">
        <v>821</v>
      </c>
      <c r="E1850" s="111" t="b">
        <v>0</v>
      </c>
      <c r="F1850" s="111" t="b">
        <v>0</v>
      </c>
      <c r="G1850" s="111" t="b">
        <v>0</v>
      </c>
    </row>
    <row r="1851" spans="1:7" ht="15">
      <c r="A1851" s="113" t="s">
        <v>1360</v>
      </c>
      <c r="B1851" s="111">
        <v>2</v>
      </c>
      <c r="C1851" s="115">
        <v>0.0012596020653737779</v>
      </c>
      <c r="D1851" s="111" t="s">
        <v>821</v>
      </c>
      <c r="E1851" s="111" t="b">
        <v>0</v>
      </c>
      <c r="F1851" s="111" t="b">
        <v>1</v>
      </c>
      <c r="G1851" s="111" t="b">
        <v>0</v>
      </c>
    </row>
    <row r="1852" spans="1:7" ht="15">
      <c r="A1852" s="113" t="s">
        <v>1225</v>
      </c>
      <c r="B1852" s="111">
        <v>2</v>
      </c>
      <c r="C1852" s="115">
        <v>0.0012596020653737779</v>
      </c>
      <c r="D1852" s="111" t="s">
        <v>821</v>
      </c>
      <c r="E1852" s="111" t="b">
        <v>0</v>
      </c>
      <c r="F1852" s="111" t="b">
        <v>0</v>
      </c>
      <c r="G1852" s="111" t="b">
        <v>0</v>
      </c>
    </row>
    <row r="1853" spans="1:7" ht="15">
      <c r="A1853" s="113" t="s">
        <v>1908</v>
      </c>
      <c r="B1853" s="111">
        <v>2</v>
      </c>
      <c r="C1853" s="115">
        <v>0.0010003169700559646</v>
      </c>
      <c r="D1853" s="111" t="s">
        <v>821</v>
      </c>
      <c r="E1853" s="111" t="b">
        <v>0</v>
      </c>
      <c r="F1853" s="111" t="b">
        <v>0</v>
      </c>
      <c r="G1853" s="111" t="b">
        <v>0</v>
      </c>
    </row>
    <row r="1854" spans="1:7" ht="15">
      <c r="A1854" s="113" t="s">
        <v>1212</v>
      </c>
      <c r="B1854" s="111">
        <v>2</v>
      </c>
      <c r="C1854" s="115">
        <v>0.0012596020653737779</v>
      </c>
      <c r="D1854" s="111" t="s">
        <v>821</v>
      </c>
      <c r="E1854" s="111" t="b">
        <v>0</v>
      </c>
      <c r="F1854" s="111" t="b">
        <v>0</v>
      </c>
      <c r="G1854" s="111" t="b">
        <v>0</v>
      </c>
    </row>
    <row r="1855" spans="1:7" ht="15">
      <c r="A1855" s="113" t="s">
        <v>1240</v>
      </c>
      <c r="B1855" s="111">
        <v>2</v>
      </c>
      <c r="C1855" s="115">
        <v>0.0012596020653737779</v>
      </c>
      <c r="D1855" s="111" t="s">
        <v>821</v>
      </c>
      <c r="E1855" s="111" t="b">
        <v>0</v>
      </c>
      <c r="F1855" s="111" t="b">
        <v>0</v>
      </c>
      <c r="G1855" s="111" t="b">
        <v>0</v>
      </c>
    </row>
    <row r="1856" spans="1:7" ht="15">
      <c r="A1856" s="113" t="s">
        <v>1301</v>
      </c>
      <c r="B1856" s="111">
        <v>2</v>
      </c>
      <c r="C1856" s="115">
        <v>0.0010003169700559646</v>
      </c>
      <c r="D1856" s="111" t="s">
        <v>821</v>
      </c>
      <c r="E1856" s="111" t="b">
        <v>0</v>
      </c>
      <c r="F1856" s="111" t="b">
        <v>1</v>
      </c>
      <c r="G1856" s="111" t="b">
        <v>0</v>
      </c>
    </row>
    <row r="1857" spans="1:7" ht="15">
      <c r="A1857" s="113" t="s">
        <v>1368</v>
      </c>
      <c r="B1857" s="111">
        <v>2</v>
      </c>
      <c r="C1857" s="115">
        <v>0.0010003169700559646</v>
      </c>
      <c r="D1857" s="111" t="s">
        <v>821</v>
      </c>
      <c r="E1857" s="111" t="b">
        <v>0</v>
      </c>
      <c r="F1857" s="111" t="b">
        <v>0</v>
      </c>
      <c r="G1857" s="111" t="b">
        <v>0</v>
      </c>
    </row>
    <row r="1858" spans="1:7" ht="15">
      <c r="A1858" s="113" t="s">
        <v>1934</v>
      </c>
      <c r="B1858" s="111">
        <v>2</v>
      </c>
      <c r="C1858" s="115">
        <v>0.0010003169700559646</v>
      </c>
      <c r="D1858" s="111" t="s">
        <v>821</v>
      </c>
      <c r="E1858" s="111" t="b">
        <v>0</v>
      </c>
      <c r="F1858" s="111" t="b">
        <v>0</v>
      </c>
      <c r="G1858" s="111" t="b">
        <v>0</v>
      </c>
    </row>
    <row r="1859" spans="1:7" ht="15">
      <c r="A1859" s="113" t="s">
        <v>1162</v>
      </c>
      <c r="B1859" s="111">
        <v>2</v>
      </c>
      <c r="C1859" s="115">
        <v>0.0010003169700559646</v>
      </c>
      <c r="D1859" s="111" t="s">
        <v>821</v>
      </c>
      <c r="E1859" s="111" t="b">
        <v>0</v>
      </c>
      <c r="F1859" s="111" t="b">
        <v>0</v>
      </c>
      <c r="G1859" s="111" t="b">
        <v>0</v>
      </c>
    </row>
    <row r="1860" spans="1:7" ht="15">
      <c r="A1860" s="113" t="s">
        <v>1024</v>
      </c>
      <c r="B1860" s="111">
        <v>2</v>
      </c>
      <c r="C1860" s="115">
        <v>0.0010003169700559646</v>
      </c>
      <c r="D1860" s="111" t="s">
        <v>821</v>
      </c>
      <c r="E1860" s="111" t="b">
        <v>0</v>
      </c>
      <c r="F1860" s="111" t="b">
        <v>0</v>
      </c>
      <c r="G1860" s="111" t="b">
        <v>0</v>
      </c>
    </row>
    <row r="1861" spans="1:7" ht="15">
      <c r="A1861" s="113" t="s">
        <v>1163</v>
      </c>
      <c r="B1861" s="111">
        <v>2</v>
      </c>
      <c r="C1861" s="115">
        <v>0.0010003169700559646</v>
      </c>
      <c r="D1861" s="111" t="s">
        <v>821</v>
      </c>
      <c r="E1861" s="111" t="b">
        <v>0</v>
      </c>
      <c r="F1861" s="111" t="b">
        <v>0</v>
      </c>
      <c r="G1861" s="111" t="b">
        <v>0</v>
      </c>
    </row>
    <row r="1862" spans="1:7" ht="15">
      <c r="A1862" s="113" t="s">
        <v>1498</v>
      </c>
      <c r="B1862" s="111">
        <v>2</v>
      </c>
      <c r="C1862" s="115">
        <v>0.0012596020653737779</v>
      </c>
      <c r="D1862" s="111" t="s">
        <v>821</v>
      </c>
      <c r="E1862" s="111" t="b">
        <v>0</v>
      </c>
      <c r="F1862" s="111" t="b">
        <v>0</v>
      </c>
      <c r="G1862" s="111" t="b">
        <v>0</v>
      </c>
    </row>
    <row r="1863" spans="1:7" ht="15">
      <c r="A1863" s="113" t="s">
        <v>1942</v>
      </c>
      <c r="B1863" s="111">
        <v>2</v>
      </c>
      <c r="C1863" s="115">
        <v>0.0012596020653737779</v>
      </c>
      <c r="D1863" s="111" t="s">
        <v>821</v>
      </c>
      <c r="E1863" s="111" t="b">
        <v>0</v>
      </c>
      <c r="F1863" s="111" t="b">
        <v>0</v>
      </c>
      <c r="G1863" s="111" t="b">
        <v>0</v>
      </c>
    </row>
    <row r="1864" spans="1:7" ht="15">
      <c r="A1864" s="113" t="s">
        <v>1124</v>
      </c>
      <c r="B1864" s="111">
        <v>2</v>
      </c>
      <c r="C1864" s="115">
        <v>0.0010003169700559646</v>
      </c>
      <c r="D1864" s="111" t="s">
        <v>821</v>
      </c>
      <c r="E1864" s="111" t="b">
        <v>0</v>
      </c>
      <c r="F1864" s="111" t="b">
        <v>0</v>
      </c>
      <c r="G1864" s="111" t="b">
        <v>0</v>
      </c>
    </row>
    <row r="1865" spans="1:7" ht="15">
      <c r="A1865" s="113" t="s">
        <v>1943</v>
      </c>
      <c r="B1865" s="111">
        <v>2</v>
      </c>
      <c r="C1865" s="115">
        <v>0.0012596020653737779</v>
      </c>
      <c r="D1865" s="111" t="s">
        <v>821</v>
      </c>
      <c r="E1865" s="111" t="b">
        <v>0</v>
      </c>
      <c r="F1865" s="111" t="b">
        <v>0</v>
      </c>
      <c r="G1865" s="111" t="b">
        <v>0</v>
      </c>
    </row>
    <row r="1866" spans="1:7" ht="15">
      <c r="A1866" s="113" t="s">
        <v>1944</v>
      </c>
      <c r="B1866" s="111">
        <v>2</v>
      </c>
      <c r="C1866" s="115">
        <v>0.0012596020653737779</v>
      </c>
      <c r="D1866" s="111" t="s">
        <v>821</v>
      </c>
      <c r="E1866" s="111" t="b">
        <v>0</v>
      </c>
      <c r="F1866" s="111" t="b">
        <v>0</v>
      </c>
      <c r="G1866" s="111" t="b">
        <v>0</v>
      </c>
    </row>
    <row r="1867" spans="1:7" ht="15">
      <c r="A1867" s="113" t="s">
        <v>1214</v>
      </c>
      <c r="B1867" s="111">
        <v>2</v>
      </c>
      <c r="C1867" s="115">
        <v>0.0012596020653737779</v>
      </c>
      <c r="D1867" s="111" t="s">
        <v>821</v>
      </c>
      <c r="E1867" s="111" t="b">
        <v>0</v>
      </c>
      <c r="F1867" s="111" t="b">
        <v>0</v>
      </c>
      <c r="G1867" s="111" t="b">
        <v>0</v>
      </c>
    </row>
    <row r="1868" spans="1:7" ht="15">
      <c r="A1868" s="113" t="s">
        <v>1448</v>
      </c>
      <c r="B1868" s="111">
        <v>2</v>
      </c>
      <c r="C1868" s="115">
        <v>0.0012596020653737779</v>
      </c>
      <c r="D1868" s="111" t="s">
        <v>821</v>
      </c>
      <c r="E1868" s="111" t="b">
        <v>0</v>
      </c>
      <c r="F1868" s="111" t="b">
        <v>0</v>
      </c>
      <c r="G1868" s="111" t="b">
        <v>0</v>
      </c>
    </row>
    <row r="1869" spans="1:7" ht="15">
      <c r="A1869" s="113" t="s">
        <v>1115</v>
      </c>
      <c r="B1869" s="111">
        <v>2</v>
      </c>
      <c r="C1869" s="115">
        <v>0.0010003169700559646</v>
      </c>
      <c r="D1869" s="111" t="s">
        <v>821</v>
      </c>
      <c r="E1869" s="111" t="b">
        <v>0</v>
      </c>
      <c r="F1869" s="111" t="b">
        <v>0</v>
      </c>
      <c r="G1869" s="111" t="b">
        <v>0</v>
      </c>
    </row>
    <row r="1870" spans="1:7" ht="15">
      <c r="A1870" s="113" t="s">
        <v>1247</v>
      </c>
      <c r="B1870" s="111">
        <v>2</v>
      </c>
      <c r="C1870" s="115">
        <v>0.0012596020653737779</v>
      </c>
      <c r="D1870" s="111" t="s">
        <v>821</v>
      </c>
      <c r="E1870" s="111" t="b">
        <v>0</v>
      </c>
      <c r="F1870" s="111" t="b">
        <v>0</v>
      </c>
      <c r="G1870" s="111" t="b">
        <v>0</v>
      </c>
    </row>
    <row r="1871" spans="1:7" ht="15">
      <c r="A1871" s="113" t="s">
        <v>1023</v>
      </c>
      <c r="B1871" s="111">
        <v>2</v>
      </c>
      <c r="C1871" s="115">
        <v>0.0010003169700559646</v>
      </c>
      <c r="D1871" s="111" t="s">
        <v>821</v>
      </c>
      <c r="E1871" s="111" t="b">
        <v>0</v>
      </c>
      <c r="F1871" s="111" t="b">
        <v>0</v>
      </c>
      <c r="G1871" s="111" t="b">
        <v>0</v>
      </c>
    </row>
    <row r="1872" spans="1:7" ht="15">
      <c r="A1872" s="113" t="s">
        <v>1896</v>
      </c>
      <c r="B1872" s="111">
        <v>2</v>
      </c>
      <c r="C1872" s="115">
        <v>0.0010003169700559646</v>
      </c>
      <c r="D1872" s="111" t="s">
        <v>821</v>
      </c>
      <c r="E1872" s="111" t="b">
        <v>0</v>
      </c>
      <c r="F1872" s="111" t="b">
        <v>0</v>
      </c>
      <c r="G1872" s="111" t="b">
        <v>0</v>
      </c>
    </row>
    <row r="1873" spans="1:7" ht="15">
      <c r="A1873" s="113" t="s">
        <v>1444</v>
      </c>
      <c r="B1873" s="111">
        <v>2</v>
      </c>
      <c r="C1873" s="115">
        <v>0.0010003169700559646</v>
      </c>
      <c r="D1873" s="111" t="s">
        <v>821</v>
      </c>
      <c r="E1873" s="111" t="b">
        <v>0</v>
      </c>
      <c r="F1873" s="111" t="b">
        <v>0</v>
      </c>
      <c r="G1873" s="111" t="b">
        <v>0</v>
      </c>
    </row>
    <row r="1874" spans="1:7" ht="15">
      <c r="A1874" s="113" t="s">
        <v>1185</v>
      </c>
      <c r="B1874" s="111">
        <v>2</v>
      </c>
      <c r="C1874" s="115">
        <v>0.0010003169700559646</v>
      </c>
      <c r="D1874" s="111" t="s">
        <v>821</v>
      </c>
      <c r="E1874" s="111" t="b">
        <v>0</v>
      </c>
      <c r="F1874" s="111" t="b">
        <v>0</v>
      </c>
      <c r="G1874" s="111" t="b">
        <v>0</v>
      </c>
    </row>
    <row r="1875" spans="1:7" ht="15">
      <c r="A1875" s="113" t="s">
        <v>1097</v>
      </c>
      <c r="B1875" s="111">
        <v>2</v>
      </c>
      <c r="C1875" s="115">
        <v>0.0010003169700559646</v>
      </c>
      <c r="D1875" s="111" t="s">
        <v>821</v>
      </c>
      <c r="E1875" s="111" t="b">
        <v>0</v>
      </c>
      <c r="F1875" s="111" t="b">
        <v>0</v>
      </c>
      <c r="G1875" s="111" t="b">
        <v>0</v>
      </c>
    </row>
    <row r="1876" spans="1:7" ht="15">
      <c r="A1876" s="113" t="s">
        <v>1119</v>
      </c>
      <c r="B1876" s="111">
        <v>2</v>
      </c>
      <c r="C1876" s="115">
        <v>0.0010003169700559646</v>
      </c>
      <c r="D1876" s="111" t="s">
        <v>821</v>
      </c>
      <c r="E1876" s="111" t="b">
        <v>0</v>
      </c>
      <c r="F1876" s="111" t="b">
        <v>0</v>
      </c>
      <c r="G1876" s="111" t="b">
        <v>0</v>
      </c>
    </row>
    <row r="1877" spans="1:7" ht="15">
      <c r="A1877" s="113" t="s">
        <v>1940</v>
      </c>
      <c r="B1877" s="111">
        <v>2</v>
      </c>
      <c r="C1877" s="115">
        <v>0.0012596020653737779</v>
      </c>
      <c r="D1877" s="111" t="s">
        <v>821</v>
      </c>
      <c r="E1877" s="111" t="b">
        <v>0</v>
      </c>
      <c r="F1877" s="111" t="b">
        <v>0</v>
      </c>
      <c r="G1877" s="111" t="b">
        <v>0</v>
      </c>
    </row>
    <row r="1878" spans="1:7" ht="15">
      <c r="A1878" s="113" t="s">
        <v>1237</v>
      </c>
      <c r="B1878" s="111">
        <v>2</v>
      </c>
      <c r="C1878" s="115">
        <v>0.0010003169700559646</v>
      </c>
      <c r="D1878" s="111" t="s">
        <v>821</v>
      </c>
      <c r="E1878" s="111" t="b">
        <v>0</v>
      </c>
      <c r="F1878" s="111" t="b">
        <v>0</v>
      </c>
      <c r="G1878" s="111" t="b">
        <v>0</v>
      </c>
    </row>
    <row r="1879" spans="1:7" ht="15">
      <c r="A1879" s="113" t="s">
        <v>969</v>
      </c>
      <c r="B1879" s="111">
        <v>2</v>
      </c>
      <c r="C1879" s="115">
        <v>0.0010003169700559646</v>
      </c>
      <c r="D1879" s="111" t="s">
        <v>821</v>
      </c>
      <c r="E1879" s="111" t="b">
        <v>0</v>
      </c>
      <c r="F1879" s="111" t="b">
        <v>0</v>
      </c>
      <c r="G1879" s="111" t="b">
        <v>0</v>
      </c>
    </row>
    <row r="1880" spans="1:7" ht="15">
      <c r="A1880" s="113" t="s">
        <v>1937</v>
      </c>
      <c r="B1880" s="111">
        <v>2</v>
      </c>
      <c r="C1880" s="115">
        <v>0.0012596020653737779</v>
      </c>
      <c r="D1880" s="111" t="s">
        <v>821</v>
      </c>
      <c r="E1880" s="111" t="b">
        <v>0</v>
      </c>
      <c r="F1880" s="111" t="b">
        <v>0</v>
      </c>
      <c r="G1880" s="111" t="b">
        <v>0</v>
      </c>
    </row>
    <row r="1881" spans="1:7" ht="15">
      <c r="A1881" s="113" t="s">
        <v>932</v>
      </c>
      <c r="B1881" s="111">
        <v>2</v>
      </c>
      <c r="C1881" s="115">
        <v>0.0012596020653737779</v>
      </c>
      <c r="D1881" s="111" t="s">
        <v>821</v>
      </c>
      <c r="E1881" s="111" t="b">
        <v>0</v>
      </c>
      <c r="F1881" s="111" t="b">
        <v>0</v>
      </c>
      <c r="G1881" s="111" t="b">
        <v>0</v>
      </c>
    </row>
    <row r="1882" spans="1:7" ht="15">
      <c r="A1882" s="113" t="s">
        <v>1938</v>
      </c>
      <c r="B1882" s="111">
        <v>2</v>
      </c>
      <c r="C1882" s="115">
        <v>0.0012596020653737779</v>
      </c>
      <c r="D1882" s="111" t="s">
        <v>821</v>
      </c>
      <c r="E1882" s="111" t="b">
        <v>0</v>
      </c>
      <c r="F1882" s="111" t="b">
        <v>0</v>
      </c>
      <c r="G1882" s="111" t="b">
        <v>0</v>
      </c>
    </row>
    <row r="1883" spans="1:7" ht="15">
      <c r="A1883" s="113" t="s">
        <v>1127</v>
      </c>
      <c r="B1883" s="111">
        <v>2</v>
      </c>
      <c r="C1883" s="115">
        <v>0.0012596020653737779</v>
      </c>
      <c r="D1883" s="111" t="s">
        <v>821</v>
      </c>
      <c r="E1883" s="111" t="b">
        <v>0</v>
      </c>
      <c r="F1883" s="111" t="b">
        <v>0</v>
      </c>
      <c r="G1883" s="111" t="b">
        <v>0</v>
      </c>
    </row>
    <row r="1884" spans="1:7" ht="15">
      <c r="A1884" s="113" t="s">
        <v>1892</v>
      </c>
      <c r="B1884" s="111">
        <v>2</v>
      </c>
      <c r="C1884" s="115">
        <v>0.0010003169700559646</v>
      </c>
      <c r="D1884" s="111" t="s">
        <v>821</v>
      </c>
      <c r="E1884" s="111" t="b">
        <v>0</v>
      </c>
      <c r="F1884" s="111" t="b">
        <v>0</v>
      </c>
      <c r="G1884" s="111" t="b">
        <v>0</v>
      </c>
    </row>
    <row r="1885" spans="1:7" ht="15">
      <c r="A1885" s="113" t="s">
        <v>1935</v>
      </c>
      <c r="B1885" s="111">
        <v>2</v>
      </c>
      <c r="C1885" s="115">
        <v>0.0012596020653737779</v>
      </c>
      <c r="D1885" s="111" t="s">
        <v>821</v>
      </c>
      <c r="E1885" s="111" t="b">
        <v>0</v>
      </c>
      <c r="F1885" s="111" t="b">
        <v>0</v>
      </c>
      <c r="G1885" s="111" t="b">
        <v>0</v>
      </c>
    </row>
    <row r="1886" spans="1:7" ht="15">
      <c r="A1886" s="113" t="s">
        <v>1936</v>
      </c>
      <c r="B1886" s="111">
        <v>2</v>
      </c>
      <c r="C1886" s="115">
        <v>0.0012596020653737779</v>
      </c>
      <c r="D1886" s="111" t="s">
        <v>821</v>
      </c>
      <c r="E1886" s="111" t="b">
        <v>0</v>
      </c>
      <c r="F1886" s="111" t="b">
        <v>0</v>
      </c>
      <c r="G1886" s="111" t="b">
        <v>0</v>
      </c>
    </row>
    <row r="1887" spans="1:7" ht="15">
      <c r="A1887" s="113" t="s">
        <v>1005</v>
      </c>
      <c r="B1887" s="111">
        <v>2</v>
      </c>
      <c r="C1887" s="115">
        <v>0.0010003169700559646</v>
      </c>
      <c r="D1887" s="111" t="s">
        <v>821</v>
      </c>
      <c r="E1887" s="111" t="b">
        <v>0</v>
      </c>
      <c r="F1887" s="111" t="b">
        <v>0</v>
      </c>
      <c r="G1887" s="111" t="b">
        <v>0</v>
      </c>
    </row>
    <row r="1888" spans="1:7" ht="15">
      <c r="A1888" s="113" t="s">
        <v>1010</v>
      </c>
      <c r="B1888" s="111">
        <v>2</v>
      </c>
      <c r="C1888" s="115">
        <v>0.0012596020653737779</v>
      </c>
      <c r="D1888" s="111" t="s">
        <v>821</v>
      </c>
      <c r="E1888" s="111" t="b">
        <v>0</v>
      </c>
      <c r="F1888" s="111" t="b">
        <v>0</v>
      </c>
      <c r="G1888" s="111" t="b">
        <v>0</v>
      </c>
    </row>
    <row r="1889" spans="1:7" ht="15">
      <c r="A1889" s="113" t="s">
        <v>1931</v>
      </c>
      <c r="B1889" s="111">
        <v>2</v>
      </c>
      <c r="C1889" s="115">
        <v>0.0012596020653737779</v>
      </c>
      <c r="D1889" s="111" t="s">
        <v>821</v>
      </c>
      <c r="E1889" s="111" t="b">
        <v>0</v>
      </c>
      <c r="F1889" s="111" t="b">
        <v>0</v>
      </c>
      <c r="G1889" s="111" t="b">
        <v>0</v>
      </c>
    </row>
    <row r="1890" spans="1:7" ht="15">
      <c r="A1890" s="113" t="s">
        <v>1291</v>
      </c>
      <c r="B1890" s="111">
        <v>2</v>
      </c>
      <c r="C1890" s="115">
        <v>0.0010003169700559646</v>
      </c>
      <c r="D1890" s="111" t="s">
        <v>821</v>
      </c>
      <c r="E1890" s="111" t="b">
        <v>0</v>
      </c>
      <c r="F1890" s="111" t="b">
        <v>0</v>
      </c>
      <c r="G1890" s="111" t="b">
        <v>0</v>
      </c>
    </row>
    <row r="1891" spans="1:7" ht="15">
      <c r="A1891" s="113" t="s">
        <v>1133</v>
      </c>
      <c r="B1891" s="111">
        <v>2</v>
      </c>
      <c r="C1891" s="115">
        <v>0.0012596020653737779</v>
      </c>
      <c r="D1891" s="111" t="s">
        <v>821</v>
      </c>
      <c r="E1891" s="111" t="b">
        <v>0</v>
      </c>
      <c r="F1891" s="111" t="b">
        <v>0</v>
      </c>
      <c r="G1891" s="111" t="b">
        <v>0</v>
      </c>
    </row>
    <row r="1892" spans="1:7" ht="15">
      <c r="A1892" s="113" t="s">
        <v>1229</v>
      </c>
      <c r="B1892" s="111">
        <v>2</v>
      </c>
      <c r="C1892" s="115">
        <v>0.0010003169700559646</v>
      </c>
      <c r="D1892" s="111" t="s">
        <v>821</v>
      </c>
      <c r="E1892" s="111" t="b">
        <v>0</v>
      </c>
      <c r="F1892" s="111" t="b">
        <v>0</v>
      </c>
      <c r="G1892" s="111" t="b">
        <v>0</v>
      </c>
    </row>
    <row r="1893" spans="1:7" ht="15">
      <c r="A1893" s="113" t="s">
        <v>1245</v>
      </c>
      <c r="B1893" s="111">
        <v>2</v>
      </c>
      <c r="C1893" s="115">
        <v>0.0012596020653737779</v>
      </c>
      <c r="D1893" s="111" t="s">
        <v>821</v>
      </c>
      <c r="E1893" s="111" t="b">
        <v>0</v>
      </c>
      <c r="F1893" s="111" t="b">
        <v>1</v>
      </c>
      <c r="G1893" s="111" t="b">
        <v>0</v>
      </c>
    </row>
    <row r="1894" spans="1:7" ht="15">
      <c r="A1894" s="113" t="s">
        <v>1004</v>
      </c>
      <c r="B1894" s="111">
        <v>2</v>
      </c>
      <c r="C1894" s="115">
        <v>0.0012596020653737779</v>
      </c>
      <c r="D1894" s="111" t="s">
        <v>821</v>
      </c>
      <c r="E1894" s="111" t="b">
        <v>0</v>
      </c>
      <c r="F1894" s="111" t="b">
        <v>0</v>
      </c>
      <c r="G1894" s="111" t="b">
        <v>0</v>
      </c>
    </row>
    <row r="1895" spans="1:7" ht="15">
      <c r="A1895" s="113" t="s">
        <v>973</v>
      </c>
      <c r="B1895" s="111">
        <v>2</v>
      </c>
      <c r="C1895" s="115">
        <v>0.0010003169700559646</v>
      </c>
      <c r="D1895" s="111" t="s">
        <v>821</v>
      </c>
      <c r="E1895" s="111" t="b">
        <v>0</v>
      </c>
      <c r="F1895" s="111" t="b">
        <v>1</v>
      </c>
      <c r="G1895" s="111" t="b">
        <v>0</v>
      </c>
    </row>
    <row r="1896" spans="1:7" ht="15">
      <c r="A1896" s="113" t="s">
        <v>1118</v>
      </c>
      <c r="B1896" s="111">
        <v>2</v>
      </c>
      <c r="C1896" s="115">
        <v>0.0010003169700559646</v>
      </c>
      <c r="D1896" s="111" t="s">
        <v>821</v>
      </c>
      <c r="E1896" s="111" t="b">
        <v>0</v>
      </c>
      <c r="F1896" s="111" t="b">
        <v>0</v>
      </c>
      <c r="G1896" s="111" t="b">
        <v>0</v>
      </c>
    </row>
    <row r="1897" spans="1:7" ht="15">
      <c r="A1897" s="113" t="s">
        <v>1901</v>
      </c>
      <c r="B1897" s="111">
        <v>2</v>
      </c>
      <c r="C1897" s="115">
        <v>0.0010003169700559646</v>
      </c>
      <c r="D1897" s="111" t="s">
        <v>821</v>
      </c>
      <c r="E1897" s="111" t="b">
        <v>0</v>
      </c>
      <c r="F1897" s="111" t="b">
        <v>0</v>
      </c>
      <c r="G1897" s="111" t="b">
        <v>0</v>
      </c>
    </row>
    <row r="1898" spans="1:7" ht="15">
      <c r="A1898" s="113" t="s">
        <v>1928</v>
      </c>
      <c r="B1898" s="111">
        <v>2</v>
      </c>
      <c r="C1898" s="115">
        <v>0.0012596020653737779</v>
      </c>
      <c r="D1898" s="111" t="s">
        <v>821</v>
      </c>
      <c r="E1898" s="111" t="b">
        <v>0</v>
      </c>
      <c r="F1898" s="111" t="b">
        <v>0</v>
      </c>
      <c r="G1898" s="111" t="b">
        <v>0</v>
      </c>
    </row>
    <row r="1899" spans="1:7" ht="15">
      <c r="A1899" s="113" t="s">
        <v>1929</v>
      </c>
      <c r="B1899" s="111">
        <v>2</v>
      </c>
      <c r="C1899" s="115">
        <v>0.0012596020653737779</v>
      </c>
      <c r="D1899" s="111" t="s">
        <v>821</v>
      </c>
      <c r="E1899" s="111" t="b">
        <v>0</v>
      </c>
      <c r="F1899" s="111" t="b">
        <v>0</v>
      </c>
      <c r="G1899" s="111" t="b">
        <v>0</v>
      </c>
    </row>
    <row r="1900" spans="1:7" ht="15">
      <c r="A1900" s="113" t="s">
        <v>945</v>
      </c>
      <c r="B1900" s="111">
        <v>2</v>
      </c>
      <c r="C1900" s="115">
        <v>0.0010003169700559646</v>
      </c>
      <c r="D1900" s="111" t="s">
        <v>821</v>
      </c>
      <c r="E1900" s="111" t="b">
        <v>0</v>
      </c>
      <c r="F1900" s="111" t="b">
        <v>0</v>
      </c>
      <c r="G1900" s="111" t="b">
        <v>0</v>
      </c>
    </row>
    <row r="1901" spans="1:7" ht="15">
      <c r="A1901" s="113" t="s">
        <v>1922</v>
      </c>
      <c r="B1901" s="111">
        <v>2</v>
      </c>
      <c r="C1901" s="115">
        <v>0.0010003169700559646</v>
      </c>
      <c r="D1901" s="111" t="s">
        <v>821</v>
      </c>
      <c r="E1901" s="111" t="b">
        <v>0</v>
      </c>
      <c r="F1901" s="111" t="b">
        <v>0</v>
      </c>
      <c r="G1901" s="111" t="b">
        <v>0</v>
      </c>
    </row>
    <row r="1902" spans="1:7" ht="15">
      <c r="A1902" s="113" t="s">
        <v>1923</v>
      </c>
      <c r="B1902" s="111">
        <v>2</v>
      </c>
      <c r="C1902" s="115">
        <v>0.0010003169700559646</v>
      </c>
      <c r="D1902" s="111" t="s">
        <v>821</v>
      </c>
      <c r="E1902" s="111" t="b">
        <v>0</v>
      </c>
      <c r="F1902" s="111" t="b">
        <v>0</v>
      </c>
      <c r="G1902" s="111" t="b">
        <v>0</v>
      </c>
    </row>
    <row r="1903" spans="1:7" ht="15">
      <c r="A1903" s="113" t="s">
        <v>1924</v>
      </c>
      <c r="B1903" s="111">
        <v>2</v>
      </c>
      <c r="C1903" s="115">
        <v>0.0010003169700559646</v>
      </c>
      <c r="D1903" s="111" t="s">
        <v>821</v>
      </c>
      <c r="E1903" s="111" t="b">
        <v>0</v>
      </c>
      <c r="F1903" s="111" t="b">
        <v>0</v>
      </c>
      <c r="G1903" s="111" t="b">
        <v>0</v>
      </c>
    </row>
    <row r="1904" spans="1:7" ht="15">
      <c r="A1904" s="113" t="s">
        <v>1925</v>
      </c>
      <c r="B1904" s="111">
        <v>2</v>
      </c>
      <c r="C1904" s="115">
        <v>0.0010003169700559646</v>
      </c>
      <c r="D1904" s="111" t="s">
        <v>821</v>
      </c>
      <c r="E1904" s="111" t="b">
        <v>0</v>
      </c>
      <c r="F1904" s="111" t="b">
        <v>0</v>
      </c>
      <c r="G1904" s="111" t="b">
        <v>0</v>
      </c>
    </row>
    <row r="1905" spans="1:7" ht="15">
      <c r="A1905" s="113" t="s">
        <v>1926</v>
      </c>
      <c r="B1905" s="111">
        <v>2</v>
      </c>
      <c r="C1905" s="115">
        <v>0.0010003169700559646</v>
      </c>
      <c r="D1905" s="111" t="s">
        <v>821</v>
      </c>
      <c r="E1905" s="111" t="b">
        <v>0</v>
      </c>
      <c r="F1905" s="111" t="b">
        <v>0</v>
      </c>
      <c r="G1905" s="111" t="b">
        <v>0</v>
      </c>
    </row>
    <row r="1906" spans="1:7" ht="15">
      <c r="A1906" s="113" t="s">
        <v>1927</v>
      </c>
      <c r="B1906" s="111">
        <v>2</v>
      </c>
      <c r="C1906" s="115">
        <v>0.0010003169700559646</v>
      </c>
      <c r="D1906" s="111" t="s">
        <v>821</v>
      </c>
      <c r="E1906" s="111" t="b">
        <v>0</v>
      </c>
      <c r="F1906" s="111" t="b">
        <v>0</v>
      </c>
      <c r="G1906" s="111" t="b">
        <v>0</v>
      </c>
    </row>
    <row r="1907" spans="1:7" ht="15">
      <c r="A1907" s="113" t="s">
        <v>1282</v>
      </c>
      <c r="B1907" s="111">
        <v>2</v>
      </c>
      <c r="C1907" s="115">
        <v>0.0010003169700559646</v>
      </c>
      <c r="D1907" s="111" t="s">
        <v>821</v>
      </c>
      <c r="E1907" s="111" t="b">
        <v>0</v>
      </c>
      <c r="F1907" s="111" t="b">
        <v>0</v>
      </c>
      <c r="G1907" s="111" t="b">
        <v>0</v>
      </c>
    </row>
    <row r="1908" spans="1:7" ht="15">
      <c r="A1908" s="113" t="s">
        <v>1918</v>
      </c>
      <c r="B1908" s="111">
        <v>2</v>
      </c>
      <c r="C1908" s="115">
        <v>0.0012596020653737779</v>
      </c>
      <c r="D1908" s="111" t="s">
        <v>821</v>
      </c>
      <c r="E1908" s="111" t="b">
        <v>0</v>
      </c>
      <c r="F1908" s="111" t="b">
        <v>0</v>
      </c>
      <c r="G1908" s="111" t="b">
        <v>0</v>
      </c>
    </row>
    <row r="1909" spans="1:7" ht="15">
      <c r="A1909" s="113" t="s">
        <v>1387</v>
      </c>
      <c r="B1909" s="111">
        <v>2</v>
      </c>
      <c r="C1909" s="115">
        <v>0.0012596020653737779</v>
      </c>
      <c r="D1909" s="111" t="s">
        <v>821</v>
      </c>
      <c r="E1909" s="111" t="b">
        <v>0</v>
      </c>
      <c r="F1909" s="111" t="b">
        <v>0</v>
      </c>
      <c r="G1909" s="111" t="b">
        <v>0</v>
      </c>
    </row>
    <row r="1910" spans="1:7" ht="15">
      <c r="A1910" s="113" t="s">
        <v>1919</v>
      </c>
      <c r="B1910" s="111">
        <v>2</v>
      </c>
      <c r="C1910" s="115">
        <v>0.0012596020653737779</v>
      </c>
      <c r="D1910" s="111" t="s">
        <v>821</v>
      </c>
      <c r="E1910" s="111" t="b">
        <v>0</v>
      </c>
      <c r="F1910" s="111" t="b">
        <v>0</v>
      </c>
      <c r="G1910" s="111" t="b">
        <v>0</v>
      </c>
    </row>
    <row r="1911" spans="1:7" ht="15">
      <c r="A1911" s="113" t="s">
        <v>1122</v>
      </c>
      <c r="B1911" s="111">
        <v>2</v>
      </c>
      <c r="C1911" s="115">
        <v>0.0010003169700559646</v>
      </c>
      <c r="D1911" s="111" t="s">
        <v>821</v>
      </c>
      <c r="E1911" s="111" t="b">
        <v>0</v>
      </c>
      <c r="F1911" s="111" t="b">
        <v>0</v>
      </c>
      <c r="G1911" s="111" t="b">
        <v>0</v>
      </c>
    </row>
    <row r="1912" spans="1:7" ht="15">
      <c r="A1912" s="113" t="s">
        <v>1208</v>
      </c>
      <c r="B1912" s="111">
        <v>2</v>
      </c>
      <c r="C1912" s="115">
        <v>0.0010003169700559646</v>
      </c>
      <c r="D1912" s="111" t="s">
        <v>821</v>
      </c>
      <c r="E1912" s="111" t="b">
        <v>0</v>
      </c>
      <c r="F1912" s="111" t="b">
        <v>0</v>
      </c>
      <c r="G1912" s="111" t="b">
        <v>0</v>
      </c>
    </row>
    <row r="1913" spans="1:7" ht="15">
      <c r="A1913" s="113" t="s">
        <v>1397</v>
      </c>
      <c r="B1913" s="111">
        <v>2</v>
      </c>
      <c r="C1913" s="115">
        <v>0.0012596020653737779</v>
      </c>
      <c r="D1913" s="111" t="s">
        <v>821</v>
      </c>
      <c r="E1913" s="111" t="b">
        <v>0</v>
      </c>
      <c r="F1913" s="111" t="b">
        <v>0</v>
      </c>
      <c r="G1913" s="111" t="b">
        <v>0</v>
      </c>
    </row>
    <row r="1914" spans="1:7" ht="15">
      <c r="A1914" s="113" t="s">
        <v>1921</v>
      </c>
      <c r="B1914" s="111">
        <v>2</v>
      </c>
      <c r="C1914" s="115">
        <v>0.0012596020653737779</v>
      </c>
      <c r="D1914" s="111" t="s">
        <v>821</v>
      </c>
      <c r="E1914" s="111" t="b">
        <v>0</v>
      </c>
      <c r="F1914" s="111" t="b">
        <v>0</v>
      </c>
      <c r="G1914" s="111" t="b">
        <v>0</v>
      </c>
    </row>
    <row r="1915" spans="1:7" ht="15">
      <c r="A1915" s="113" t="s">
        <v>1890</v>
      </c>
      <c r="B1915" s="111">
        <v>2</v>
      </c>
      <c r="C1915" s="115">
        <v>0.0012596020653737779</v>
      </c>
      <c r="D1915" s="111" t="s">
        <v>821</v>
      </c>
      <c r="E1915" s="111" t="b">
        <v>0</v>
      </c>
      <c r="F1915" s="111" t="b">
        <v>1</v>
      </c>
      <c r="G1915" s="111" t="b">
        <v>0</v>
      </c>
    </row>
    <row r="1916" spans="1:7" ht="15">
      <c r="A1916" s="113" t="s">
        <v>1891</v>
      </c>
      <c r="B1916" s="111">
        <v>2</v>
      </c>
      <c r="C1916" s="115">
        <v>0.0012596020653737779</v>
      </c>
      <c r="D1916" s="111" t="s">
        <v>821</v>
      </c>
      <c r="E1916" s="111" t="b">
        <v>0</v>
      </c>
      <c r="F1916" s="111" t="b">
        <v>0</v>
      </c>
      <c r="G1916" s="111" t="b">
        <v>0</v>
      </c>
    </row>
    <row r="1917" spans="1:7" ht="15">
      <c r="A1917" s="113" t="s">
        <v>1893</v>
      </c>
      <c r="B1917" s="111">
        <v>2</v>
      </c>
      <c r="C1917" s="115">
        <v>0.0012596020653737779</v>
      </c>
      <c r="D1917" s="111" t="s">
        <v>821</v>
      </c>
      <c r="E1917" s="111" t="b">
        <v>0</v>
      </c>
      <c r="F1917" s="111" t="b">
        <v>1</v>
      </c>
      <c r="G1917" s="111" t="b">
        <v>0</v>
      </c>
    </row>
    <row r="1918" spans="1:7" ht="15">
      <c r="A1918" s="113" t="s">
        <v>1894</v>
      </c>
      <c r="B1918" s="111">
        <v>2</v>
      </c>
      <c r="C1918" s="115">
        <v>0.0012596020653737779</v>
      </c>
      <c r="D1918" s="111" t="s">
        <v>821</v>
      </c>
      <c r="E1918" s="111" t="b">
        <v>0</v>
      </c>
      <c r="F1918" s="111" t="b">
        <v>0</v>
      </c>
      <c r="G1918" s="111" t="b">
        <v>0</v>
      </c>
    </row>
    <row r="1919" spans="1:7" ht="15">
      <c r="A1919" s="113" t="s">
        <v>1302</v>
      </c>
      <c r="B1919" s="111">
        <v>2</v>
      </c>
      <c r="C1919" s="115">
        <v>0.0012596020653737779</v>
      </c>
      <c r="D1919" s="111" t="s">
        <v>821</v>
      </c>
      <c r="E1919" s="111" t="b">
        <v>0</v>
      </c>
      <c r="F1919" s="111" t="b">
        <v>0</v>
      </c>
      <c r="G1919" s="111" t="b">
        <v>0</v>
      </c>
    </row>
    <row r="1920" spans="1:7" ht="15">
      <c r="A1920" s="113" t="s">
        <v>1374</v>
      </c>
      <c r="B1920" s="111">
        <v>2</v>
      </c>
      <c r="C1920" s="115">
        <v>0.0010003169700559646</v>
      </c>
      <c r="D1920" s="111" t="s">
        <v>821</v>
      </c>
      <c r="E1920" s="111" t="b">
        <v>0</v>
      </c>
      <c r="F1920" s="111" t="b">
        <v>0</v>
      </c>
      <c r="G1920" s="111" t="b">
        <v>0</v>
      </c>
    </row>
    <row r="1921" spans="1:7" ht="15">
      <c r="A1921" s="113" t="s">
        <v>1895</v>
      </c>
      <c r="B1921" s="111">
        <v>2</v>
      </c>
      <c r="C1921" s="115">
        <v>0.0012596020653737779</v>
      </c>
      <c r="D1921" s="111" t="s">
        <v>821</v>
      </c>
      <c r="E1921" s="111" t="b">
        <v>0</v>
      </c>
      <c r="F1921" s="111" t="b">
        <v>0</v>
      </c>
      <c r="G1921" s="111" t="b">
        <v>0</v>
      </c>
    </row>
    <row r="1922" spans="1:7" ht="15">
      <c r="A1922" s="113" t="s">
        <v>1369</v>
      </c>
      <c r="B1922" s="111">
        <v>2</v>
      </c>
      <c r="C1922" s="115">
        <v>0.0012596020653737779</v>
      </c>
      <c r="D1922" s="111" t="s">
        <v>821</v>
      </c>
      <c r="E1922" s="111" t="b">
        <v>0</v>
      </c>
      <c r="F1922" s="111" t="b">
        <v>0</v>
      </c>
      <c r="G1922" s="111" t="b">
        <v>0</v>
      </c>
    </row>
    <row r="1923" spans="1:7" ht="15">
      <c r="A1923" s="113" t="s">
        <v>1897</v>
      </c>
      <c r="B1923" s="111">
        <v>2</v>
      </c>
      <c r="C1923" s="115">
        <v>0.0012596020653737779</v>
      </c>
      <c r="D1923" s="111" t="s">
        <v>821</v>
      </c>
      <c r="E1923" s="111" t="b">
        <v>0</v>
      </c>
      <c r="F1923" s="111" t="b">
        <v>0</v>
      </c>
      <c r="G1923" s="111" t="b">
        <v>0</v>
      </c>
    </row>
    <row r="1924" spans="1:7" ht="15">
      <c r="A1924" s="113" t="s">
        <v>1682</v>
      </c>
      <c r="B1924" s="111">
        <v>2</v>
      </c>
      <c r="C1924" s="115">
        <v>0.0010003169700559646</v>
      </c>
      <c r="D1924" s="111" t="s">
        <v>821</v>
      </c>
      <c r="E1924" s="111" t="b">
        <v>0</v>
      </c>
      <c r="F1924" s="111" t="b">
        <v>0</v>
      </c>
      <c r="G1924" s="111" t="b">
        <v>0</v>
      </c>
    </row>
    <row r="1925" spans="1:7" ht="15">
      <c r="A1925" s="113" t="s">
        <v>1478</v>
      </c>
      <c r="B1925" s="111">
        <v>2</v>
      </c>
      <c r="C1925" s="115">
        <v>0.0012596020653737779</v>
      </c>
      <c r="D1925" s="111" t="s">
        <v>821</v>
      </c>
      <c r="E1925" s="111" t="b">
        <v>0</v>
      </c>
      <c r="F1925" s="111" t="b">
        <v>0</v>
      </c>
      <c r="G1925" s="111" t="b">
        <v>0</v>
      </c>
    </row>
    <row r="1926" spans="1:7" ht="15">
      <c r="A1926" s="113" t="s">
        <v>1410</v>
      </c>
      <c r="B1926" s="111">
        <v>2</v>
      </c>
      <c r="C1926" s="115">
        <v>0.0012596020653737779</v>
      </c>
      <c r="D1926" s="111" t="s">
        <v>821</v>
      </c>
      <c r="E1926" s="111" t="b">
        <v>0</v>
      </c>
      <c r="F1926" s="111" t="b">
        <v>0</v>
      </c>
      <c r="G1926" s="111" t="b">
        <v>0</v>
      </c>
    </row>
    <row r="1927" spans="1:7" ht="15">
      <c r="A1927" s="113" t="s">
        <v>1898</v>
      </c>
      <c r="B1927" s="111">
        <v>2</v>
      </c>
      <c r="C1927" s="115">
        <v>0.0012596020653737779</v>
      </c>
      <c r="D1927" s="111" t="s">
        <v>821</v>
      </c>
      <c r="E1927" s="111" t="b">
        <v>0</v>
      </c>
      <c r="F1927" s="111" t="b">
        <v>0</v>
      </c>
      <c r="G1927" s="111" t="b">
        <v>0</v>
      </c>
    </row>
    <row r="1928" spans="1:7" ht="15">
      <c r="A1928" s="113" t="s">
        <v>1899</v>
      </c>
      <c r="B1928" s="111">
        <v>2</v>
      </c>
      <c r="C1928" s="115">
        <v>0.0012596020653737779</v>
      </c>
      <c r="D1928" s="111" t="s">
        <v>821</v>
      </c>
      <c r="E1928" s="111" t="b">
        <v>0</v>
      </c>
      <c r="F1928" s="111" t="b">
        <v>0</v>
      </c>
      <c r="G1928" s="111" t="b">
        <v>0</v>
      </c>
    </row>
    <row r="1929" spans="1:7" ht="15">
      <c r="A1929" s="113" t="s">
        <v>1900</v>
      </c>
      <c r="B1929" s="111">
        <v>2</v>
      </c>
      <c r="C1929" s="115">
        <v>0.0012596020653737779</v>
      </c>
      <c r="D1929" s="111" t="s">
        <v>821</v>
      </c>
      <c r="E1929" s="111" t="b">
        <v>0</v>
      </c>
      <c r="F1929" s="111" t="b">
        <v>0</v>
      </c>
      <c r="G1929" s="111" t="b">
        <v>0</v>
      </c>
    </row>
    <row r="1930" spans="1:7" ht="15">
      <c r="A1930" s="113" t="s">
        <v>1902</v>
      </c>
      <c r="B1930" s="111">
        <v>2</v>
      </c>
      <c r="C1930" s="115">
        <v>0.0012596020653737779</v>
      </c>
      <c r="D1930" s="111" t="s">
        <v>821</v>
      </c>
      <c r="E1930" s="111" t="b">
        <v>0</v>
      </c>
      <c r="F1930" s="111" t="b">
        <v>0</v>
      </c>
      <c r="G1930" s="111" t="b">
        <v>0</v>
      </c>
    </row>
    <row r="1931" spans="1:7" ht="15">
      <c r="A1931" s="113" t="s">
        <v>1903</v>
      </c>
      <c r="B1931" s="111">
        <v>2</v>
      </c>
      <c r="C1931" s="115">
        <v>0.0012596020653737779</v>
      </c>
      <c r="D1931" s="111" t="s">
        <v>821</v>
      </c>
      <c r="E1931" s="111" t="b">
        <v>0</v>
      </c>
      <c r="F1931" s="111" t="b">
        <v>0</v>
      </c>
      <c r="G1931" s="111" t="b">
        <v>0</v>
      </c>
    </row>
    <row r="1932" spans="1:7" ht="15">
      <c r="A1932" s="113" t="s">
        <v>1070</v>
      </c>
      <c r="B1932" s="111">
        <v>2</v>
      </c>
      <c r="C1932" s="115">
        <v>0.0012596020653737779</v>
      </c>
      <c r="D1932" s="111" t="s">
        <v>821</v>
      </c>
      <c r="E1932" s="111" t="b">
        <v>0</v>
      </c>
      <c r="F1932" s="111" t="b">
        <v>0</v>
      </c>
      <c r="G1932" s="111" t="b">
        <v>0</v>
      </c>
    </row>
    <row r="1933" spans="1:7" ht="15">
      <c r="A1933" s="113" t="s">
        <v>1905</v>
      </c>
      <c r="B1933" s="111">
        <v>2</v>
      </c>
      <c r="C1933" s="115">
        <v>0.0012596020653737779</v>
      </c>
      <c r="D1933" s="111" t="s">
        <v>821</v>
      </c>
      <c r="E1933" s="111" t="b">
        <v>0</v>
      </c>
      <c r="F1933" s="111" t="b">
        <v>0</v>
      </c>
      <c r="G1933" s="111" t="b">
        <v>0</v>
      </c>
    </row>
    <row r="1934" spans="1:7" ht="15">
      <c r="A1934" s="113" t="s">
        <v>1244</v>
      </c>
      <c r="B1934" s="111">
        <v>2</v>
      </c>
      <c r="C1934" s="115">
        <v>0.0012596020653737779</v>
      </c>
      <c r="D1934" s="111" t="s">
        <v>821</v>
      </c>
      <c r="E1934" s="111" t="b">
        <v>0</v>
      </c>
      <c r="F1934" s="111" t="b">
        <v>0</v>
      </c>
      <c r="G1934" s="111" t="b">
        <v>0</v>
      </c>
    </row>
    <row r="1935" spans="1:7" ht="15">
      <c r="A1935" s="113" t="s">
        <v>1906</v>
      </c>
      <c r="B1935" s="111">
        <v>2</v>
      </c>
      <c r="C1935" s="115">
        <v>0.0012596020653737779</v>
      </c>
      <c r="D1935" s="111" t="s">
        <v>821</v>
      </c>
      <c r="E1935" s="111" t="b">
        <v>0</v>
      </c>
      <c r="F1935" s="111" t="b">
        <v>0</v>
      </c>
      <c r="G1935" s="111" t="b">
        <v>0</v>
      </c>
    </row>
    <row r="1936" spans="1:7" ht="15">
      <c r="A1936" s="113" t="s">
        <v>1907</v>
      </c>
      <c r="B1936" s="111">
        <v>2</v>
      </c>
      <c r="C1936" s="115">
        <v>0.0012596020653737779</v>
      </c>
      <c r="D1936" s="111" t="s">
        <v>821</v>
      </c>
      <c r="E1936" s="111" t="b">
        <v>0</v>
      </c>
      <c r="F1936" s="111" t="b">
        <v>0</v>
      </c>
      <c r="G1936" s="111" t="b">
        <v>0</v>
      </c>
    </row>
    <row r="1937" spans="1:7" ht="15">
      <c r="A1937" s="113" t="s">
        <v>1006</v>
      </c>
      <c r="B1937" s="111">
        <v>2</v>
      </c>
      <c r="C1937" s="115">
        <v>0.0012596020653737779</v>
      </c>
      <c r="D1937" s="111" t="s">
        <v>821</v>
      </c>
      <c r="E1937" s="111" t="b">
        <v>0</v>
      </c>
      <c r="F1937" s="111" t="b">
        <v>0</v>
      </c>
      <c r="G1937" s="111" t="b">
        <v>0</v>
      </c>
    </row>
    <row r="1938" spans="1:7" ht="15">
      <c r="A1938" s="113" t="s">
        <v>1912</v>
      </c>
      <c r="B1938" s="111">
        <v>2</v>
      </c>
      <c r="C1938" s="115">
        <v>0.0012596020653737779</v>
      </c>
      <c r="D1938" s="111" t="s">
        <v>821</v>
      </c>
      <c r="E1938" s="111" t="b">
        <v>0</v>
      </c>
      <c r="F1938" s="111" t="b">
        <v>1</v>
      </c>
      <c r="G1938" s="111" t="b">
        <v>0</v>
      </c>
    </row>
    <row r="1939" spans="1:7" ht="15">
      <c r="A1939" s="113" t="s">
        <v>1913</v>
      </c>
      <c r="B1939" s="111">
        <v>2</v>
      </c>
      <c r="C1939" s="115">
        <v>0.0012596020653737779</v>
      </c>
      <c r="D1939" s="111" t="s">
        <v>821</v>
      </c>
      <c r="E1939" s="111" t="b">
        <v>0</v>
      </c>
      <c r="F1939" s="111" t="b">
        <v>0</v>
      </c>
      <c r="G1939" s="111" t="b">
        <v>0</v>
      </c>
    </row>
    <row r="1940" spans="1:7" ht="15">
      <c r="A1940" s="113" t="s">
        <v>1392</v>
      </c>
      <c r="B1940" s="111">
        <v>2</v>
      </c>
      <c r="C1940" s="115">
        <v>0.0012596020653737779</v>
      </c>
      <c r="D1940" s="111" t="s">
        <v>821</v>
      </c>
      <c r="E1940" s="111" t="b">
        <v>0</v>
      </c>
      <c r="F1940" s="111" t="b">
        <v>0</v>
      </c>
      <c r="G1940" s="111" t="b">
        <v>0</v>
      </c>
    </row>
    <row r="1941" spans="1:7" ht="15">
      <c r="A1941" s="113" t="s">
        <v>1915</v>
      </c>
      <c r="B1941" s="111">
        <v>2</v>
      </c>
      <c r="C1941" s="115">
        <v>0.0012596020653737779</v>
      </c>
      <c r="D1941" s="111" t="s">
        <v>821</v>
      </c>
      <c r="E1941" s="111" t="b">
        <v>0</v>
      </c>
      <c r="F1941" s="111" t="b">
        <v>0</v>
      </c>
      <c r="G1941" s="111" t="b">
        <v>0</v>
      </c>
    </row>
    <row r="1942" spans="1:7" ht="15">
      <c r="A1942" s="113" t="s">
        <v>1917</v>
      </c>
      <c r="B1942" s="111">
        <v>2</v>
      </c>
      <c r="C1942" s="115">
        <v>0.0012596020653737779</v>
      </c>
      <c r="D1942" s="111" t="s">
        <v>821</v>
      </c>
      <c r="E1942" s="111" t="b">
        <v>0</v>
      </c>
      <c r="F1942" s="111" t="b">
        <v>0</v>
      </c>
      <c r="G1942" s="111" t="b">
        <v>0</v>
      </c>
    </row>
    <row r="1943" spans="1:7" ht="15">
      <c r="A1943" s="113" t="s">
        <v>951</v>
      </c>
      <c r="B1943" s="111">
        <v>2</v>
      </c>
      <c r="C1943" s="115">
        <v>0.0012596020653737779</v>
      </c>
      <c r="D1943" s="111" t="s">
        <v>821</v>
      </c>
      <c r="E1943" s="111" t="b">
        <v>0</v>
      </c>
      <c r="F1943" s="111" t="b">
        <v>0</v>
      </c>
      <c r="G1943" s="111" t="b">
        <v>0</v>
      </c>
    </row>
    <row r="1944" spans="1:7" ht="15">
      <c r="A1944" s="113" t="s">
        <v>1683</v>
      </c>
      <c r="B1944" s="111">
        <v>2</v>
      </c>
      <c r="C1944" s="115">
        <v>0.0012596020653737779</v>
      </c>
      <c r="D1944" s="111" t="s">
        <v>821</v>
      </c>
      <c r="E1944" s="111" t="b">
        <v>0</v>
      </c>
      <c r="F1944" s="111" t="b">
        <v>0</v>
      </c>
      <c r="G1944" s="111" t="b">
        <v>0</v>
      </c>
    </row>
    <row r="1945" spans="1:7" ht="15">
      <c r="A1945" s="113" t="s">
        <v>1167</v>
      </c>
      <c r="B1945" s="111">
        <v>2</v>
      </c>
      <c r="C1945" s="115">
        <v>0.0010003169700559646</v>
      </c>
      <c r="D1945" s="111" t="s">
        <v>821</v>
      </c>
      <c r="E1945" s="111" t="b">
        <v>0</v>
      </c>
      <c r="F1945" s="111" t="b">
        <v>0</v>
      </c>
      <c r="G1945" s="111" t="b">
        <v>0</v>
      </c>
    </row>
    <row r="1946" spans="1:7" ht="15">
      <c r="A1946" s="113" t="s">
        <v>1375</v>
      </c>
      <c r="B1946" s="111">
        <v>2</v>
      </c>
      <c r="C1946" s="115">
        <v>0.0012596020653737779</v>
      </c>
      <c r="D1946" s="111" t="s">
        <v>821</v>
      </c>
      <c r="E1946" s="111" t="b">
        <v>1</v>
      </c>
      <c r="F1946" s="111" t="b">
        <v>0</v>
      </c>
      <c r="G1946" s="111" t="b">
        <v>0</v>
      </c>
    </row>
    <row r="1947" spans="1:7" ht="15">
      <c r="A1947" s="113" t="s">
        <v>1159</v>
      </c>
      <c r="B1947" s="111">
        <v>2</v>
      </c>
      <c r="C1947" s="115">
        <v>0.0012596020653737779</v>
      </c>
      <c r="D1947" s="111" t="s">
        <v>821</v>
      </c>
      <c r="E1947" s="111" t="b">
        <v>0</v>
      </c>
      <c r="F1947" s="111" t="b">
        <v>0</v>
      </c>
      <c r="G1947" s="111" t="b">
        <v>0</v>
      </c>
    </row>
    <row r="1948" spans="1:7" ht="15">
      <c r="A1948" s="113" t="s">
        <v>1021</v>
      </c>
      <c r="B1948" s="111">
        <v>2</v>
      </c>
      <c r="C1948" s="115">
        <v>0.0012596020653737779</v>
      </c>
      <c r="D1948" s="111" t="s">
        <v>821</v>
      </c>
      <c r="E1948" s="111" t="b">
        <v>0</v>
      </c>
      <c r="F1948" s="111" t="b">
        <v>0</v>
      </c>
      <c r="G1948" s="111" t="b">
        <v>0</v>
      </c>
    </row>
    <row r="1949" spans="1:7" ht="15">
      <c r="A1949" s="113" t="s">
        <v>1161</v>
      </c>
      <c r="B1949" s="111">
        <v>2</v>
      </c>
      <c r="C1949" s="115">
        <v>0.0012596020653737779</v>
      </c>
      <c r="D1949" s="111" t="s">
        <v>821</v>
      </c>
      <c r="E1949" s="111" t="b">
        <v>0</v>
      </c>
      <c r="F1949" s="111" t="b">
        <v>0</v>
      </c>
      <c r="G1949" s="111" t="b">
        <v>0</v>
      </c>
    </row>
    <row r="1950" spans="1:7" ht="15">
      <c r="A1950" s="113" t="s">
        <v>1165</v>
      </c>
      <c r="B1950" s="111">
        <v>2</v>
      </c>
      <c r="C1950" s="115">
        <v>0.0012596020653737779</v>
      </c>
      <c r="D1950" s="111" t="s">
        <v>821</v>
      </c>
      <c r="E1950" s="111" t="b">
        <v>0</v>
      </c>
      <c r="F1950" s="111" t="b">
        <v>0</v>
      </c>
      <c r="G1950" s="111" t="b">
        <v>0</v>
      </c>
    </row>
    <row r="1951" spans="1:7" ht="15">
      <c r="A1951" s="113" t="s">
        <v>1166</v>
      </c>
      <c r="B1951" s="111">
        <v>2</v>
      </c>
      <c r="C1951" s="115">
        <v>0.0012596020653737779</v>
      </c>
      <c r="D1951" s="111" t="s">
        <v>821</v>
      </c>
      <c r="E1951" s="111" t="b">
        <v>0</v>
      </c>
      <c r="F1951" s="111" t="b">
        <v>0</v>
      </c>
      <c r="G1951" s="111" t="b">
        <v>0</v>
      </c>
    </row>
    <row r="1952" spans="1:7" ht="15">
      <c r="A1952" s="113" t="s">
        <v>842</v>
      </c>
      <c r="B1952" s="111">
        <v>49</v>
      </c>
      <c r="C1952" s="115">
        <v>0.003979963061775605</v>
      </c>
      <c r="D1952" s="111" t="s">
        <v>822</v>
      </c>
      <c r="E1952" s="111" t="b">
        <v>0</v>
      </c>
      <c r="F1952" s="111" t="b">
        <v>0</v>
      </c>
      <c r="G1952" s="111" t="b">
        <v>0</v>
      </c>
    </row>
    <row r="1953" spans="1:7" ht="15">
      <c r="A1953" s="113" t="s">
        <v>840</v>
      </c>
      <c r="B1953" s="111">
        <v>32</v>
      </c>
      <c r="C1953" s="115">
        <v>0.007091483790567688</v>
      </c>
      <c r="D1953" s="111" t="s">
        <v>822</v>
      </c>
      <c r="E1953" s="111" t="b">
        <v>0</v>
      </c>
      <c r="F1953" s="111" t="b">
        <v>0</v>
      </c>
      <c r="G1953" s="111" t="b">
        <v>0</v>
      </c>
    </row>
    <row r="1954" spans="1:7" ht="15">
      <c r="A1954" s="113" t="s">
        <v>874</v>
      </c>
      <c r="B1954" s="111">
        <v>17</v>
      </c>
      <c r="C1954" s="115">
        <v>0.0032833922715177453</v>
      </c>
      <c r="D1954" s="111" t="s">
        <v>822</v>
      </c>
      <c r="E1954" s="111" t="b">
        <v>0</v>
      </c>
      <c r="F1954" s="111" t="b">
        <v>0</v>
      </c>
      <c r="G1954" s="111" t="b">
        <v>0</v>
      </c>
    </row>
    <row r="1955" spans="1:7" ht="15">
      <c r="A1955" s="113" t="s">
        <v>856</v>
      </c>
      <c r="B1955" s="111">
        <v>16</v>
      </c>
      <c r="C1955" s="115">
        <v>0.004612151942140035</v>
      </c>
      <c r="D1955" s="111" t="s">
        <v>822</v>
      </c>
      <c r="E1955" s="111" t="b">
        <v>0</v>
      </c>
      <c r="F1955" s="111" t="b">
        <v>0</v>
      </c>
      <c r="G1955" s="111" t="b">
        <v>0</v>
      </c>
    </row>
    <row r="1956" spans="1:7" ht="15">
      <c r="A1956" s="113" t="s">
        <v>881</v>
      </c>
      <c r="B1956" s="111">
        <v>16</v>
      </c>
      <c r="C1956" s="115">
        <v>0.007924724109006404</v>
      </c>
      <c r="D1956" s="111" t="s">
        <v>822</v>
      </c>
      <c r="E1956" s="111" t="b">
        <v>0</v>
      </c>
      <c r="F1956" s="111" t="b">
        <v>0</v>
      </c>
      <c r="G1956" s="111" t="b">
        <v>0</v>
      </c>
    </row>
    <row r="1957" spans="1:7" ht="15">
      <c r="A1957" s="113" t="s">
        <v>888</v>
      </c>
      <c r="B1957" s="111">
        <v>15</v>
      </c>
      <c r="C1957" s="115">
        <v>0.005612806509803394</v>
      </c>
      <c r="D1957" s="111" t="s">
        <v>822</v>
      </c>
      <c r="E1957" s="111" t="b">
        <v>0</v>
      </c>
      <c r="F1957" s="111" t="b">
        <v>0</v>
      </c>
      <c r="G1957" s="111" t="b">
        <v>0</v>
      </c>
    </row>
    <row r="1958" spans="1:7" ht="15">
      <c r="A1958" s="113" t="s">
        <v>898</v>
      </c>
      <c r="B1958" s="111">
        <v>14</v>
      </c>
      <c r="C1958" s="115">
        <v>0.0027039701059557906</v>
      </c>
      <c r="D1958" s="111" t="s">
        <v>822</v>
      </c>
      <c r="E1958" s="111" t="b">
        <v>0</v>
      </c>
      <c r="F1958" s="111" t="b">
        <v>0</v>
      </c>
      <c r="G1958" s="111" t="b">
        <v>0</v>
      </c>
    </row>
    <row r="1959" spans="1:7" ht="15">
      <c r="A1959" s="113" t="s">
        <v>904</v>
      </c>
      <c r="B1959" s="111">
        <v>13</v>
      </c>
      <c r="C1959" s="115">
        <v>0.009130303224146626</v>
      </c>
      <c r="D1959" s="111" t="s">
        <v>822</v>
      </c>
      <c r="E1959" s="111" t="b">
        <v>0</v>
      </c>
      <c r="F1959" s="111" t="b">
        <v>0</v>
      </c>
      <c r="G1959" s="111" t="b">
        <v>0</v>
      </c>
    </row>
    <row r="1960" spans="1:7" ht="15">
      <c r="A1960" s="113" t="s">
        <v>903</v>
      </c>
      <c r="B1960" s="111">
        <v>12</v>
      </c>
      <c r="C1960" s="115">
        <v>0.0026593064214628826</v>
      </c>
      <c r="D1960" s="111" t="s">
        <v>822</v>
      </c>
      <c r="E1960" s="111" t="b">
        <v>0</v>
      </c>
      <c r="F1960" s="111" t="b">
        <v>0</v>
      </c>
      <c r="G1960" s="111" t="b">
        <v>0</v>
      </c>
    </row>
    <row r="1961" spans="1:7" ht="15">
      <c r="A1961" s="113" t="s">
        <v>918</v>
      </c>
      <c r="B1961" s="111">
        <v>12</v>
      </c>
      <c r="C1961" s="115">
        <v>0.005943543081754802</v>
      </c>
      <c r="D1961" s="111" t="s">
        <v>822</v>
      </c>
      <c r="E1961" s="111" t="b">
        <v>0</v>
      </c>
      <c r="F1961" s="111" t="b">
        <v>0</v>
      </c>
      <c r="G1961" s="111" t="b">
        <v>0</v>
      </c>
    </row>
    <row r="1962" spans="1:7" ht="15">
      <c r="A1962" s="113" t="s">
        <v>853</v>
      </c>
      <c r="B1962" s="111">
        <v>11</v>
      </c>
      <c r="C1962" s="115">
        <v>0.00471509091772827</v>
      </c>
      <c r="D1962" s="111" t="s">
        <v>822</v>
      </c>
      <c r="E1962" s="111" t="b">
        <v>0</v>
      </c>
      <c r="F1962" s="111" t="b">
        <v>0</v>
      </c>
      <c r="G1962" s="111" t="b">
        <v>0</v>
      </c>
    </row>
    <row r="1963" spans="1:7" ht="15">
      <c r="A1963" s="113" t="s">
        <v>917</v>
      </c>
      <c r="B1963" s="111">
        <v>11</v>
      </c>
      <c r="C1963" s="115">
        <v>0.0031708544602212746</v>
      </c>
      <c r="D1963" s="111" t="s">
        <v>822</v>
      </c>
      <c r="E1963" s="111" t="b">
        <v>0</v>
      </c>
      <c r="F1963" s="111" t="b">
        <v>0</v>
      </c>
      <c r="G1963" s="111" t="b">
        <v>0</v>
      </c>
    </row>
    <row r="1964" spans="1:7" ht="15">
      <c r="A1964" s="113" t="s">
        <v>849</v>
      </c>
      <c r="B1964" s="111">
        <v>10</v>
      </c>
      <c r="C1964" s="115">
        <v>0.0037418710065355958</v>
      </c>
      <c r="D1964" s="111" t="s">
        <v>822</v>
      </c>
      <c r="E1964" s="111" t="b">
        <v>0</v>
      </c>
      <c r="F1964" s="111" t="b">
        <v>0</v>
      </c>
      <c r="G1964" s="111" t="b">
        <v>0</v>
      </c>
    </row>
    <row r="1965" spans="1:7" ht="15">
      <c r="A1965" s="113" t="s">
        <v>846</v>
      </c>
      <c r="B1965" s="111">
        <v>10</v>
      </c>
      <c r="C1965" s="115">
        <v>0.003281439165884886</v>
      </c>
      <c r="D1965" s="111" t="s">
        <v>822</v>
      </c>
      <c r="E1965" s="111" t="b">
        <v>0</v>
      </c>
      <c r="F1965" s="111" t="b">
        <v>0</v>
      </c>
      <c r="G1965" s="111" t="b">
        <v>0</v>
      </c>
    </row>
    <row r="1966" spans="1:7" ht="15">
      <c r="A1966" s="113" t="s">
        <v>851</v>
      </c>
      <c r="B1966" s="111">
        <v>9</v>
      </c>
      <c r="C1966" s="115">
        <v>0.0033676839058820363</v>
      </c>
      <c r="D1966" s="111" t="s">
        <v>822</v>
      </c>
      <c r="E1966" s="111" t="b">
        <v>0</v>
      </c>
      <c r="F1966" s="111" t="b">
        <v>0</v>
      </c>
      <c r="G1966" s="111" t="b">
        <v>0</v>
      </c>
    </row>
    <row r="1967" spans="1:7" ht="15">
      <c r="A1967" s="113" t="s">
        <v>893</v>
      </c>
      <c r="B1967" s="111">
        <v>9</v>
      </c>
      <c r="C1967" s="115">
        <v>0.0033676839058820363</v>
      </c>
      <c r="D1967" s="111" t="s">
        <v>822</v>
      </c>
      <c r="E1967" s="111" t="b">
        <v>0</v>
      </c>
      <c r="F1967" s="111" t="b">
        <v>0</v>
      </c>
      <c r="G1967" s="111" t="b">
        <v>0</v>
      </c>
    </row>
    <row r="1968" spans="1:7" ht="15">
      <c r="A1968" s="113" t="s">
        <v>940</v>
      </c>
      <c r="B1968" s="111">
        <v>9</v>
      </c>
      <c r="C1968" s="115">
        <v>0.0033676839058820363</v>
      </c>
      <c r="D1968" s="111" t="s">
        <v>822</v>
      </c>
      <c r="E1968" s="111" t="b">
        <v>0</v>
      </c>
      <c r="F1968" s="111" t="b">
        <v>0</v>
      </c>
      <c r="G1968" s="111" t="b">
        <v>0</v>
      </c>
    </row>
    <row r="1969" spans="1:7" ht="15">
      <c r="A1969" s="113" t="s">
        <v>916</v>
      </c>
      <c r="B1969" s="111">
        <v>9</v>
      </c>
      <c r="C1969" s="115">
        <v>0.004457657311316102</v>
      </c>
      <c r="D1969" s="111" t="s">
        <v>822</v>
      </c>
      <c r="E1969" s="111" t="b">
        <v>0</v>
      </c>
      <c r="F1969" s="111" t="b">
        <v>0</v>
      </c>
      <c r="G1969" s="111" t="b">
        <v>0</v>
      </c>
    </row>
    <row r="1970" spans="1:7" ht="15">
      <c r="A1970" s="113" t="s">
        <v>978</v>
      </c>
      <c r="B1970" s="111">
        <v>8</v>
      </c>
      <c r="C1970" s="115">
        <v>0.003962362054503202</v>
      </c>
      <c r="D1970" s="111" t="s">
        <v>822</v>
      </c>
      <c r="E1970" s="111" t="b">
        <v>0</v>
      </c>
      <c r="F1970" s="111" t="b">
        <v>0</v>
      </c>
      <c r="G1970" s="111" t="b">
        <v>0</v>
      </c>
    </row>
    <row r="1971" spans="1:7" ht="15">
      <c r="A1971" s="113" t="s">
        <v>948</v>
      </c>
      <c r="B1971" s="111">
        <v>8</v>
      </c>
      <c r="C1971" s="115">
        <v>0.0034291570310751055</v>
      </c>
      <c r="D1971" s="111" t="s">
        <v>822</v>
      </c>
      <c r="E1971" s="111" t="b">
        <v>0</v>
      </c>
      <c r="F1971" s="111" t="b">
        <v>0</v>
      </c>
      <c r="G1971" s="111" t="b">
        <v>0</v>
      </c>
    </row>
    <row r="1972" spans="1:7" ht="15">
      <c r="A1972" s="113" t="s">
        <v>937</v>
      </c>
      <c r="B1972" s="111">
        <v>7</v>
      </c>
      <c r="C1972" s="115">
        <v>0.0026193097045749173</v>
      </c>
      <c r="D1972" s="111" t="s">
        <v>822</v>
      </c>
      <c r="E1972" s="111" t="b">
        <v>0</v>
      </c>
      <c r="F1972" s="111" t="b">
        <v>0</v>
      </c>
      <c r="G1972" s="111" t="b">
        <v>0</v>
      </c>
    </row>
    <row r="1973" spans="1:7" ht="15">
      <c r="A1973" s="113" t="s">
        <v>897</v>
      </c>
      <c r="B1973" s="111">
        <v>7</v>
      </c>
      <c r="C1973" s="115">
        <v>0.0030005124021907177</v>
      </c>
      <c r="D1973" s="111" t="s">
        <v>822</v>
      </c>
      <c r="E1973" s="111" t="b">
        <v>0</v>
      </c>
      <c r="F1973" s="111" t="b">
        <v>0</v>
      </c>
      <c r="G1973" s="111" t="b">
        <v>0</v>
      </c>
    </row>
    <row r="1974" spans="1:7" ht="15">
      <c r="A1974" s="113" t="s">
        <v>873</v>
      </c>
      <c r="B1974" s="111">
        <v>7</v>
      </c>
      <c r="C1974" s="115">
        <v>0.003467066797690302</v>
      </c>
      <c r="D1974" s="111" t="s">
        <v>822</v>
      </c>
      <c r="E1974" s="111" t="b">
        <v>0</v>
      </c>
      <c r="F1974" s="111" t="b">
        <v>0</v>
      </c>
      <c r="G1974" s="111" t="b">
        <v>0</v>
      </c>
    </row>
    <row r="1975" spans="1:7" ht="15">
      <c r="A1975" s="113" t="s">
        <v>921</v>
      </c>
      <c r="B1975" s="111">
        <v>7</v>
      </c>
      <c r="C1975" s="115">
        <v>0.0022970074161194204</v>
      </c>
      <c r="D1975" s="111" t="s">
        <v>822</v>
      </c>
      <c r="E1975" s="111" t="b">
        <v>0</v>
      </c>
      <c r="F1975" s="111" t="b">
        <v>0</v>
      </c>
      <c r="G1975" s="111" t="b">
        <v>0</v>
      </c>
    </row>
    <row r="1976" spans="1:7" ht="15">
      <c r="A1976" s="113" t="s">
        <v>977</v>
      </c>
      <c r="B1976" s="111">
        <v>6</v>
      </c>
      <c r="C1976" s="115">
        <v>0.002571867773306329</v>
      </c>
      <c r="D1976" s="111" t="s">
        <v>822</v>
      </c>
      <c r="E1976" s="111" t="b">
        <v>0</v>
      </c>
      <c r="F1976" s="111" t="b">
        <v>0</v>
      </c>
      <c r="G1976" s="111" t="b">
        <v>0</v>
      </c>
    </row>
    <row r="1977" spans="1:7" ht="15">
      <c r="A1977" s="113" t="s">
        <v>891</v>
      </c>
      <c r="B1977" s="111">
        <v>6</v>
      </c>
      <c r="C1977" s="115">
        <v>0.005456200666027177</v>
      </c>
      <c r="D1977" s="111" t="s">
        <v>822</v>
      </c>
      <c r="E1977" s="111" t="b">
        <v>0</v>
      </c>
      <c r="F1977" s="111" t="b">
        <v>0</v>
      </c>
      <c r="G1977" s="111" t="b">
        <v>0</v>
      </c>
    </row>
    <row r="1978" spans="1:7" ht="15">
      <c r="A1978" s="113" t="s">
        <v>900</v>
      </c>
      <c r="B1978" s="111">
        <v>6</v>
      </c>
      <c r="C1978" s="115">
        <v>0.002571867773306329</v>
      </c>
      <c r="D1978" s="111" t="s">
        <v>822</v>
      </c>
      <c r="E1978" s="111" t="b">
        <v>0</v>
      </c>
      <c r="F1978" s="111" t="b">
        <v>1</v>
      </c>
      <c r="G1978" s="111" t="b">
        <v>0</v>
      </c>
    </row>
    <row r="1979" spans="1:7" ht="15">
      <c r="A1979" s="113" t="s">
        <v>848</v>
      </c>
      <c r="B1979" s="111">
        <v>6</v>
      </c>
      <c r="C1979" s="115">
        <v>0.0022451226039213574</v>
      </c>
      <c r="D1979" s="111" t="s">
        <v>822</v>
      </c>
      <c r="E1979" s="111" t="b">
        <v>0</v>
      </c>
      <c r="F1979" s="111" t="b">
        <v>0</v>
      </c>
      <c r="G1979" s="111" t="b">
        <v>0</v>
      </c>
    </row>
    <row r="1980" spans="1:7" ht="15">
      <c r="A1980" s="113" t="s">
        <v>1085</v>
      </c>
      <c r="B1980" s="111">
        <v>6</v>
      </c>
      <c r="C1980" s="115">
        <v>0.0034873371664962453</v>
      </c>
      <c r="D1980" s="111" t="s">
        <v>822</v>
      </c>
      <c r="E1980" s="111" t="b">
        <v>0</v>
      </c>
      <c r="F1980" s="111" t="b">
        <v>0</v>
      </c>
      <c r="G1980" s="111" t="b">
        <v>0</v>
      </c>
    </row>
    <row r="1981" spans="1:7" ht="15">
      <c r="A1981" s="113" t="s">
        <v>1081</v>
      </c>
      <c r="B1981" s="111">
        <v>6</v>
      </c>
      <c r="C1981" s="115">
        <v>0.0022451226039213574</v>
      </c>
      <c r="D1981" s="111" t="s">
        <v>822</v>
      </c>
      <c r="E1981" s="111" t="b">
        <v>0</v>
      </c>
      <c r="F1981" s="111" t="b">
        <v>0</v>
      </c>
      <c r="G1981" s="111" t="b">
        <v>0</v>
      </c>
    </row>
    <row r="1982" spans="1:7" ht="15">
      <c r="A1982" s="113" t="s">
        <v>920</v>
      </c>
      <c r="B1982" s="111">
        <v>5</v>
      </c>
      <c r="C1982" s="115">
        <v>0.0029061143054135378</v>
      </c>
      <c r="D1982" s="111" t="s">
        <v>822</v>
      </c>
      <c r="E1982" s="111" t="b">
        <v>0</v>
      </c>
      <c r="F1982" s="111" t="b">
        <v>0</v>
      </c>
      <c r="G1982" s="111" t="b">
        <v>0</v>
      </c>
    </row>
    <row r="1983" spans="1:7" ht="15">
      <c r="A1983" s="113" t="s">
        <v>968</v>
      </c>
      <c r="B1983" s="111">
        <v>5</v>
      </c>
      <c r="C1983" s="115">
        <v>0.002476476284064501</v>
      </c>
      <c r="D1983" s="111" t="s">
        <v>822</v>
      </c>
      <c r="E1983" s="111" t="b">
        <v>0</v>
      </c>
      <c r="F1983" s="111" t="b">
        <v>0</v>
      </c>
      <c r="G1983" s="111" t="b">
        <v>0</v>
      </c>
    </row>
    <row r="1984" spans="1:7" ht="15">
      <c r="A1984" s="113" t="s">
        <v>1008</v>
      </c>
      <c r="B1984" s="111">
        <v>5</v>
      </c>
      <c r="C1984" s="115">
        <v>0.002143223144421941</v>
      </c>
      <c r="D1984" s="111" t="s">
        <v>822</v>
      </c>
      <c r="E1984" s="111" t="b">
        <v>0</v>
      </c>
      <c r="F1984" s="111" t="b">
        <v>0</v>
      </c>
      <c r="G1984" s="111" t="b">
        <v>0</v>
      </c>
    </row>
    <row r="1985" spans="1:7" ht="15">
      <c r="A1985" s="113" t="s">
        <v>1149</v>
      </c>
      <c r="B1985" s="111">
        <v>5</v>
      </c>
      <c r="C1985" s="115">
        <v>0.002143223144421941</v>
      </c>
      <c r="D1985" s="111" t="s">
        <v>822</v>
      </c>
      <c r="E1985" s="111" t="b">
        <v>0</v>
      </c>
      <c r="F1985" s="111" t="b">
        <v>0</v>
      </c>
      <c r="G1985" s="111" t="b">
        <v>0</v>
      </c>
    </row>
    <row r="1986" spans="1:7" ht="15">
      <c r="A1986" s="113" t="s">
        <v>1150</v>
      </c>
      <c r="B1986" s="111">
        <v>5</v>
      </c>
      <c r="C1986" s="115">
        <v>0.004546833888355981</v>
      </c>
      <c r="D1986" s="111" t="s">
        <v>822</v>
      </c>
      <c r="E1986" s="111" t="b">
        <v>0</v>
      </c>
      <c r="F1986" s="111" t="b">
        <v>0</v>
      </c>
      <c r="G1986" s="111" t="b">
        <v>0</v>
      </c>
    </row>
    <row r="1987" spans="1:7" ht="15">
      <c r="A1987" s="113" t="s">
        <v>1154</v>
      </c>
      <c r="B1987" s="111">
        <v>5</v>
      </c>
      <c r="C1987" s="115">
        <v>0.0029061143054135378</v>
      </c>
      <c r="D1987" s="111" t="s">
        <v>822</v>
      </c>
      <c r="E1987" s="111" t="b">
        <v>1</v>
      </c>
      <c r="F1987" s="111" t="b">
        <v>0</v>
      </c>
      <c r="G1987" s="111" t="b">
        <v>0</v>
      </c>
    </row>
    <row r="1988" spans="1:7" ht="15">
      <c r="A1988" s="113" t="s">
        <v>1017</v>
      </c>
      <c r="B1988" s="111">
        <v>5</v>
      </c>
      <c r="C1988" s="115">
        <v>0.002476476284064501</v>
      </c>
      <c r="D1988" s="111" t="s">
        <v>822</v>
      </c>
      <c r="E1988" s="111" t="b">
        <v>0</v>
      </c>
      <c r="F1988" s="111" t="b">
        <v>0</v>
      </c>
      <c r="G1988" s="111" t="b">
        <v>0</v>
      </c>
    </row>
    <row r="1989" spans="1:7" ht="15">
      <c r="A1989" s="113" t="s">
        <v>864</v>
      </c>
      <c r="B1989" s="111">
        <v>5</v>
      </c>
      <c r="C1989" s="115">
        <v>0.002476476284064501</v>
      </c>
      <c r="D1989" s="111" t="s">
        <v>822</v>
      </c>
      <c r="E1989" s="111" t="b">
        <v>0</v>
      </c>
      <c r="F1989" s="111" t="b">
        <v>0</v>
      </c>
      <c r="G1989" s="111" t="b">
        <v>0</v>
      </c>
    </row>
    <row r="1990" spans="1:7" ht="15">
      <c r="A1990" s="113" t="s">
        <v>1077</v>
      </c>
      <c r="B1990" s="111">
        <v>5</v>
      </c>
      <c r="C1990" s="115">
        <v>0.002143223144421941</v>
      </c>
      <c r="D1990" s="111" t="s">
        <v>822</v>
      </c>
      <c r="E1990" s="111" t="b">
        <v>0</v>
      </c>
      <c r="F1990" s="111" t="b">
        <v>0</v>
      </c>
      <c r="G1990" s="111" t="b">
        <v>0</v>
      </c>
    </row>
    <row r="1991" spans="1:7" ht="15">
      <c r="A1991" s="113" t="s">
        <v>1153</v>
      </c>
      <c r="B1991" s="111">
        <v>5</v>
      </c>
      <c r="C1991" s="115">
        <v>0.0035116550862102406</v>
      </c>
      <c r="D1991" s="111" t="s">
        <v>822</v>
      </c>
      <c r="E1991" s="111" t="b">
        <v>0</v>
      </c>
      <c r="F1991" s="111" t="b">
        <v>0</v>
      </c>
      <c r="G1991" s="111" t="b">
        <v>0</v>
      </c>
    </row>
    <row r="1992" spans="1:7" ht="15">
      <c r="A1992" s="113" t="s">
        <v>876</v>
      </c>
      <c r="B1992" s="111">
        <v>5</v>
      </c>
      <c r="C1992" s="115">
        <v>0.0029061143054135378</v>
      </c>
      <c r="D1992" s="111" t="s">
        <v>822</v>
      </c>
      <c r="E1992" s="111" t="b">
        <v>0</v>
      </c>
      <c r="F1992" s="111" t="b">
        <v>0</v>
      </c>
      <c r="G1992" s="111" t="b">
        <v>0</v>
      </c>
    </row>
    <row r="1993" spans="1:7" ht="15">
      <c r="A1993" s="113" t="s">
        <v>896</v>
      </c>
      <c r="B1993" s="111">
        <v>5</v>
      </c>
      <c r="C1993" s="115">
        <v>0.0035116550862102406</v>
      </c>
      <c r="D1993" s="111" t="s">
        <v>822</v>
      </c>
      <c r="E1993" s="111" t="b">
        <v>0</v>
      </c>
      <c r="F1993" s="111" t="b">
        <v>0</v>
      </c>
      <c r="G1993" s="111" t="b">
        <v>0</v>
      </c>
    </row>
    <row r="1994" spans="1:7" ht="15">
      <c r="A1994" s="113" t="s">
        <v>959</v>
      </c>
      <c r="B1994" s="111">
        <v>5</v>
      </c>
      <c r="C1994" s="115">
        <v>0.0029061143054135378</v>
      </c>
      <c r="D1994" s="111" t="s">
        <v>822</v>
      </c>
      <c r="E1994" s="111" t="b">
        <v>0</v>
      </c>
      <c r="F1994" s="111" t="b">
        <v>0</v>
      </c>
      <c r="G1994" s="111" t="b">
        <v>0</v>
      </c>
    </row>
    <row r="1995" spans="1:7" ht="15">
      <c r="A1995" s="113" t="s">
        <v>865</v>
      </c>
      <c r="B1995" s="111">
        <v>5</v>
      </c>
      <c r="C1995" s="115">
        <v>0.0035116550862102406</v>
      </c>
      <c r="D1995" s="111" t="s">
        <v>822</v>
      </c>
      <c r="E1995" s="111" t="b">
        <v>0</v>
      </c>
      <c r="F1995" s="111" t="b">
        <v>0</v>
      </c>
      <c r="G1995" s="111" t="b">
        <v>0</v>
      </c>
    </row>
    <row r="1996" spans="1:7" ht="15">
      <c r="A1996" s="113" t="s">
        <v>912</v>
      </c>
      <c r="B1996" s="111">
        <v>5</v>
      </c>
      <c r="C1996" s="115">
        <v>0.0035116550862102406</v>
      </c>
      <c r="D1996" s="111" t="s">
        <v>822</v>
      </c>
      <c r="E1996" s="111" t="b">
        <v>0</v>
      </c>
      <c r="F1996" s="111" t="b">
        <v>0</v>
      </c>
      <c r="G1996" s="111" t="b">
        <v>0</v>
      </c>
    </row>
    <row r="1997" spans="1:7" ht="15">
      <c r="A1997" s="113" t="s">
        <v>1255</v>
      </c>
      <c r="B1997" s="111">
        <v>4</v>
      </c>
      <c r="C1997" s="115">
        <v>0.001981181027251601</v>
      </c>
      <c r="D1997" s="111" t="s">
        <v>822</v>
      </c>
      <c r="E1997" s="111" t="b">
        <v>0</v>
      </c>
      <c r="F1997" s="111" t="b">
        <v>0</v>
      </c>
      <c r="G1997" s="111" t="b">
        <v>0</v>
      </c>
    </row>
    <row r="1998" spans="1:7" ht="15">
      <c r="A1998" s="113" t="s">
        <v>1265</v>
      </c>
      <c r="B1998" s="111">
        <v>4</v>
      </c>
      <c r="C1998" s="115">
        <v>0.002809324068968193</v>
      </c>
      <c r="D1998" s="111" t="s">
        <v>822</v>
      </c>
      <c r="E1998" s="111" t="b">
        <v>0</v>
      </c>
      <c r="F1998" s="111" t="b">
        <v>0</v>
      </c>
      <c r="G1998" s="111" t="b">
        <v>0</v>
      </c>
    </row>
    <row r="1999" spans="1:7" ht="15">
      <c r="A1999" s="113" t="s">
        <v>1267</v>
      </c>
      <c r="B1999" s="111">
        <v>4</v>
      </c>
      <c r="C1999" s="115">
        <v>0.002809324068968193</v>
      </c>
      <c r="D1999" s="111" t="s">
        <v>822</v>
      </c>
      <c r="E1999" s="111" t="b">
        <v>0</v>
      </c>
      <c r="F1999" s="111" t="b">
        <v>0</v>
      </c>
      <c r="G1999" s="111" t="b">
        <v>0</v>
      </c>
    </row>
    <row r="2000" spans="1:7" ht="15">
      <c r="A2000" s="113" t="s">
        <v>980</v>
      </c>
      <c r="B2000" s="111">
        <v>4</v>
      </c>
      <c r="C2000" s="115">
        <v>0.002809324068968193</v>
      </c>
      <c r="D2000" s="111" t="s">
        <v>822</v>
      </c>
      <c r="E2000" s="111" t="b">
        <v>0</v>
      </c>
      <c r="F2000" s="111" t="b">
        <v>0</v>
      </c>
      <c r="G2000" s="111" t="b">
        <v>0</v>
      </c>
    </row>
    <row r="2001" spans="1:7" ht="15">
      <c r="A2001" s="113" t="s">
        <v>1264</v>
      </c>
      <c r="B2001" s="111">
        <v>4</v>
      </c>
      <c r="C2001" s="115">
        <v>0.002809324068968193</v>
      </c>
      <c r="D2001" s="111" t="s">
        <v>822</v>
      </c>
      <c r="E2001" s="111" t="b">
        <v>0</v>
      </c>
      <c r="F2001" s="111" t="b">
        <v>0</v>
      </c>
      <c r="G2001" s="111" t="b">
        <v>0</v>
      </c>
    </row>
    <row r="2002" spans="1:7" ht="15">
      <c r="A2002" s="113" t="s">
        <v>1078</v>
      </c>
      <c r="B2002" s="111">
        <v>4</v>
      </c>
      <c r="C2002" s="115">
        <v>0.003637467110684785</v>
      </c>
      <c r="D2002" s="111" t="s">
        <v>822</v>
      </c>
      <c r="E2002" s="111" t="b">
        <v>1</v>
      </c>
      <c r="F2002" s="111" t="b">
        <v>0</v>
      </c>
      <c r="G2002" s="111" t="b">
        <v>0</v>
      </c>
    </row>
    <row r="2003" spans="1:7" ht="15">
      <c r="A2003" s="113" t="s">
        <v>969</v>
      </c>
      <c r="B2003" s="111">
        <v>4</v>
      </c>
      <c r="C2003" s="115">
        <v>0.001981181027251601</v>
      </c>
      <c r="D2003" s="111" t="s">
        <v>822</v>
      </c>
      <c r="E2003" s="111" t="b">
        <v>0</v>
      </c>
      <c r="F2003" s="111" t="b">
        <v>0</v>
      </c>
      <c r="G2003" s="111" t="b">
        <v>0</v>
      </c>
    </row>
    <row r="2004" spans="1:7" ht="15">
      <c r="A2004" s="113" t="s">
        <v>1143</v>
      </c>
      <c r="B2004" s="111">
        <v>4</v>
      </c>
      <c r="C2004" s="115">
        <v>0.001981181027251601</v>
      </c>
      <c r="D2004" s="111" t="s">
        <v>822</v>
      </c>
      <c r="E2004" s="111" t="b">
        <v>0</v>
      </c>
      <c r="F2004" s="111" t="b">
        <v>0</v>
      </c>
      <c r="G2004" s="111" t="b">
        <v>0</v>
      </c>
    </row>
    <row r="2005" spans="1:7" ht="15">
      <c r="A2005" s="113" t="s">
        <v>951</v>
      </c>
      <c r="B2005" s="111">
        <v>4</v>
      </c>
      <c r="C2005" s="115">
        <v>0.001981181027251601</v>
      </c>
      <c r="D2005" s="111" t="s">
        <v>822</v>
      </c>
      <c r="E2005" s="111" t="b">
        <v>0</v>
      </c>
      <c r="F2005" s="111" t="b">
        <v>0</v>
      </c>
      <c r="G2005" s="111" t="b">
        <v>0</v>
      </c>
    </row>
    <row r="2006" spans="1:7" ht="15">
      <c r="A2006" s="113" t="s">
        <v>1241</v>
      </c>
      <c r="B2006" s="111">
        <v>4</v>
      </c>
      <c r="C2006" s="115">
        <v>0.002809324068968193</v>
      </c>
      <c r="D2006" s="111" t="s">
        <v>822</v>
      </c>
      <c r="E2006" s="111" t="b">
        <v>0</v>
      </c>
      <c r="F2006" s="111" t="b">
        <v>0</v>
      </c>
      <c r="G2006" s="111" t="b">
        <v>0</v>
      </c>
    </row>
    <row r="2007" spans="1:7" ht="15">
      <c r="A2007" s="113" t="s">
        <v>1261</v>
      </c>
      <c r="B2007" s="111">
        <v>4</v>
      </c>
      <c r="C2007" s="115">
        <v>0.002809324068968193</v>
      </c>
      <c r="D2007" s="111" t="s">
        <v>822</v>
      </c>
      <c r="E2007" s="111" t="b">
        <v>0</v>
      </c>
      <c r="F2007" s="111" t="b">
        <v>0</v>
      </c>
      <c r="G2007" s="111" t="b">
        <v>0</v>
      </c>
    </row>
    <row r="2008" spans="1:7" ht="15">
      <c r="A2008" s="113" t="s">
        <v>1242</v>
      </c>
      <c r="B2008" s="111">
        <v>4</v>
      </c>
      <c r="C2008" s="115">
        <v>0.001981181027251601</v>
      </c>
      <c r="D2008" s="111" t="s">
        <v>822</v>
      </c>
      <c r="E2008" s="111" t="b">
        <v>0</v>
      </c>
      <c r="F2008" s="111" t="b">
        <v>0</v>
      </c>
      <c r="G2008" s="111" t="b">
        <v>0</v>
      </c>
    </row>
    <row r="2009" spans="1:7" ht="15">
      <c r="A2009" s="113" t="s">
        <v>1152</v>
      </c>
      <c r="B2009" s="111">
        <v>4</v>
      </c>
      <c r="C2009" s="115">
        <v>0.0023248914443308303</v>
      </c>
      <c r="D2009" s="111" t="s">
        <v>822</v>
      </c>
      <c r="E2009" s="111" t="b">
        <v>0</v>
      </c>
      <c r="F2009" s="111" t="b">
        <v>0</v>
      </c>
      <c r="G2009" s="111" t="b">
        <v>0</v>
      </c>
    </row>
    <row r="2010" spans="1:7" ht="15">
      <c r="A2010" s="113" t="s">
        <v>1134</v>
      </c>
      <c r="B2010" s="111">
        <v>4</v>
      </c>
      <c r="C2010" s="115">
        <v>0.002809324068968193</v>
      </c>
      <c r="D2010" s="111" t="s">
        <v>822</v>
      </c>
      <c r="E2010" s="111" t="b">
        <v>0</v>
      </c>
      <c r="F2010" s="111" t="b">
        <v>0</v>
      </c>
      <c r="G2010" s="111" t="b">
        <v>0</v>
      </c>
    </row>
    <row r="2011" spans="1:7" ht="15">
      <c r="A2011" s="113" t="s">
        <v>1141</v>
      </c>
      <c r="B2011" s="111">
        <v>4</v>
      </c>
      <c r="C2011" s="115">
        <v>0.001981181027251601</v>
      </c>
      <c r="D2011" s="111" t="s">
        <v>822</v>
      </c>
      <c r="E2011" s="111" t="b">
        <v>0</v>
      </c>
      <c r="F2011" s="111" t="b">
        <v>0</v>
      </c>
      <c r="G2011" s="111" t="b">
        <v>0</v>
      </c>
    </row>
    <row r="2012" spans="1:7" ht="15">
      <c r="A2012" s="113" t="s">
        <v>995</v>
      </c>
      <c r="B2012" s="111">
        <v>4</v>
      </c>
      <c r="C2012" s="115">
        <v>0.001981181027251601</v>
      </c>
      <c r="D2012" s="111" t="s">
        <v>822</v>
      </c>
      <c r="E2012" s="111" t="b">
        <v>0</v>
      </c>
      <c r="F2012" s="111" t="b">
        <v>0</v>
      </c>
      <c r="G2012" s="111" t="b">
        <v>0</v>
      </c>
    </row>
    <row r="2013" spans="1:7" ht="15">
      <c r="A2013" s="113" t="s">
        <v>961</v>
      </c>
      <c r="B2013" s="111">
        <v>4</v>
      </c>
      <c r="C2013" s="115">
        <v>0.002809324068968193</v>
      </c>
      <c r="D2013" s="111" t="s">
        <v>822</v>
      </c>
      <c r="E2013" s="111" t="b">
        <v>0</v>
      </c>
      <c r="F2013" s="111" t="b">
        <v>0</v>
      </c>
      <c r="G2013" s="111" t="b">
        <v>0</v>
      </c>
    </row>
    <row r="2014" spans="1:7" ht="15">
      <c r="A2014" s="113" t="s">
        <v>1140</v>
      </c>
      <c r="B2014" s="111">
        <v>4</v>
      </c>
      <c r="C2014" s="115">
        <v>0.002809324068968193</v>
      </c>
      <c r="D2014" s="111" t="s">
        <v>822</v>
      </c>
      <c r="E2014" s="111" t="b">
        <v>0</v>
      </c>
      <c r="F2014" s="111" t="b">
        <v>0</v>
      </c>
      <c r="G2014" s="111" t="b">
        <v>0</v>
      </c>
    </row>
    <row r="2015" spans="1:7" ht="15">
      <c r="A2015" s="113" t="s">
        <v>1260</v>
      </c>
      <c r="B2015" s="111">
        <v>4</v>
      </c>
      <c r="C2015" s="115">
        <v>0.003637467110684785</v>
      </c>
      <c r="D2015" s="111" t="s">
        <v>822</v>
      </c>
      <c r="E2015" s="111" t="b">
        <v>0</v>
      </c>
      <c r="F2015" s="111" t="b">
        <v>0</v>
      </c>
      <c r="G2015" s="111" t="b">
        <v>0</v>
      </c>
    </row>
    <row r="2016" spans="1:7" ht="15">
      <c r="A2016" s="113" t="s">
        <v>1266</v>
      </c>
      <c r="B2016" s="111">
        <v>3</v>
      </c>
      <c r="C2016" s="115">
        <v>0.0021069930517261443</v>
      </c>
      <c r="D2016" s="111" t="s">
        <v>822</v>
      </c>
      <c r="E2016" s="111" t="b">
        <v>0</v>
      </c>
      <c r="F2016" s="111" t="b">
        <v>0</v>
      </c>
      <c r="G2016" s="111" t="b">
        <v>0</v>
      </c>
    </row>
    <row r="2017" spans="1:7" ht="15">
      <c r="A2017" s="113" t="s">
        <v>1472</v>
      </c>
      <c r="B2017" s="111">
        <v>3</v>
      </c>
      <c r="C2017" s="115">
        <v>0.0027281003330135883</v>
      </c>
      <c r="D2017" s="111" t="s">
        <v>822</v>
      </c>
      <c r="E2017" s="111" t="b">
        <v>0</v>
      </c>
      <c r="F2017" s="111" t="b">
        <v>0</v>
      </c>
      <c r="G2017" s="111" t="b">
        <v>0</v>
      </c>
    </row>
    <row r="2018" spans="1:7" ht="15">
      <c r="A2018" s="113" t="s">
        <v>1239</v>
      </c>
      <c r="B2018" s="111">
        <v>3</v>
      </c>
      <c r="C2018" s="115">
        <v>0.0027281003330135883</v>
      </c>
      <c r="D2018" s="111" t="s">
        <v>822</v>
      </c>
      <c r="E2018" s="111" t="b">
        <v>0</v>
      </c>
      <c r="F2018" s="111" t="b">
        <v>0</v>
      </c>
      <c r="G2018" s="111" t="b">
        <v>0</v>
      </c>
    </row>
    <row r="2019" spans="1:7" ht="15">
      <c r="A2019" s="113" t="s">
        <v>1474</v>
      </c>
      <c r="B2019" s="111">
        <v>3</v>
      </c>
      <c r="C2019" s="115">
        <v>0.0027281003330135883</v>
      </c>
      <c r="D2019" s="111" t="s">
        <v>822</v>
      </c>
      <c r="E2019" s="111" t="b">
        <v>0</v>
      </c>
      <c r="F2019" s="111" t="b">
        <v>0</v>
      </c>
      <c r="G2019" s="111" t="b">
        <v>0</v>
      </c>
    </row>
    <row r="2020" spans="1:7" ht="15">
      <c r="A2020" s="113" t="s">
        <v>1454</v>
      </c>
      <c r="B2020" s="111">
        <v>3</v>
      </c>
      <c r="C2020" s="115">
        <v>0.0017436685832481226</v>
      </c>
      <c r="D2020" s="111" t="s">
        <v>822</v>
      </c>
      <c r="E2020" s="111" t="b">
        <v>0</v>
      </c>
      <c r="F2020" s="111" t="b">
        <v>0</v>
      </c>
      <c r="G2020" s="111" t="b">
        <v>0</v>
      </c>
    </row>
    <row r="2021" spans="1:7" ht="15">
      <c r="A2021" s="113" t="s">
        <v>932</v>
      </c>
      <c r="B2021" s="111">
        <v>3</v>
      </c>
      <c r="C2021" s="115">
        <v>0.0017436685832481226</v>
      </c>
      <c r="D2021" s="111" t="s">
        <v>822</v>
      </c>
      <c r="E2021" s="111" t="b">
        <v>0</v>
      </c>
      <c r="F2021" s="111" t="b">
        <v>0</v>
      </c>
      <c r="G2021" s="111" t="b">
        <v>0</v>
      </c>
    </row>
    <row r="2022" spans="1:7" ht="15">
      <c r="A2022" s="113" t="s">
        <v>971</v>
      </c>
      <c r="B2022" s="111">
        <v>3</v>
      </c>
      <c r="C2022" s="115">
        <v>0.0021069930517261443</v>
      </c>
      <c r="D2022" s="111" t="s">
        <v>822</v>
      </c>
      <c r="E2022" s="111" t="b">
        <v>0</v>
      </c>
      <c r="F2022" s="111" t="b">
        <v>0</v>
      </c>
      <c r="G2022" s="111" t="b">
        <v>0</v>
      </c>
    </row>
    <row r="2023" spans="1:7" ht="15">
      <c r="A2023" s="113" t="s">
        <v>1458</v>
      </c>
      <c r="B2023" s="111">
        <v>3</v>
      </c>
      <c r="C2023" s="115">
        <v>0.0021069930517261443</v>
      </c>
      <c r="D2023" s="111" t="s">
        <v>822</v>
      </c>
      <c r="E2023" s="111" t="b">
        <v>0</v>
      </c>
      <c r="F2023" s="111" t="b">
        <v>0</v>
      </c>
      <c r="G2023" s="111" t="b">
        <v>0</v>
      </c>
    </row>
    <row r="2024" spans="1:7" ht="15">
      <c r="A2024" s="113" t="s">
        <v>1268</v>
      </c>
      <c r="B2024" s="111">
        <v>3</v>
      </c>
      <c r="C2024" s="115">
        <v>0.0027281003330135883</v>
      </c>
      <c r="D2024" s="111" t="s">
        <v>822</v>
      </c>
      <c r="E2024" s="111" t="b">
        <v>0</v>
      </c>
      <c r="F2024" s="111" t="b">
        <v>0</v>
      </c>
      <c r="G2024" s="111" t="b">
        <v>0</v>
      </c>
    </row>
    <row r="2025" spans="1:7" ht="15">
      <c r="A2025" s="113" t="s">
        <v>1182</v>
      </c>
      <c r="B2025" s="111">
        <v>3</v>
      </c>
      <c r="C2025" s="115">
        <v>0.0027281003330135883</v>
      </c>
      <c r="D2025" s="111" t="s">
        <v>822</v>
      </c>
      <c r="E2025" s="111" t="b">
        <v>1</v>
      </c>
      <c r="F2025" s="111" t="b">
        <v>0</v>
      </c>
      <c r="G2025" s="111" t="b">
        <v>0</v>
      </c>
    </row>
    <row r="2026" spans="1:7" ht="15">
      <c r="A2026" s="113" t="s">
        <v>1390</v>
      </c>
      <c r="B2026" s="111">
        <v>3</v>
      </c>
      <c r="C2026" s="115">
        <v>0.0021069930517261443</v>
      </c>
      <c r="D2026" s="111" t="s">
        <v>822</v>
      </c>
      <c r="E2026" s="111" t="b">
        <v>0</v>
      </c>
      <c r="F2026" s="111" t="b">
        <v>0</v>
      </c>
      <c r="G2026" s="111" t="b">
        <v>0</v>
      </c>
    </row>
    <row r="2027" spans="1:7" ht="15">
      <c r="A2027" s="113" t="s">
        <v>899</v>
      </c>
      <c r="B2027" s="111">
        <v>3</v>
      </c>
      <c r="C2027" s="115">
        <v>0.0017436685832481226</v>
      </c>
      <c r="D2027" s="111" t="s">
        <v>822</v>
      </c>
      <c r="E2027" s="111" t="b">
        <v>0</v>
      </c>
      <c r="F2027" s="111" t="b">
        <v>0</v>
      </c>
      <c r="G2027" s="111" t="b">
        <v>0</v>
      </c>
    </row>
    <row r="2028" spans="1:7" ht="15">
      <c r="A2028" s="113" t="s">
        <v>1231</v>
      </c>
      <c r="B2028" s="111">
        <v>3</v>
      </c>
      <c r="C2028" s="115">
        <v>0.0021069930517261443</v>
      </c>
      <c r="D2028" s="111" t="s">
        <v>822</v>
      </c>
      <c r="E2028" s="111" t="b">
        <v>0</v>
      </c>
      <c r="F2028" s="111" t="b">
        <v>0</v>
      </c>
      <c r="G2028" s="111" t="b">
        <v>0</v>
      </c>
    </row>
    <row r="2029" spans="1:7" ht="15">
      <c r="A2029" s="113" t="s">
        <v>1456</v>
      </c>
      <c r="B2029" s="111">
        <v>3</v>
      </c>
      <c r="C2029" s="115">
        <v>0.0017436685832481226</v>
      </c>
      <c r="D2029" s="111" t="s">
        <v>822</v>
      </c>
      <c r="E2029" s="111" t="b">
        <v>0</v>
      </c>
      <c r="F2029" s="111" t="b">
        <v>0</v>
      </c>
      <c r="G2029" s="111" t="b">
        <v>0</v>
      </c>
    </row>
    <row r="2030" spans="1:7" ht="15">
      <c r="A2030" s="113" t="s">
        <v>1425</v>
      </c>
      <c r="B2030" s="111">
        <v>3</v>
      </c>
      <c r="C2030" s="115">
        <v>0.0017436685832481226</v>
      </c>
      <c r="D2030" s="111" t="s">
        <v>822</v>
      </c>
      <c r="E2030" s="111" t="b">
        <v>0</v>
      </c>
      <c r="F2030" s="111" t="b">
        <v>0</v>
      </c>
      <c r="G2030" s="111" t="b">
        <v>0</v>
      </c>
    </row>
    <row r="2031" spans="1:7" ht="15">
      <c r="A2031" s="113" t="s">
        <v>1426</v>
      </c>
      <c r="B2031" s="111">
        <v>3</v>
      </c>
      <c r="C2031" s="115">
        <v>0.0017436685832481226</v>
      </c>
      <c r="D2031" s="111" t="s">
        <v>822</v>
      </c>
      <c r="E2031" s="111" t="b">
        <v>0</v>
      </c>
      <c r="F2031" s="111" t="b">
        <v>0</v>
      </c>
      <c r="G2031" s="111" t="b">
        <v>0</v>
      </c>
    </row>
    <row r="2032" spans="1:7" ht="15">
      <c r="A2032" s="113" t="s">
        <v>1427</v>
      </c>
      <c r="B2032" s="111">
        <v>3</v>
      </c>
      <c r="C2032" s="115">
        <v>0.0017436685832481226</v>
      </c>
      <c r="D2032" s="111" t="s">
        <v>822</v>
      </c>
      <c r="E2032" s="111" t="b">
        <v>0</v>
      </c>
      <c r="F2032" s="111" t="b">
        <v>0</v>
      </c>
      <c r="G2032" s="111" t="b">
        <v>0</v>
      </c>
    </row>
    <row r="2033" spans="1:7" ht="15">
      <c r="A2033" s="113" t="s">
        <v>1428</v>
      </c>
      <c r="B2033" s="111">
        <v>3</v>
      </c>
      <c r="C2033" s="115">
        <v>0.0017436685832481226</v>
      </c>
      <c r="D2033" s="111" t="s">
        <v>822</v>
      </c>
      <c r="E2033" s="111" t="b">
        <v>1</v>
      </c>
      <c r="F2033" s="111" t="b">
        <v>0</v>
      </c>
      <c r="G2033" s="111" t="b">
        <v>0</v>
      </c>
    </row>
    <row r="2034" spans="1:7" ht="15">
      <c r="A2034" s="113" t="s">
        <v>1429</v>
      </c>
      <c r="B2034" s="111">
        <v>3</v>
      </c>
      <c r="C2034" s="115">
        <v>0.0017436685832481226</v>
      </c>
      <c r="D2034" s="111" t="s">
        <v>822</v>
      </c>
      <c r="E2034" s="111" t="b">
        <v>0</v>
      </c>
      <c r="F2034" s="111" t="b">
        <v>0</v>
      </c>
      <c r="G2034" s="111" t="b">
        <v>0</v>
      </c>
    </row>
    <row r="2035" spans="1:7" ht="15">
      <c r="A2035" s="113" t="s">
        <v>1430</v>
      </c>
      <c r="B2035" s="111">
        <v>3</v>
      </c>
      <c r="C2035" s="115">
        <v>0.0017436685832481226</v>
      </c>
      <c r="D2035" s="111" t="s">
        <v>822</v>
      </c>
      <c r="E2035" s="111" t="b">
        <v>0</v>
      </c>
      <c r="F2035" s="111" t="b">
        <v>0</v>
      </c>
      <c r="G2035" s="111" t="b">
        <v>0</v>
      </c>
    </row>
    <row r="2036" spans="1:7" ht="15">
      <c r="A2036" s="113" t="s">
        <v>861</v>
      </c>
      <c r="B2036" s="111">
        <v>3</v>
      </c>
      <c r="C2036" s="115">
        <v>0.0017436685832481226</v>
      </c>
      <c r="D2036" s="111" t="s">
        <v>822</v>
      </c>
      <c r="E2036" s="111" t="b">
        <v>0</v>
      </c>
      <c r="F2036" s="111" t="b">
        <v>0</v>
      </c>
      <c r="G2036" s="111" t="b">
        <v>0</v>
      </c>
    </row>
    <row r="2037" spans="1:7" ht="15">
      <c r="A2037" s="113" t="s">
        <v>1431</v>
      </c>
      <c r="B2037" s="111">
        <v>3</v>
      </c>
      <c r="C2037" s="115">
        <v>0.0017436685832481226</v>
      </c>
      <c r="D2037" s="111" t="s">
        <v>822</v>
      </c>
      <c r="E2037" s="111" t="b">
        <v>0</v>
      </c>
      <c r="F2037" s="111" t="b">
        <v>0</v>
      </c>
      <c r="G2037" s="111" t="b">
        <v>0</v>
      </c>
    </row>
    <row r="2038" spans="1:7" ht="15">
      <c r="A2038" s="113" t="s">
        <v>1082</v>
      </c>
      <c r="B2038" s="111">
        <v>3</v>
      </c>
      <c r="C2038" s="115">
        <v>0.0017436685832481226</v>
      </c>
      <c r="D2038" s="111" t="s">
        <v>822</v>
      </c>
      <c r="E2038" s="111" t="b">
        <v>0</v>
      </c>
      <c r="F2038" s="111" t="b">
        <v>0</v>
      </c>
      <c r="G2038" s="111" t="b">
        <v>0</v>
      </c>
    </row>
    <row r="2039" spans="1:7" ht="15">
      <c r="A2039" s="113" t="s">
        <v>1432</v>
      </c>
      <c r="B2039" s="111">
        <v>3</v>
      </c>
      <c r="C2039" s="115">
        <v>0.0017436685832481226</v>
      </c>
      <c r="D2039" s="111" t="s">
        <v>822</v>
      </c>
      <c r="E2039" s="111" t="b">
        <v>0</v>
      </c>
      <c r="F2039" s="111" t="b">
        <v>0</v>
      </c>
      <c r="G2039" s="111" t="b">
        <v>0</v>
      </c>
    </row>
    <row r="2040" spans="1:7" ht="15">
      <c r="A2040" s="113" t="s">
        <v>1433</v>
      </c>
      <c r="B2040" s="111">
        <v>3</v>
      </c>
      <c r="C2040" s="115">
        <v>0.0017436685832481226</v>
      </c>
      <c r="D2040" s="111" t="s">
        <v>822</v>
      </c>
      <c r="E2040" s="111" t="b">
        <v>0</v>
      </c>
      <c r="F2040" s="111" t="b">
        <v>0</v>
      </c>
      <c r="G2040" s="111" t="b">
        <v>0</v>
      </c>
    </row>
    <row r="2041" spans="1:7" ht="15">
      <c r="A2041" s="113" t="s">
        <v>1015</v>
      </c>
      <c r="B2041" s="111">
        <v>3</v>
      </c>
      <c r="C2041" s="115">
        <v>0.0017436685832481226</v>
      </c>
      <c r="D2041" s="111" t="s">
        <v>822</v>
      </c>
      <c r="E2041" s="111" t="b">
        <v>0</v>
      </c>
      <c r="F2041" s="111" t="b">
        <v>0</v>
      </c>
      <c r="G2041" s="111" t="b">
        <v>0</v>
      </c>
    </row>
    <row r="2042" spans="1:7" ht="15">
      <c r="A2042" s="113" t="s">
        <v>966</v>
      </c>
      <c r="B2042" s="111">
        <v>3</v>
      </c>
      <c r="C2042" s="115">
        <v>0.0017436685832481226</v>
      </c>
      <c r="D2042" s="111" t="s">
        <v>822</v>
      </c>
      <c r="E2042" s="111" t="b">
        <v>0</v>
      </c>
      <c r="F2042" s="111" t="b">
        <v>0</v>
      </c>
      <c r="G2042" s="111" t="b">
        <v>0</v>
      </c>
    </row>
    <row r="2043" spans="1:7" ht="15">
      <c r="A2043" s="113" t="s">
        <v>1434</v>
      </c>
      <c r="B2043" s="111">
        <v>3</v>
      </c>
      <c r="C2043" s="115">
        <v>0.0017436685832481226</v>
      </c>
      <c r="D2043" s="111" t="s">
        <v>822</v>
      </c>
      <c r="E2043" s="111" t="b">
        <v>0</v>
      </c>
      <c r="F2043" s="111" t="b">
        <v>0</v>
      </c>
      <c r="G2043" s="111" t="b">
        <v>0</v>
      </c>
    </row>
    <row r="2044" spans="1:7" ht="15">
      <c r="A2044" s="113" t="s">
        <v>1075</v>
      </c>
      <c r="B2044" s="111">
        <v>3</v>
      </c>
      <c r="C2044" s="115">
        <v>0.0017436685832481226</v>
      </c>
      <c r="D2044" s="111" t="s">
        <v>822</v>
      </c>
      <c r="E2044" s="111" t="b">
        <v>0</v>
      </c>
      <c r="F2044" s="111" t="b">
        <v>0</v>
      </c>
      <c r="G2044" s="111" t="b">
        <v>0</v>
      </c>
    </row>
    <row r="2045" spans="1:7" ht="15">
      <c r="A2045" s="113" t="s">
        <v>1110</v>
      </c>
      <c r="B2045" s="111">
        <v>3</v>
      </c>
      <c r="C2045" s="115">
        <v>0.0017436685832481226</v>
      </c>
      <c r="D2045" s="111" t="s">
        <v>822</v>
      </c>
      <c r="E2045" s="111" t="b">
        <v>0</v>
      </c>
      <c r="F2045" s="111" t="b">
        <v>0</v>
      </c>
      <c r="G2045" s="111" t="b">
        <v>0</v>
      </c>
    </row>
    <row r="2046" spans="1:7" ht="15">
      <c r="A2046" s="113" t="s">
        <v>1151</v>
      </c>
      <c r="B2046" s="111">
        <v>3</v>
      </c>
      <c r="C2046" s="115">
        <v>0.0017436685832481226</v>
      </c>
      <c r="D2046" s="111" t="s">
        <v>822</v>
      </c>
      <c r="E2046" s="111" t="b">
        <v>0</v>
      </c>
      <c r="F2046" s="111" t="b">
        <v>0</v>
      </c>
      <c r="G2046" s="111" t="b">
        <v>0</v>
      </c>
    </row>
    <row r="2047" spans="1:7" ht="15">
      <c r="A2047" s="113" t="s">
        <v>1125</v>
      </c>
      <c r="B2047" s="111">
        <v>3</v>
      </c>
      <c r="C2047" s="115">
        <v>0.0017436685832481226</v>
      </c>
      <c r="D2047" s="111" t="s">
        <v>822</v>
      </c>
      <c r="E2047" s="111" t="b">
        <v>0</v>
      </c>
      <c r="F2047" s="111" t="b">
        <v>0</v>
      </c>
      <c r="G2047" s="111" t="b">
        <v>0</v>
      </c>
    </row>
    <row r="2048" spans="1:7" ht="15">
      <c r="A2048" s="113" t="s">
        <v>1435</v>
      </c>
      <c r="B2048" s="111">
        <v>3</v>
      </c>
      <c r="C2048" s="115">
        <v>0.0017436685832481226</v>
      </c>
      <c r="D2048" s="111" t="s">
        <v>822</v>
      </c>
      <c r="E2048" s="111" t="b">
        <v>1</v>
      </c>
      <c r="F2048" s="111" t="b">
        <v>0</v>
      </c>
      <c r="G2048" s="111" t="b">
        <v>0</v>
      </c>
    </row>
    <row r="2049" spans="1:7" ht="15">
      <c r="A2049" s="113" t="s">
        <v>1436</v>
      </c>
      <c r="B2049" s="111">
        <v>3</v>
      </c>
      <c r="C2049" s="115">
        <v>0.0017436685832481226</v>
      </c>
      <c r="D2049" s="111" t="s">
        <v>822</v>
      </c>
      <c r="E2049" s="111" t="b">
        <v>0</v>
      </c>
      <c r="F2049" s="111" t="b">
        <v>0</v>
      </c>
      <c r="G2049" s="111" t="b">
        <v>0</v>
      </c>
    </row>
    <row r="2050" spans="1:7" ht="15">
      <c r="A2050" s="113" t="s">
        <v>1437</v>
      </c>
      <c r="B2050" s="111">
        <v>3</v>
      </c>
      <c r="C2050" s="115">
        <v>0.0017436685832481226</v>
      </c>
      <c r="D2050" s="111" t="s">
        <v>822</v>
      </c>
      <c r="E2050" s="111" t="b">
        <v>1</v>
      </c>
      <c r="F2050" s="111" t="b">
        <v>0</v>
      </c>
      <c r="G2050" s="111" t="b">
        <v>0</v>
      </c>
    </row>
    <row r="2051" spans="1:7" ht="15">
      <c r="A2051" s="113" t="s">
        <v>1191</v>
      </c>
      <c r="B2051" s="111">
        <v>3</v>
      </c>
      <c r="C2051" s="115">
        <v>0.0017436685832481226</v>
      </c>
      <c r="D2051" s="111" t="s">
        <v>822</v>
      </c>
      <c r="E2051" s="111" t="b">
        <v>0</v>
      </c>
      <c r="F2051" s="111" t="b">
        <v>0</v>
      </c>
      <c r="G2051" s="111" t="b">
        <v>0</v>
      </c>
    </row>
    <row r="2052" spans="1:7" ht="15">
      <c r="A2052" s="113" t="s">
        <v>965</v>
      </c>
      <c r="B2052" s="111">
        <v>3</v>
      </c>
      <c r="C2052" s="115">
        <v>0.0017436685832481226</v>
      </c>
      <c r="D2052" s="111" t="s">
        <v>822</v>
      </c>
      <c r="E2052" s="111" t="b">
        <v>0</v>
      </c>
      <c r="F2052" s="111" t="b">
        <v>0</v>
      </c>
      <c r="G2052" s="111" t="b">
        <v>0</v>
      </c>
    </row>
    <row r="2053" spans="1:7" ht="15">
      <c r="A2053" s="113" t="s">
        <v>1238</v>
      </c>
      <c r="B2053" s="111">
        <v>3</v>
      </c>
      <c r="C2053" s="115">
        <v>0.0017436685832481226</v>
      </c>
      <c r="D2053" s="111" t="s">
        <v>822</v>
      </c>
      <c r="E2053" s="111" t="b">
        <v>0</v>
      </c>
      <c r="F2053" s="111" t="b">
        <v>0</v>
      </c>
      <c r="G2053" s="111" t="b">
        <v>0</v>
      </c>
    </row>
    <row r="2054" spans="1:7" ht="15">
      <c r="A2054" s="113" t="s">
        <v>976</v>
      </c>
      <c r="B2054" s="111">
        <v>3</v>
      </c>
      <c r="C2054" s="115">
        <v>0.0021069930517261443</v>
      </c>
      <c r="D2054" s="111" t="s">
        <v>822</v>
      </c>
      <c r="E2054" s="111" t="b">
        <v>0</v>
      </c>
      <c r="F2054" s="111" t="b">
        <v>0</v>
      </c>
      <c r="G2054" s="111" t="b">
        <v>0</v>
      </c>
    </row>
    <row r="2055" spans="1:7" ht="15">
      <c r="A2055" s="113" t="s">
        <v>944</v>
      </c>
      <c r="B2055" s="111">
        <v>3</v>
      </c>
      <c r="C2055" s="115">
        <v>0.0017436685832481226</v>
      </c>
      <c r="D2055" s="111" t="s">
        <v>822</v>
      </c>
      <c r="E2055" s="111" t="b">
        <v>0</v>
      </c>
      <c r="F2055" s="111" t="b">
        <v>0</v>
      </c>
      <c r="G2055" s="111" t="b">
        <v>0</v>
      </c>
    </row>
    <row r="2056" spans="1:7" ht="15">
      <c r="A2056" s="113" t="s">
        <v>1084</v>
      </c>
      <c r="B2056" s="111">
        <v>3</v>
      </c>
      <c r="C2056" s="115">
        <v>0.0017436685832481226</v>
      </c>
      <c r="D2056" s="111" t="s">
        <v>822</v>
      </c>
      <c r="E2056" s="111" t="b">
        <v>0</v>
      </c>
      <c r="F2056" s="111" t="b">
        <v>0</v>
      </c>
      <c r="G2056" s="111" t="b">
        <v>0</v>
      </c>
    </row>
    <row r="2057" spans="1:7" ht="15">
      <c r="A2057" s="113" t="s">
        <v>1030</v>
      </c>
      <c r="B2057" s="111">
        <v>3</v>
      </c>
      <c r="C2057" s="115">
        <v>0.0017436685832481226</v>
      </c>
      <c r="D2057" s="111" t="s">
        <v>822</v>
      </c>
      <c r="E2057" s="111" t="b">
        <v>0</v>
      </c>
      <c r="F2057" s="111" t="b">
        <v>0</v>
      </c>
      <c r="G2057" s="111" t="b">
        <v>0</v>
      </c>
    </row>
    <row r="2058" spans="1:7" ht="15">
      <c r="A2058" s="113" t="s">
        <v>1470</v>
      </c>
      <c r="B2058" s="111">
        <v>3</v>
      </c>
      <c r="C2058" s="115">
        <v>0.0027281003330135883</v>
      </c>
      <c r="D2058" s="111" t="s">
        <v>822</v>
      </c>
      <c r="E2058" s="111" t="b">
        <v>0</v>
      </c>
      <c r="F2058" s="111" t="b">
        <v>0</v>
      </c>
      <c r="G2058" s="111" t="b">
        <v>0</v>
      </c>
    </row>
    <row r="2059" spans="1:7" ht="15">
      <c r="A2059" s="113" t="s">
        <v>1011</v>
      </c>
      <c r="B2059" s="111">
        <v>3</v>
      </c>
      <c r="C2059" s="115">
        <v>0.0017436685832481226</v>
      </c>
      <c r="D2059" s="111" t="s">
        <v>822</v>
      </c>
      <c r="E2059" s="111" t="b">
        <v>0</v>
      </c>
      <c r="F2059" s="111" t="b">
        <v>0</v>
      </c>
      <c r="G2059" s="111" t="b">
        <v>0</v>
      </c>
    </row>
    <row r="2060" spans="1:7" ht="15">
      <c r="A2060" s="113" t="s">
        <v>1139</v>
      </c>
      <c r="B2060" s="111">
        <v>3</v>
      </c>
      <c r="C2060" s="115">
        <v>0.0021069930517261443</v>
      </c>
      <c r="D2060" s="111" t="s">
        <v>822</v>
      </c>
      <c r="E2060" s="111" t="b">
        <v>0</v>
      </c>
      <c r="F2060" s="111" t="b">
        <v>0</v>
      </c>
      <c r="G2060" s="111" t="b">
        <v>0</v>
      </c>
    </row>
    <row r="2061" spans="1:7" ht="15">
      <c r="A2061" s="113" t="s">
        <v>1453</v>
      </c>
      <c r="B2061" s="111">
        <v>3</v>
      </c>
      <c r="C2061" s="115">
        <v>0.0021069930517261443</v>
      </c>
      <c r="D2061" s="111" t="s">
        <v>822</v>
      </c>
      <c r="E2061" s="111" t="b">
        <v>0</v>
      </c>
      <c r="F2061" s="111" t="b">
        <v>0</v>
      </c>
      <c r="G2061" s="111" t="b">
        <v>0</v>
      </c>
    </row>
    <row r="2062" spans="1:7" ht="15">
      <c r="A2062" s="113" t="s">
        <v>1460</v>
      </c>
      <c r="B2062" s="111">
        <v>3</v>
      </c>
      <c r="C2062" s="115">
        <v>0.0021069930517261443</v>
      </c>
      <c r="D2062" s="111" t="s">
        <v>822</v>
      </c>
      <c r="E2062" s="111" t="b">
        <v>0</v>
      </c>
      <c r="F2062" s="111" t="b">
        <v>0</v>
      </c>
      <c r="G2062" s="111" t="b">
        <v>0</v>
      </c>
    </row>
    <row r="2063" spans="1:7" ht="15">
      <c r="A2063" s="113" t="s">
        <v>1385</v>
      </c>
      <c r="B2063" s="111">
        <v>3</v>
      </c>
      <c r="C2063" s="115">
        <v>0.0017436685832481226</v>
      </c>
      <c r="D2063" s="111" t="s">
        <v>822</v>
      </c>
      <c r="E2063" s="111" t="b">
        <v>1</v>
      </c>
      <c r="F2063" s="111" t="b">
        <v>0</v>
      </c>
      <c r="G2063" s="111" t="b">
        <v>0</v>
      </c>
    </row>
    <row r="2064" spans="1:7" ht="15">
      <c r="A2064" s="113" t="s">
        <v>1236</v>
      </c>
      <c r="B2064" s="111">
        <v>3</v>
      </c>
      <c r="C2064" s="115">
        <v>0.0017436685832481226</v>
      </c>
      <c r="D2064" s="111" t="s">
        <v>822</v>
      </c>
      <c r="E2064" s="111" t="b">
        <v>0</v>
      </c>
      <c r="F2064" s="111" t="b">
        <v>0</v>
      </c>
      <c r="G2064" s="111" t="b">
        <v>0</v>
      </c>
    </row>
    <row r="2065" spans="1:7" ht="15">
      <c r="A2065" s="113" t="s">
        <v>1461</v>
      </c>
      <c r="B2065" s="111">
        <v>3</v>
      </c>
      <c r="C2065" s="115">
        <v>0.0017436685832481226</v>
      </c>
      <c r="D2065" s="111" t="s">
        <v>822</v>
      </c>
      <c r="E2065" s="111" t="b">
        <v>0</v>
      </c>
      <c r="F2065" s="111" t="b">
        <v>0</v>
      </c>
      <c r="G2065" s="111" t="b">
        <v>0</v>
      </c>
    </row>
    <row r="2066" spans="1:7" ht="15">
      <c r="A2066" s="113" t="s">
        <v>1462</v>
      </c>
      <c r="B2066" s="111">
        <v>3</v>
      </c>
      <c r="C2066" s="115">
        <v>0.0017436685832481226</v>
      </c>
      <c r="D2066" s="111" t="s">
        <v>822</v>
      </c>
      <c r="E2066" s="111" t="b">
        <v>0</v>
      </c>
      <c r="F2066" s="111" t="b">
        <v>0</v>
      </c>
      <c r="G2066" s="111" t="b">
        <v>0</v>
      </c>
    </row>
    <row r="2067" spans="1:7" ht="15">
      <c r="A2067" s="113" t="s">
        <v>1463</v>
      </c>
      <c r="B2067" s="111">
        <v>3</v>
      </c>
      <c r="C2067" s="115">
        <v>0.0017436685832481226</v>
      </c>
      <c r="D2067" s="111" t="s">
        <v>822</v>
      </c>
      <c r="E2067" s="111" t="b">
        <v>0</v>
      </c>
      <c r="F2067" s="111" t="b">
        <v>0</v>
      </c>
      <c r="G2067" s="111" t="b">
        <v>0</v>
      </c>
    </row>
    <row r="2068" spans="1:7" ht="15">
      <c r="A2068" s="113" t="s">
        <v>1464</v>
      </c>
      <c r="B2068" s="111">
        <v>3</v>
      </c>
      <c r="C2068" s="115">
        <v>0.0017436685832481226</v>
      </c>
      <c r="D2068" s="111" t="s">
        <v>822</v>
      </c>
      <c r="E2068" s="111" t="b">
        <v>0</v>
      </c>
      <c r="F2068" s="111" t="b">
        <v>0</v>
      </c>
      <c r="G2068" s="111" t="b">
        <v>0</v>
      </c>
    </row>
    <row r="2069" spans="1:7" ht="15">
      <c r="A2069" s="113" t="s">
        <v>1465</v>
      </c>
      <c r="B2069" s="111">
        <v>3</v>
      </c>
      <c r="C2069" s="115">
        <v>0.0017436685832481226</v>
      </c>
      <c r="D2069" s="111" t="s">
        <v>822</v>
      </c>
      <c r="E2069" s="111" t="b">
        <v>0</v>
      </c>
      <c r="F2069" s="111" t="b">
        <v>0</v>
      </c>
      <c r="G2069" s="111" t="b">
        <v>0</v>
      </c>
    </row>
    <row r="2070" spans="1:7" ht="15">
      <c r="A2070" s="113" t="s">
        <v>1466</v>
      </c>
      <c r="B2070" s="111">
        <v>3</v>
      </c>
      <c r="C2070" s="115">
        <v>0.0017436685832481226</v>
      </c>
      <c r="D2070" s="111" t="s">
        <v>822</v>
      </c>
      <c r="E2070" s="111" t="b">
        <v>0</v>
      </c>
      <c r="F2070" s="111" t="b">
        <v>0</v>
      </c>
      <c r="G2070" s="111" t="b">
        <v>0</v>
      </c>
    </row>
    <row r="2071" spans="1:7" ht="15">
      <c r="A2071" s="113" t="s">
        <v>1467</v>
      </c>
      <c r="B2071" s="111">
        <v>3</v>
      </c>
      <c r="C2071" s="115">
        <v>0.0017436685832481226</v>
      </c>
      <c r="D2071" s="111" t="s">
        <v>822</v>
      </c>
      <c r="E2071" s="111" t="b">
        <v>0</v>
      </c>
      <c r="F2071" s="111" t="b">
        <v>0</v>
      </c>
      <c r="G2071" s="111" t="b">
        <v>0</v>
      </c>
    </row>
    <row r="2072" spans="1:7" ht="15">
      <c r="A2072" s="113" t="s">
        <v>1038</v>
      </c>
      <c r="B2072" s="111">
        <v>3</v>
      </c>
      <c r="C2072" s="115">
        <v>0.0017436685832481226</v>
      </c>
      <c r="D2072" s="111" t="s">
        <v>822</v>
      </c>
      <c r="E2072" s="111" t="b">
        <v>0</v>
      </c>
      <c r="F2072" s="111" t="b">
        <v>0</v>
      </c>
      <c r="G2072" s="111" t="b">
        <v>0</v>
      </c>
    </row>
    <row r="2073" spans="1:7" ht="15">
      <c r="A2073" s="113" t="s">
        <v>924</v>
      </c>
      <c r="B2073" s="111">
        <v>3</v>
      </c>
      <c r="C2073" s="115">
        <v>0.0017436685832481226</v>
      </c>
      <c r="D2073" s="111" t="s">
        <v>822</v>
      </c>
      <c r="E2073" s="111" t="b">
        <v>0</v>
      </c>
      <c r="F2073" s="111" t="b">
        <v>0</v>
      </c>
      <c r="G2073" s="111" t="b">
        <v>0</v>
      </c>
    </row>
    <row r="2074" spans="1:7" ht="15">
      <c r="A2074" s="113" t="s">
        <v>1259</v>
      </c>
      <c r="B2074" s="111">
        <v>3</v>
      </c>
      <c r="C2074" s="115">
        <v>0.0017436685832481226</v>
      </c>
      <c r="D2074" s="111" t="s">
        <v>822</v>
      </c>
      <c r="E2074" s="111" t="b">
        <v>0</v>
      </c>
      <c r="F2074" s="111" t="b">
        <v>0</v>
      </c>
      <c r="G2074" s="111" t="b">
        <v>0</v>
      </c>
    </row>
    <row r="2075" spans="1:7" ht="15">
      <c r="A2075" s="113" t="s">
        <v>1142</v>
      </c>
      <c r="B2075" s="111">
        <v>3</v>
      </c>
      <c r="C2075" s="115">
        <v>0.0017436685832481226</v>
      </c>
      <c r="D2075" s="111" t="s">
        <v>822</v>
      </c>
      <c r="E2075" s="111" t="b">
        <v>0</v>
      </c>
      <c r="F2075" s="111" t="b">
        <v>0</v>
      </c>
      <c r="G2075" s="111" t="b">
        <v>0</v>
      </c>
    </row>
    <row r="2076" spans="1:7" ht="15">
      <c r="A2076" s="113" t="s">
        <v>1386</v>
      </c>
      <c r="B2076" s="111">
        <v>3</v>
      </c>
      <c r="C2076" s="115">
        <v>0.0017436685832481226</v>
      </c>
      <c r="D2076" s="111" t="s">
        <v>822</v>
      </c>
      <c r="E2076" s="111" t="b">
        <v>0</v>
      </c>
      <c r="F2076" s="111" t="b">
        <v>0</v>
      </c>
      <c r="G2076" s="111" t="b">
        <v>0</v>
      </c>
    </row>
    <row r="2077" spans="1:7" ht="15">
      <c r="A2077" s="113" t="s">
        <v>1132</v>
      </c>
      <c r="B2077" s="111">
        <v>3</v>
      </c>
      <c r="C2077" s="115">
        <v>0.0017436685832481226</v>
      </c>
      <c r="D2077" s="111" t="s">
        <v>822</v>
      </c>
      <c r="E2077" s="111" t="b">
        <v>0</v>
      </c>
      <c r="F2077" s="111" t="b">
        <v>0</v>
      </c>
      <c r="G2077" s="111" t="b">
        <v>0</v>
      </c>
    </row>
    <row r="2078" spans="1:7" ht="15">
      <c r="A2078" s="113" t="s">
        <v>857</v>
      </c>
      <c r="B2078" s="111">
        <v>3</v>
      </c>
      <c r="C2078" s="115">
        <v>0.0017436685832481226</v>
      </c>
      <c r="D2078" s="111" t="s">
        <v>822</v>
      </c>
      <c r="E2078" s="111" t="b">
        <v>0</v>
      </c>
      <c r="F2078" s="111" t="b">
        <v>0</v>
      </c>
      <c r="G2078" s="111" t="b">
        <v>0</v>
      </c>
    </row>
    <row r="2079" spans="1:7" ht="15">
      <c r="A2079" s="113" t="s">
        <v>1104</v>
      </c>
      <c r="B2079" s="111">
        <v>3</v>
      </c>
      <c r="C2079" s="115">
        <v>0.0017436685832481226</v>
      </c>
      <c r="D2079" s="111" t="s">
        <v>822</v>
      </c>
      <c r="E2079" s="111" t="b">
        <v>0</v>
      </c>
      <c r="F2079" s="111" t="b">
        <v>0</v>
      </c>
      <c r="G2079" s="111" t="b">
        <v>0</v>
      </c>
    </row>
    <row r="2080" spans="1:7" ht="15">
      <c r="A2080" s="113" t="s">
        <v>1254</v>
      </c>
      <c r="B2080" s="111">
        <v>3</v>
      </c>
      <c r="C2080" s="115">
        <v>0.0021069930517261443</v>
      </c>
      <c r="D2080" s="111" t="s">
        <v>822</v>
      </c>
      <c r="E2080" s="111" t="b">
        <v>0</v>
      </c>
      <c r="F2080" s="111" t="b">
        <v>0</v>
      </c>
      <c r="G2080" s="111" t="b">
        <v>0</v>
      </c>
    </row>
    <row r="2081" spans="1:7" ht="15">
      <c r="A2081" s="113" t="s">
        <v>1468</v>
      </c>
      <c r="B2081" s="111">
        <v>3</v>
      </c>
      <c r="C2081" s="115">
        <v>0.0027281003330135883</v>
      </c>
      <c r="D2081" s="111" t="s">
        <v>822</v>
      </c>
      <c r="E2081" s="111" t="b">
        <v>0</v>
      </c>
      <c r="F2081" s="111" t="b">
        <v>0</v>
      </c>
      <c r="G2081" s="111" t="b">
        <v>0</v>
      </c>
    </row>
    <row r="2082" spans="1:7" ht="15">
      <c r="A2082" s="113" t="s">
        <v>946</v>
      </c>
      <c r="B2082" s="111">
        <v>3</v>
      </c>
      <c r="C2082" s="115">
        <v>0.0027281003330135883</v>
      </c>
      <c r="D2082" s="111" t="s">
        <v>822</v>
      </c>
      <c r="E2082" s="111" t="b">
        <v>0</v>
      </c>
      <c r="F2082" s="111" t="b">
        <v>0</v>
      </c>
      <c r="G2082" s="111" t="b">
        <v>0</v>
      </c>
    </row>
    <row r="2083" spans="1:7" ht="15">
      <c r="A2083" s="113" t="s">
        <v>1457</v>
      </c>
      <c r="B2083" s="111">
        <v>3</v>
      </c>
      <c r="C2083" s="115">
        <v>0.0021069930517261443</v>
      </c>
      <c r="D2083" s="111" t="s">
        <v>822</v>
      </c>
      <c r="E2083" s="111" t="b">
        <v>0</v>
      </c>
      <c r="F2083" s="111" t="b">
        <v>0</v>
      </c>
      <c r="G2083" s="111" t="b">
        <v>0</v>
      </c>
    </row>
    <row r="2084" spans="1:7" ht="15">
      <c r="A2084" s="113" t="s">
        <v>942</v>
      </c>
      <c r="B2084" s="111">
        <v>3</v>
      </c>
      <c r="C2084" s="115">
        <v>0.0017436685832481226</v>
      </c>
      <c r="D2084" s="111" t="s">
        <v>822</v>
      </c>
      <c r="E2084" s="111" t="b">
        <v>0</v>
      </c>
      <c r="F2084" s="111" t="b">
        <v>0</v>
      </c>
      <c r="G2084" s="111" t="b">
        <v>0</v>
      </c>
    </row>
    <row r="2085" spans="1:7" ht="15">
      <c r="A2085" s="113" t="s">
        <v>1391</v>
      </c>
      <c r="B2085" s="111">
        <v>3</v>
      </c>
      <c r="C2085" s="115">
        <v>0.0021069930517261443</v>
      </c>
      <c r="D2085" s="111" t="s">
        <v>822</v>
      </c>
      <c r="E2085" s="111" t="b">
        <v>0</v>
      </c>
      <c r="F2085" s="111" t="b">
        <v>0</v>
      </c>
      <c r="G2085" s="111" t="b">
        <v>0</v>
      </c>
    </row>
    <row r="2086" spans="1:7" ht="15">
      <c r="A2086" s="113" t="s">
        <v>911</v>
      </c>
      <c r="B2086" s="111">
        <v>3</v>
      </c>
      <c r="C2086" s="115">
        <v>0.0017436685832481226</v>
      </c>
      <c r="D2086" s="111" t="s">
        <v>822</v>
      </c>
      <c r="E2086" s="111" t="b">
        <v>1</v>
      </c>
      <c r="F2086" s="111" t="b">
        <v>0</v>
      </c>
      <c r="G2086" s="111" t="b">
        <v>0</v>
      </c>
    </row>
    <row r="2087" spans="1:7" ht="15">
      <c r="A2087" s="113" t="s">
        <v>1010</v>
      </c>
      <c r="B2087" s="111">
        <v>3</v>
      </c>
      <c r="C2087" s="115">
        <v>0.0017436685832481226</v>
      </c>
      <c r="D2087" s="111" t="s">
        <v>822</v>
      </c>
      <c r="E2087" s="111" t="b">
        <v>0</v>
      </c>
      <c r="F2087" s="111" t="b">
        <v>0</v>
      </c>
      <c r="G2087" s="111" t="b">
        <v>0</v>
      </c>
    </row>
    <row r="2088" spans="1:7" ht="15">
      <c r="A2088" s="113" t="s">
        <v>1074</v>
      </c>
      <c r="B2088" s="111">
        <v>3</v>
      </c>
      <c r="C2088" s="115">
        <v>0.0017436685832481226</v>
      </c>
      <c r="D2088" s="111" t="s">
        <v>822</v>
      </c>
      <c r="E2088" s="111" t="b">
        <v>0</v>
      </c>
      <c r="F2088" s="111" t="b">
        <v>0</v>
      </c>
      <c r="G2088" s="111" t="b">
        <v>0</v>
      </c>
    </row>
    <row r="2089" spans="1:7" ht="15">
      <c r="A2089" s="113" t="s">
        <v>908</v>
      </c>
      <c r="B2089" s="111">
        <v>3</v>
      </c>
      <c r="C2089" s="115">
        <v>0.0017436685832481226</v>
      </c>
      <c r="D2089" s="111" t="s">
        <v>822</v>
      </c>
      <c r="E2089" s="111" t="b">
        <v>0</v>
      </c>
      <c r="F2089" s="111" t="b">
        <v>0</v>
      </c>
      <c r="G2089" s="111" t="b">
        <v>0</v>
      </c>
    </row>
    <row r="2090" spans="1:7" ht="15">
      <c r="A2090" s="113" t="s">
        <v>1062</v>
      </c>
      <c r="B2090" s="111">
        <v>3</v>
      </c>
      <c r="C2090" s="115">
        <v>0.0017436685832481226</v>
      </c>
      <c r="D2090" s="111" t="s">
        <v>822</v>
      </c>
      <c r="E2090" s="111" t="b">
        <v>0</v>
      </c>
      <c r="F2090" s="111" t="b">
        <v>0</v>
      </c>
      <c r="G2090" s="111" t="b">
        <v>0</v>
      </c>
    </row>
    <row r="2091" spans="1:7" ht="15">
      <c r="A2091" s="113" t="s">
        <v>1058</v>
      </c>
      <c r="B2091" s="111">
        <v>3</v>
      </c>
      <c r="C2091" s="115">
        <v>0.0017436685832481226</v>
      </c>
      <c r="D2091" s="111" t="s">
        <v>822</v>
      </c>
      <c r="E2091" s="111" t="b">
        <v>0</v>
      </c>
      <c r="F2091" s="111" t="b">
        <v>0</v>
      </c>
      <c r="G2091" s="111" t="b">
        <v>0</v>
      </c>
    </row>
    <row r="2092" spans="1:7" ht="15">
      <c r="A2092" s="113" t="s">
        <v>1098</v>
      </c>
      <c r="B2092" s="111">
        <v>3</v>
      </c>
      <c r="C2092" s="115">
        <v>0.0017436685832481226</v>
      </c>
      <c r="D2092" s="111" t="s">
        <v>822</v>
      </c>
      <c r="E2092" s="111" t="b">
        <v>0</v>
      </c>
      <c r="F2092" s="111" t="b">
        <v>0</v>
      </c>
      <c r="G2092" s="111" t="b">
        <v>0</v>
      </c>
    </row>
    <row r="2093" spans="1:7" ht="15">
      <c r="A2093" s="113" t="s">
        <v>1217</v>
      </c>
      <c r="B2093" s="111">
        <v>3</v>
      </c>
      <c r="C2093" s="115">
        <v>0.0017436685832481226</v>
      </c>
      <c r="D2093" s="111" t="s">
        <v>822</v>
      </c>
      <c r="E2093" s="111" t="b">
        <v>1</v>
      </c>
      <c r="F2093" s="111" t="b">
        <v>0</v>
      </c>
      <c r="G2093" s="111" t="b">
        <v>0</v>
      </c>
    </row>
    <row r="2094" spans="1:7" ht="15">
      <c r="A2094" s="113" t="s">
        <v>988</v>
      </c>
      <c r="B2094" s="111">
        <v>3</v>
      </c>
      <c r="C2094" s="115">
        <v>0.0027281003330135883</v>
      </c>
      <c r="D2094" s="111" t="s">
        <v>822</v>
      </c>
      <c r="E2094" s="111" t="b">
        <v>0</v>
      </c>
      <c r="F2094" s="111" t="b">
        <v>0</v>
      </c>
      <c r="G2094" s="111" t="b">
        <v>0</v>
      </c>
    </row>
    <row r="2095" spans="1:7" ht="15">
      <c r="A2095" s="113" t="s">
        <v>1422</v>
      </c>
      <c r="B2095" s="111">
        <v>3</v>
      </c>
      <c r="C2095" s="115">
        <v>0.0021069930517261443</v>
      </c>
      <c r="D2095" s="111" t="s">
        <v>822</v>
      </c>
      <c r="E2095" s="111" t="b">
        <v>0</v>
      </c>
      <c r="F2095" s="111" t="b">
        <v>0</v>
      </c>
      <c r="G2095" s="111" t="b">
        <v>0</v>
      </c>
    </row>
    <row r="2096" spans="1:7" ht="15">
      <c r="A2096" s="113" t="s">
        <v>1388</v>
      </c>
      <c r="B2096" s="111">
        <v>3</v>
      </c>
      <c r="C2096" s="115">
        <v>0.0021069930517261443</v>
      </c>
      <c r="D2096" s="111" t="s">
        <v>822</v>
      </c>
      <c r="E2096" s="111" t="b">
        <v>0</v>
      </c>
      <c r="F2096" s="111" t="b">
        <v>0</v>
      </c>
      <c r="G2096" s="111" t="b">
        <v>0</v>
      </c>
    </row>
    <row r="2097" spans="1:7" ht="15">
      <c r="A2097" s="113" t="s">
        <v>1389</v>
      </c>
      <c r="B2097" s="111">
        <v>3</v>
      </c>
      <c r="C2097" s="115">
        <v>0.0017436685832481226</v>
      </c>
      <c r="D2097" s="111" t="s">
        <v>822</v>
      </c>
      <c r="E2097" s="111" t="b">
        <v>0</v>
      </c>
      <c r="F2097" s="111" t="b">
        <v>0</v>
      </c>
      <c r="G2097" s="111" t="b">
        <v>0</v>
      </c>
    </row>
    <row r="2098" spans="1:7" ht="15">
      <c r="A2098" s="113" t="s">
        <v>847</v>
      </c>
      <c r="B2098" s="111">
        <v>2</v>
      </c>
      <c r="C2098" s="115">
        <v>0.0014046620344840964</v>
      </c>
      <c r="D2098" s="111" t="s">
        <v>822</v>
      </c>
      <c r="E2098" s="111" t="b">
        <v>0</v>
      </c>
      <c r="F2098" s="111" t="b">
        <v>0</v>
      </c>
      <c r="G2098" s="111" t="b">
        <v>0</v>
      </c>
    </row>
    <row r="2099" spans="1:7" ht="15">
      <c r="A2099" s="113" t="s">
        <v>1870</v>
      </c>
      <c r="B2099" s="111">
        <v>2</v>
      </c>
      <c r="C2099" s="115">
        <v>0.0014046620344840964</v>
      </c>
      <c r="D2099" s="111" t="s">
        <v>822</v>
      </c>
      <c r="E2099" s="111" t="b">
        <v>0</v>
      </c>
      <c r="F2099" s="111" t="b">
        <v>0</v>
      </c>
      <c r="G2099" s="111" t="b">
        <v>0</v>
      </c>
    </row>
    <row r="2100" spans="1:7" ht="15">
      <c r="A2100" s="113" t="s">
        <v>1469</v>
      </c>
      <c r="B2100" s="111">
        <v>2</v>
      </c>
      <c r="C2100" s="115">
        <v>0.0014046620344840964</v>
      </c>
      <c r="D2100" s="111" t="s">
        <v>822</v>
      </c>
      <c r="E2100" s="111" t="b">
        <v>0</v>
      </c>
      <c r="F2100" s="111" t="b">
        <v>0</v>
      </c>
      <c r="G2100" s="111" t="b">
        <v>0</v>
      </c>
    </row>
    <row r="2101" spans="1:7" ht="15">
      <c r="A2101" s="113" t="s">
        <v>866</v>
      </c>
      <c r="B2101" s="111">
        <v>2</v>
      </c>
      <c r="C2101" s="115">
        <v>0.0014046620344840964</v>
      </c>
      <c r="D2101" s="111" t="s">
        <v>822</v>
      </c>
      <c r="E2101" s="111" t="b">
        <v>0</v>
      </c>
      <c r="F2101" s="111" t="b">
        <v>0</v>
      </c>
      <c r="G2101" s="111" t="b">
        <v>0</v>
      </c>
    </row>
    <row r="2102" spans="1:7" ht="15">
      <c r="A2102" s="113" t="s">
        <v>1147</v>
      </c>
      <c r="B2102" s="111">
        <v>2</v>
      </c>
      <c r="C2102" s="115">
        <v>0.0018187335553423924</v>
      </c>
      <c r="D2102" s="111" t="s">
        <v>822</v>
      </c>
      <c r="E2102" s="111" t="b">
        <v>0</v>
      </c>
      <c r="F2102" s="111" t="b">
        <v>0</v>
      </c>
      <c r="G2102" s="111" t="b">
        <v>0</v>
      </c>
    </row>
    <row r="2103" spans="1:7" ht="15">
      <c r="A2103" s="113" t="s">
        <v>1877</v>
      </c>
      <c r="B2103" s="111">
        <v>2</v>
      </c>
      <c r="C2103" s="115">
        <v>0.0018187335553423924</v>
      </c>
      <c r="D2103" s="111" t="s">
        <v>822</v>
      </c>
      <c r="E2103" s="111" t="b">
        <v>0</v>
      </c>
      <c r="F2103" s="111" t="b">
        <v>0</v>
      </c>
      <c r="G2103" s="111" t="b">
        <v>0</v>
      </c>
    </row>
    <row r="2104" spans="1:7" ht="15">
      <c r="A2104" s="113" t="s">
        <v>1473</v>
      </c>
      <c r="B2104" s="111">
        <v>2</v>
      </c>
      <c r="C2104" s="115">
        <v>0.0018187335553423924</v>
      </c>
      <c r="D2104" s="111" t="s">
        <v>822</v>
      </c>
      <c r="E2104" s="111" t="b">
        <v>0</v>
      </c>
      <c r="F2104" s="111" t="b">
        <v>0</v>
      </c>
      <c r="G2104" s="111" t="b">
        <v>0</v>
      </c>
    </row>
    <row r="2105" spans="1:7" ht="15">
      <c r="A2105" s="113" t="s">
        <v>1878</v>
      </c>
      <c r="B2105" s="111">
        <v>2</v>
      </c>
      <c r="C2105" s="115">
        <v>0.0018187335553423924</v>
      </c>
      <c r="D2105" s="111" t="s">
        <v>822</v>
      </c>
      <c r="E2105" s="111" t="b">
        <v>0</v>
      </c>
      <c r="F2105" s="111" t="b">
        <v>0</v>
      </c>
      <c r="G2105" s="111" t="b">
        <v>0</v>
      </c>
    </row>
    <row r="2106" spans="1:7" ht="15">
      <c r="A2106" s="113" t="s">
        <v>1879</v>
      </c>
      <c r="B2106" s="111">
        <v>2</v>
      </c>
      <c r="C2106" s="115">
        <v>0.0018187335553423924</v>
      </c>
      <c r="D2106" s="111" t="s">
        <v>822</v>
      </c>
      <c r="E2106" s="111" t="b">
        <v>0</v>
      </c>
      <c r="F2106" s="111" t="b">
        <v>0</v>
      </c>
      <c r="G2106" s="111" t="b">
        <v>0</v>
      </c>
    </row>
    <row r="2107" spans="1:7" ht="15">
      <c r="A2107" s="113" t="s">
        <v>1880</v>
      </c>
      <c r="B2107" s="111">
        <v>2</v>
      </c>
      <c r="C2107" s="115">
        <v>0.0018187335553423924</v>
      </c>
      <c r="D2107" s="111" t="s">
        <v>822</v>
      </c>
      <c r="E2107" s="111" t="b">
        <v>0</v>
      </c>
      <c r="F2107" s="111" t="b">
        <v>0</v>
      </c>
      <c r="G2107" s="111" t="b">
        <v>0</v>
      </c>
    </row>
    <row r="2108" spans="1:7" ht="15">
      <c r="A2108" s="113" t="s">
        <v>1475</v>
      </c>
      <c r="B2108" s="111">
        <v>2</v>
      </c>
      <c r="C2108" s="115">
        <v>0.0018187335553423924</v>
      </c>
      <c r="D2108" s="111" t="s">
        <v>822</v>
      </c>
      <c r="E2108" s="111" t="b">
        <v>0</v>
      </c>
      <c r="F2108" s="111" t="b">
        <v>0</v>
      </c>
      <c r="G2108" s="111" t="b">
        <v>0</v>
      </c>
    </row>
    <row r="2109" spans="1:7" ht="15">
      <c r="A2109" s="113" t="s">
        <v>1848</v>
      </c>
      <c r="B2109" s="111">
        <v>2</v>
      </c>
      <c r="C2109" s="115">
        <v>0.0014046620344840964</v>
      </c>
      <c r="D2109" s="111" t="s">
        <v>822</v>
      </c>
      <c r="E2109" s="111" t="b">
        <v>0</v>
      </c>
      <c r="F2109" s="111" t="b">
        <v>0</v>
      </c>
      <c r="G2109" s="111" t="b">
        <v>0</v>
      </c>
    </row>
    <row r="2110" spans="1:7" ht="15">
      <c r="A2110" s="113" t="s">
        <v>1883</v>
      </c>
      <c r="B2110" s="111">
        <v>2</v>
      </c>
      <c r="C2110" s="115">
        <v>0.0018187335553423924</v>
      </c>
      <c r="D2110" s="111" t="s">
        <v>822</v>
      </c>
      <c r="E2110" s="111" t="b">
        <v>0</v>
      </c>
      <c r="F2110" s="111" t="b">
        <v>0</v>
      </c>
      <c r="G2110" s="111" t="b">
        <v>0</v>
      </c>
    </row>
    <row r="2111" spans="1:7" ht="15">
      <c r="A2111" s="113" t="s">
        <v>1033</v>
      </c>
      <c r="B2111" s="111">
        <v>2</v>
      </c>
      <c r="C2111" s="115">
        <v>0.0014046620344840964</v>
      </c>
      <c r="D2111" s="111" t="s">
        <v>822</v>
      </c>
      <c r="E2111" s="111" t="b">
        <v>0</v>
      </c>
      <c r="F2111" s="111" t="b">
        <v>0</v>
      </c>
      <c r="G2111" s="111" t="b">
        <v>0</v>
      </c>
    </row>
    <row r="2112" spans="1:7" ht="15">
      <c r="A2112" s="113" t="s">
        <v>1080</v>
      </c>
      <c r="B2112" s="111">
        <v>2</v>
      </c>
      <c r="C2112" s="115">
        <v>0.0014046620344840964</v>
      </c>
      <c r="D2112" s="111" t="s">
        <v>822</v>
      </c>
      <c r="E2112" s="111" t="b">
        <v>0</v>
      </c>
      <c r="F2112" s="111" t="b">
        <v>0</v>
      </c>
      <c r="G2112" s="111" t="b">
        <v>0</v>
      </c>
    </row>
    <row r="2113" spans="1:7" ht="15">
      <c r="A2113" s="113" t="s">
        <v>954</v>
      </c>
      <c r="B2113" s="111">
        <v>2</v>
      </c>
      <c r="C2113" s="115">
        <v>0.0014046620344840964</v>
      </c>
      <c r="D2113" s="111" t="s">
        <v>822</v>
      </c>
      <c r="E2113" s="111" t="b">
        <v>0</v>
      </c>
      <c r="F2113" s="111" t="b">
        <v>0</v>
      </c>
      <c r="G2113" s="111" t="b">
        <v>0</v>
      </c>
    </row>
    <row r="2114" spans="1:7" ht="15">
      <c r="A2114" s="113" t="s">
        <v>1888</v>
      </c>
      <c r="B2114" s="111">
        <v>2</v>
      </c>
      <c r="C2114" s="115">
        <v>0.0018187335553423924</v>
      </c>
      <c r="D2114" s="111" t="s">
        <v>822</v>
      </c>
      <c r="E2114" s="111" t="b">
        <v>0</v>
      </c>
      <c r="F2114" s="111" t="b">
        <v>0</v>
      </c>
      <c r="G2114" s="111" t="b">
        <v>0</v>
      </c>
    </row>
    <row r="2115" spans="1:7" ht="15">
      <c r="A2115" s="113" t="s">
        <v>1455</v>
      </c>
      <c r="B2115" s="111">
        <v>2</v>
      </c>
      <c r="C2115" s="115">
        <v>0.0014046620344840964</v>
      </c>
      <c r="D2115" s="111" t="s">
        <v>822</v>
      </c>
      <c r="E2115" s="111" t="b">
        <v>0</v>
      </c>
      <c r="F2115" s="111" t="b">
        <v>0</v>
      </c>
      <c r="G2115" s="111" t="b">
        <v>0</v>
      </c>
    </row>
    <row r="2116" spans="1:7" ht="15">
      <c r="A2116" s="113" t="s">
        <v>860</v>
      </c>
      <c r="B2116" s="111">
        <v>2</v>
      </c>
      <c r="C2116" s="115">
        <v>0.0014046620344840964</v>
      </c>
      <c r="D2116" s="111" t="s">
        <v>822</v>
      </c>
      <c r="E2116" s="111" t="b">
        <v>1</v>
      </c>
      <c r="F2116" s="111" t="b">
        <v>0</v>
      </c>
      <c r="G2116" s="111" t="b">
        <v>0</v>
      </c>
    </row>
    <row r="2117" spans="1:7" ht="15">
      <c r="A2117" s="113" t="s">
        <v>1874</v>
      </c>
      <c r="B2117" s="111">
        <v>2</v>
      </c>
      <c r="C2117" s="115">
        <v>0.0018187335553423924</v>
      </c>
      <c r="D2117" s="111" t="s">
        <v>822</v>
      </c>
      <c r="E2117" s="111" t="b">
        <v>0</v>
      </c>
      <c r="F2117" s="111" t="b">
        <v>0</v>
      </c>
      <c r="G2117" s="111" t="b">
        <v>0</v>
      </c>
    </row>
    <row r="2118" spans="1:7" ht="15">
      <c r="A2118" s="113" t="s">
        <v>1813</v>
      </c>
      <c r="B2118" s="111">
        <v>2</v>
      </c>
      <c r="C2118" s="115">
        <v>0.0014046620344840964</v>
      </c>
      <c r="D2118" s="111" t="s">
        <v>822</v>
      </c>
      <c r="E2118" s="111" t="b">
        <v>0</v>
      </c>
      <c r="F2118" s="111" t="b">
        <v>0</v>
      </c>
      <c r="G2118" s="111" t="b">
        <v>0</v>
      </c>
    </row>
    <row r="2119" spans="1:7" ht="15">
      <c r="A2119" s="113" t="s">
        <v>1721</v>
      </c>
      <c r="B2119" s="111">
        <v>2</v>
      </c>
      <c r="C2119" s="115">
        <v>0.0014046620344840964</v>
      </c>
      <c r="D2119" s="111" t="s">
        <v>822</v>
      </c>
      <c r="E2119" s="111" t="b">
        <v>0</v>
      </c>
      <c r="F2119" s="111" t="b">
        <v>0</v>
      </c>
      <c r="G2119" s="111" t="b">
        <v>0</v>
      </c>
    </row>
    <row r="2120" spans="1:7" ht="15">
      <c r="A2120" s="113" t="s">
        <v>1814</v>
      </c>
      <c r="B2120" s="111">
        <v>2</v>
      </c>
      <c r="C2120" s="115">
        <v>0.0014046620344840964</v>
      </c>
      <c r="D2120" s="111" t="s">
        <v>822</v>
      </c>
      <c r="E2120" s="111" t="b">
        <v>1</v>
      </c>
      <c r="F2120" s="111" t="b">
        <v>0</v>
      </c>
      <c r="G2120" s="111" t="b">
        <v>0</v>
      </c>
    </row>
    <row r="2121" spans="1:7" ht="15">
      <c r="A2121" s="113" t="s">
        <v>1850</v>
      </c>
      <c r="B2121" s="111">
        <v>2</v>
      </c>
      <c r="C2121" s="115">
        <v>0.0014046620344840964</v>
      </c>
      <c r="D2121" s="111" t="s">
        <v>822</v>
      </c>
      <c r="E2121" s="111" t="b">
        <v>0</v>
      </c>
      <c r="F2121" s="111" t="b">
        <v>0</v>
      </c>
      <c r="G2121" s="111" t="b">
        <v>0</v>
      </c>
    </row>
    <row r="2122" spans="1:7" ht="15">
      <c r="A2122" s="113" t="s">
        <v>1872</v>
      </c>
      <c r="B2122" s="111">
        <v>2</v>
      </c>
      <c r="C2122" s="115">
        <v>0.0018187335553423924</v>
      </c>
      <c r="D2122" s="111" t="s">
        <v>822</v>
      </c>
      <c r="E2122" s="111" t="b">
        <v>0</v>
      </c>
      <c r="F2122" s="111" t="b">
        <v>0</v>
      </c>
      <c r="G2122" s="111" t="b">
        <v>0</v>
      </c>
    </row>
    <row r="2123" spans="1:7" ht="15">
      <c r="A2123" s="113" t="s">
        <v>1006</v>
      </c>
      <c r="B2123" s="111">
        <v>2</v>
      </c>
      <c r="C2123" s="115">
        <v>0.0014046620344840964</v>
      </c>
      <c r="D2123" s="111" t="s">
        <v>822</v>
      </c>
      <c r="E2123" s="111" t="b">
        <v>0</v>
      </c>
      <c r="F2123" s="111" t="b">
        <v>0</v>
      </c>
      <c r="G2123" s="111" t="b">
        <v>0</v>
      </c>
    </row>
    <row r="2124" spans="1:7" ht="15">
      <c r="A2124" s="113" t="s">
        <v>1844</v>
      </c>
      <c r="B2124" s="111">
        <v>2</v>
      </c>
      <c r="C2124" s="115">
        <v>0.0014046620344840964</v>
      </c>
      <c r="D2124" s="111" t="s">
        <v>822</v>
      </c>
      <c r="E2124" s="111" t="b">
        <v>0</v>
      </c>
      <c r="F2124" s="111" t="b">
        <v>0</v>
      </c>
      <c r="G2124" s="111" t="b">
        <v>0</v>
      </c>
    </row>
    <row r="2125" spans="1:7" ht="15">
      <c r="A2125" s="113" t="s">
        <v>871</v>
      </c>
      <c r="B2125" s="111">
        <v>2</v>
      </c>
      <c r="C2125" s="115">
        <v>0.0014046620344840964</v>
      </c>
      <c r="D2125" s="111" t="s">
        <v>822</v>
      </c>
      <c r="E2125" s="111" t="b">
        <v>0</v>
      </c>
      <c r="F2125" s="111" t="b">
        <v>0</v>
      </c>
      <c r="G2125" s="111" t="b">
        <v>0</v>
      </c>
    </row>
    <row r="2126" spans="1:7" ht="15">
      <c r="A2126" s="113" t="s">
        <v>1213</v>
      </c>
      <c r="B2126" s="111">
        <v>2</v>
      </c>
      <c r="C2126" s="115">
        <v>0.0014046620344840964</v>
      </c>
      <c r="D2126" s="111" t="s">
        <v>822</v>
      </c>
      <c r="E2126" s="111" t="b">
        <v>0</v>
      </c>
      <c r="F2126" s="111" t="b">
        <v>0</v>
      </c>
      <c r="G2126" s="111" t="b">
        <v>0</v>
      </c>
    </row>
    <row r="2127" spans="1:7" ht="15">
      <c r="A2127" s="113" t="s">
        <v>883</v>
      </c>
      <c r="B2127" s="111">
        <v>2</v>
      </c>
      <c r="C2127" s="115">
        <v>0.0014046620344840964</v>
      </c>
      <c r="D2127" s="111" t="s">
        <v>822</v>
      </c>
      <c r="E2127" s="111" t="b">
        <v>0</v>
      </c>
      <c r="F2127" s="111" t="b">
        <v>0</v>
      </c>
      <c r="G2127" s="111" t="b">
        <v>0</v>
      </c>
    </row>
    <row r="2128" spans="1:7" ht="15">
      <c r="A2128" s="113" t="s">
        <v>1262</v>
      </c>
      <c r="B2128" s="111">
        <v>2</v>
      </c>
      <c r="C2128" s="115">
        <v>0.0014046620344840964</v>
      </c>
      <c r="D2128" s="111" t="s">
        <v>822</v>
      </c>
      <c r="E2128" s="111" t="b">
        <v>1</v>
      </c>
      <c r="F2128" s="111" t="b">
        <v>0</v>
      </c>
      <c r="G2128" s="111" t="b">
        <v>0</v>
      </c>
    </row>
    <row r="2129" spans="1:7" ht="15">
      <c r="A2129" s="113" t="s">
        <v>1838</v>
      </c>
      <c r="B2129" s="111">
        <v>2</v>
      </c>
      <c r="C2129" s="115">
        <v>0.0014046620344840964</v>
      </c>
      <c r="D2129" s="111" t="s">
        <v>822</v>
      </c>
      <c r="E2129" s="111" t="b">
        <v>0</v>
      </c>
      <c r="F2129" s="111" t="b">
        <v>0</v>
      </c>
      <c r="G2129" s="111" t="b">
        <v>0</v>
      </c>
    </row>
    <row r="2130" spans="1:7" ht="15">
      <c r="A2130" s="113" t="s">
        <v>1393</v>
      </c>
      <c r="B2130" s="111">
        <v>2</v>
      </c>
      <c r="C2130" s="115">
        <v>0.0014046620344840964</v>
      </c>
      <c r="D2130" s="111" t="s">
        <v>822</v>
      </c>
      <c r="E2130" s="111" t="b">
        <v>0</v>
      </c>
      <c r="F2130" s="111" t="b">
        <v>0</v>
      </c>
      <c r="G2130" s="111" t="b">
        <v>0</v>
      </c>
    </row>
    <row r="2131" spans="1:7" ht="15">
      <c r="A2131" s="113" t="s">
        <v>1840</v>
      </c>
      <c r="B2131" s="111">
        <v>2</v>
      </c>
      <c r="C2131" s="115">
        <v>0.0014046620344840964</v>
      </c>
      <c r="D2131" s="111" t="s">
        <v>822</v>
      </c>
      <c r="E2131" s="111" t="b">
        <v>0</v>
      </c>
      <c r="F2131" s="111" t="b">
        <v>0</v>
      </c>
      <c r="G2131" s="111" t="b">
        <v>0</v>
      </c>
    </row>
    <row r="2132" spans="1:7" ht="15">
      <c r="A2132" s="113" t="s">
        <v>1227</v>
      </c>
      <c r="B2132" s="111">
        <v>2</v>
      </c>
      <c r="C2132" s="115">
        <v>0.0018187335553423924</v>
      </c>
      <c r="D2132" s="111" t="s">
        <v>822</v>
      </c>
      <c r="E2132" s="111" t="b">
        <v>0</v>
      </c>
      <c r="F2132" s="111" t="b">
        <v>1</v>
      </c>
      <c r="G2132" s="111" t="b">
        <v>0</v>
      </c>
    </row>
    <row r="2133" spans="1:7" ht="15">
      <c r="A2133" s="113" t="s">
        <v>1841</v>
      </c>
      <c r="B2133" s="111">
        <v>2</v>
      </c>
      <c r="C2133" s="115">
        <v>0.0014046620344840964</v>
      </c>
      <c r="D2133" s="111" t="s">
        <v>822</v>
      </c>
      <c r="E2133" s="111" t="b">
        <v>0</v>
      </c>
      <c r="F2133" s="111" t="b">
        <v>0</v>
      </c>
      <c r="G2133" s="111" t="b">
        <v>0</v>
      </c>
    </row>
    <row r="2134" spans="1:7" ht="15">
      <c r="A2134" s="113" t="s">
        <v>1126</v>
      </c>
      <c r="B2134" s="111">
        <v>2</v>
      </c>
      <c r="C2134" s="115">
        <v>0.0014046620344840964</v>
      </c>
      <c r="D2134" s="111" t="s">
        <v>822</v>
      </c>
      <c r="E2134" s="111" t="b">
        <v>0</v>
      </c>
      <c r="F2134" s="111" t="b">
        <v>0</v>
      </c>
      <c r="G2134" s="111" t="b">
        <v>0</v>
      </c>
    </row>
    <row r="2135" spans="1:7" ht="15">
      <c r="A2135" s="113" t="s">
        <v>1192</v>
      </c>
      <c r="B2135" s="111">
        <v>2</v>
      </c>
      <c r="C2135" s="115">
        <v>0.0014046620344840964</v>
      </c>
      <c r="D2135" s="111" t="s">
        <v>822</v>
      </c>
      <c r="E2135" s="111" t="b">
        <v>0</v>
      </c>
      <c r="F2135" s="111" t="b">
        <v>0</v>
      </c>
      <c r="G2135" s="111" t="b">
        <v>0</v>
      </c>
    </row>
    <row r="2136" spans="1:7" ht="15">
      <c r="A2136" s="113" t="s">
        <v>1002</v>
      </c>
      <c r="B2136" s="111">
        <v>2</v>
      </c>
      <c r="C2136" s="115">
        <v>0.0014046620344840964</v>
      </c>
      <c r="D2136" s="111" t="s">
        <v>822</v>
      </c>
      <c r="E2136" s="111" t="b">
        <v>0</v>
      </c>
      <c r="F2136" s="111" t="b">
        <v>0</v>
      </c>
      <c r="G2136" s="111" t="b">
        <v>0</v>
      </c>
    </row>
    <row r="2137" spans="1:7" ht="15">
      <c r="A2137" s="113" t="s">
        <v>1851</v>
      </c>
      <c r="B2137" s="111">
        <v>2</v>
      </c>
      <c r="C2137" s="115">
        <v>0.0014046620344840964</v>
      </c>
      <c r="D2137" s="111" t="s">
        <v>822</v>
      </c>
      <c r="E2137" s="111" t="b">
        <v>0</v>
      </c>
      <c r="F2137" s="111" t="b">
        <v>0</v>
      </c>
      <c r="G2137" s="111" t="b">
        <v>0</v>
      </c>
    </row>
    <row r="2138" spans="1:7" ht="15">
      <c r="A2138" s="113" t="s">
        <v>1852</v>
      </c>
      <c r="B2138" s="111">
        <v>2</v>
      </c>
      <c r="C2138" s="115">
        <v>0.0014046620344840964</v>
      </c>
      <c r="D2138" s="111" t="s">
        <v>822</v>
      </c>
      <c r="E2138" s="111" t="b">
        <v>0</v>
      </c>
      <c r="F2138" s="111" t="b">
        <v>0</v>
      </c>
      <c r="G2138" s="111" t="b">
        <v>0</v>
      </c>
    </row>
    <row r="2139" spans="1:7" ht="15">
      <c r="A2139" s="113" t="s">
        <v>974</v>
      </c>
      <c r="B2139" s="111">
        <v>2</v>
      </c>
      <c r="C2139" s="115">
        <v>0.0014046620344840964</v>
      </c>
      <c r="D2139" s="111" t="s">
        <v>822</v>
      </c>
      <c r="E2139" s="111" t="b">
        <v>1</v>
      </c>
      <c r="F2139" s="111" t="b">
        <v>0</v>
      </c>
      <c r="G2139" s="111" t="b">
        <v>0</v>
      </c>
    </row>
    <row r="2140" spans="1:7" ht="15">
      <c r="A2140" s="113" t="s">
        <v>1210</v>
      </c>
      <c r="B2140" s="111">
        <v>2</v>
      </c>
      <c r="C2140" s="115">
        <v>0.0014046620344840964</v>
      </c>
      <c r="D2140" s="111" t="s">
        <v>822</v>
      </c>
      <c r="E2140" s="111" t="b">
        <v>0</v>
      </c>
      <c r="F2140" s="111" t="b">
        <v>0</v>
      </c>
      <c r="G2140" s="111" t="b">
        <v>0</v>
      </c>
    </row>
    <row r="2141" spans="1:7" ht="15">
      <c r="A2141" s="113" t="s">
        <v>1855</v>
      </c>
      <c r="B2141" s="111">
        <v>2</v>
      </c>
      <c r="C2141" s="115">
        <v>0.0014046620344840964</v>
      </c>
      <c r="D2141" s="111" t="s">
        <v>822</v>
      </c>
      <c r="E2141" s="111" t="b">
        <v>0</v>
      </c>
      <c r="F2141" s="111" t="b">
        <v>0</v>
      </c>
      <c r="G2141" s="111" t="b">
        <v>0</v>
      </c>
    </row>
    <row r="2142" spans="1:7" ht="15">
      <c r="A2142" s="113" t="s">
        <v>1856</v>
      </c>
      <c r="B2142" s="111">
        <v>2</v>
      </c>
      <c r="C2142" s="115">
        <v>0.0014046620344840964</v>
      </c>
      <c r="D2142" s="111" t="s">
        <v>822</v>
      </c>
      <c r="E2142" s="111" t="b">
        <v>0</v>
      </c>
      <c r="F2142" s="111" t="b">
        <v>0</v>
      </c>
      <c r="G2142" s="111" t="b">
        <v>0</v>
      </c>
    </row>
    <row r="2143" spans="1:7" ht="15">
      <c r="A2143" s="113" t="s">
        <v>1093</v>
      </c>
      <c r="B2143" s="111">
        <v>2</v>
      </c>
      <c r="C2143" s="115">
        <v>0.0014046620344840964</v>
      </c>
      <c r="D2143" s="111" t="s">
        <v>822</v>
      </c>
      <c r="E2143" s="111" t="b">
        <v>0</v>
      </c>
      <c r="F2143" s="111" t="b">
        <v>0</v>
      </c>
      <c r="G2143" s="111" t="b">
        <v>0</v>
      </c>
    </row>
    <row r="2144" spans="1:7" ht="15">
      <c r="A2144" s="113" t="s">
        <v>1263</v>
      </c>
      <c r="B2144" s="111">
        <v>2</v>
      </c>
      <c r="C2144" s="115">
        <v>0.0018187335553423924</v>
      </c>
      <c r="D2144" s="111" t="s">
        <v>822</v>
      </c>
      <c r="E2144" s="111" t="b">
        <v>0</v>
      </c>
      <c r="F2144" s="111" t="b">
        <v>0</v>
      </c>
      <c r="G2144" s="111" t="b">
        <v>0</v>
      </c>
    </row>
    <row r="2145" spans="1:7" ht="15">
      <c r="A2145" s="113" t="s">
        <v>1857</v>
      </c>
      <c r="B2145" s="111">
        <v>2</v>
      </c>
      <c r="C2145" s="115">
        <v>0.0014046620344840964</v>
      </c>
      <c r="D2145" s="111" t="s">
        <v>822</v>
      </c>
      <c r="E2145" s="111" t="b">
        <v>0</v>
      </c>
      <c r="F2145" s="111" t="b">
        <v>0</v>
      </c>
      <c r="G2145" s="111" t="b">
        <v>0</v>
      </c>
    </row>
    <row r="2146" spans="1:7" ht="15">
      <c r="A2146" s="113" t="s">
        <v>1861</v>
      </c>
      <c r="B2146" s="111">
        <v>2</v>
      </c>
      <c r="C2146" s="115">
        <v>0.0018187335553423924</v>
      </c>
      <c r="D2146" s="111" t="s">
        <v>822</v>
      </c>
      <c r="E2146" s="111" t="b">
        <v>0</v>
      </c>
      <c r="F2146" s="111" t="b">
        <v>0</v>
      </c>
      <c r="G2146" s="111" t="b">
        <v>0</v>
      </c>
    </row>
    <row r="2147" spans="1:7" ht="15">
      <c r="A2147" s="113" t="s">
        <v>1862</v>
      </c>
      <c r="B2147" s="111">
        <v>2</v>
      </c>
      <c r="C2147" s="115">
        <v>0.0018187335553423924</v>
      </c>
      <c r="D2147" s="111" t="s">
        <v>822</v>
      </c>
      <c r="E2147" s="111" t="b">
        <v>0</v>
      </c>
      <c r="F2147" s="111" t="b">
        <v>0</v>
      </c>
      <c r="G2147" s="111" t="b">
        <v>0</v>
      </c>
    </row>
    <row r="2148" spans="1:7" ht="15">
      <c r="A2148" s="113" t="s">
        <v>1864</v>
      </c>
      <c r="B2148" s="111">
        <v>2</v>
      </c>
      <c r="C2148" s="115">
        <v>0.0018187335553423924</v>
      </c>
      <c r="D2148" s="111" t="s">
        <v>822</v>
      </c>
      <c r="E2148" s="111" t="b">
        <v>0</v>
      </c>
      <c r="F2148" s="111" t="b">
        <v>0</v>
      </c>
      <c r="G2148" s="111" t="b">
        <v>0</v>
      </c>
    </row>
    <row r="2149" spans="1:7" ht="15">
      <c r="A2149" s="113" t="s">
        <v>1854</v>
      </c>
      <c r="B2149" s="111">
        <v>2</v>
      </c>
      <c r="C2149" s="115">
        <v>0.0014046620344840964</v>
      </c>
      <c r="D2149" s="111" t="s">
        <v>822</v>
      </c>
      <c r="E2149" s="111" t="b">
        <v>0</v>
      </c>
      <c r="F2149" s="111" t="b">
        <v>0</v>
      </c>
      <c r="G2149" s="111" t="b">
        <v>0</v>
      </c>
    </row>
    <row r="2150" spans="1:7" ht="15">
      <c r="A2150" s="113" t="s">
        <v>1858</v>
      </c>
      <c r="B2150" s="111">
        <v>2</v>
      </c>
      <c r="C2150" s="115">
        <v>0.0018187335553423924</v>
      </c>
      <c r="D2150" s="111" t="s">
        <v>822</v>
      </c>
      <c r="E2150" s="111" t="b">
        <v>0</v>
      </c>
      <c r="F2150" s="111" t="b">
        <v>0</v>
      </c>
      <c r="G2150" s="111" t="b">
        <v>0</v>
      </c>
    </row>
    <row r="2151" spans="1:7" ht="15">
      <c r="A2151" s="113" t="s">
        <v>1806</v>
      </c>
      <c r="B2151" s="111">
        <v>2</v>
      </c>
      <c r="C2151" s="115">
        <v>0.0014046620344840964</v>
      </c>
      <c r="D2151" s="111" t="s">
        <v>822</v>
      </c>
      <c r="E2151" s="111" t="b">
        <v>0</v>
      </c>
      <c r="F2151" s="111" t="b">
        <v>0</v>
      </c>
      <c r="G2151" s="111" t="b">
        <v>0</v>
      </c>
    </row>
    <row r="2152" spans="1:7" ht="15">
      <c r="A2152" s="113" t="s">
        <v>1133</v>
      </c>
      <c r="B2152" s="111">
        <v>2</v>
      </c>
      <c r="C2152" s="115">
        <v>0.0014046620344840964</v>
      </c>
      <c r="D2152" s="111" t="s">
        <v>822</v>
      </c>
      <c r="E2152" s="111" t="b">
        <v>0</v>
      </c>
      <c r="F2152" s="111" t="b">
        <v>0</v>
      </c>
      <c r="G2152" s="111" t="b">
        <v>0</v>
      </c>
    </row>
    <row r="2153" spans="1:7" ht="15">
      <c r="A2153" s="113" t="s">
        <v>1421</v>
      </c>
      <c r="B2153" s="111">
        <v>2</v>
      </c>
      <c r="C2153" s="115">
        <v>0.0018187335553423924</v>
      </c>
      <c r="D2153" s="111" t="s">
        <v>822</v>
      </c>
      <c r="E2153" s="111" t="b">
        <v>0</v>
      </c>
      <c r="F2153" s="111" t="b">
        <v>0</v>
      </c>
      <c r="G2153" s="111" t="b">
        <v>0</v>
      </c>
    </row>
    <row r="2154" spans="1:7" ht="15">
      <c r="A2154" s="113" t="s">
        <v>1018</v>
      </c>
      <c r="B2154" s="111">
        <v>2</v>
      </c>
      <c r="C2154" s="115">
        <v>0.0018187335553423924</v>
      </c>
      <c r="D2154" s="111" t="s">
        <v>822</v>
      </c>
      <c r="E2154" s="111" t="b">
        <v>0</v>
      </c>
      <c r="F2154" s="111" t="b">
        <v>0</v>
      </c>
      <c r="G2154" s="111" t="b">
        <v>0</v>
      </c>
    </row>
    <row r="2155" spans="1:7" ht="15">
      <c r="A2155" s="113" t="s">
        <v>1711</v>
      </c>
      <c r="B2155" s="111">
        <v>2</v>
      </c>
      <c r="C2155" s="115">
        <v>0.0014046620344840964</v>
      </c>
      <c r="D2155" s="111" t="s">
        <v>822</v>
      </c>
      <c r="E2155" s="111" t="b">
        <v>0</v>
      </c>
      <c r="F2155" s="111" t="b">
        <v>0</v>
      </c>
      <c r="G2155" s="111" t="b">
        <v>0</v>
      </c>
    </row>
    <row r="2156" spans="1:7" ht="15">
      <c r="A2156" s="113" t="s">
        <v>1252</v>
      </c>
      <c r="B2156" s="111">
        <v>2</v>
      </c>
      <c r="C2156" s="115">
        <v>0.0014046620344840964</v>
      </c>
      <c r="D2156" s="111" t="s">
        <v>822</v>
      </c>
      <c r="E2156" s="111" t="b">
        <v>0</v>
      </c>
      <c r="F2156" s="111" t="b">
        <v>0</v>
      </c>
      <c r="G2156" s="111" t="b">
        <v>0</v>
      </c>
    </row>
    <row r="2157" spans="1:7" ht="15">
      <c r="A2157" s="113" t="s">
        <v>1171</v>
      </c>
      <c r="B2157" s="111">
        <v>2</v>
      </c>
      <c r="C2157" s="115">
        <v>0.0014046620344840964</v>
      </c>
      <c r="D2157" s="111" t="s">
        <v>822</v>
      </c>
      <c r="E2157" s="111" t="b">
        <v>1</v>
      </c>
      <c r="F2157" s="111" t="b">
        <v>0</v>
      </c>
      <c r="G2157" s="111" t="b">
        <v>0</v>
      </c>
    </row>
    <row r="2158" spans="1:7" ht="15">
      <c r="A2158" s="113" t="s">
        <v>1187</v>
      </c>
      <c r="B2158" s="111">
        <v>2</v>
      </c>
      <c r="C2158" s="115">
        <v>0.0014046620344840964</v>
      </c>
      <c r="D2158" s="111" t="s">
        <v>822</v>
      </c>
      <c r="E2158" s="111" t="b">
        <v>0</v>
      </c>
      <c r="F2158" s="111" t="b">
        <v>1</v>
      </c>
      <c r="G2158" s="111" t="b">
        <v>0</v>
      </c>
    </row>
    <row r="2159" spans="1:7" ht="15">
      <c r="A2159" s="113" t="s">
        <v>1000</v>
      </c>
      <c r="B2159" s="111">
        <v>2</v>
      </c>
      <c r="C2159" s="115">
        <v>0.0014046620344840964</v>
      </c>
      <c r="D2159" s="111" t="s">
        <v>822</v>
      </c>
      <c r="E2159" s="111" t="b">
        <v>0</v>
      </c>
      <c r="F2159" s="111" t="b">
        <v>0</v>
      </c>
      <c r="G2159" s="111" t="b">
        <v>0</v>
      </c>
    </row>
    <row r="2160" spans="1:7" ht="15">
      <c r="A2160" s="113" t="s">
        <v>1060</v>
      </c>
      <c r="B2160" s="111">
        <v>2</v>
      </c>
      <c r="C2160" s="115">
        <v>0.0014046620344840964</v>
      </c>
      <c r="D2160" s="111" t="s">
        <v>822</v>
      </c>
      <c r="E2160" s="111" t="b">
        <v>0</v>
      </c>
      <c r="F2160" s="111" t="b">
        <v>0</v>
      </c>
      <c r="G2160" s="111" t="b">
        <v>0</v>
      </c>
    </row>
    <row r="2161" spans="1:7" ht="15">
      <c r="A2161" s="113" t="s">
        <v>1118</v>
      </c>
      <c r="B2161" s="111">
        <v>2</v>
      </c>
      <c r="C2161" s="115">
        <v>0.0018187335553423924</v>
      </c>
      <c r="D2161" s="111" t="s">
        <v>822</v>
      </c>
      <c r="E2161" s="111" t="b">
        <v>0</v>
      </c>
      <c r="F2161" s="111" t="b">
        <v>0</v>
      </c>
      <c r="G2161" s="111" t="b">
        <v>0</v>
      </c>
    </row>
    <row r="2162" spans="1:7" ht="15">
      <c r="A2162" s="113" t="s">
        <v>1853</v>
      </c>
      <c r="B2162" s="111">
        <v>2</v>
      </c>
      <c r="C2162" s="115">
        <v>0.0018187335553423924</v>
      </c>
      <c r="D2162" s="111" t="s">
        <v>822</v>
      </c>
      <c r="E2162" s="111" t="b">
        <v>0</v>
      </c>
      <c r="F2162" s="111" t="b">
        <v>0</v>
      </c>
      <c r="G2162" s="111" t="b">
        <v>0</v>
      </c>
    </row>
    <row r="2163" spans="1:7" ht="15">
      <c r="A2163" s="113" t="s">
        <v>1712</v>
      </c>
      <c r="B2163" s="111">
        <v>2</v>
      </c>
      <c r="C2163" s="115">
        <v>0.0014046620344840964</v>
      </c>
      <c r="D2163" s="111" t="s">
        <v>822</v>
      </c>
      <c r="E2163" s="111" t="b">
        <v>0</v>
      </c>
      <c r="F2163" s="111" t="b">
        <v>0</v>
      </c>
      <c r="G2163" s="111" t="b">
        <v>0</v>
      </c>
    </row>
    <row r="2164" spans="1:7" ht="15">
      <c r="A2164" s="113" t="s">
        <v>1807</v>
      </c>
      <c r="B2164" s="111">
        <v>2</v>
      </c>
      <c r="C2164" s="115">
        <v>0.0014046620344840964</v>
      </c>
      <c r="D2164" s="111" t="s">
        <v>822</v>
      </c>
      <c r="E2164" s="111" t="b">
        <v>0</v>
      </c>
      <c r="F2164" s="111" t="b">
        <v>0</v>
      </c>
      <c r="G2164" s="111" t="b">
        <v>0</v>
      </c>
    </row>
    <row r="2165" spans="1:7" ht="15">
      <c r="A2165" s="113" t="s">
        <v>1424</v>
      </c>
      <c r="B2165" s="111">
        <v>2</v>
      </c>
      <c r="C2165" s="115">
        <v>0.0014046620344840964</v>
      </c>
      <c r="D2165" s="111" t="s">
        <v>822</v>
      </c>
      <c r="E2165" s="111" t="b">
        <v>0</v>
      </c>
      <c r="F2165" s="111" t="b">
        <v>0</v>
      </c>
      <c r="G2165" s="111" t="b">
        <v>0</v>
      </c>
    </row>
    <row r="2166" spans="1:7" ht="15">
      <c r="A2166" s="113" t="s">
        <v>1717</v>
      </c>
      <c r="B2166" s="111">
        <v>2</v>
      </c>
      <c r="C2166" s="115">
        <v>0.0018187335553423924</v>
      </c>
      <c r="D2166" s="111" t="s">
        <v>822</v>
      </c>
      <c r="E2166" s="111" t="b">
        <v>0</v>
      </c>
      <c r="F2166" s="111" t="b">
        <v>0</v>
      </c>
      <c r="G2166" s="111" t="b">
        <v>0</v>
      </c>
    </row>
    <row r="2167" spans="1:7" ht="15">
      <c r="A2167" s="113" t="s">
        <v>852</v>
      </c>
      <c r="B2167" s="111">
        <v>2</v>
      </c>
      <c r="C2167" s="115">
        <v>0.0018187335553423924</v>
      </c>
      <c r="D2167" s="111" t="s">
        <v>822</v>
      </c>
      <c r="E2167" s="111" t="b">
        <v>0</v>
      </c>
      <c r="F2167" s="111" t="b">
        <v>0</v>
      </c>
      <c r="G2167" s="111" t="b">
        <v>0</v>
      </c>
    </row>
    <row r="2168" spans="1:7" ht="15">
      <c r="A2168" s="113" t="s">
        <v>1719</v>
      </c>
      <c r="B2168" s="111">
        <v>2</v>
      </c>
      <c r="C2168" s="115">
        <v>0.0014046620344840964</v>
      </c>
      <c r="D2168" s="111" t="s">
        <v>822</v>
      </c>
      <c r="E2168" s="111" t="b">
        <v>0</v>
      </c>
      <c r="F2168" s="111" t="b">
        <v>1</v>
      </c>
      <c r="G2168" s="111" t="b">
        <v>0</v>
      </c>
    </row>
    <row r="2169" spans="1:7" ht="15">
      <c r="A2169" s="113" t="s">
        <v>1710</v>
      </c>
      <c r="B2169" s="111">
        <v>2</v>
      </c>
      <c r="C2169" s="115">
        <v>0.0014046620344840964</v>
      </c>
      <c r="D2169" s="111" t="s">
        <v>822</v>
      </c>
      <c r="E2169" s="111" t="b">
        <v>1</v>
      </c>
      <c r="F2169" s="111" t="b">
        <v>0</v>
      </c>
      <c r="G2169" s="111" t="b">
        <v>0</v>
      </c>
    </row>
    <row r="2170" spans="1:7" ht="15">
      <c r="A2170" s="113" t="s">
        <v>1124</v>
      </c>
      <c r="B2170" s="111">
        <v>2</v>
      </c>
      <c r="C2170" s="115">
        <v>0.0014046620344840964</v>
      </c>
      <c r="D2170" s="111" t="s">
        <v>822</v>
      </c>
      <c r="E2170" s="111" t="b">
        <v>0</v>
      </c>
      <c r="F2170" s="111" t="b">
        <v>0</v>
      </c>
      <c r="G2170" s="111" t="b">
        <v>0</v>
      </c>
    </row>
    <row r="2171" spans="1:7" ht="15">
      <c r="A2171" s="113" t="s">
        <v>1708</v>
      </c>
      <c r="B2171" s="111">
        <v>2</v>
      </c>
      <c r="C2171" s="115">
        <v>0.0018187335553423924</v>
      </c>
      <c r="D2171" s="111" t="s">
        <v>822</v>
      </c>
      <c r="E2171" s="111" t="b">
        <v>0</v>
      </c>
      <c r="F2171" s="111" t="b">
        <v>0</v>
      </c>
      <c r="G2171" s="111" t="b">
        <v>0</v>
      </c>
    </row>
    <row r="2172" spans="1:7" ht="15">
      <c r="A2172" s="113" t="s">
        <v>1709</v>
      </c>
      <c r="B2172" s="111">
        <v>2</v>
      </c>
      <c r="C2172" s="115">
        <v>0.0014046620344840964</v>
      </c>
      <c r="D2172" s="111" t="s">
        <v>822</v>
      </c>
      <c r="E2172" s="111" t="b">
        <v>0</v>
      </c>
      <c r="F2172" s="111" t="b">
        <v>0</v>
      </c>
      <c r="G2172" s="111" t="b">
        <v>0</v>
      </c>
    </row>
    <row r="2173" spans="1:7" ht="15">
      <c r="A2173" s="113" t="s">
        <v>1714</v>
      </c>
      <c r="B2173" s="111">
        <v>2</v>
      </c>
      <c r="C2173" s="115">
        <v>0.0018187335553423924</v>
      </c>
      <c r="D2173" s="111" t="s">
        <v>822</v>
      </c>
      <c r="E2173" s="111" t="b">
        <v>0</v>
      </c>
      <c r="F2173" s="111" t="b">
        <v>0</v>
      </c>
      <c r="G2173" s="111" t="b">
        <v>0</v>
      </c>
    </row>
    <row r="2174" spans="1:7" ht="15">
      <c r="A2174" s="113" t="s">
        <v>1715</v>
      </c>
      <c r="B2174" s="111">
        <v>2</v>
      </c>
      <c r="C2174" s="115">
        <v>0.0014046620344840964</v>
      </c>
      <c r="D2174" s="111" t="s">
        <v>822</v>
      </c>
      <c r="E2174" s="111" t="b">
        <v>0</v>
      </c>
      <c r="F2174" s="111" t="b">
        <v>0</v>
      </c>
      <c r="G2174" s="111" t="b">
        <v>0</v>
      </c>
    </row>
    <row r="2175" spans="1:7" ht="15">
      <c r="A2175" s="113" t="s">
        <v>1716</v>
      </c>
      <c r="B2175" s="111">
        <v>2</v>
      </c>
      <c r="C2175" s="115">
        <v>0.0014046620344840964</v>
      </c>
      <c r="D2175" s="111" t="s">
        <v>822</v>
      </c>
      <c r="E2175" s="111" t="b">
        <v>0</v>
      </c>
      <c r="F2175" s="111" t="b">
        <v>0</v>
      </c>
      <c r="G2175" s="111" t="b">
        <v>0</v>
      </c>
    </row>
    <row r="2176" spans="1:7" ht="15">
      <c r="A2176" s="113" t="s">
        <v>1811</v>
      </c>
      <c r="B2176" s="111">
        <v>2</v>
      </c>
      <c r="C2176" s="115">
        <v>0.0014046620344840964</v>
      </c>
      <c r="D2176" s="111" t="s">
        <v>822</v>
      </c>
      <c r="E2176" s="111" t="b">
        <v>0</v>
      </c>
      <c r="F2176" s="111" t="b">
        <v>0</v>
      </c>
      <c r="G2176" s="111" t="b">
        <v>0</v>
      </c>
    </row>
    <row r="2177" spans="1:7" ht="15">
      <c r="A2177" s="113" t="s">
        <v>1842</v>
      </c>
      <c r="B2177" s="111">
        <v>2</v>
      </c>
      <c r="C2177" s="115">
        <v>0.0018187335553423924</v>
      </c>
      <c r="D2177" s="111" t="s">
        <v>822</v>
      </c>
      <c r="E2177" s="111" t="b">
        <v>0</v>
      </c>
      <c r="F2177" s="111" t="b">
        <v>0</v>
      </c>
      <c r="G2177" s="111" t="b">
        <v>0</v>
      </c>
    </row>
    <row r="2178" spans="1:7" ht="15">
      <c r="A2178" s="113" t="s">
        <v>1411</v>
      </c>
      <c r="B2178" s="111">
        <v>2</v>
      </c>
      <c r="C2178" s="115">
        <v>0.0018187335553423924</v>
      </c>
      <c r="D2178" s="111" t="s">
        <v>822</v>
      </c>
      <c r="E2178" s="111" t="b">
        <v>0</v>
      </c>
      <c r="F2178" s="111" t="b">
        <v>1</v>
      </c>
      <c r="G2178" s="111" t="b">
        <v>0</v>
      </c>
    </row>
    <row r="2179" spans="1:7" ht="15">
      <c r="A2179" s="113" t="s">
        <v>1846</v>
      </c>
      <c r="B2179" s="111">
        <v>2</v>
      </c>
      <c r="C2179" s="115">
        <v>0.0018187335553423924</v>
      </c>
      <c r="D2179" s="111" t="s">
        <v>822</v>
      </c>
      <c r="E2179" s="111" t="b">
        <v>0</v>
      </c>
      <c r="F2179" s="111" t="b">
        <v>0</v>
      </c>
      <c r="G2179" s="111" t="b">
        <v>0</v>
      </c>
    </row>
    <row r="2180" spans="1:7" ht="15">
      <c r="A2180" s="113" t="s">
        <v>1847</v>
      </c>
      <c r="B2180" s="111">
        <v>2</v>
      </c>
      <c r="C2180" s="115">
        <v>0.0018187335553423924</v>
      </c>
      <c r="D2180" s="111" t="s">
        <v>822</v>
      </c>
      <c r="E2180" s="111" t="b">
        <v>0</v>
      </c>
      <c r="F2180" s="111" t="b">
        <v>0</v>
      </c>
      <c r="G2180" s="111" t="b">
        <v>0</v>
      </c>
    </row>
    <row r="2181" spans="1:7" ht="15">
      <c r="A2181" s="113" t="s">
        <v>958</v>
      </c>
      <c r="B2181" s="111">
        <v>2</v>
      </c>
      <c r="C2181" s="115">
        <v>0.0018187335553423924</v>
      </c>
      <c r="D2181" s="111" t="s">
        <v>822</v>
      </c>
      <c r="E2181" s="111" t="b">
        <v>0</v>
      </c>
      <c r="F2181" s="111" t="b">
        <v>0</v>
      </c>
      <c r="G2181" s="111" t="b">
        <v>0</v>
      </c>
    </row>
    <row r="2182" spans="1:7" ht="15">
      <c r="A2182" s="113" t="s">
        <v>867</v>
      </c>
      <c r="B2182" s="111">
        <v>2</v>
      </c>
      <c r="C2182" s="115">
        <v>0.0018187335553423924</v>
      </c>
      <c r="D2182" s="111" t="s">
        <v>822</v>
      </c>
      <c r="E2182" s="111" t="b">
        <v>0</v>
      </c>
      <c r="F2182" s="111" t="b">
        <v>0</v>
      </c>
      <c r="G2182" s="111" t="b">
        <v>0</v>
      </c>
    </row>
    <row r="2183" spans="1:7" ht="15">
      <c r="A2183" s="113" t="s">
        <v>1248</v>
      </c>
      <c r="B2183" s="111">
        <v>2</v>
      </c>
      <c r="C2183" s="115">
        <v>0.0018187335553423924</v>
      </c>
      <c r="D2183" s="111" t="s">
        <v>822</v>
      </c>
      <c r="E2183" s="111" t="b">
        <v>0</v>
      </c>
      <c r="F2183" s="111" t="b">
        <v>0</v>
      </c>
      <c r="G2183" s="111" t="b">
        <v>0</v>
      </c>
    </row>
    <row r="2184" spans="1:7" ht="15">
      <c r="A2184" s="113" t="s">
        <v>1812</v>
      </c>
      <c r="B2184" s="111">
        <v>2</v>
      </c>
      <c r="C2184" s="115">
        <v>0.0018187335553423924</v>
      </c>
      <c r="D2184" s="111" t="s">
        <v>822</v>
      </c>
      <c r="E2184" s="111" t="b">
        <v>0</v>
      </c>
      <c r="F2184" s="111" t="b">
        <v>0</v>
      </c>
      <c r="G2184" s="111" t="b">
        <v>0</v>
      </c>
    </row>
    <row r="2185" spans="1:7" ht="15">
      <c r="A2185" s="113" t="s">
        <v>840</v>
      </c>
      <c r="B2185" s="111">
        <v>12</v>
      </c>
      <c r="C2185" s="115">
        <v>0.003647308198803575</v>
      </c>
      <c r="D2185" s="111" t="s">
        <v>823</v>
      </c>
      <c r="E2185" s="111" t="b">
        <v>0</v>
      </c>
      <c r="F2185" s="111" t="b">
        <v>0</v>
      </c>
      <c r="G2185" s="111" t="b">
        <v>0</v>
      </c>
    </row>
    <row r="2186" spans="1:7" ht="15">
      <c r="A2186" s="113" t="s">
        <v>845</v>
      </c>
      <c r="B2186" s="111">
        <v>10</v>
      </c>
      <c r="C2186" s="115">
        <v>0.003039423499002979</v>
      </c>
      <c r="D2186" s="111" t="s">
        <v>823</v>
      </c>
      <c r="E2186" s="111" t="b">
        <v>0</v>
      </c>
      <c r="F2186" s="111" t="b">
        <v>0</v>
      </c>
      <c r="G2186" s="111" t="b">
        <v>0</v>
      </c>
    </row>
    <row r="2187" spans="1:7" ht="15">
      <c r="A2187" s="113" t="s">
        <v>868</v>
      </c>
      <c r="B2187" s="111">
        <v>9</v>
      </c>
      <c r="C2187" s="115">
        <v>0.0047440600638654455</v>
      </c>
      <c r="D2187" s="111" t="s">
        <v>823</v>
      </c>
      <c r="E2187" s="111" t="b">
        <v>0</v>
      </c>
      <c r="F2187" s="111" t="b">
        <v>0</v>
      </c>
      <c r="G2187" s="111" t="b">
        <v>0</v>
      </c>
    </row>
    <row r="2188" spans="1:7" ht="15">
      <c r="A2188" s="113" t="s">
        <v>841</v>
      </c>
      <c r="B2188" s="111">
        <v>8</v>
      </c>
      <c r="C2188" s="115">
        <v>0.0042169422789915065</v>
      </c>
      <c r="D2188" s="111" t="s">
        <v>823</v>
      </c>
      <c r="E2188" s="111" t="b">
        <v>0</v>
      </c>
      <c r="F2188" s="111" t="b">
        <v>0</v>
      </c>
      <c r="G2188" s="111" t="b">
        <v>0</v>
      </c>
    </row>
    <row r="2189" spans="1:7" ht="15">
      <c r="A2189" s="113" t="s">
        <v>981</v>
      </c>
      <c r="B2189" s="111">
        <v>8</v>
      </c>
      <c r="C2189" s="115">
        <v>0.008639788863586273</v>
      </c>
      <c r="D2189" s="111" t="s">
        <v>823</v>
      </c>
      <c r="E2189" s="111" t="b">
        <v>0</v>
      </c>
      <c r="F2189" s="111" t="b">
        <v>0</v>
      </c>
      <c r="G2189" s="111" t="b">
        <v>0</v>
      </c>
    </row>
    <row r="2190" spans="1:7" ht="15">
      <c r="A2190" s="113" t="s">
        <v>880</v>
      </c>
      <c r="B2190" s="111">
        <v>8</v>
      </c>
      <c r="C2190" s="115">
        <v>0.0042169422789915065</v>
      </c>
      <c r="D2190" s="111" t="s">
        <v>823</v>
      </c>
      <c r="E2190" s="111" t="b">
        <v>0</v>
      </c>
      <c r="F2190" s="111" t="b">
        <v>0</v>
      </c>
      <c r="G2190" s="111" t="b">
        <v>0</v>
      </c>
    </row>
    <row r="2191" spans="1:7" ht="15">
      <c r="A2191" s="113" t="s">
        <v>979</v>
      </c>
      <c r="B2191" s="111">
        <v>8</v>
      </c>
      <c r="C2191" s="115">
        <v>0.008639788863586273</v>
      </c>
      <c r="D2191" s="111" t="s">
        <v>823</v>
      </c>
      <c r="E2191" s="111" t="b">
        <v>0</v>
      </c>
      <c r="F2191" s="111" t="b">
        <v>0</v>
      </c>
      <c r="G2191" s="111" t="b">
        <v>0</v>
      </c>
    </row>
    <row r="2192" spans="1:7" ht="15">
      <c r="A2192" s="113" t="s">
        <v>865</v>
      </c>
      <c r="B2192" s="111">
        <v>7</v>
      </c>
      <c r="C2192" s="115">
        <v>0.0044929201380644</v>
      </c>
      <c r="D2192" s="111" t="s">
        <v>823</v>
      </c>
      <c r="E2192" s="111" t="b">
        <v>0</v>
      </c>
      <c r="F2192" s="111" t="b">
        <v>0</v>
      </c>
      <c r="G2192" s="111" t="b">
        <v>0</v>
      </c>
    </row>
    <row r="2193" spans="1:7" ht="15">
      <c r="A2193" s="113" t="s">
        <v>1014</v>
      </c>
      <c r="B2193" s="111">
        <v>7</v>
      </c>
      <c r="C2193" s="115">
        <v>0.007559815255637988</v>
      </c>
      <c r="D2193" s="111" t="s">
        <v>823</v>
      </c>
      <c r="E2193" s="111" t="b">
        <v>0</v>
      </c>
      <c r="F2193" s="111" t="b">
        <v>0</v>
      </c>
      <c r="G2193" s="111" t="b">
        <v>0</v>
      </c>
    </row>
    <row r="2194" spans="1:7" ht="15">
      <c r="A2194" s="113" t="s">
        <v>852</v>
      </c>
      <c r="B2194" s="111">
        <v>7</v>
      </c>
      <c r="C2194" s="115">
        <v>0.0044929201380644</v>
      </c>
      <c r="D2194" s="111" t="s">
        <v>823</v>
      </c>
      <c r="E2194" s="111" t="b">
        <v>0</v>
      </c>
      <c r="F2194" s="111" t="b">
        <v>0</v>
      </c>
      <c r="G2194" s="111" t="b">
        <v>0</v>
      </c>
    </row>
    <row r="2195" spans="1:7" ht="15">
      <c r="A2195" s="113" t="s">
        <v>1012</v>
      </c>
      <c r="B2195" s="111">
        <v>7</v>
      </c>
      <c r="C2195" s="115">
        <v>0.007559815255637988</v>
      </c>
      <c r="D2195" s="111" t="s">
        <v>823</v>
      </c>
      <c r="E2195" s="111" t="b">
        <v>0</v>
      </c>
      <c r="F2195" s="111" t="b">
        <v>0</v>
      </c>
      <c r="G2195" s="111" t="b">
        <v>0</v>
      </c>
    </row>
    <row r="2196" spans="1:7" ht="15">
      <c r="A2196" s="113" t="s">
        <v>843</v>
      </c>
      <c r="B2196" s="111">
        <v>6</v>
      </c>
      <c r="C2196" s="115">
        <v>0.006479841647689705</v>
      </c>
      <c r="D2196" s="111" t="s">
        <v>823</v>
      </c>
      <c r="E2196" s="111" t="b">
        <v>0</v>
      </c>
      <c r="F2196" s="111" t="b">
        <v>0</v>
      </c>
      <c r="G2196" s="111" t="b">
        <v>0</v>
      </c>
    </row>
    <row r="2197" spans="1:7" ht="15">
      <c r="A2197" s="113" t="s">
        <v>914</v>
      </c>
      <c r="B2197" s="111">
        <v>6</v>
      </c>
      <c r="C2197" s="115">
        <v>0.002628767243634504</v>
      </c>
      <c r="D2197" s="111" t="s">
        <v>823</v>
      </c>
      <c r="E2197" s="111" t="b">
        <v>0</v>
      </c>
      <c r="F2197" s="111" t="b">
        <v>0</v>
      </c>
      <c r="G2197" s="111" t="b">
        <v>0</v>
      </c>
    </row>
    <row r="2198" spans="1:7" ht="15">
      <c r="A2198" s="113" t="s">
        <v>902</v>
      </c>
      <c r="B2198" s="111">
        <v>6</v>
      </c>
      <c r="C2198" s="115">
        <v>0.0038510744040552002</v>
      </c>
      <c r="D2198" s="111" t="s">
        <v>823</v>
      </c>
      <c r="E2198" s="111" t="b">
        <v>0</v>
      </c>
      <c r="F2198" s="111" t="b">
        <v>0</v>
      </c>
      <c r="G2198" s="111" t="b">
        <v>0</v>
      </c>
    </row>
    <row r="2199" spans="1:7" ht="15">
      <c r="A2199" s="113" t="s">
        <v>883</v>
      </c>
      <c r="B2199" s="111">
        <v>6</v>
      </c>
      <c r="C2199" s="115">
        <v>0.0038510744040552002</v>
      </c>
      <c r="D2199" s="111" t="s">
        <v>823</v>
      </c>
      <c r="E2199" s="111" t="b">
        <v>0</v>
      </c>
      <c r="F2199" s="111" t="b">
        <v>0</v>
      </c>
      <c r="G2199" s="111" t="b">
        <v>0</v>
      </c>
    </row>
    <row r="2200" spans="1:7" ht="15">
      <c r="A2200" s="113" t="s">
        <v>847</v>
      </c>
      <c r="B2200" s="111">
        <v>6</v>
      </c>
      <c r="C2200" s="115">
        <v>0.002628767243634504</v>
      </c>
      <c r="D2200" s="111" t="s">
        <v>823</v>
      </c>
      <c r="E2200" s="111" t="b">
        <v>0</v>
      </c>
      <c r="F2200" s="111" t="b">
        <v>0</v>
      </c>
      <c r="G2200" s="111" t="b">
        <v>0</v>
      </c>
    </row>
    <row r="2201" spans="1:7" ht="15">
      <c r="A2201" s="113" t="s">
        <v>973</v>
      </c>
      <c r="B2201" s="111">
        <v>6</v>
      </c>
      <c r="C2201" s="115">
        <v>0.0038510744040552002</v>
      </c>
      <c r="D2201" s="111" t="s">
        <v>823</v>
      </c>
      <c r="E2201" s="111" t="b">
        <v>0</v>
      </c>
      <c r="F2201" s="111" t="b">
        <v>1</v>
      </c>
      <c r="G2201" s="111" t="b">
        <v>0</v>
      </c>
    </row>
    <row r="2202" spans="1:7" ht="15">
      <c r="A2202" s="113" t="s">
        <v>848</v>
      </c>
      <c r="B2202" s="111">
        <v>6</v>
      </c>
      <c r="C2202" s="115">
        <v>0.0038510744040552002</v>
      </c>
      <c r="D2202" s="111" t="s">
        <v>823</v>
      </c>
      <c r="E2202" s="111" t="b">
        <v>0</v>
      </c>
      <c r="F2202" s="111" t="b">
        <v>0</v>
      </c>
      <c r="G2202" s="111" t="b">
        <v>0</v>
      </c>
    </row>
    <row r="2203" spans="1:7" ht="15">
      <c r="A2203" s="113" t="s">
        <v>1001</v>
      </c>
      <c r="B2203" s="111">
        <v>6</v>
      </c>
      <c r="C2203" s="115">
        <v>0.002628767243634504</v>
      </c>
      <c r="D2203" s="111" t="s">
        <v>823</v>
      </c>
      <c r="E2203" s="111" t="b">
        <v>0</v>
      </c>
      <c r="F2203" s="111" t="b">
        <v>1</v>
      </c>
      <c r="G2203" s="111" t="b">
        <v>0</v>
      </c>
    </row>
    <row r="2204" spans="1:7" ht="15">
      <c r="A2204" s="113" t="s">
        <v>1083</v>
      </c>
      <c r="B2204" s="111">
        <v>6</v>
      </c>
      <c r="C2204" s="115">
        <v>0.006479841647689705</v>
      </c>
      <c r="D2204" s="111" t="s">
        <v>823</v>
      </c>
      <c r="E2204" s="111" t="b">
        <v>0</v>
      </c>
      <c r="F2204" s="111" t="b">
        <v>0</v>
      </c>
      <c r="G2204" s="111" t="b">
        <v>0</v>
      </c>
    </row>
    <row r="2205" spans="1:7" ht="15">
      <c r="A2205" s="113" t="s">
        <v>842</v>
      </c>
      <c r="B2205" s="111">
        <v>5</v>
      </c>
      <c r="C2205" s="115">
        <v>0.003209228670046</v>
      </c>
      <c r="D2205" s="111" t="s">
        <v>823</v>
      </c>
      <c r="E2205" s="111" t="b">
        <v>0</v>
      </c>
      <c r="F2205" s="111" t="b">
        <v>0</v>
      </c>
      <c r="G2205" s="111" t="b">
        <v>0</v>
      </c>
    </row>
    <row r="2206" spans="1:7" ht="15">
      <c r="A2206" s="113" t="s">
        <v>945</v>
      </c>
      <c r="B2206" s="111">
        <v>5</v>
      </c>
      <c r="C2206" s="115">
        <v>0.003209228670046</v>
      </c>
      <c r="D2206" s="111" t="s">
        <v>823</v>
      </c>
      <c r="E2206" s="111" t="b">
        <v>0</v>
      </c>
      <c r="F2206" s="111" t="b">
        <v>0</v>
      </c>
      <c r="G2206" s="111" t="b">
        <v>0</v>
      </c>
    </row>
    <row r="2207" spans="1:7" ht="15">
      <c r="A2207" s="113" t="s">
        <v>870</v>
      </c>
      <c r="B2207" s="111">
        <v>5</v>
      </c>
      <c r="C2207" s="115">
        <v>0.0021906393696954195</v>
      </c>
      <c r="D2207" s="111" t="s">
        <v>823</v>
      </c>
      <c r="E2207" s="111" t="b">
        <v>0</v>
      </c>
      <c r="F2207" s="111" t="b">
        <v>0</v>
      </c>
      <c r="G2207" s="111" t="b">
        <v>0</v>
      </c>
    </row>
    <row r="2208" spans="1:7" ht="15">
      <c r="A2208" s="113" t="s">
        <v>913</v>
      </c>
      <c r="B2208" s="111">
        <v>5</v>
      </c>
      <c r="C2208" s="115">
        <v>0.004017728482055556</v>
      </c>
      <c r="D2208" s="111" t="s">
        <v>823</v>
      </c>
      <c r="E2208" s="111" t="b">
        <v>0</v>
      </c>
      <c r="F2208" s="111" t="b">
        <v>0</v>
      </c>
      <c r="G2208" s="111" t="b">
        <v>0</v>
      </c>
    </row>
    <row r="2209" spans="1:7" ht="15">
      <c r="A2209" s="113" t="s">
        <v>1146</v>
      </c>
      <c r="B2209" s="111">
        <v>5</v>
      </c>
      <c r="C2209" s="115">
        <v>0.00539986803974142</v>
      </c>
      <c r="D2209" s="111" t="s">
        <v>823</v>
      </c>
      <c r="E2209" s="111" t="b">
        <v>0</v>
      </c>
      <c r="F2209" s="111" t="b">
        <v>0</v>
      </c>
      <c r="G2209" s="111" t="b">
        <v>0</v>
      </c>
    </row>
    <row r="2210" spans="1:7" ht="15">
      <c r="A2210" s="113" t="s">
        <v>872</v>
      </c>
      <c r="B2210" s="111">
        <v>5</v>
      </c>
      <c r="C2210" s="115">
        <v>0.004017728482055556</v>
      </c>
      <c r="D2210" s="111" t="s">
        <v>823</v>
      </c>
      <c r="E2210" s="111" t="b">
        <v>0</v>
      </c>
      <c r="F2210" s="111" t="b">
        <v>0</v>
      </c>
      <c r="G2210" s="111" t="b">
        <v>0</v>
      </c>
    </row>
    <row r="2211" spans="1:7" ht="15">
      <c r="A2211" s="113" t="s">
        <v>850</v>
      </c>
      <c r="B2211" s="111">
        <v>5</v>
      </c>
      <c r="C2211" s="115">
        <v>0.004017728482055556</v>
      </c>
      <c r="D2211" s="111" t="s">
        <v>823</v>
      </c>
      <c r="E2211" s="111" t="b">
        <v>0</v>
      </c>
      <c r="F2211" s="111" t="b">
        <v>0</v>
      </c>
      <c r="G2211" s="111" t="b">
        <v>0</v>
      </c>
    </row>
    <row r="2212" spans="1:7" ht="15">
      <c r="A2212" s="113" t="s">
        <v>1144</v>
      </c>
      <c r="B2212" s="111">
        <v>5</v>
      </c>
      <c r="C2212" s="115">
        <v>0.00539986803974142</v>
      </c>
      <c r="D2212" s="111" t="s">
        <v>823</v>
      </c>
      <c r="E2212" s="111" t="b">
        <v>0</v>
      </c>
      <c r="F2212" s="111" t="b">
        <v>0</v>
      </c>
      <c r="G2212" s="111" t="b">
        <v>0</v>
      </c>
    </row>
    <row r="2213" spans="1:7" ht="15">
      <c r="A2213" s="113" t="s">
        <v>1116</v>
      </c>
      <c r="B2213" s="111">
        <v>5</v>
      </c>
      <c r="C2213" s="115">
        <v>0.003209228670046</v>
      </c>
      <c r="D2213" s="111" t="s">
        <v>823</v>
      </c>
      <c r="E2213" s="111" t="b">
        <v>0</v>
      </c>
      <c r="F2213" s="111" t="b">
        <v>0</v>
      </c>
      <c r="G2213" s="111" t="b">
        <v>0</v>
      </c>
    </row>
    <row r="2214" spans="1:7" ht="15">
      <c r="A2214" s="113" t="s">
        <v>1106</v>
      </c>
      <c r="B2214" s="111">
        <v>4</v>
      </c>
      <c r="C2214" s="115">
        <v>0.0025673829360368</v>
      </c>
      <c r="D2214" s="111" t="s">
        <v>823</v>
      </c>
      <c r="E2214" s="111" t="b">
        <v>0</v>
      </c>
      <c r="F2214" s="111" t="b">
        <v>0</v>
      </c>
      <c r="G2214" s="111" t="b">
        <v>0</v>
      </c>
    </row>
    <row r="2215" spans="1:7" ht="15">
      <c r="A2215" s="113" t="s">
        <v>1137</v>
      </c>
      <c r="B2215" s="111">
        <v>4</v>
      </c>
      <c r="C2215" s="115">
        <v>0.004319894431793136</v>
      </c>
      <c r="D2215" s="111" t="s">
        <v>823</v>
      </c>
      <c r="E2215" s="111" t="b">
        <v>0</v>
      </c>
      <c r="F2215" s="111" t="b">
        <v>0</v>
      </c>
      <c r="G2215" s="111" t="b">
        <v>0</v>
      </c>
    </row>
    <row r="2216" spans="1:7" ht="15">
      <c r="A2216" s="113" t="s">
        <v>875</v>
      </c>
      <c r="B2216" s="111">
        <v>4</v>
      </c>
      <c r="C2216" s="115">
        <v>0.0025673829360368</v>
      </c>
      <c r="D2216" s="111" t="s">
        <v>823</v>
      </c>
      <c r="E2216" s="111" t="b">
        <v>0</v>
      </c>
      <c r="F2216" s="111" t="b">
        <v>1</v>
      </c>
      <c r="G2216" s="111" t="b">
        <v>0</v>
      </c>
    </row>
    <row r="2217" spans="1:7" ht="15">
      <c r="A2217" s="113" t="s">
        <v>1246</v>
      </c>
      <c r="B2217" s="111">
        <v>4</v>
      </c>
      <c r="C2217" s="115">
        <v>0.003214182785644445</v>
      </c>
      <c r="D2217" s="111" t="s">
        <v>823</v>
      </c>
      <c r="E2217" s="111" t="b">
        <v>0</v>
      </c>
      <c r="F2217" s="111" t="b">
        <v>0</v>
      </c>
      <c r="G2217" s="111" t="b">
        <v>0</v>
      </c>
    </row>
    <row r="2218" spans="1:7" ht="15">
      <c r="A2218" s="113" t="s">
        <v>863</v>
      </c>
      <c r="B2218" s="111">
        <v>4</v>
      </c>
      <c r="C2218" s="115">
        <v>0.003214182785644445</v>
      </c>
      <c r="D2218" s="111" t="s">
        <v>823</v>
      </c>
      <c r="E2218" s="111" t="b">
        <v>0</v>
      </c>
      <c r="F2218" s="111" t="b">
        <v>1</v>
      </c>
      <c r="G2218" s="111" t="b">
        <v>0</v>
      </c>
    </row>
    <row r="2219" spans="1:7" ht="15">
      <c r="A2219" s="113" t="s">
        <v>926</v>
      </c>
      <c r="B2219" s="111">
        <v>4</v>
      </c>
      <c r="C2219" s="115">
        <v>0.0025673829360368</v>
      </c>
      <c r="D2219" s="111" t="s">
        <v>823</v>
      </c>
      <c r="E2219" s="111" t="b">
        <v>0</v>
      </c>
      <c r="F2219" s="111" t="b">
        <v>0</v>
      </c>
      <c r="G2219" s="111" t="b">
        <v>0</v>
      </c>
    </row>
    <row r="2220" spans="1:7" ht="15">
      <c r="A2220" s="113" t="s">
        <v>1250</v>
      </c>
      <c r="B2220" s="111">
        <v>4</v>
      </c>
      <c r="C2220" s="115">
        <v>0.004319894431793136</v>
      </c>
      <c r="D2220" s="111" t="s">
        <v>823</v>
      </c>
      <c r="E2220" s="111" t="b">
        <v>0</v>
      </c>
      <c r="F2220" s="111" t="b">
        <v>0</v>
      </c>
      <c r="G2220" s="111" t="b">
        <v>0</v>
      </c>
    </row>
    <row r="2221" spans="1:7" ht="15">
      <c r="A2221" s="113" t="s">
        <v>1249</v>
      </c>
      <c r="B2221" s="111">
        <v>4</v>
      </c>
      <c r="C2221" s="115">
        <v>0.003214182785644445</v>
      </c>
      <c r="D2221" s="111" t="s">
        <v>823</v>
      </c>
      <c r="E2221" s="111" t="b">
        <v>0</v>
      </c>
      <c r="F2221" s="111" t="b">
        <v>0</v>
      </c>
      <c r="G2221" s="111" t="b">
        <v>0</v>
      </c>
    </row>
    <row r="2222" spans="1:7" ht="15">
      <c r="A2222" s="113" t="s">
        <v>928</v>
      </c>
      <c r="B2222" s="111">
        <v>4</v>
      </c>
      <c r="C2222" s="115">
        <v>0.0021084711394957533</v>
      </c>
      <c r="D2222" s="111" t="s">
        <v>823</v>
      </c>
      <c r="E2222" s="111" t="b">
        <v>0</v>
      </c>
      <c r="F2222" s="111" t="b">
        <v>0</v>
      </c>
      <c r="G2222" s="111" t="b">
        <v>0</v>
      </c>
    </row>
    <row r="2223" spans="1:7" ht="15">
      <c r="A2223" s="113" t="s">
        <v>929</v>
      </c>
      <c r="B2223" s="111">
        <v>4</v>
      </c>
      <c r="C2223" s="115">
        <v>0.003214182785644445</v>
      </c>
      <c r="D2223" s="111" t="s">
        <v>823</v>
      </c>
      <c r="E2223" s="111" t="b">
        <v>0</v>
      </c>
      <c r="F2223" s="111" t="b">
        <v>0</v>
      </c>
      <c r="G2223" s="111" t="b">
        <v>0</v>
      </c>
    </row>
    <row r="2224" spans="1:7" ht="15">
      <c r="A2224" s="113" t="s">
        <v>960</v>
      </c>
      <c r="B2224" s="111">
        <v>3</v>
      </c>
      <c r="C2224" s="115">
        <v>0.0019255372020276001</v>
      </c>
      <c r="D2224" s="111" t="s">
        <v>823</v>
      </c>
      <c r="E2224" s="111" t="b">
        <v>0</v>
      </c>
      <c r="F2224" s="111" t="b">
        <v>0</v>
      </c>
      <c r="G2224" s="111" t="b">
        <v>0</v>
      </c>
    </row>
    <row r="2225" spans="1:7" ht="15">
      <c r="A2225" s="113" t="s">
        <v>896</v>
      </c>
      <c r="B2225" s="111">
        <v>3</v>
      </c>
      <c r="C2225" s="115">
        <v>0.0019255372020276001</v>
      </c>
      <c r="D2225" s="111" t="s">
        <v>823</v>
      </c>
      <c r="E2225" s="111" t="b">
        <v>0</v>
      </c>
      <c r="F2225" s="111" t="b">
        <v>0</v>
      </c>
      <c r="G2225" s="111" t="b">
        <v>0</v>
      </c>
    </row>
    <row r="2226" spans="1:7" ht="15">
      <c r="A2226" s="113" t="s">
        <v>922</v>
      </c>
      <c r="B2226" s="111">
        <v>3</v>
      </c>
      <c r="C2226" s="115">
        <v>0.0019255372020276001</v>
      </c>
      <c r="D2226" s="111" t="s">
        <v>823</v>
      </c>
      <c r="E2226" s="111" t="b">
        <v>1</v>
      </c>
      <c r="F2226" s="111" t="b">
        <v>0</v>
      </c>
      <c r="G2226" s="111" t="b">
        <v>0</v>
      </c>
    </row>
    <row r="2227" spans="1:7" ht="15">
      <c r="A2227" s="113" t="s">
        <v>1384</v>
      </c>
      <c r="B2227" s="111">
        <v>3</v>
      </c>
      <c r="C2227" s="115">
        <v>0.0024106370892333336</v>
      </c>
      <c r="D2227" s="111" t="s">
        <v>823</v>
      </c>
      <c r="E2227" s="111" t="b">
        <v>0</v>
      </c>
      <c r="F2227" s="111" t="b">
        <v>0</v>
      </c>
      <c r="G2227" s="111" t="b">
        <v>0</v>
      </c>
    </row>
    <row r="2228" spans="1:7" ht="15">
      <c r="A2228" s="113" t="s">
        <v>1438</v>
      </c>
      <c r="B2228" s="111">
        <v>3</v>
      </c>
      <c r="C2228" s="115">
        <v>0.0032399208238448524</v>
      </c>
      <c r="D2228" s="111" t="s">
        <v>823</v>
      </c>
      <c r="E2228" s="111" t="b">
        <v>0</v>
      </c>
      <c r="F2228" s="111" t="b">
        <v>0</v>
      </c>
      <c r="G2228" s="111" t="b">
        <v>0</v>
      </c>
    </row>
    <row r="2229" spans="1:7" ht="15">
      <c r="A2229" s="113" t="s">
        <v>985</v>
      </c>
      <c r="B2229" s="111">
        <v>3</v>
      </c>
      <c r="C2229" s="115">
        <v>0.0019255372020276001</v>
      </c>
      <c r="D2229" s="111" t="s">
        <v>823</v>
      </c>
      <c r="E2229" s="111" t="b">
        <v>0</v>
      </c>
      <c r="F2229" s="111" t="b">
        <v>0</v>
      </c>
      <c r="G2229" s="111" t="b">
        <v>0</v>
      </c>
    </row>
    <row r="2230" spans="1:7" ht="15">
      <c r="A2230" s="113" t="s">
        <v>1117</v>
      </c>
      <c r="B2230" s="111">
        <v>3</v>
      </c>
      <c r="C2230" s="115">
        <v>0.0019255372020276001</v>
      </c>
      <c r="D2230" s="111" t="s">
        <v>823</v>
      </c>
      <c r="E2230" s="111" t="b">
        <v>0</v>
      </c>
      <c r="F2230" s="111" t="b">
        <v>0</v>
      </c>
      <c r="G2230" s="111" t="b">
        <v>0</v>
      </c>
    </row>
    <row r="2231" spans="1:7" ht="15">
      <c r="A2231" s="113" t="s">
        <v>996</v>
      </c>
      <c r="B2231" s="111">
        <v>3</v>
      </c>
      <c r="C2231" s="115">
        <v>0.0024106370892333336</v>
      </c>
      <c r="D2231" s="111" t="s">
        <v>823</v>
      </c>
      <c r="E2231" s="111" t="b">
        <v>0</v>
      </c>
      <c r="F2231" s="111" t="b">
        <v>0</v>
      </c>
      <c r="G2231" s="111" t="b">
        <v>0</v>
      </c>
    </row>
    <row r="2232" spans="1:7" ht="15">
      <c r="A2232" s="113" t="s">
        <v>1416</v>
      </c>
      <c r="B2232" s="111">
        <v>3</v>
      </c>
      <c r="C2232" s="115">
        <v>0.0032399208238448524</v>
      </c>
      <c r="D2232" s="111" t="s">
        <v>823</v>
      </c>
      <c r="E2232" s="111" t="b">
        <v>0</v>
      </c>
      <c r="F2232" s="111" t="b">
        <v>0</v>
      </c>
      <c r="G2232" s="111" t="b">
        <v>0</v>
      </c>
    </row>
    <row r="2233" spans="1:7" ht="15">
      <c r="A2233" s="113" t="s">
        <v>876</v>
      </c>
      <c r="B2233" s="111">
        <v>3</v>
      </c>
      <c r="C2233" s="115">
        <v>0.0019255372020276001</v>
      </c>
      <c r="D2233" s="111" t="s">
        <v>823</v>
      </c>
      <c r="E2233" s="111" t="b">
        <v>0</v>
      </c>
      <c r="F2233" s="111" t="b">
        <v>0</v>
      </c>
      <c r="G2233" s="111" t="b">
        <v>0</v>
      </c>
    </row>
    <row r="2234" spans="1:7" ht="15">
      <c r="A2234" s="113" t="s">
        <v>849</v>
      </c>
      <c r="B2234" s="111">
        <v>3</v>
      </c>
      <c r="C2234" s="115">
        <v>0.0019255372020276001</v>
      </c>
      <c r="D2234" s="111" t="s">
        <v>823</v>
      </c>
      <c r="E2234" s="111" t="b">
        <v>0</v>
      </c>
      <c r="F2234" s="111" t="b">
        <v>0</v>
      </c>
      <c r="G2234" s="111" t="b">
        <v>0</v>
      </c>
    </row>
    <row r="2235" spans="1:7" ht="15">
      <c r="A2235" s="113" t="s">
        <v>1000</v>
      </c>
      <c r="B2235" s="111">
        <v>3</v>
      </c>
      <c r="C2235" s="115">
        <v>0.0019255372020276001</v>
      </c>
      <c r="D2235" s="111" t="s">
        <v>823</v>
      </c>
      <c r="E2235" s="111" t="b">
        <v>0</v>
      </c>
      <c r="F2235" s="111" t="b">
        <v>0</v>
      </c>
      <c r="G2235" s="111" t="b">
        <v>0</v>
      </c>
    </row>
    <row r="2236" spans="1:7" ht="15">
      <c r="A2236" s="113" t="s">
        <v>1407</v>
      </c>
      <c r="B2236" s="111">
        <v>3</v>
      </c>
      <c r="C2236" s="115">
        <v>0.0032399208238448524</v>
      </c>
      <c r="D2236" s="111" t="s">
        <v>823</v>
      </c>
      <c r="E2236" s="111" t="b">
        <v>0</v>
      </c>
      <c r="F2236" s="111" t="b">
        <v>0</v>
      </c>
      <c r="G2236" s="111" t="b">
        <v>0</v>
      </c>
    </row>
    <row r="2237" spans="1:7" ht="15">
      <c r="A2237" s="113" t="s">
        <v>1409</v>
      </c>
      <c r="B2237" s="111">
        <v>3</v>
      </c>
      <c r="C2237" s="115">
        <v>0.0032399208238448524</v>
      </c>
      <c r="D2237" s="111" t="s">
        <v>823</v>
      </c>
      <c r="E2237" s="111" t="b">
        <v>0</v>
      </c>
      <c r="F2237" s="111" t="b">
        <v>0</v>
      </c>
      <c r="G2237" s="111" t="b">
        <v>0</v>
      </c>
    </row>
    <row r="2238" spans="1:7" ht="15">
      <c r="A2238" s="113" t="s">
        <v>892</v>
      </c>
      <c r="B2238" s="111">
        <v>3</v>
      </c>
      <c r="C2238" s="115">
        <v>0.0024106370892333336</v>
      </c>
      <c r="D2238" s="111" t="s">
        <v>823</v>
      </c>
      <c r="E2238" s="111" t="b">
        <v>0</v>
      </c>
      <c r="F2238" s="111" t="b">
        <v>0</v>
      </c>
      <c r="G2238" s="111" t="b">
        <v>0</v>
      </c>
    </row>
    <row r="2239" spans="1:7" ht="15">
      <c r="A2239" s="113" t="s">
        <v>909</v>
      </c>
      <c r="B2239" s="111">
        <v>3</v>
      </c>
      <c r="C2239" s="115">
        <v>0.0019255372020276001</v>
      </c>
      <c r="D2239" s="111" t="s">
        <v>823</v>
      </c>
      <c r="E2239" s="111" t="b">
        <v>0</v>
      </c>
      <c r="F2239" s="111" t="b">
        <v>0</v>
      </c>
      <c r="G2239" s="111" t="b">
        <v>0</v>
      </c>
    </row>
    <row r="2240" spans="1:7" ht="15">
      <c r="A2240" s="113" t="s">
        <v>1345</v>
      </c>
      <c r="B2240" s="111">
        <v>3</v>
      </c>
      <c r="C2240" s="115">
        <v>0.0024106370892333336</v>
      </c>
      <c r="D2240" s="111" t="s">
        <v>823</v>
      </c>
      <c r="E2240" s="111" t="b">
        <v>0</v>
      </c>
      <c r="F2240" s="111" t="b">
        <v>0</v>
      </c>
      <c r="G2240" s="111" t="b">
        <v>0</v>
      </c>
    </row>
    <row r="2241" spans="1:7" ht="15">
      <c r="A2241" s="113" t="s">
        <v>1412</v>
      </c>
      <c r="B2241" s="111">
        <v>3</v>
      </c>
      <c r="C2241" s="115">
        <v>0.0032399208238448524</v>
      </c>
      <c r="D2241" s="111" t="s">
        <v>823</v>
      </c>
      <c r="E2241" s="111" t="b">
        <v>0</v>
      </c>
      <c r="F2241" s="111" t="b">
        <v>0</v>
      </c>
      <c r="G2241" s="111" t="b">
        <v>0</v>
      </c>
    </row>
    <row r="2242" spans="1:7" ht="15">
      <c r="A2242" s="113" t="s">
        <v>1069</v>
      </c>
      <c r="B2242" s="111">
        <v>3</v>
      </c>
      <c r="C2242" s="115">
        <v>0.0024106370892333336</v>
      </c>
      <c r="D2242" s="111" t="s">
        <v>823</v>
      </c>
      <c r="E2242" s="111" t="b">
        <v>0</v>
      </c>
      <c r="F2242" s="111" t="b">
        <v>0</v>
      </c>
      <c r="G2242" s="111" t="b">
        <v>0</v>
      </c>
    </row>
    <row r="2243" spans="1:7" ht="15">
      <c r="A2243" s="113" t="s">
        <v>1066</v>
      </c>
      <c r="B2243" s="111">
        <v>3</v>
      </c>
      <c r="C2243" s="115">
        <v>0.0032399208238448524</v>
      </c>
      <c r="D2243" s="111" t="s">
        <v>823</v>
      </c>
      <c r="E2243" s="111" t="b">
        <v>0</v>
      </c>
      <c r="F2243" s="111" t="b">
        <v>0</v>
      </c>
      <c r="G2243" s="111" t="b">
        <v>0</v>
      </c>
    </row>
    <row r="2244" spans="1:7" ht="15">
      <c r="A2244" s="113" t="s">
        <v>1403</v>
      </c>
      <c r="B2244" s="111">
        <v>3</v>
      </c>
      <c r="C2244" s="115">
        <v>0.0032399208238448524</v>
      </c>
      <c r="D2244" s="111" t="s">
        <v>823</v>
      </c>
      <c r="E2244" s="111" t="b">
        <v>0</v>
      </c>
      <c r="F2244" s="111" t="b">
        <v>0</v>
      </c>
      <c r="G2244" s="111" t="b">
        <v>0</v>
      </c>
    </row>
    <row r="2245" spans="1:7" ht="15">
      <c r="A2245" s="113" t="s">
        <v>899</v>
      </c>
      <c r="B2245" s="111">
        <v>3</v>
      </c>
      <c r="C2245" s="115">
        <v>0.0019255372020276001</v>
      </c>
      <c r="D2245" s="111" t="s">
        <v>823</v>
      </c>
      <c r="E2245" s="111" t="b">
        <v>0</v>
      </c>
      <c r="F2245" s="111" t="b">
        <v>0</v>
      </c>
      <c r="G2245" s="111" t="b">
        <v>0</v>
      </c>
    </row>
    <row r="2246" spans="1:7" ht="15">
      <c r="A2246" s="113" t="s">
        <v>986</v>
      </c>
      <c r="B2246" s="111">
        <v>3</v>
      </c>
      <c r="C2246" s="115">
        <v>0.0024106370892333336</v>
      </c>
      <c r="D2246" s="111" t="s">
        <v>823</v>
      </c>
      <c r="E2246" s="111" t="b">
        <v>0</v>
      </c>
      <c r="F2246" s="111" t="b">
        <v>0</v>
      </c>
      <c r="G2246" s="111" t="b">
        <v>0</v>
      </c>
    </row>
    <row r="2247" spans="1:7" ht="15">
      <c r="A2247" s="113" t="s">
        <v>891</v>
      </c>
      <c r="B2247" s="111">
        <v>3</v>
      </c>
      <c r="C2247" s="115">
        <v>0.0024106370892333336</v>
      </c>
      <c r="D2247" s="111" t="s">
        <v>823</v>
      </c>
      <c r="E2247" s="111" t="b">
        <v>0</v>
      </c>
      <c r="F2247" s="111" t="b">
        <v>0</v>
      </c>
      <c r="G2247" s="111" t="b">
        <v>0</v>
      </c>
    </row>
    <row r="2248" spans="1:7" ht="15">
      <c r="A2248" s="113" t="s">
        <v>1401</v>
      </c>
      <c r="B2248" s="111">
        <v>3</v>
      </c>
      <c r="C2248" s="115">
        <v>0.0024106370892333336</v>
      </c>
      <c r="D2248" s="111" t="s">
        <v>823</v>
      </c>
      <c r="E2248" s="111" t="b">
        <v>0</v>
      </c>
      <c r="F2248" s="111" t="b">
        <v>0</v>
      </c>
      <c r="G2248" s="111" t="b">
        <v>0</v>
      </c>
    </row>
    <row r="2249" spans="1:7" ht="15">
      <c r="A2249" s="113" t="s">
        <v>1343</v>
      </c>
      <c r="B2249" s="111">
        <v>3</v>
      </c>
      <c r="C2249" s="115">
        <v>0.0019255372020276001</v>
      </c>
      <c r="D2249" s="111" t="s">
        <v>823</v>
      </c>
      <c r="E2249" s="111" t="b">
        <v>0</v>
      </c>
      <c r="F2249" s="111" t="b">
        <v>0</v>
      </c>
      <c r="G2249" s="111" t="b">
        <v>0</v>
      </c>
    </row>
    <row r="2250" spans="1:7" ht="15">
      <c r="A2250" s="113" t="s">
        <v>1400</v>
      </c>
      <c r="B2250" s="111">
        <v>3</v>
      </c>
      <c r="C2250" s="115">
        <v>0.0032399208238448524</v>
      </c>
      <c r="D2250" s="111" t="s">
        <v>823</v>
      </c>
      <c r="E2250" s="111" t="b">
        <v>0</v>
      </c>
      <c r="F2250" s="111" t="b">
        <v>0</v>
      </c>
      <c r="G2250" s="111" t="b">
        <v>0</v>
      </c>
    </row>
    <row r="2251" spans="1:7" ht="15">
      <c r="A2251" s="113" t="s">
        <v>956</v>
      </c>
      <c r="B2251" s="111">
        <v>3</v>
      </c>
      <c r="C2251" s="115">
        <v>0.0032399208238448524</v>
      </c>
      <c r="D2251" s="111" t="s">
        <v>823</v>
      </c>
      <c r="E2251" s="111" t="b">
        <v>0</v>
      </c>
      <c r="F2251" s="111" t="b">
        <v>0</v>
      </c>
      <c r="G2251" s="111" t="b">
        <v>0</v>
      </c>
    </row>
    <row r="2252" spans="1:7" ht="15">
      <c r="A2252" s="113" t="s">
        <v>884</v>
      </c>
      <c r="B2252" s="111">
        <v>3</v>
      </c>
      <c r="C2252" s="115">
        <v>0.0024106370892333336</v>
      </c>
      <c r="D2252" s="111" t="s">
        <v>823</v>
      </c>
      <c r="E2252" s="111" t="b">
        <v>0</v>
      </c>
      <c r="F2252" s="111" t="b">
        <v>0</v>
      </c>
      <c r="G2252" s="111" t="b">
        <v>0</v>
      </c>
    </row>
    <row r="2253" spans="1:7" ht="15">
      <c r="A2253" s="113" t="s">
        <v>970</v>
      </c>
      <c r="B2253" s="111">
        <v>3</v>
      </c>
      <c r="C2253" s="115">
        <v>0.0032399208238448524</v>
      </c>
      <c r="D2253" s="111" t="s">
        <v>823</v>
      </c>
      <c r="E2253" s="111" t="b">
        <v>0</v>
      </c>
      <c r="F2253" s="111" t="b">
        <v>0</v>
      </c>
      <c r="G2253" s="111" t="b">
        <v>0</v>
      </c>
    </row>
    <row r="2254" spans="1:7" ht="15">
      <c r="A2254" s="113" t="s">
        <v>1142</v>
      </c>
      <c r="B2254" s="111">
        <v>2</v>
      </c>
      <c r="C2254" s="115">
        <v>0.002159947215896568</v>
      </c>
      <c r="D2254" s="111" t="s">
        <v>823</v>
      </c>
      <c r="E2254" s="111" t="b">
        <v>0</v>
      </c>
      <c r="F2254" s="111" t="b">
        <v>0</v>
      </c>
      <c r="G2254" s="111" t="b">
        <v>0</v>
      </c>
    </row>
    <row r="2255" spans="1:7" ht="15">
      <c r="A2255" s="113" t="s">
        <v>1177</v>
      </c>
      <c r="B2255" s="111">
        <v>2</v>
      </c>
      <c r="C2255" s="115">
        <v>0.0016070913928222224</v>
      </c>
      <c r="D2255" s="111" t="s">
        <v>823</v>
      </c>
      <c r="E2255" s="111" t="b">
        <v>0</v>
      </c>
      <c r="F2255" s="111" t="b">
        <v>1</v>
      </c>
      <c r="G2255" s="111" t="b">
        <v>0</v>
      </c>
    </row>
    <row r="2256" spans="1:7" ht="15">
      <c r="A2256" s="113" t="s">
        <v>949</v>
      </c>
      <c r="B2256" s="111">
        <v>2</v>
      </c>
      <c r="C2256" s="115">
        <v>0.0016070913928222224</v>
      </c>
      <c r="D2256" s="111" t="s">
        <v>823</v>
      </c>
      <c r="E2256" s="111" t="b">
        <v>0</v>
      </c>
      <c r="F2256" s="111" t="b">
        <v>0</v>
      </c>
      <c r="G2256" s="111" t="b">
        <v>0</v>
      </c>
    </row>
    <row r="2257" spans="1:7" ht="15">
      <c r="A2257" s="113" t="s">
        <v>1724</v>
      </c>
      <c r="B2257" s="111">
        <v>2</v>
      </c>
      <c r="C2257" s="115">
        <v>0.002159947215896568</v>
      </c>
      <c r="D2257" s="111" t="s">
        <v>823</v>
      </c>
      <c r="E2257" s="111" t="b">
        <v>0</v>
      </c>
      <c r="F2257" s="111" t="b">
        <v>0</v>
      </c>
      <c r="G2257" s="111" t="b">
        <v>0</v>
      </c>
    </row>
    <row r="2258" spans="1:7" ht="15">
      <c r="A2258" s="113" t="s">
        <v>1725</v>
      </c>
      <c r="B2258" s="111">
        <v>2</v>
      </c>
      <c r="C2258" s="115">
        <v>0.002159947215896568</v>
      </c>
      <c r="D2258" s="111" t="s">
        <v>823</v>
      </c>
      <c r="E2258" s="111" t="b">
        <v>0</v>
      </c>
      <c r="F2258" s="111" t="b">
        <v>0</v>
      </c>
      <c r="G2258" s="111" t="b">
        <v>0</v>
      </c>
    </row>
    <row r="2259" spans="1:7" ht="15">
      <c r="A2259" s="113" t="s">
        <v>1394</v>
      </c>
      <c r="B2259" s="111">
        <v>2</v>
      </c>
      <c r="C2259" s="115">
        <v>0.0016070913928222224</v>
      </c>
      <c r="D2259" s="111" t="s">
        <v>823</v>
      </c>
      <c r="E2259" s="111" t="b">
        <v>0</v>
      </c>
      <c r="F2259" s="111" t="b">
        <v>0</v>
      </c>
      <c r="G2259" s="111" t="b">
        <v>0</v>
      </c>
    </row>
    <row r="2260" spans="1:7" ht="15">
      <c r="A2260" s="113" t="s">
        <v>1726</v>
      </c>
      <c r="B2260" s="111">
        <v>2</v>
      </c>
      <c r="C2260" s="115">
        <v>0.0016070913928222224</v>
      </c>
      <c r="D2260" s="111" t="s">
        <v>823</v>
      </c>
      <c r="E2260" s="111" t="b">
        <v>0</v>
      </c>
      <c r="F2260" s="111" t="b">
        <v>0</v>
      </c>
      <c r="G2260" s="111" t="b">
        <v>0</v>
      </c>
    </row>
    <row r="2261" spans="1:7" ht="15">
      <c r="A2261" s="113" t="s">
        <v>1102</v>
      </c>
      <c r="B2261" s="111">
        <v>2</v>
      </c>
      <c r="C2261" s="115">
        <v>0.0016070913928222224</v>
      </c>
      <c r="D2261" s="111" t="s">
        <v>823</v>
      </c>
      <c r="E2261" s="111" t="b">
        <v>0</v>
      </c>
      <c r="F2261" s="111" t="b">
        <v>0</v>
      </c>
      <c r="G2261" s="111" t="b">
        <v>0</v>
      </c>
    </row>
    <row r="2262" spans="1:7" ht="15">
      <c r="A2262" s="113" t="s">
        <v>966</v>
      </c>
      <c r="B2262" s="111">
        <v>2</v>
      </c>
      <c r="C2262" s="115">
        <v>0.0016070913928222224</v>
      </c>
      <c r="D2262" s="111" t="s">
        <v>823</v>
      </c>
      <c r="E2262" s="111" t="b">
        <v>0</v>
      </c>
      <c r="F2262" s="111" t="b">
        <v>0</v>
      </c>
      <c r="G2262" s="111" t="b">
        <v>0</v>
      </c>
    </row>
    <row r="2263" spans="1:7" ht="15">
      <c r="A2263" s="113" t="s">
        <v>1344</v>
      </c>
      <c r="B2263" s="111">
        <v>2</v>
      </c>
      <c r="C2263" s="115">
        <v>0.0016070913928222224</v>
      </c>
      <c r="D2263" s="111" t="s">
        <v>823</v>
      </c>
      <c r="E2263" s="111" t="b">
        <v>0</v>
      </c>
      <c r="F2263" s="111" t="b">
        <v>0</v>
      </c>
      <c r="G2263" s="111" t="b">
        <v>0</v>
      </c>
    </row>
    <row r="2264" spans="1:7" ht="15">
      <c r="A2264" s="113" t="s">
        <v>962</v>
      </c>
      <c r="B2264" s="111">
        <v>2</v>
      </c>
      <c r="C2264" s="115">
        <v>0.0016070913928222224</v>
      </c>
      <c r="D2264" s="111" t="s">
        <v>823</v>
      </c>
      <c r="E2264" s="111" t="b">
        <v>0</v>
      </c>
      <c r="F2264" s="111" t="b">
        <v>0</v>
      </c>
      <c r="G2264" s="111" t="b">
        <v>0</v>
      </c>
    </row>
    <row r="2265" spans="1:7" ht="15">
      <c r="A2265" s="113" t="s">
        <v>1395</v>
      </c>
      <c r="B2265" s="111">
        <v>2</v>
      </c>
      <c r="C2265" s="115">
        <v>0.0016070913928222224</v>
      </c>
      <c r="D2265" s="111" t="s">
        <v>823</v>
      </c>
      <c r="E2265" s="111" t="b">
        <v>0</v>
      </c>
      <c r="F2265" s="111" t="b">
        <v>0</v>
      </c>
      <c r="G2265" s="111" t="b">
        <v>0</v>
      </c>
    </row>
    <row r="2266" spans="1:7" ht="15">
      <c r="A2266" s="113" t="s">
        <v>1773</v>
      </c>
      <c r="B2266" s="111">
        <v>2</v>
      </c>
      <c r="C2266" s="115">
        <v>0.0016070913928222224</v>
      </c>
      <c r="D2266" s="111" t="s">
        <v>823</v>
      </c>
      <c r="E2266" s="111" t="b">
        <v>0</v>
      </c>
      <c r="F2266" s="111" t="b">
        <v>0</v>
      </c>
      <c r="G2266" s="111" t="b">
        <v>0</v>
      </c>
    </row>
    <row r="2267" spans="1:7" ht="15">
      <c r="A2267" s="113" t="s">
        <v>1402</v>
      </c>
      <c r="B2267" s="111">
        <v>2</v>
      </c>
      <c r="C2267" s="115">
        <v>0.0016070913928222224</v>
      </c>
      <c r="D2267" s="111" t="s">
        <v>823</v>
      </c>
      <c r="E2267" s="111" t="b">
        <v>0</v>
      </c>
      <c r="F2267" s="111" t="b">
        <v>0</v>
      </c>
      <c r="G2267" s="111" t="b">
        <v>0</v>
      </c>
    </row>
    <row r="2268" spans="1:7" ht="15">
      <c r="A2268" s="113" t="s">
        <v>957</v>
      </c>
      <c r="B2268" s="111">
        <v>2</v>
      </c>
      <c r="C2268" s="115">
        <v>0.0016070913928222224</v>
      </c>
      <c r="D2268" s="111" t="s">
        <v>823</v>
      </c>
      <c r="E2268" s="111" t="b">
        <v>0</v>
      </c>
      <c r="F2268" s="111" t="b">
        <v>0</v>
      </c>
      <c r="G2268" s="111" t="b">
        <v>0</v>
      </c>
    </row>
    <row r="2269" spans="1:7" ht="15">
      <c r="A2269" s="113" t="s">
        <v>1820</v>
      </c>
      <c r="B2269" s="111">
        <v>2</v>
      </c>
      <c r="C2269" s="115">
        <v>0.002159947215896568</v>
      </c>
      <c r="D2269" s="111" t="s">
        <v>823</v>
      </c>
      <c r="E2269" s="111" t="b">
        <v>0</v>
      </c>
      <c r="F2269" s="111" t="b">
        <v>0</v>
      </c>
      <c r="G2269" s="111" t="b">
        <v>0</v>
      </c>
    </row>
    <row r="2270" spans="1:7" ht="15">
      <c r="A2270" s="113" t="s">
        <v>1251</v>
      </c>
      <c r="B2270" s="111">
        <v>2</v>
      </c>
      <c r="C2270" s="115">
        <v>0.0016070913928222224</v>
      </c>
      <c r="D2270" s="111" t="s">
        <v>823</v>
      </c>
      <c r="E2270" s="111" t="b">
        <v>1</v>
      </c>
      <c r="F2270" s="111" t="b">
        <v>0</v>
      </c>
      <c r="G2270" s="111" t="b">
        <v>0</v>
      </c>
    </row>
    <row r="2271" spans="1:7" ht="15">
      <c r="A2271" s="113" t="s">
        <v>1733</v>
      </c>
      <c r="B2271" s="111">
        <v>2</v>
      </c>
      <c r="C2271" s="115">
        <v>0.0016070913928222224</v>
      </c>
      <c r="D2271" s="111" t="s">
        <v>823</v>
      </c>
      <c r="E2271" s="111" t="b">
        <v>0</v>
      </c>
      <c r="F2271" s="111" t="b">
        <v>0</v>
      </c>
      <c r="G2271" s="111" t="b">
        <v>0</v>
      </c>
    </row>
    <row r="2272" spans="1:7" ht="15">
      <c r="A2272" s="113" t="s">
        <v>1442</v>
      </c>
      <c r="B2272" s="111">
        <v>2</v>
      </c>
      <c r="C2272" s="115">
        <v>0.002159947215896568</v>
      </c>
      <c r="D2272" s="111" t="s">
        <v>823</v>
      </c>
      <c r="E2272" s="111" t="b">
        <v>0</v>
      </c>
      <c r="F2272" s="111" t="b">
        <v>0</v>
      </c>
      <c r="G2272" s="111" t="b">
        <v>0</v>
      </c>
    </row>
    <row r="2273" spans="1:7" ht="15">
      <c r="A2273" s="113" t="s">
        <v>1253</v>
      </c>
      <c r="B2273" s="111">
        <v>2</v>
      </c>
      <c r="C2273" s="115">
        <v>0.002159947215896568</v>
      </c>
      <c r="D2273" s="111" t="s">
        <v>823</v>
      </c>
      <c r="E2273" s="111" t="b">
        <v>0</v>
      </c>
      <c r="F2273" s="111" t="b">
        <v>0</v>
      </c>
      <c r="G2273" s="111" t="b">
        <v>0</v>
      </c>
    </row>
    <row r="2274" spans="1:7" ht="15">
      <c r="A2274" s="113" t="s">
        <v>1145</v>
      </c>
      <c r="B2274" s="111">
        <v>2</v>
      </c>
      <c r="C2274" s="115">
        <v>0.0016070913928222224</v>
      </c>
      <c r="D2274" s="111" t="s">
        <v>823</v>
      </c>
      <c r="E2274" s="111" t="b">
        <v>0</v>
      </c>
      <c r="F2274" s="111" t="b">
        <v>0</v>
      </c>
      <c r="G2274" s="111" t="b">
        <v>0</v>
      </c>
    </row>
    <row r="2275" spans="1:7" ht="15">
      <c r="A2275" s="113" t="s">
        <v>1754</v>
      </c>
      <c r="B2275" s="111">
        <v>2</v>
      </c>
      <c r="C2275" s="115">
        <v>0.0016070913928222224</v>
      </c>
      <c r="D2275" s="111" t="s">
        <v>823</v>
      </c>
      <c r="E2275" s="111" t="b">
        <v>0</v>
      </c>
      <c r="F2275" s="111" t="b">
        <v>0</v>
      </c>
      <c r="G2275" s="111" t="b">
        <v>0</v>
      </c>
    </row>
    <row r="2276" spans="1:7" ht="15">
      <c r="A2276" s="113" t="s">
        <v>1755</v>
      </c>
      <c r="B2276" s="111">
        <v>2</v>
      </c>
      <c r="C2276" s="115">
        <v>0.0016070913928222224</v>
      </c>
      <c r="D2276" s="111" t="s">
        <v>823</v>
      </c>
      <c r="E2276" s="111" t="b">
        <v>0</v>
      </c>
      <c r="F2276" s="111" t="b">
        <v>0</v>
      </c>
      <c r="G2276" s="111" t="b">
        <v>0</v>
      </c>
    </row>
    <row r="2277" spans="1:7" ht="15">
      <c r="A2277" s="113" t="s">
        <v>1756</v>
      </c>
      <c r="B2277" s="111">
        <v>2</v>
      </c>
      <c r="C2277" s="115">
        <v>0.0016070913928222224</v>
      </c>
      <c r="D2277" s="111" t="s">
        <v>823</v>
      </c>
      <c r="E2277" s="111" t="b">
        <v>0</v>
      </c>
      <c r="F2277" s="111" t="b">
        <v>0</v>
      </c>
      <c r="G2277" s="111" t="b">
        <v>0</v>
      </c>
    </row>
    <row r="2278" spans="1:7" ht="15">
      <c r="A2278" s="113" t="s">
        <v>935</v>
      </c>
      <c r="B2278" s="111">
        <v>2</v>
      </c>
      <c r="C2278" s="115">
        <v>0.0016070913928222224</v>
      </c>
      <c r="D2278" s="111" t="s">
        <v>823</v>
      </c>
      <c r="E2278" s="111" t="b">
        <v>0</v>
      </c>
      <c r="F2278" s="111" t="b">
        <v>0</v>
      </c>
      <c r="G2278" s="111" t="b">
        <v>0</v>
      </c>
    </row>
    <row r="2279" spans="1:7" ht="15">
      <c r="A2279" s="113" t="s">
        <v>1296</v>
      </c>
      <c r="B2279" s="111">
        <v>2</v>
      </c>
      <c r="C2279" s="115">
        <v>0.0016070913928222224</v>
      </c>
      <c r="D2279" s="111" t="s">
        <v>823</v>
      </c>
      <c r="E2279" s="111" t="b">
        <v>0</v>
      </c>
      <c r="F2279" s="111" t="b">
        <v>0</v>
      </c>
      <c r="G2279" s="111" t="b">
        <v>0</v>
      </c>
    </row>
    <row r="2280" spans="1:7" ht="15">
      <c r="A2280" s="113" t="s">
        <v>1617</v>
      </c>
      <c r="B2280" s="111">
        <v>2</v>
      </c>
      <c r="C2280" s="115">
        <v>0.0016070913928222224</v>
      </c>
      <c r="D2280" s="111" t="s">
        <v>823</v>
      </c>
      <c r="E2280" s="111" t="b">
        <v>0</v>
      </c>
      <c r="F2280" s="111" t="b">
        <v>1</v>
      </c>
      <c r="G2280" s="111" t="b">
        <v>0</v>
      </c>
    </row>
    <row r="2281" spans="1:7" ht="15">
      <c r="A2281" s="113" t="s">
        <v>851</v>
      </c>
      <c r="B2281" s="111">
        <v>2</v>
      </c>
      <c r="C2281" s="115">
        <v>0.0016070913928222224</v>
      </c>
      <c r="D2281" s="111" t="s">
        <v>823</v>
      </c>
      <c r="E2281" s="111" t="b">
        <v>0</v>
      </c>
      <c r="F2281" s="111" t="b">
        <v>0</v>
      </c>
      <c r="G2281" s="111" t="b">
        <v>0</v>
      </c>
    </row>
    <row r="2282" spans="1:7" ht="15">
      <c r="A2282" s="113" t="s">
        <v>1746</v>
      </c>
      <c r="B2282" s="111">
        <v>2</v>
      </c>
      <c r="C2282" s="115">
        <v>0.0016070913928222224</v>
      </c>
      <c r="D2282" s="111" t="s">
        <v>823</v>
      </c>
      <c r="E2282" s="111" t="b">
        <v>0</v>
      </c>
      <c r="F2282" s="111" t="b">
        <v>0</v>
      </c>
      <c r="G2282" s="111" t="b">
        <v>0</v>
      </c>
    </row>
    <row r="2283" spans="1:7" ht="15">
      <c r="A2283" s="113" t="s">
        <v>1817</v>
      </c>
      <c r="B2283" s="111">
        <v>2</v>
      </c>
      <c r="C2283" s="115">
        <v>0.002159947215896568</v>
      </c>
      <c r="D2283" s="111" t="s">
        <v>823</v>
      </c>
      <c r="E2283" s="111" t="b">
        <v>0</v>
      </c>
      <c r="F2283" s="111" t="b">
        <v>0</v>
      </c>
      <c r="G2283" s="111" t="b">
        <v>0</v>
      </c>
    </row>
    <row r="2284" spans="1:7" ht="15">
      <c r="A2284" s="113" t="s">
        <v>1439</v>
      </c>
      <c r="B2284" s="111">
        <v>2</v>
      </c>
      <c r="C2284" s="115">
        <v>0.002159947215896568</v>
      </c>
      <c r="D2284" s="111" t="s">
        <v>823</v>
      </c>
      <c r="E2284" s="111" t="b">
        <v>0</v>
      </c>
      <c r="F2284" s="111" t="b">
        <v>0</v>
      </c>
      <c r="G2284" s="111" t="b">
        <v>0</v>
      </c>
    </row>
    <row r="2285" spans="1:7" ht="15">
      <c r="A2285" s="113" t="s">
        <v>999</v>
      </c>
      <c r="B2285" s="111">
        <v>2</v>
      </c>
      <c r="C2285" s="115">
        <v>0.0016070913928222224</v>
      </c>
      <c r="D2285" s="111" t="s">
        <v>823</v>
      </c>
      <c r="E2285" s="111" t="b">
        <v>0</v>
      </c>
      <c r="F2285" s="111" t="b">
        <v>0</v>
      </c>
      <c r="G2285" s="111" t="b">
        <v>0</v>
      </c>
    </row>
    <row r="2286" spans="1:7" ht="15">
      <c r="A2286" s="113" t="s">
        <v>1136</v>
      </c>
      <c r="B2286" s="111">
        <v>2</v>
      </c>
      <c r="C2286" s="115">
        <v>0.0016070913928222224</v>
      </c>
      <c r="D2286" s="111" t="s">
        <v>823</v>
      </c>
      <c r="E2286" s="111" t="b">
        <v>0</v>
      </c>
      <c r="F2286" s="111" t="b">
        <v>0</v>
      </c>
      <c r="G2286" s="111" t="b">
        <v>0</v>
      </c>
    </row>
    <row r="2287" spans="1:7" ht="15">
      <c r="A2287" s="113" t="s">
        <v>1105</v>
      </c>
      <c r="B2287" s="111">
        <v>2</v>
      </c>
      <c r="C2287" s="115">
        <v>0.0016070913928222224</v>
      </c>
      <c r="D2287" s="111" t="s">
        <v>823</v>
      </c>
      <c r="E2287" s="111" t="b">
        <v>0</v>
      </c>
      <c r="F2287" s="111" t="b">
        <v>0</v>
      </c>
      <c r="G2287" s="111" t="b">
        <v>0</v>
      </c>
    </row>
    <row r="2288" spans="1:7" ht="15">
      <c r="A2288" s="113" t="s">
        <v>1004</v>
      </c>
      <c r="B2288" s="111">
        <v>2</v>
      </c>
      <c r="C2288" s="115">
        <v>0.0016070913928222224</v>
      </c>
      <c r="D2288" s="111" t="s">
        <v>823</v>
      </c>
      <c r="E2288" s="111" t="b">
        <v>0</v>
      </c>
      <c r="F2288" s="111" t="b">
        <v>0</v>
      </c>
      <c r="G2288" s="111" t="b">
        <v>0</v>
      </c>
    </row>
    <row r="2289" spans="1:7" ht="15">
      <c r="A2289" s="113" t="s">
        <v>1355</v>
      </c>
      <c r="B2289" s="111">
        <v>2</v>
      </c>
      <c r="C2289" s="115">
        <v>0.0016070913928222224</v>
      </c>
      <c r="D2289" s="111" t="s">
        <v>823</v>
      </c>
      <c r="E2289" s="111" t="b">
        <v>0</v>
      </c>
      <c r="F2289" s="111" t="b">
        <v>0</v>
      </c>
      <c r="G2289" s="111" t="b">
        <v>0</v>
      </c>
    </row>
    <row r="2290" spans="1:7" ht="15">
      <c r="A2290" s="113" t="s">
        <v>950</v>
      </c>
      <c r="B2290" s="111">
        <v>2</v>
      </c>
      <c r="C2290" s="115">
        <v>0.0016070913928222224</v>
      </c>
      <c r="D2290" s="111" t="s">
        <v>823</v>
      </c>
      <c r="E2290" s="111" t="b">
        <v>0</v>
      </c>
      <c r="F2290" s="111" t="b">
        <v>0</v>
      </c>
      <c r="G2290" s="111" t="b">
        <v>0</v>
      </c>
    </row>
    <row r="2291" spans="1:7" ht="15">
      <c r="A2291" s="113" t="s">
        <v>1089</v>
      </c>
      <c r="B2291" s="111">
        <v>2</v>
      </c>
      <c r="C2291" s="115">
        <v>0.002159947215896568</v>
      </c>
      <c r="D2291" s="111" t="s">
        <v>823</v>
      </c>
      <c r="E2291" s="111" t="b">
        <v>0</v>
      </c>
      <c r="F2291" s="111" t="b">
        <v>0</v>
      </c>
      <c r="G2291" s="111" t="b">
        <v>0</v>
      </c>
    </row>
    <row r="2292" spans="1:7" ht="15">
      <c r="A2292" s="113" t="s">
        <v>1792</v>
      </c>
      <c r="B2292" s="111">
        <v>2</v>
      </c>
      <c r="C2292" s="115">
        <v>0.002159947215896568</v>
      </c>
      <c r="D2292" s="111" t="s">
        <v>823</v>
      </c>
      <c r="E2292" s="111" t="b">
        <v>0</v>
      </c>
      <c r="F2292" s="111" t="b">
        <v>0</v>
      </c>
      <c r="G2292" s="111" t="b">
        <v>0</v>
      </c>
    </row>
    <row r="2293" spans="1:7" ht="15">
      <c r="A2293" s="113" t="s">
        <v>1728</v>
      </c>
      <c r="B2293" s="111">
        <v>2</v>
      </c>
      <c r="C2293" s="115">
        <v>0.0016070913928222224</v>
      </c>
      <c r="D2293" s="111" t="s">
        <v>823</v>
      </c>
      <c r="E2293" s="111" t="b">
        <v>0</v>
      </c>
      <c r="F2293" s="111" t="b">
        <v>0</v>
      </c>
      <c r="G2293" s="111" t="b">
        <v>0</v>
      </c>
    </row>
    <row r="2294" spans="1:7" ht="15">
      <c r="A2294" s="113" t="s">
        <v>1794</v>
      </c>
      <c r="B2294" s="111">
        <v>2</v>
      </c>
      <c r="C2294" s="115">
        <v>0.002159947215896568</v>
      </c>
      <c r="D2294" s="111" t="s">
        <v>823</v>
      </c>
      <c r="E2294" s="111" t="b">
        <v>0</v>
      </c>
      <c r="F2294" s="111" t="b">
        <v>0</v>
      </c>
      <c r="G2294" s="111" t="b">
        <v>0</v>
      </c>
    </row>
    <row r="2295" spans="1:7" ht="15">
      <c r="A2295" s="113" t="s">
        <v>853</v>
      </c>
      <c r="B2295" s="111">
        <v>2</v>
      </c>
      <c r="C2295" s="115">
        <v>0.002159947215896568</v>
      </c>
      <c r="D2295" s="111" t="s">
        <v>823</v>
      </c>
      <c r="E2295" s="111" t="b">
        <v>0</v>
      </c>
      <c r="F2295" s="111" t="b">
        <v>0</v>
      </c>
      <c r="G2295" s="111" t="b">
        <v>0</v>
      </c>
    </row>
    <row r="2296" spans="1:7" ht="15">
      <c r="A2296" s="113" t="s">
        <v>947</v>
      </c>
      <c r="B2296" s="111">
        <v>2</v>
      </c>
      <c r="C2296" s="115">
        <v>0.002159947215896568</v>
      </c>
      <c r="D2296" s="111" t="s">
        <v>823</v>
      </c>
      <c r="E2296" s="111" t="b">
        <v>0</v>
      </c>
      <c r="F2296" s="111" t="b">
        <v>0</v>
      </c>
      <c r="G2296" s="111" t="b">
        <v>0</v>
      </c>
    </row>
    <row r="2297" spans="1:7" ht="15">
      <c r="A2297" s="113" t="s">
        <v>1779</v>
      </c>
      <c r="B2297" s="111">
        <v>2</v>
      </c>
      <c r="C2297" s="115">
        <v>0.0016070913928222224</v>
      </c>
      <c r="D2297" s="111" t="s">
        <v>823</v>
      </c>
      <c r="E2297" s="111" t="b">
        <v>0</v>
      </c>
      <c r="F2297" s="111" t="b">
        <v>0</v>
      </c>
      <c r="G2297" s="111" t="b">
        <v>0</v>
      </c>
    </row>
    <row r="2298" spans="1:7" ht="15">
      <c r="A2298" s="113" t="s">
        <v>1795</v>
      </c>
      <c r="B2298" s="111">
        <v>2</v>
      </c>
      <c r="C2298" s="115">
        <v>0.002159947215896568</v>
      </c>
      <c r="D2298" s="111" t="s">
        <v>823</v>
      </c>
      <c r="E2298" s="111" t="b">
        <v>0</v>
      </c>
      <c r="F2298" s="111" t="b">
        <v>0</v>
      </c>
      <c r="G2298" s="111" t="b">
        <v>0</v>
      </c>
    </row>
    <row r="2299" spans="1:7" ht="15">
      <c r="A2299" s="113" t="s">
        <v>1147</v>
      </c>
      <c r="B2299" s="111">
        <v>2</v>
      </c>
      <c r="C2299" s="115">
        <v>0.002159947215896568</v>
      </c>
      <c r="D2299" s="111" t="s">
        <v>823</v>
      </c>
      <c r="E2299" s="111" t="b">
        <v>0</v>
      </c>
      <c r="F2299" s="111" t="b">
        <v>0</v>
      </c>
      <c r="G2299" s="111" t="b">
        <v>0</v>
      </c>
    </row>
    <row r="2300" spans="1:7" ht="15">
      <c r="A2300" s="113" t="s">
        <v>1183</v>
      </c>
      <c r="B2300" s="111">
        <v>2</v>
      </c>
      <c r="C2300" s="115">
        <v>0.0016070913928222224</v>
      </c>
      <c r="D2300" s="111" t="s">
        <v>823</v>
      </c>
      <c r="E2300" s="111" t="b">
        <v>0</v>
      </c>
      <c r="F2300" s="111" t="b">
        <v>0</v>
      </c>
      <c r="G2300" s="111" t="b">
        <v>0</v>
      </c>
    </row>
    <row r="2301" spans="1:7" ht="15">
      <c r="A2301" s="113" t="s">
        <v>1099</v>
      </c>
      <c r="B2301" s="111">
        <v>2</v>
      </c>
      <c r="C2301" s="115">
        <v>0.002159947215896568</v>
      </c>
      <c r="D2301" s="111" t="s">
        <v>823</v>
      </c>
      <c r="E2301" s="111" t="b">
        <v>0</v>
      </c>
      <c r="F2301" s="111" t="b">
        <v>0</v>
      </c>
      <c r="G2301" s="111" t="b">
        <v>0</v>
      </c>
    </row>
    <row r="2302" spans="1:7" ht="15">
      <c r="A2302" s="113" t="s">
        <v>1417</v>
      </c>
      <c r="B2302" s="111">
        <v>2</v>
      </c>
      <c r="C2302" s="115">
        <v>0.002159947215896568</v>
      </c>
      <c r="D2302" s="111" t="s">
        <v>823</v>
      </c>
      <c r="E2302" s="111" t="b">
        <v>0</v>
      </c>
      <c r="F2302" s="111" t="b">
        <v>0</v>
      </c>
      <c r="G2302" s="111" t="b">
        <v>0</v>
      </c>
    </row>
    <row r="2303" spans="1:7" ht="15">
      <c r="A2303" s="113" t="s">
        <v>1706</v>
      </c>
      <c r="B2303" s="111">
        <v>2</v>
      </c>
      <c r="C2303" s="115">
        <v>0.0016070913928222224</v>
      </c>
      <c r="D2303" s="111" t="s">
        <v>823</v>
      </c>
      <c r="E2303" s="111" t="b">
        <v>0</v>
      </c>
      <c r="F2303" s="111" t="b">
        <v>0</v>
      </c>
      <c r="G2303" s="111" t="b">
        <v>0</v>
      </c>
    </row>
    <row r="2304" spans="1:7" ht="15">
      <c r="A2304" s="113" t="s">
        <v>1310</v>
      </c>
      <c r="B2304" s="111">
        <v>2</v>
      </c>
      <c r="C2304" s="115">
        <v>0.002159947215896568</v>
      </c>
      <c r="D2304" s="111" t="s">
        <v>823</v>
      </c>
      <c r="E2304" s="111" t="b">
        <v>1</v>
      </c>
      <c r="F2304" s="111" t="b">
        <v>0</v>
      </c>
      <c r="G2304" s="111" t="b">
        <v>0</v>
      </c>
    </row>
    <row r="2305" spans="1:7" ht="15">
      <c r="A2305" s="113" t="s">
        <v>1139</v>
      </c>
      <c r="B2305" s="111">
        <v>2</v>
      </c>
      <c r="C2305" s="115">
        <v>0.0016070913928222224</v>
      </c>
      <c r="D2305" s="111" t="s">
        <v>823</v>
      </c>
      <c r="E2305" s="111" t="b">
        <v>0</v>
      </c>
      <c r="F2305" s="111" t="b">
        <v>0</v>
      </c>
      <c r="G2305" s="111" t="b">
        <v>0</v>
      </c>
    </row>
    <row r="2306" spans="1:7" ht="15">
      <c r="A2306" s="113" t="s">
        <v>910</v>
      </c>
      <c r="B2306" s="111">
        <v>2</v>
      </c>
      <c r="C2306" s="115">
        <v>0.0016070913928222224</v>
      </c>
      <c r="D2306" s="111" t="s">
        <v>823</v>
      </c>
      <c r="E2306" s="111" t="b">
        <v>1</v>
      </c>
      <c r="F2306" s="111" t="b">
        <v>0</v>
      </c>
      <c r="G2306" s="111" t="b">
        <v>0</v>
      </c>
    </row>
    <row r="2307" spans="1:7" ht="15">
      <c r="A2307" s="113" t="s">
        <v>1414</v>
      </c>
      <c r="B2307" s="111">
        <v>2</v>
      </c>
      <c r="C2307" s="115">
        <v>0.0016070913928222224</v>
      </c>
      <c r="D2307" s="111" t="s">
        <v>823</v>
      </c>
      <c r="E2307" s="111" t="b">
        <v>0</v>
      </c>
      <c r="F2307" s="111" t="b">
        <v>0</v>
      </c>
      <c r="G2307" s="111" t="b">
        <v>0</v>
      </c>
    </row>
    <row r="2308" spans="1:7" ht="15">
      <c r="A2308" s="113" t="s">
        <v>1613</v>
      </c>
      <c r="B2308" s="111">
        <v>2</v>
      </c>
      <c r="C2308" s="115">
        <v>0.0016070913928222224</v>
      </c>
      <c r="D2308" s="111" t="s">
        <v>823</v>
      </c>
      <c r="E2308" s="111" t="b">
        <v>0</v>
      </c>
      <c r="F2308" s="111" t="b">
        <v>0</v>
      </c>
      <c r="G2308" s="111" t="b">
        <v>0</v>
      </c>
    </row>
    <row r="2309" spans="1:7" ht="15">
      <c r="A2309" s="113" t="s">
        <v>1005</v>
      </c>
      <c r="B2309" s="111">
        <v>2</v>
      </c>
      <c r="C2309" s="115">
        <v>0.002159947215896568</v>
      </c>
      <c r="D2309" s="111" t="s">
        <v>823</v>
      </c>
      <c r="E2309" s="111" t="b">
        <v>0</v>
      </c>
      <c r="F2309" s="111" t="b">
        <v>0</v>
      </c>
      <c r="G2309" s="111" t="b">
        <v>0</v>
      </c>
    </row>
    <row r="2310" spans="1:7" ht="15">
      <c r="A2310" s="113" t="s">
        <v>1396</v>
      </c>
      <c r="B2310" s="111">
        <v>2</v>
      </c>
      <c r="C2310" s="115">
        <v>0.0016070913928222224</v>
      </c>
      <c r="D2310" s="111" t="s">
        <v>823</v>
      </c>
      <c r="E2310" s="111" t="b">
        <v>1</v>
      </c>
      <c r="F2310" s="111" t="b">
        <v>0</v>
      </c>
      <c r="G2310" s="111" t="b">
        <v>0</v>
      </c>
    </row>
    <row r="2311" spans="1:7" ht="15">
      <c r="A2311" s="113" t="s">
        <v>1035</v>
      </c>
      <c r="B2311" s="111">
        <v>2</v>
      </c>
      <c r="C2311" s="115">
        <v>0.0016070913928222224</v>
      </c>
      <c r="D2311" s="111" t="s">
        <v>823</v>
      </c>
      <c r="E2311" s="111" t="b">
        <v>0</v>
      </c>
      <c r="F2311" s="111" t="b">
        <v>0</v>
      </c>
      <c r="G2311" s="111" t="b">
        <v>0</v>
      </c>
    </row>
    <row r="2312" spans="1:7" ht="15">
      <c r="A2312" s="113" t="s">
        <v>1240</v>
      </c>
      <c r="B2312" s="111">
        <v>2</v>
      </c>
      <c r="C2312" s="115">
        <v>0.002159947215896568</v>
      </c>
      <c r="D2312" s="111" t="s">
        <v>823</v>
      </c>
      <c r="E2312" s="111" t="b">
        <v>0</v>
      </c>
      <c r="F2312" s="111" t="b">
        <v>0</v>
      </c>
      <c r="G2312" s="111" t="b">
        <v>0</v>
      </c>
    </row>
    <row r="2313" spans="1:7" ht="15">
      <c r="A2313" s="113" t="s">
        <v>1212</v>
      </c>
      <c r="B2313" s="111">
        <v>2</v>
      </c>
      <c r="C2313" s="115">
        <v>0.0016070913928222224</v>
      </c>
      <c r="D2313" s="111" t="s">
        <v>823</v>
      </c>
      <c r="E2313" s="111" t="b">
        <v>0</v>
      </c>
      <c r="F2313" s="111" t="b">
        <v>0</v>
      </c>
      <c r="G2313" s="111" t="b">
        <v>0</v>
      </c>
    </row>
    <row r="2314" spans="1:7" ht="15">
      <c r="A2314" s="113" t="s">
        <v>1112</v>
      </c>
      <c r="B2314" s="111">
        <v>2</v>
      </c>
      <c r="C2314" s="115">
        <v>0.0016070913928222224</v>
      </c>
      <c r="D2314" s="111" t="s">
        <v>823</v>
      </c>
      <c r="E2314" s="111" t="b">
        <v>0</v>
      </c>
      <c r="F2314" s="111" t="b">
        <v>0</v>
      </c>
      <c r="G2314" s="111" t="b">
        <v>0</v>
      </c>
    </row>
    <row r="2315" spans="1:7" ht="15">
      <c r="A2315" s="113" t="s">
        <v>1408</v>
      </c>
      <c r="B2315" s="111">
        <v>2</v>
      </c>
      <c r="C2315" s="115">
        <v>0.002159947215896568</v>
      </c>
      <c r="D2315" s="111" t="s">
        <v>823</v>
      </c>
      <c r="E2315" s="111" t="b">
        <v>0</v>
      </c>
      <c r="F2315" s="111" t="b">
        <v>0</v>
      </c>
      <c r="G2315" s="111" t="b">
        <v>0</v>
      </c>
    </row>
    <row r="2316" spans="1:7" ht="15">
      <c r="A2316" s="113" t="s">
        <v>1775</v>
      </c>
      <c r="B2316" s="111">
        <v>2</v>
      </c>
      <c r="C2316" s="115">
        <v>0.002159947215896568</v>
      </c>
      <c r="D2316" s="111" t="s">
        <v>823</v>
      </c>
      <c r="E2316" s="111" t="b">
        <v>0</v>
      </c>
      <c r="F2316" s="111" t="b">
        <v>0</v>
      </c>
      <c r="G2316" s="111" t="b">
        <v>0</v>
      </c>
    </row>
    <row r="2317" spans="1:7" ht="15">
      <c r="A2317" s="113" t="s">
        <v>1763</v>
      </c>
      <c r="B2317" s="111">
        <v>2</v>
      </c>
      <c r="C2317" s="115">
        <v>0.0016070913928222224</v>
      </c>
      <c r="D2317" s="111" t="s">
        <v>823</v>
      </c>
      <c r="E2317" s="111" t="b">
        <v>0</v>
      </c>
      <c r="F2317" s="111" t="b">
        <v>0</v>
      </c>
      <c r="G2317" s="111" t="b">
        <v>0</v>
      </c>
    </row>
    <row r="2318" spans="1:7" ht="15">
      <c r="A2318" s="113" t="s">
        <v>1777</v>
      </c>
      <c r="B2318" s="111">
        <v>2</v>
      </c>
      <c r="C2318" s="115">
        <v>0.002159947215896568</v>
      </c>
      <c r="D2318" s="111" t="s">
        <v>823</v>
      </c>
      <c r="E2318" s="111" t="b">
        <v>0</v>
      </c>
      <c r="F2318" s="111" t="b">
        <v>0</v>
      </c>
      <c r="G2318" s="111" t="b">
        <v>0</v>
      </c>
    </row>
    <row r="2319" spans="1:7" ht="15">
      <c r="A2319" s="113" t="s">
        <v>1740</v>
      </c>
      <c r="B2319" s="111">
        <v>2</v>
      </c>
      <c r="C2319" s="115">
        <v>0.0016070913928222224</v>
      </c>
      <c r="D2319" s="111" t="s">
        <v>823</v>
      </c>
      <c r="E2319" s="111" t="b">
        <v>0</v>
      </c>
      <c r="F2319" s="111" t="b">
        <v>0</v>
      </c>
      <c r="G2319" s="111" t="b">
        <v>0</v>
      </c>
    </row>
    <row r="2320" spans="1:7" ht="15">
      <c r="A2320" s="113" t="s">
        <v>1780</v>
      </c>
      <c r="B2320" s="111">
        <v>2</v>
      </c>
      <c r="C2320" s="115">
        <v>0.002159947215896568</v>
      </c>
      <c r="D2320" s="111" t="s">
        <v>823</v>
      </c>
      <c r="E2320" s="111" t="b">
        <v>0</v>
      </c>
      <c r="F2320" s="111" t="b">
        <v>0</v>
      </c>
      <c r="G2320" s="111" t="b">
        <v>0</v>
      </c>
    </row>
    <row r="2321" spans="1:7" ht="15">
      <c r="A2321" s="113" t="s">
        <v>1781</v>
      </c>
      <c r="B2321" s="111">
        <v>2</v>
      </c>
      <c r="C2321" s="115">
        <v>0.002159947215896568</v>
      </c>
      <c r="D2321" s="111" t="s">
        <v>823</v>
      </c>
      <c r="E2321" s="111" t="b">
        <v>0</v>
      </c>
      <c r="F2321" s="111" t="b">
        <v>0</v>
      </c>
      <c r="G2321" s="111" t="b">
        <v>0</v>
      </c>
    </row>
    <row r="2322" spans="1:7" ht="15">
      <c r="A2322" s="113" t="s">
        <v>954</v>
      </c>
      <c r="B2322" s="111">
        <v>2</v>
      </c>
      <c r="C2322" s="115">
        <v>0.002159947215896568</v>
      </c>
      <c r="D2322" s="111" t="s">
        <v>823</v>
      </c>
      <c r="E2322" s="111" t="b">
        <v>0</v>
      </c>
      <c r="F2322" s="111" t="b">
        <v>0</v>
      </c>
      <c r="G2322" s="111" t="b">
        <v>0</v>
      </c>
    </row>
    <row r="2323" spans="1:7" ht="15">
      <c r="A2323" s="113" t="s">
        <v>1783</v>
      </c>
      <c r="B2323" s="111">
        <v>2</v>
      </c>
      <c r="C2323" s="115">
        <v>0.002159947215896568</v>
      </c>
      <c r="D2323" s="111" t="s">
        <v>823</v>
      </c>
      <c r="E2323" s="111" t="b">
        <v>0</v>
      </c>
      <c r="F2323" s="111" t="b">
        <v>0</v>
      </c>
      <c r="G2323" s="111" t="b">
        <v>0</v>
      </c>
    </row>
    <row r="2324" spans="1:7" ht="15">
      <c r="A2324" s="113" t="s">
        <v>1054</v>
      </c>
      <c r="B2324" s="111">
        <v>2</v>
      </c>
      <c r="C2324" s="115">
        <v>0.0016070913928222224</v>
      </c>
      <c r="D2324" s="111" t="s">
        <v>823</v>
      </c>
      <c r="E2324" s="111" t="b">
        <v>0</v>
      </c>
      <c r="F2324" s="111" t="b">
        <v>0</v>
      </c>
      <c r="G2324" s="111" t="b">
        <v>0</v>
      </c>
    </row>
    <row r="2325" spans="1:7" ht="15">
      <c r="A2325" s="113" t="s">
        <v>1785</v>
      </c>
      <c r="B2325" s="111">
        <v>2</v>
      </c>
      <c r="C2325" s="115">
        <v>0.002159947215896568</v>
      </c>
      <c r="D2325" s="111" t="s">
        <v>823</v>
      </c>
      <c r="E2325" s="111" t="b">
        <v>0</v>
      </c>
      <c r="F2325" s="111" t="b">
        <v>0</v>
      </c>
      <c r="G2325" s="111" t="b">
        <v>0</v>
      </c>
    </row>
    <row r="2326" spans="1:7" ht="15">
      <c r="A2326" s="113" t="s">
        <v>1168</v>
      </c>
      <c r="B2326" s="111">
        <v>2</v>
      </c>
      <c r="C2326" s="115">
        <v>0.002159947215896568</v>
      </c>
      <c r="D2326" s="111" t="s">
        <v>823</v>
      </c>
      <c r="E2326" s="111" t="b">
        <v>1</v>
      </c>
      <c r="F2326" s="111" t="b">
        <v>0</v>
      </c>
      <c r="G2326" s="111" t="b">
        <v>0</v>
      </c>
    </row>
    <row r="2327" spans="1:7" ht="15">
      <c r="A2327" s="113" t="s">
        <v>1176</v>
      </c>
      <c r="B2327" s="111">
        <v>2</v>
      </c>
      <c r="C2327" s="115">
        <v>0.002159947215896568</v>
      </c>
      <c r="D2327" s="111" t="s">
        <v>823</v>
      </c>
      <c r="E2327" s="111" t="b">
        <v>0</v>
      </c>
      <c r="F2327" s="111" t="b">
        <v>0</v>
      </c>
      <c r="G2327" s="111" t="b">
        <v>0</v>
      </c>
    </row>
    <row r="2328" spans="1:7" ht="15">
      <c r="A2328" s="113" t="s">
        <v>1215</v>
      </c>
      <c r="B2328" s="111">
        <v>2</v>
      </c>
      <c r="C2328" s="115">
        <v>0.0016070913928222224</v>
      </c>
      <c r="D2328" s="111" t="s">
        <v>823</v>
      </c>
      <c r="E2328" s="111" t="b">
        <v>0</v>
      </c>
      <c r="F2328" s="111" t="b">
        <v>1</v>
      </c>
      <c r="G2328" s="111" t="b">
        <v>0</v>
      </c>
    </row>
    <row r="2329" spans="1:7" ht="15">
      <c r="A2329" s="113" t="s">
        <v>1788</v>
      </c>
      <c r="B2329" s="111">
        <v>2</v>
      </c>
      <c r="C2329" s="115">
        <v>0.002159947215896568</v>
      </c>
      <c r="D2329" s="111" t="s">
        <v>823</v>
      </c>
      <c r="E2329" s="111" t="b">
        <v>0</v>
      </c>
      <c r="F2329" s="111" t="b">
        <v>0</v>
      </c>
      <c r="G2329" s="111" t="b">
        <v>0</v>
      </c>
    </row>
    <row r="2330" spans="1:7" ht="15">
      <c r="A2330" s="113" t="s">
        <v>1413</v>
      </c>
      <c r="B2330" s="111">
        <v>2</v>
      </c>
      <c r="C2330" s="115">
        <v>0.002159947215896568</v>
      </c>
      <c r="D2330" s="111" t="s">
        <v>823</v>
      </c>
      <c r="E2330" s="111" t="b">
        <v>0</v>
      </c>
      <c r="F2330" s="111" t="b">
        <v>0</v>
      </c>
      <c r="G2330" s="111" t="b">
        <v>0</v>
      </c>
    </row>
    <row r="2331" spans="1:7" ht="15">
      <c r="A2331" s="113" t="s">
        <v>1744</v>
      </c>
      <c r="B2331" s="111">
        <v>2</v>
      </c>
      <c r="C2331" s="115">
        <v>0.0016070913928222224</v>
      </c>
      <c r="D2331" s="111" t="s">
        <v>823</v>
      </c>
      <c r="E2331" s="111" t="b">
        <v>0</v>
      </c>
      <c r="F2331" s="111" t="b">
        <v>0</v>
      </c>
      <c r="G2331" s="111" t="b">
        <v>0</v>
      </c>
    </row>
    <row r="2332" spans="1:7" ht="15">
      <c r="A2332" s="113" t="s">
        <v>1790</v>
      </c>
      <c r="B2332" s="111">
        <v>2</v>
      </c>
      <c r="C2332" s="115">
        <v>0.002159947215896568</v>
      </c>
      <c r="D2332" s="111" t="s">
        <v>823</v>
      </c>
      <c r="E2332" s="111" t="b">
        <v>0</v>
      </c>
      <c r="F2332" s="111" t="b">
        <v>0</v>
      </c>
      <c r="G2332" s="111" t="b">
        <v>0</v>
      </c>
    </row>
    <row r="2333" spans="1:7" ht="15">
      <c r="A2333" s="113" t="s">
        <v>1325</v>
      </c>
      <c r="B2333" s="111">
        <v>2</v>
      </c>
      <c r="C2333" s="115">
        <v>0.0016070913928222224</v>
      </c>
      <c r="D2333" s="111" t="s">
        <v>823</v>
      </c>
      <c r="E2333" s="111" t="b">
        <v>0</v>
      </c>
      <c r="F2333" s="111" t="b">
        <v>0</v>
      </c>
      <c r="G2333" s="111" t="b">
        <v>0</v>
      </c>
    </row>
    <row r="2334" spans="1:7" ht="15">
      <c r="A2334" s="113" t="s">
        <v>1764</v>
      </c>
      <c r="B2334" s="111">
        <v>2</v>
      </c>
      <c r="C2334" s="115">
        <v>0.002159947215896568</v>
      </c>
      <c r="D2334" s="111" t="s">
        <v>823</v>
      </c>
      <c r="E2334" s="111" t="b">
        <v>0</v>
      </c>
      <c r="F2334" s="111" t="b">
        <v>0</v>
      </c>
      <c r="G2334" s="111" t="b">
        <v>0</v>
      </c>
    </row>
    <row r="2335" spans="1:7" ht="15">
      <c r="A2335" s="113" t="s">
        <v>1765</v>
      </c>
      <c r="B2335" s="111">
        <v>2</v>
      </c>
      <c r="C2335" s="115">
        <v>0.002159947215896568</v>
      </c>
      <c r="D2335" s="111" t="s">
        <v>823</v>
      </c>
      <c r="E2335" s="111" t="b">
        <v>0</v>
      </c>
      <c r="F2335" s="111" t="b">
        <v>0</v>
      </c>
      <c r="G2335" s="111" t="b">
        <v>0</v>
      </c>
    </row>
    <row r="2336" spans="1:7" ht="15">
      <c r="A2336" s="113" t="s">
        <v>1006</v>
      </c>
      <c r="B2336" s="111">
        <v>2</v>
      </c>
      <c r="C2336" s="115">
        <v>0.002159947215896568</v>
      </c>
      <c r="D2336" s="111" t="s">
        <v>823</v>
      </c>
      <c r="E2336" s="111" t="b">
        <v>0</v>
      </c>
      <c r="F2336" s="111" t="b">
        <v>0</v>
      </c>
      <c r="G2336" s="111" t="b">
        <v>0</v>
      </c>
    </row>
    <row r="2337" spans="1:7" ht="15">
      <c r="A2337" s="113" t="s">
        <v>1026</v>
      </c>
      <c r="B2337" s="111">
        <v>2</v>
      </c>
      <c r="C2337" s="115">
        <v>0.0016070913928222224</v>
      </c>
      <c r="D2337" s="111" t="s">
        <v>823</v>
      </c>
      <c r="E2337" s="111" t="b">
        <v>0</v>
      </c>
      <c r="F2337" s="111" t="b">
        <v>0</v>
      </c>
      <c r="G2337" s="111" t="b">
        <v>0</v>
      </c>
    </row>
    <row r="2338" spans="1:7" ht="15">
      <c r="A2338" s="113" t="s">
        <v>1040</v>
      </c>
      <c r="B2338" s="111">
        <v>2</v>
      </c>
      <c r="C2338" s="115">
        <v>0.002159947215896568</v>
      </c>
      <c r="D2338" s="111" t="s">
        <v>823</v>
      </c>
      <c r="E2338" s="111" t="b">
        <v>0</v>
      </c>
      <c r="F2338" s="111" t="b">
        <v>0</v>
      </c>
      <c r="G2338" s="111" t="b">
        <v>0</v>
      </c>
    </row>
    <row r="2339" spans="1:7" ht="15">
      <c r="A2339" s="113" t="s">
        <v>1766</v>
      </c>
      <c r="B2339" s="111">
        <v>2</v>
      </c>
      <c r="C2339" s="115">
        <v>0.002159947215896568</v>
      </c>
      <c r="D2339" s="111" t="s">
        <v>823</v>
      </c>
      <c r="E2339" s="111" t="b">
        <v>0</v>
      </c>
      <c r="F2339" s="111" t="b">
        <v>0</v>
      </c>
      <c r="G2339" s="111" t="b">
        <v>0</v>
      </c>
    </row>
    <row r="2340" spans="1:7" ht="15">
      <c r="A2340" s="113" t="s">
        <v>1771</v>
      </c>
      <c r="B2340" s="111">
        <v>2</v>
      </c>
      <c r="C2340" s="115">
        <v>0.002159947215896568</v>
      </c>
      <c r="D2340" s="111" t="s">
        <v>823</v>
      </c>
      <c r="E2340" s="111" t="b">
        <v>0</v>
      </c>
      <c r="F2340" s="111" t="b">
        <v>0</v>
      </c>
      <c r="G2340" s="111" t="b">
        <v>0</v>
      </c>
    </row>
    <row r="2341" spans="1:7" ht="15">
      <c r="A2341" s="113" t="s">
        <v>1052</v>
      </c>
      <c r="B2341" s="111">
        <v>2</v>
      </c>
      <c r="C2341" s="115">
        <v>0.0016070913928222224</v>
      </c>
      <c r="D2341" s="111" t="s">
        <v>823</v>
      </c>
      <c r="E2341" s="111" t="b">
        <v>1</v>
      </c>
      <c r="F2341" s="111" t="b">
        <v>0</v>
      </c>
      <c r="G2341" s="111" t="b">
        <v>0</v>
      </c>
    </row>
    <row r="2342" spans="1:7" ht="15">
      <c r="A2342" s="113" t="s">
        <v>1114</v>
      </c>
      <c r="B2342" s="111">
        <v>2</v>
      </c>
      <c r="C2342" s="115">
        <v>0.0016070913928222224</v>
      </c>
      <c r="D2342" s="111" t="s">
        <v>823</v>
      </c>
      <c r="E2342" s="111" t="b">
        <v>1</v>
      </c>
      <c r="F2342" s="111" t="b">
        <v>0</v>
      </c>
      <c r="G2342" s="111" t="b">
        <v>0</v>
      </c>
    </row>
    <row r="2343" spans="1:7" ht="15">
      <c r="A2343" s="113" t="s">
        <v>1758</v>
      </c>
      <c r="B2343" s="111">
        <v>2</v>
      </c>
      <c r="C2343" s="115">
        <v>0.002159947215896568</v>
      </c>
      <c r="D2343" s="111" t="s">
        <v>823</v>
      </c>
      <c r="E2343" s="111" t="b">
        <v>0</v>
      </c>
      <c r="F2343" s="111" t="b">
        <v>0</v>
      </c>
      <c r="G2343" s="111" t="b">
        <v>0</v>
      </c>
    </row>
    <row r="2344" spans="1:7" ht="15">
      <c r="A2344" s="113" t="s">
        <v>1759</v>
      </c>
      <c r="B2344" s="111">
        <v>2</v>
      </c>
      <c r="C2344" s="115">
        <v>0.002159947215896568</v>
      </c>
      <c r="D2344" s="111" t="s">
        <v>823</v>
      </c>
      <c r="E2344" s="111" t="b">
        <v>0</v>
      </c>
      <c r="F2344" s="111" t="b">
        <v>0</v>
      </c>
      <c r="G2344" s="111" t="b">
        <v>0</v>
      </c>
    </row>
    <row r="2345" spans="1:7" ht="15">
      <c r="A2345" s="113" t="s">
        <v>1760</v>
      </c>
      <c r="B2345" s="111">
        <v>2</v>
      </c>
      <c r="C2345" s="115">
        <v>0.002159947215896568</v>
      </c>
      <c r="D2345" s="111" t="s">
        <v>823</v>
      </c>
      <c r="E2345" s="111" t="b">
        <v>0</v>
      </c>
      <c r="F2345" s="111" t="b">
        <v>0</v>
      </c>
      <c r="G2345" s="111" t="b">
        <v>0</v>
      </c>
    </row>
    <row r="2346" spans="1:7" ht="15">
      <c r="A2346" s="113" t="s">
        <v>1761</v>
      </c>
      <c r="B2346" s="111">
        <v>2</v>
      </c>
      <c r="C2346" s="115">
        <v>0.002159947215896568</v>
      </c>
      <c r="D2346" s="111" t="s">
        <v>823</v>
      </c>
      <c r="E2346" s="111" t="b">
        <v>0</v>
      </c>
      <c r="F2346" s="111" t="b">
        <v>0</v>
      </c>
      <c r="G2346" s="111" t="b">
        <v>0</v>
      </c>
    </row>
    <row r="2347" spans="1:7" ht="15">
      <c r="A2347" s="113" t="s">
        <v>1762</v>
      </c>
      <c r="B2347" s="111">
        <v>2</v>
      </c>
      <c r="C2347" s="115">
        <v>0.002159947215896568</v>
      </c>
      <c r="D2347" s="111" t="s">
        <v>823</v>
      </c>
      <c r="E2347" s="111" t="b">
        <v>0</v>
      </c>
      <c r="F2347" s="111" t="b">
        <v>0</v>
      </c>
      <c r="G2347" s="111" t="b">
        <v>0</v>
      </c>
    </row>
    <row r="2348" spans="1:7" ht="15">
      <c r="A2348" s="113" t="s">
        <v>1735</v>
      </c>
      <c r="B2348" s="111">
        <v>2</v>
      </c>
      <c r="C2348" s="115">
        <v>0.002159947215896568</v>
      </c>
      <c r="D2348" s="111" t="s">
        <v>823</v>
      </c>
      <c r="E2348" s="111" t="b">
        <v>0</v>
      </c>
      <c r="F2348" s="111" t="b">
        <v>0</v>
      </c>
      <c r="G2348" s="111" t="b">
        <v>0</v>
      </c>
    </row>
    <row r="2349" spans="1:7" ht="15">
      <c r="A2349" s="113" t="s">
        <v>1095</v>
      </c>
      <c r="B2349" s="111">
        <v>2</v>
      </c>
      <c r="C2349" s="115">
        <v>0.0016070913928222224</v>
      </c>
      <c r="D2349" s="111" t="s">
        <v>823</v>
      </c>
      <c r="E2349" s="111" t="b">
        <v>0</v>
      </c>
      <c r="F2349" s="111" t="b">
        <v>1</v>
      </c>
      <c r="G2349" s="111" t="b">
        <v>0</v>
      </c>
    </row>
    <row r="2350" spans="1:7" ht="15">
      <c r="A2350" s="113" t="s">
        <v>1742</v>
      </c>
      <c r="B2350" s="111">
        <v>2</v>
      </c>
      <c r="C2350" s="115">
        <v>0.002159947215896568</v>
      </c>
      <c r="D2350" s="111" t="s">
        <v>823</v>
      </c>
      <c r="E2350" s="111" t="b">
        <v>0</v>
      </c>
      <c r="F2350" s="111" t="b">
        <v>0</v>
      </c>
      <c r="G2350" s="111" t="b">
        <v>0</v>
      </c>
    </row>
    <row r="2351" spans="1:7" ht="15">
      <c r="A2351" s="113" t="s">
        <v>1743</v>
      </c>
      <c r="B2351" s="111">
        <v>2</v>
      </c>
      <c r="C2351" s="115">
        <v>0.002159947215896568</v>
      </c>
      <c r="D2351" s="111" t="s">
        <v>823</v>
      </c>
      <c r="E2351" s="111" t="b">
        <v>0</v>
      </c>
      <c r="F2351" s="111" t="b">
        <v>0</v>
      </c>
      <c r="G2351" s="111" t="b">
        <v>0</v>
      </c>
    </row>
    <row r="2352" spans="1:7" ht="15">
      <c r="A2352" s="113" t="s">
        <v>975</v>
      </c>
      <c r="B2352" s="111">
        <v>2</v>
      </c>
      <c r="C2352" s="115">
        <v>0.002159947215896568</v>
      </c>
      <c r="D2352" s="111" t="s">
        <v>823</v>
      </c>
      <c r="E2352" s="111" t="b">
        <v>0</v>
      </c>
      <c r="F2352" s="111" t="b">
        <v>0</v>
      </c>
      <c r="G2352" s="111" t="b">
        <v>0</v>
      </c>
    </row>
    <row r="2353" spans="1:7" ht="15">
      <c r="A2353" s="113" t="s">
        <v>1056</v>
      </c>
      <c r="B2353" s="111">
        <v>2</v>
      </c>
      <c r="C2353" s="115">
        <v>0.002159947215896568</v>
      </c>
      <c r="D2353" s="111" t="s">
        <v>823</v>
      </c>
      <c r="E2353" s="111" t="b">
        <v>0</v>
      </c>
      <c r="F2353" s="111" t="b">
        <v>0</v>
      </c>
      <c r="G2353" s="111" t="b">
        <v>0</v>
      </c>
    </row>
    <row r="2354" spans="1:7" ht="15">
      <c r="A2354" s="113" t="s">
        <v>1399</v>
      </c>
      <c r="B2354" s="111">
        <v>2</v>
      </c>
      <c r="C2354" s="115">
        <v>0.002159947215896568</v>
      </c>
      <c r="D2354" s="111" t="s">
        <v>823</v>
      </c>
      <c r="E2354" s="111" t="b">
        <v>0</v>
      </c>
      <c r="F2354" s="111" t="b">
        <v>0</v>
      </c>
      <c r="G2354" s="111" t="b">
        <v>0</v>
      </c>
    </row>
    <row r="2355" spans="1:7" ht="15">
      <c r="A2355" s="113" t="s">
        <v>1748</v>
      </c>
      <c r="B2355" s="111">
        <v>2</v>
      </c>
      <c r="C2355" s="115">
        <v>0.002159947215896568</v>
      </c>
      <c r="D2355" s="111" t="s">
        <v>823</v>
      </c>
      <c r="E2355" s="111" t="b">
        <v>0</v>
      </c>
      <c r="F2355" s="111" t="b">
        <v>0</v>
      </c>
      <c r="G2355" s="111" t="b">
        <v>0</v>
      </c>
    </row>
    <row r="2356" spans="1:7" ht="15">
      <c r="A2356" s="113" t="s">
        <v>1113</v>
      </c>
      <c r="B2356" s="111">
        <v>2</v>
      </c>
      <c r="C2356" s="115">
        <v>0.002159947215896568</v>
      </c>
      <c r="D2356" s="111" t="s">
        <v>823</v>
      </c>
      <c r="E2356" s="111" t="b">
        <v>0</v>
      </c>
      <c r="F2356" s="111" t="b">
        <v>0</v>
      </c>
      <c r="G2356" s="111" t="b">
        <v>0</v>
      </c>
    </row>
    <row r="2357" spans="1:7" ht="15">
      <c r="A2357" s="113" t="s">
        <v>1732</v>
      </c>
      <c r="B2357" s="111">
        <v>2</v>
      </c>
      <c r="C2357" s="115">
        <v>0.002159947215896568</v>
      </c>
      <c r="D2357" s="111" t="s">
        <v>823</v>
      </c>
      <c r="E2357" s="111" t="b">
        <v>0</v>
      </c>
      <c r="F2357" s="111" t="b">
        <v>0</v>
      </c>
      <c r="G2357" s="111" t="b">
        <v>0</v>
      </c>
    </row>
    <row r="2358" spans="1:7" ht="15">
      <c r="A2358" s="113" t="s">
        <v>1244</v>
      </c>
      <c r="B2358" s="111">
        <v>2</v>
      </c>
      <c r="C2358" s="115">
        <v>0.002159947215896568</v>
      </c>
      <c r="D2358" s="111" t="s">
        <v>823</v>
      </c>
      <c r="E2358" s="111" t="b">
        <v>0</v>
      </c>
      <c r="F2358" s="111" t="b">
        <v>0</v>
      </c>
      <c r="G2358" s="111" t="b">
        <v>0</v>
      </c>
    </row>
    <row r="2359" spans="1:7" ht="15">
      <c r="A2359" s="113" t="s">
        <v>1362</v>
      </c>
      <c r="B2359" s="111">
        <v>2</v>
      </c>
      <c r="C2359" s="115">
        <v>0.002159947215896568</v>
      </c>
      <c r="D2359" s="111" t="s">
        <v>823</v>
      </c>
      <c r="E2359" s="111" t="b">
        <v>0</v>
      </c>
      <c r="F2359" s="111" t="b">
        <v>0</v>
      </c>
      <c r="G2359" s="111" t="b">
        <v>0</v>
      </c>
    </row>
    <row r="2360" spans="1:7" ht="15">
      <c r="A2360" s="113" t="s">
        <v>1068</v>
      </c>
      <c r="B2360" s="111">
        <v>2</v>
      </c>
      <c r="C2360" s="115">
        <v>0.002159947215896568</v>
      </c>
      <c r="D2360" s="111" t="s">
        <v>823</v>
      </c>
      <c r="E2360" s="111" t="b">
        <v>0</v>
      </c>
      <c r="F2360" s="111" t="b">
        <v>0</v>
      </c>
      <c r="G2360" s="111" t="b">
        <v>0</v>
      </c>
    </row>
    <row r="2361" spans="1:7" ht="15">
      <c r="A2361" s="113" t="s">
        <v>1115</v>
      </c>
      <c r="B2361" s="111">
        <v>2</v>
      </c>
      <c r="C2361" s="115">
        <v>0.0016070913928222224</v>
      </c>
      <c r="D2361" s="111" t="s">
        <v>823</v>
      </c>
      <c r="E2361" s="111" t="b">
        <v>0</v>
      </c>
      <c r="F2361" s="111" t="b">
        <v>0</v>
      </c>
      <c r="G2361" s="111" t="b">
        <v>0</v>
      </c>
    </row>
    <row r="2362" spans="1:7" ht="15">
      <c r="A2362" s="113" t="s">
        <v>1341</v>
      </c>
      <c r="B2362" s="111">
        <v>2</v>
      </c>
      <c r="C2362" s="115">
        <v>0.0016070913928222224</v>
      </c>
      <c r="D2362" s="111" t="s">
        <v>823</v>
      </c>
      <c r="E2362" s="111" t="b">
        <v>0</v>
      </c>
      <c r="F2362" s="111" t="b">
        <v>0</v>
      </c>
      <c r="G2362" s="111" t="b">
        <v>0</v>
      </c>
    </row>
    <row r="2363" spans="1:7" ht="15">
      <c r="A2363" s="113" t="s">
        <v>1611</v>
      </c>
      <c r="B2363" s="111">
        <v>2</v>
      </c>
      <c r="C2363" s="115">
        <v>0.002159947215896568</v>
      </c>
      <c r="D2363" s="111" t="s">
        <v>823</v>
      </c>
      <c r="E2363" s="111" t="b">
        <v>0</v>
      </c>
      <c r="F2363" s="111" t="b">
        <v>0</v>
      </c>
      <c r="G2363" s="111" t="b">
        <v>0</v>
      </c>
    </row>
    <row r="2364" spans="1:7" ht="15">
      <c r="A2364" s="113" t="s">
        <v>1612</v>
      </c>
      <c r="B2364" s="111">
        <v>2</v>
      </c>
      <c r="C2364" s="115">
        <v>0.002159947215896568</v>
      </c>
      <c r="D2364" s="111" t="s">
        <v>823</v>
      </c>
      <c r="E2364" s="111" t="b">
        <v>0</v>
      </c>
      <c r="F2364" s="111" t="b">
        <v>0</v>
      </c>
      <c r="G2364" s="111" t="b">
        <v>0</v>
      </c>
    </row>
    <row r="2365" spans="1:7" ht="15">
      <c r="A2365" s="113" t="s">
        <v>1618</v>
      </c>
      <c r="B2365" s="111">
        <v>2</v>
      </c>
      <c r="C2365" s="115">
        <v>0.002159947215896568</v>
      </c>
      <c r="D2365" s="111" t="s">
        <v>823</v>
      </c>
      <c r="E2365" s="111" t="b">
        <v>0</v>
      </c>
      <c r="F2365" s="111" t="b">
        <v>0</v>
      </c>
      <c r="G2365" s="111" t="b">
        <v>0</v>
      </c>
    </row>
    <row r="2366" spans="1:7" ht="15">
      <c r="A2366" s="113" t="s">
        <v>1619</v>
      </c>
      <c r="B2366" s="111">
        <v>2</v>
      </c>
      <c r="C2366" s="115">
        <v>0.002159947215896568</v>
      </c>
      <c r="D2366" s="111" t="s">
        <v>823</v>
      </c>
      <c r="E2366" s="111" t="b">
        <v>0</v>
      </c>
      <c r="F2366" s="111" t="b">
        <v>0</v>
      </c>
      <c r="G2366" s="111" t="b">
        <v>0</v>
      </c>
    </row>
    <row r="2367" spans="1:7" ht="15">
      <c r="A2367" s="113" t="s">
        <v>1620</v>
      </c>
      <c r="B2367" s="111">
        <v>2</v>
      </c>
      <c r="C2367" s="115">
        <v>0.002159947215896568</v>
      </c>
      <c r="D2367" s="111" t="s">
        <v>823</v>
      </c>
      <c r="E2367" s="111" t="b">
        <v>0</v>
      </c>
      <c r="F2367" s="111" t="b">
        <v>0</v>
      </c>
      <c r="G2367" s="111" t="b">
        <v>0</v>
      </c>
    </row>
    <row r="2368" spans="1:7" ht="15">
      <c r="A2368" s="113" t="s">
        <v>1614</v>
      </c>
      <c r="B2368" s="111">
        <v>2</v>
      </c>
      <c r="C2368" s="115">
        <v>0.002159947215896568</v>
      </c>
      <c r="D2368" s="111" t="s">
        <v>823</v>
      </c>
      <c r="E2368" s="111" t="b">
        <v>0</v>
      </c>
      <c r="F2368" s="111" t="b">
        <v>0</v>
      </c>
      <c r="G2368" s="111" t="b">
        <v>0</v>
      </c>
    </row>
    <row r="2369" spans="1:7" ht="15">
      <c r="A2369" s="113" t="s">
        <v>1615</v>
      </c>
      <c r="B2369" s="111">
        <v>2</v>
      </c>
      <c r="C2369" s="115">
        <v>0.002159947215896568</v>
      </c>
      <c r="D2369" s="111" t="s">
        <v>823</v>
      </c>
      <c r="E2369" s="111" t="b">
        <v>0</v>
      </c>
      <c r="F2369" s="111" t="b">
        <v>0</v>
      </c>
      <c r="G2369" s="11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56240-2E9D-468A-9F53-CCE7605906B9}">
  <dimension ref="A1:L10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1994</v>
      </c>
      <c r="B1" s="13" t="s">
        <v>1995</v>
      </c>
      <c r="C1" s="13" t="s">
        <v>1985</v>
      </c>
      <c r="D1" s="13" t="s">
        <v>1989</v>
      </c>
      <c r="E1" s="13" t="s">
        <v>1996</v>
      </c>
      <c r="F1" s="13" t="s">
        <v>144</v>
      </c>
      <c r="G1" s="13" t="s">
        <v>1997</v>
      </c>
      <c r="H1" s="13" t="s">
        <v>1998</v>
      </c>
      <c r="I1" s="13" t="s">
        <v>1999</v>
      </c>
      <c r="J1" s="13" t="s">
        <v>2000</v>
      </c>
      <c r="K1" s="13" t="s">
        <v>2001</v>
      </c>
      <c r="L1" s="13" t="s">
        <v>2002</v>
      </c>
    </row>
    <row r="2" spans="1:12" ht="15">
      <c r="A2" s="111" t="s">
        <v>844</v>
      </c>
      <c r="B2" s="111" t="s">
        <v>841</v>
      </c>
      <c r="C2" s="111">
        <v>36</v>
      </c>
      <c r="D2" s="115">
        <v>0.0033358683254565424</v>
      </c>
      <c r="E2" s="115">
        <v>1.826696656881152</v>
      </c>
      <c r="F2" s="111" t="s">
        <v>1990</v>
      </c>
      <c r="G2" s="111" t="b">
        <v>0</v>
      </c>
      <c r="H2" s="111" t="b">
        <v>0</v>
      </c>
      <c r="I2" s="111" t="b">
        <v>0</v>
      </c>
      <c r="J2" s="111" t="b">
        <v>0</v>
      </c>
      <c r="K2" s="111" t="b">
        <v>0</v>
      </c>
      <c r="L2" s="111" t="b">
        <v>0</v>
      </c>
    </row>
    <row r="3" spans="1:12" ht="15">
      <c r="A3" s="113" t="s">
        <v>854</v>
      </c>
      <c r="B3" s="111" t="s">
        <v>866</v>
      </c>
      <c r="C3" s="111">
        <v>16</v>
      </c>
      <c r="D3" s="115">
        <v>0.003423598997742098</v>
      </c>
      <c r="E3" s="115">
        <v>2.3579953126436983</v>
      </c>
      <c r="F3" s="111" t="s">
        <v>1990</v>
      </c>
      <c r="G3" s="111" t="b">
        <v>0</v>
      </c>
      <c r="H3" s="111" t="b">
        <v>0</v>
      </c>
      <c r="I3" s="111" t="b">
        <v>0</v>
      </c>
      <c r="J3" s="111" t="b">
        <v>0</v>
      </c>
      <c r="K3" s="111" t="b">
        <v>0</v>
      </c>
      <c r="L3" s="111" t="b">
        <v>0</v>
      </c>
    </row>
    <row r="4" spans="1:12" ht="15">
      <c r="A4" s="113" t="s">
        <v>886</v>
      </c>
      <c r="B4" s="111" t="s">
        <v>861</v>
      </c>
      <c r="C4" s="111">
        <v>15</v>
      </c>
      <c r="D4" s="115">
        <v>0.004191085774699583</v>
      </c>
      <c r="E4" s="115">
        <v>2.5138831856110926</v>
      </c>
      <c r="F4" s="111" t="s">
        <v>1990</v>
      </c>
      <c r="G4" s="111" t="b">
        <v>0</v>
      </c>
      <c r="H4" s="111" t="b">
        <v>0</v>
      </c>
      <c r="I4" s="111" t="b">
        <v>0</v>
      </c>
      <c r="J4" s="111" t="b">
        <v>0</v>
      </c>
      <c r="K4" s="111" t="b">
        <v>0</v>
      </c>
      <c r="L4" s="111" t="b">
        <v>0</v>
      </c>
    </row>
    <row r="5" spans="1:12" ht="15">
      <c r="A5" s="113" t="s">
        <v>861</v>
      </c>
      <c r="B5" s="111" t="s">
        <v>850</v>
      </c>
      <c r="C5" s="111">
        <v>15</v>
      </c>
      <c r="D5" s="115">
        <v>0.004191085774699583</v>
      </c>
      <c r="E5" s="115">
        <v>2.1986127508325013</v>
      </c>
      <c r="F5" s="111" t="s">
        <v>1990</v>
      </c>
      <c r="G5" s="111" t="b">
        <v>0</v>
      </c>
      <c r="H5" s="111" t="b">
        <v>0</v>
      </c>
      <c r="I5" s="111" t="b">
        <v>0</v>
      </c>
      <c r="J5" s="111" t="b">
        <v>0</v>
      </c>
      <c r="K5" s="111" t="b">
        <v>0</v>
      </c>
      <c r="L5" s="111" t="b">
        <v>0</v>
      </c>
    </row>
    <row r="6" spans="1:12" ht="15">
      <c r="A6" s="113" t="s">
        <v>850</v>
      </c>
      <c r="B6" s="111" t="s">
        <v>887</v>
      </c>
      <c r="C6" s="111">
        <v>15</v>
      </c>
      <c r="D6" s="115">
        <v>0.004191085774699583</v>
      </c>
      <c r="E6" s="115">
        <v>2.364944172599026</v>
      </c>
      <c r="F6" s="111" t="s">
        <v>1990</v>
      </c>
      <c r="G6" s="111" t="b">
        <v>0</v>
      </c>
      <c r="H6" s="111" t="b">
        <v>0</v>
      </c>
      <c r="I6" s="111" t="b">
        <v>0</v>
      </c>
      <c r="J6" s="111" t="b">
        <v>0</v>
      </c>
      <c r="K6" s="111" t="b">
        <v>0</v>
      </c>
      <c r="L6" s="111" t="b">
        <v>0</v>
      </c>
    </row>
    <row r="7" spans="1:12" ht="15">
      <c r="A7" s="113" t="s">
        <v>887</v>
      </c>
      <c r="B7" s="111" t="s">
        <v>879</v>
      </c>
      <c r="C7" s="111">
        <v>15</v>
      </c>
      <c r="D7" s="115">
        <v>0.004191085774699583</v>
      </c>
      <c r="E7" s="115">
        <v>2.652185883777374</v>
      </c>
      <c r="F7" s="111" t="s">
        <v>1990</v>
      </c>
      <c r="G7" s="111" t="b">
        <v>0</v>
      </c>
      <c r="H7" s="111" t="b">
        <v>0</v>
      </c>
      <c r="I7" s="111" t="b">
        <v>0</v>
      </c>
      <c r="J7" s="111" t="b">
        <v>0</v>
      </c>
      <c r="K7" s="111" t="b">
        <v>0</v>
      </c>
      <c r="L7" s="111" t="b">
        <v>0</v>
      </c>
    </row>
    <row r="8" spans="1:12" ht="15">
      <c r="A8" s="113" t="s">
        <v>882</v>
      </c>
      <c r="B8" s="111" t="s">
        <v>841</v>
      </c>
      <c r="C8" s="111">
        <v>14</v>
      </c>
      <c r="D8" s="115">
        <v>0.0019122975012278633</v>
      </c>
      <c r="E8" s="115">
        <v>1.853214789456157</v>
      </c>
      <c r="F8" s="111" t="s">
        <v>1990</v>
      </c>
      <c r="G8" s="111" t="b">
        <v>0</v>
      </c>
      <c r="H8" s="111" t="b">
        <v>0</v>
      </c>
      <c r="I8" s="111" t="b">
        <v>0</v>
      </c>
      <c r="J8" s="111" t="b">
        <v>0</v>
      </c>
      <c r="K8" s="111" t="b">
        <v>0</v>
      </c>
      <c r="L8" s="111" t="b">
        <v>0</v>
      </c>
    </row>
    <row r="9" spans="1:12" ht="15">
      <c r="A9" s="113" t="s">
        <v>841</v>
      </c>
      <c r="B9" s="111" t="s">
        <v>843</v>
      </c>
      <c r="C9" s="111">
        <v>14</v>
      </c>
      <c r="D9" s="115">
        <v>0.0017112148205805538</v>
      </c>
      <c r="E9" s="115">
        <v>1.327389166155644</v>
      </c>
      <c r="F9" s="111" t="s">
        <v>1990</v>
      </c>
      <c r="G9" s="111" t="b">
        <v>0</v>
      </c>
      <c r="H9" s="111" t="b">
        <v>0</v>
      </c>
      <c r="I9" s="111" t="b">
        <v>0</v>
      </c>
      <c r="J9" s="111" t="b">
        <v>0</v>
      </c>
      <c r="K9" s="111" t="b">
        <v>0</v>
      </c>
      <c r="L9" s="111" t="b">
        <v>0</v>
      </c>
    </row>
    <row r="10" spans="1:12" ht="15">
      <c r="A10" s="113" t="s">
        <v>866</v>
      </c>
      <c r="B10" s="111" t="s">
        <v>886</v>
      </c>
      <c r="C10" s="111">
        <v>14</v>
      </c>
      <c r="D10" s="115">
        <v>0.0039116800563862774</v>
      </c>
      <c r="E10" s="115">
        <v>2.5475890421030267</v>
      </c>
      <c r="F10" s="111" t="s">
        <v>1990</v>
      </c>
      <c r="G10" s="111" t="b">
        <v>0</v>
      </c>
      <c r="H10" s="111" t="b">
        <v>0</v>
      </c>
      <c r="I10" s="111" t="b">
        <v>0</v>
      </c>
      <c r="J10" s="111" t="b">
        <v>0</v>
      </c>
      <c r="K10" s="111" t="b">
        <v>0</v>
      </c>
      <c r="L10" s="111" t="b">
        <v>0</v>
      </c>
    </row>
    <row r="11" spans="1:12" ht="15">
      <c r="A11" s="113" t="s">
        <v>874</v>
      </c>
      <c r="B11" s="111" t="s">
        <v>842</v>
      </c>
      <c r="C11" s="111">
        <v>14</v>
      </c>
      <c r="D11" s="115">
        <v>0.002079618189662395</v>
      </c>
      <c r="E11" s="115">
        <v>2.031622291239019</v>
      </c>
      <c r="F11" s="111" t="s">
        <v>1990</v>
      </c>
      <c r="G11" s="111" t="b">
        <v>0</v>
      </c>
      <c r="H11" s="111" t="b">
        <v>0</v>
      </c>
      <c r="I11" s="111" t="b">
        <v>0</v>
      </c>
      <c r="J11" s="111" t="b">
        <v>0</v>
      </c>
      <c r="K11" s="111" t="b">
        <v>0</v>
      </c>
      <c r="L11" s="111" t="b">
        <v>0</v>
      </c>
    </row>
    <row r="12" spans="1:12" ht="15">
      <c r="A12" s="113" t="s">
        <v>877</v>
      </c>
      <c r="B12" s="111" t="s">
        <v>878</v>
      </c>
      <c r="C12" s="111">
        <v>13</v>
      </c>
      <c r="D12" s="115">
        <v>0.002245005241119136</v>
      </c>
      <c r="E12" s="115">
        <v>2.562009253428286</v>
      </c>
      <c r="F12" s="111" t="s">
        <v>1990</v>
      </c>
      <c r="G12" s="111" t="b">
        <v>0</v>
      </c>
      <c r="H12" s="111" t="b">
        <v>1</v>
      </c>
      <c r="I12" s="111" t="b">
        <v>0</v>
      </c>
      <c r="J12" s="111" t="b">
        <v>0</v>
      </c>
      <c r="K12" s="111" t="b">
        <v>0</v>
      </c>
      <c r="L12" s="111" t="b">
        <v>0</v>
      </c>
    </row>
    <row r="13" spans="1:12" ht="15">
      <c r="A13" s="113" t="s">
        <v>842</v>
      </c>
      <c r="B13" s="111" t="s">
        <v>898</v>
      </c>
      <c r="C13" s="111">
        <v>13</v>
      </c>
      <c r="D13" s="115">
        <v>0.0018494986935310073</v>
      </c>
      <c r="E13" s="115">
        <v>2.099845313461109</v>
      </c>
      <c r="F13" s="111" t="s">
        <v>1990</v>
      </c>
      <c r="G13" s="111" t="b">
        <v>0</v>
      </c>
      <c r="H13" s="111" t="b">
        <v>0</v>
      </c>
      <c r="I13" s="111" t="b">
        <v>0</v>
      </c>
      <c r="J13" s="111" t="b">
        <v>0</v>
      </c>
      <c r="K13" s="111" t="b">
        <v>0</v>
      </c>
      <c r="L13" s="111" t="b">
        <v>0</v>
      </c>
    </row>
    <row r="14" spans="1:12" ht="15">
      <c r="A14" s="113" t="s">
        <v>907</v>
      </c>
      <c r="B14" s="111" t="s">
        <v>855</v>
      </c>
      <c r="C14" s="111">
        <v>12</v>
      </c>
      <c r="D14" s="115">
        <v>0.00285748190171691</v>
      </c>
      <c r="E14" s="115">
        <v>2.5138831856110926</v>
      </c>
      <c r="F14" s="111" t="s">
        <v>1990</v>
      </c>
      <c r="G14" s="111" t="b">
        <v>0</v>
      </c>
      <c r="H14" s="111" t="b">
        <v>0</v>
      </c>
      <c r="I14" s="111" t="b">
        <v>0</v>
      </c>
      <c r="J14" s="111" t="b">
        <v>0</v>
      </c>
      <c r="K14" s="111" t="b">
        <v>0</v>
      </c>
      <c r="L14" s="111" t="b">
        <v>0</v>
      </c>
    </row>
    <row r="15" spans="1:12" ht="15">
      <c r="A15" s="113" t="s">
        <v>846</v>
      </c>
      <c r="B15" s="111" t="s">
        <v>840</v>
      </c>
      <c r="C15" s="111">
        <v>11</v>
      </c>
      <c r="D15" s="115">
        <v>0.0017986304219953422</v>
      </c>
      <c r="E15" s="115">
        <v>1.216457314215937</v>
      </c>
      <c r="F15" s="111" t="s">
        <v>1990</v>
      </c>
      <c r="G15" s="111" t="b">
        <v>0</v>
      </c>
      <c r="H15" s="111" t="b">
        <v>0</v>
      </c>
      <c r="I15" s="111" t="b">
        <v>0</v>
      </c>
      <c r="J15" s="111" t="b">
        <v>0</v>
      </c>
      <c r="K15" s="111" t="b">
        <v>0</v>
      </c>
      <c r="L15" s="111" t="b">
        <v>0</v>
      </c>
    </row>
    <row r="16" spans="1:12" ht="15">
      <c r="A16" s="113" t="s">
        <v>888</v>
      </c>
      <c r="B16" s="111" t="s">
        <v>918</v>
      </c>
      <c r="C16" s="111">
        <v>10</v>
      </c>
      <c r="D16" s="115">
        <v>0.0019684126530617957</v>
      </c>
      <c r="E16" s="115">
        <v>2.6010333613299927</v>
      </c>
      <c r="F16" s="111" t="s">
        <v>1990</v>
      </c>
      <c r="G16" s="111" t="b">
        <v>0</v>
      </c>
      <c r="H16" s="111" t="b">
        <v>0</v>
      </c>
      <c r="I16" s="111" t="b">
        <v>0</v>
      </c>
      <c r="J16" s="111" t="b">
        <v>0</v>
      </c>
      <c r="K16" s="111" t="b">
        <v>0</v>
      </c>
      <c r="L16" s="111" t="b">
        <v>0</v>
      </c>
    </row>
    <row r="17" spans="1:12" ht="15">
      <c r="A17" s="113" t="s">
        <v>856</v>
      </c>
      <c r="B17" s="111" t="s">
        <v>848</v>
      </c>
      <c r="C17" s="111">
        <v>8</v>
      </c>
      <c r="D17" s="115">
        <v>0.0013080948523602489</v>
      </c>
      <c r="E17" s="115">
        <v>1.853599973057374</v>
      </c>
      <c r="F17" s="111" t="s">
        <v>1990</v>
      </c>
      <c r="G17" s="111" t="b">
        <v>0</v>
      </c>
      <c r="H17" s="111" t="b">
        <v>0</v>
      </c>
      <c r="I17" s="111" t="b">
        <v>0</v>
      </c>
      <c r="J17" s="111" t="b">
        <v>0</v>
      </c>
      <c r="K17" s="111" t="b">
        <v>0</v>
      </c>
      <c r="L17" s="111" t="b">
        <v>0</v>
      </c>
    </row>
    <row r="18" spans="1:12" ht="15">
      <c r="A18" s="113" t="s">
        <v>940</v>
      </c>
      <c r="B18" s="111" t="s">
        <v>893</v>
      </c>
      <c r="C18" s="111">
        <v>8</v>
      </c>
      <c r="D18" s="115">
        <v>0.0014684108542014317</v>
      </c>
      <c r="E18" s="115">
        <v>2.613267817747005</v>
      </c>
      <c r="F18" s="111" t="s">
        <v>1990</v>
      </c>
      <c r="G18" s="111" t="b">
        <v>0</v>
      </c>
      <c r="H18" s="111" t="b">
        <v>0</v>
      </c>
      <c r="I18" s="111" t="b">
        <v>0</v>
      </c>
      <c r="J18" s="111" t="b">
        <v>0</v>
      </c>
      <c r="K18" s="111" t="b">
        <v>0</v>
      </c>
      <c r="L18" s="111" t="b">
        <v>0</v>
      </c>
    </row>
    <row r="19" spans="1:12" ht="15">
      <c r="A19" s="113" t="s">
        <v>847</v>
      </c>
      <c r="B19" s="111" t="s">
        <v>872</v>
      </c>
      <c r="C19" s="111">
        <v>7</v>
      </c>
      <c r="D19" s="115">
        <v>0.001497824561512168</v>
      </c>
      <c r="E19" s="115">
        <v>1.8911713884524717</v>
      </c>
      <c r="F19" s="111" t="s">
        <v>1990</v>
      </c>
      <c r="G19" s="111" t="b">
        <v>0</v>
      </c>
      <c r="H19" s="111" t="b">
        <v>0</v>
      </c>
      <c r="I19" s="111" t="b">
        <v>0</v>
      </c>
      <c r="J19" s="111" t="b">
        <v>0</v>
      </c>
      <c r="K19" s="111" t="b">
        <v>0</v>
      </c>
      <c r="L19" s="111" t="b">
        <v>0</v>
      </c>
    </row>
    <row r="20" spans="1:12" ht="15">
      <c r="A20" s="113" t="s">
        <v>943</v>
      </c>
      <c r="B20" s="111" t="s">
        <v>841</v>
      </c>
      <c r="C20" s="111">
        <v>7</v>
      </c>
      <c r="D20" s="115">
        <v>0.0013778888571432568</v>
      </c>
      <c r="E20" s="115">
        <v>1.7740335434085321</v>
      </c>
      <c r="F20" s="111" t="s">
        <v>1990</v>
      </c>
      <c r="G20" s="111" t="b">
        <v>0</v>
      </c>
      <c r="H20" s="111" t="b">
        <v>0</v>
      </c>
      <c r="I20" s="111" t="b">
        <v>0</v>
      </c>
      <c r="J20" s="111" t="b">
        <v>0</v>
      </c>
      <c r="K20" s="111" t="b">
        <v>0</v>
      </c>
      <c r="L20" s="111" t="b">
        <v>0</v>
      </c>
    </row>
    <row r="21" spans="1:12" ht="15">
      <c r="A21" s="113" t="s">
        <v>890</v>
      </c>
      <c r="B21" s="111" t="s">
        <v>845</v>
      </c>
      <c r="C21" s="111">
        <v>7</v>
      </c>
      <c r="D21" s="115">
        <v>0.0011445829958152177</v>
      </c>
      <c r="E21" s="115">
        <v>1.9424920140495823</v>
      </c>
      <c r="F21" s="111" t="s">
        <v>1990</v>
      </c>
      <c r="G21" s="111" t="b">
        <v>0</v>
      </c>
      <c r="H21" s="111" t="b">
        <v>0</v>
      </c>
      <c r="I21" s="111" t="b">
        <v>0</v>
      </c>
      <c r="J21" s="111" t="b">
        <v>0</v>
      </c>
      <c r="K21" s="111" t="b">
        <v>0</v>
      </c>
      <c r="L21" s="111" t="b">
        <v>0</v>
      </c>
    </row>
    <row r="22" spans="1:12" ht="15">
      <c r="A22" s="113" t="s">
        <v>875</v>
      </c>
      <c r="B22" s="111" t="s">
        <v>862</v>
      </c>
      <c r="C22" s="111">
        <v>7</v>
      </c>
      <c r="D22" s="115">
        <v>0.0011445829958152177</v>
      </c>
      <c r="E22" s="115">
        <v>2.1750646290577116</v>
      </c>
      <c r="F22" s="111" t="s">
        <v>1990</v>
      </c>
      <c r="G22" s="111" t="b">
        <v>0</v>
      </c>
      <c r="H22" s="111" t="b">
        <v>1</v>
      </c>
      <c r="I22" s="111" t="b">
        <v>0</v>
      </c>
      <c r="J22" s="111" t="b">
        <v>0</v>
      </c>
      <c r="K22" s="111" t="b">
        <v>0</v>
      </c>
      <c r="L22" s="111" t="b">
        <v>0</v>
      </c>
    </row>
    <row r="23" spans="1:12" ht="15">
      <c r="A23" s="113" t="s">
        <v>849</v>
      </c>
      <c r="B23" s="111" t="s">
        <v>840</v>
      </c>
      <c r="C23" s="111">
        <v>7</v>
      </c>
      <c r="D23" s="115">
        <v>0.001208848975987227</v>
      </c>
      <c r="E23" s="115">
        <v>1.117072682080025</v>
      </c>
      <c r="F23" s="111" t="s">
        <v>1990</v>
      </c>
      <c r="G23" s="111" t="b">
        <v>0</v>
      </c>
      <c r="H23" s="111" t="b">
        <v>0</v>
      </c>
      <c r="I23" s="111" t="b">
        <v>0</v>
      </c>
      <c r="J23" s="111" t="b">
        <v>0</v>
      </c>
      <c r="K23" s="111" t="b">
        <v>0</v>
      </c>
      <c r="L23" s="111" t="b">
        <v>0</v>
      </c>
    </row>
    <row r="24" spans="1:12" ht="15">
      <c r="A24" s="113" t="s">
        <v>847</v>
      </c>
      <c r="B24" s="111" t="s">
        <v>889</v>
      </c>
      <c r="C24" s="111">
        <v>7</v>
      </c>
      <c r="D24" s="115">
        <v>0.0012848594974262525</v>
      </c>
      <c r="E24" s="115">
        <v>1.9754922741525076</v>
      </c>
      <c r="F24" s="111" t="s">
        <v>1990</v>
      </c>
      <c r="G24" s="111" t="b">
        <v>0</v>
      </c>
      <c r="H24" s="111" t="b">
        <v>0</v>
      </c>
      <c r="I24" s="111" t="b">
        <v>0</v>
      </c>
      <c r="J24" s="111" t="b">
        <v>0</v>
      </c>
      <c r="K24" s="111" t="b">
        <v>0</v>
      </c>
      <c r="L24" s="111" t="b">
        <v>0</v>
      </c>
    </row>
    <row r="25" spans="1:12" ht="15">
      <c r="A25" s="113" t="s">
        <v>1027</v>
      </c>
      <c r="B25" s="111" t="s">
        <v>1028</v>
      </c>
      <c r="C25" s="111">
        <v>6</v>
      </c>
      <c r="D25" s="115">
        <v>0.001428740950858455</v>
      </c>
      <c r="E25" s="115">
        <v>3.0781546160496553</v>
      </c>
      <c r="F25" s="111" t="s">
        <v>1990</v>
      </c>
      <c r="G25" s="111" t="b">
        <v>0</v>
      </c>
      <c r="H25" s="111" t="b">
        <v>0</v>
      </c>
      <c r="I25" s="111" t="b">
        <v>0</v>
      </c>
      <c r="J25" s="111" t="b">
        <v>0</v>
      </c>
      <c r="K25" s="111" t="b">
        <v>0</v>
      </c>
      <c r="L25" s="111" t="b">
        <v>0</v>
      </c>
    </row>
    <row r="26" spans="1:12" ht="15">
      <c r="A26" s="113" t="s">
        <v>959</v>
      </c>
      <c r="B26" s="111" t="s">
        <v>853</v>
      </c>
      <c r="C26" s="111">
        <v>6</v>
      </c>
      <c r="D26" s="115">
        <v>0.0011810475918370773</v>
      </c>
      <c r="E26" s="115">
        <v>2.351155888113393</v>
      </c>
      <c r="F26" s="111" t="s">
        <v>1990</v>
      </c>
      <c r="G26" s="111" t="b">
        <v>0</v>
      </c>
      <c r="H26" s="111" t="b">
        <v>0</v>
      </c>
      <c r="I26" s="111" t="b">
        <v>0</v>
      </c>
      <c r="J26" s="111" t="b">
        <v>0</v>
      </c>
      <c r="K26" s="111" t="b">
        <v>0</v>
      </c>
      <c r="L26" s="111" t="b">
        <v>0</v>
      </c>
    </row>
    <row r="27" spans="1:12" ht="15">
      <c r="A27" s="113" t="s">
        <v>930</v>
      </c>
      <c r="B27" s="111" t="s">
        <v>1037</v>
      </c>
      <c r="C27" s="111">
        <v>6</v>
      </c>
      <c r="D27" s="115">
        <v>0.0011810475918370773</v>
      </c>
      <c r="E27" s="115">
        <v>2.8563058664332988</v>
      </c>
      <c r="F27" s="111" t="s">
        <v>1990</v>
      </c>
      <c r="G27" s="111" t="b">
        <v>0</v>
      </c>
      <c r="H27" s="111" t="b">
        <v>0</v>
      </c>
      <c r="I27" s="111" t="b">
        <v>0</v>
      </c>
      <c r="J27" s="111" t="b">
        <v>0</v>
      </c>
      <c r="K27" s="111" t="b">
        <v>0</v>
      </c>
      <c r="L27" s="111" t="b">
        <v>0</v>
      </c>
    </row>
    <row r="28" spans="1:12" ht="15">
      <c r="A28" s="113" t="s">
        <v>964</v>
      </c>
      <c r="B28" s="111" t="s">
        <v>912</v>
      </c>
      <c r="C28" s="111">
        <v>6</v>
      </c>
      <c r="D28" s="115">
        <v>0.0011810475918370773</v>
      </c>
      <c r="E28" s="115">
        <v>2.652185883777374</v>
      </c>
      <c r="F28" s="111" t="s">
        <v>1990</v>
      </c>
      <c r="G28" s="111" t="b">
        <v>1</v>
      </c>
      <c r="H28" s="111" t="b">
        <v>0</v>
      </c>
      <c r="I28" s="111" t="b">
        <v>0</v>
      </c>
      <c r="J28" s="111" t="b">
        <v>0</v>
      </c>
      <c r="K28" s="111" t="b">
        <v>0</v>
      </c>
      <c r="L28" s="111" t="b">
        <v>0</v>
      </c>
    </row>
    <row r="29" spans="1:12" ht="15">
      <c r="A29" s="113" t="s">
        <v>863</v>
      </c>
      <c r="B29" s="111" t="s">
        <v>845</v>
      </c>
      <c r="C29" s="111">
        <v>6</v>
      </c>
      <c r="D29" s="115">
        <v>0.0011810475918370773</v>
      </c>
      <c r="E29" s="115">
        <v>1.6994539653632879</v>
      </c>
      <c r="F29" s="111" t="s">
        <v>1990</v>
      </c>
      <c r="G29" s="111" t="b">
        <v>0</v>
      </c>
      <c r="H29" s="111" t="b">
        <v>1</v>
      </c>
      <c r="I29" s="111" t="b">
        <v>0</v>
      </c>
      <c r="J29" s="111" t="b">
        <v>0</v>
      </c>
      <c r="K29" s="111" t="b">
        <v>0</v>
      </c>
      <c r="L29" s="111" t="b">
        <v>0</v>
      </c>
    </row>
    <row r="30" spans="1:12" ht="15">
      <c r="A30" s="113" t="s">
        <v>855</v>
      </c>
      <c r="B30" s="111" t="s">
        <v>847</v>
      </c>
      <c r="C30" s="111">
        <v>6</v>
      </c>
      <c r="D30" s="115">
        <v>0.0011810475918370773</v>
      </c>
      <c r="E30" s="115">
        <v>1.7324542254662132</v>
      </c>
      <c r="F30" s="111" t="s">
        <v>1990</v>
      </c>
      <c r="G30" s="111" t="b">
        <v>0</v>
      </c>
      <c r="H30" s="111" t="b">
        <v>0</v>
      </c>
      <c r="I30" s="111" t="b">
        <v>0</v>
      </c>
      <c r="J30" s="111" t="b">
        <v>0</v>
      </c>
      <c r="K30" s="111" t="b">
        <v>0</v>
      </c>
      <c r="L30" s="111" t="b">
        <v>0</v>
      </c>
    </row>
    <row r="31" spans="1:12" ht="15">
      <c r="A31" s="113" t="s">
        <v>852</v>
      </c>
      <c r="B31" s="111" t="s">
        <v>1003</v>
      </c>
      <c r="C31" s="111">
        <v>6</v>
      </c>
      <c r="D31" s="115">
        <v>0.001428740950858455</v>
      </c>
      <c r="E31" s="115">
        <v>2.3122378220830235</v>
      </c>
      <c r="F31" s="111" t="s">
        <v>1990</v>
      </c>
      <c r="G31" s="111" t="b">
        <v>0</v>
      </c>
      <c r="H31" s="111" t="b">
        <v>0</v>
      </c>
      <c r="I31" s="111" t="b">
        <v>0</v>
      </c>
      <c r="J31" s="111" t="b">
        <v>0</v>
      </c>
      <c r="K31" s="111" t="b">
        <v>0</v>
      </c>
      <c r="L31" s="111" t="b">
        <v>0</v>
      </c>
    </row>
    <row r="32" spans="1:12" ht="15">
      <c r="A32" s="113" t="s">
        <v>842</v>
      </c>
      <c r="B32" s="111" t="s">
        <v>840</v>
      </c>
      <c r="C32" s="111">
        <v>6</v>
      </c>
      <c r="D32" s="115">
        <v>0.0011810475918370773</v>
      </c>
      <c r="E32" s="115">
        <v>0.8310000011685288</v>
      </c>
      <c r="F32" s="111" t="s">
        <v>1990</v>
      </c>
      <c r="G32" s="111" t="b">
        <v>0</v>
      </c>
      <c r="H32" s="111" t="b">
        <v>0</v>
      </c>
      <c r="I32" s="111" t="b">
        <v>0</v>
      </c>
      <c r="J32" s="111" t="b">
        <v>0</v>
      </c>
      <c r="K32" s="111" t="b">
        <v>0</v>
      </c>
      <c r="L32" s="111" t="b">
        <v>0</v>
      </c>
    </row>
    <row r="33" spans="1:12" ht="15">
      <c r="A33" s="113" t="s">
        <v>986</v>
      </c>
      <c r="B33" s="111" t="s">
        <v>1024</v>
      </c>
      <c r="C33" s="111">
        <v>5</v>
      </c>
      <c r="D33" s="115">
        <v>0.0009177567838758947</v>
      </c>
      <c r="E33" s="115">
        <v>2.932026580371417</v>
      </c>
      <c r="F33" s="111" t="s">
        <v>1990</v>
      </c>
      <c r="G33" s="111" t="b">
        <v>0</v>
      </c>
      <c r="H33" s="111" t="b">
        <v>0</v>
      </c>
      <c r="I33" s="111" t="b">
        <v>0</v>
      </c>
      <c r="J33" s="111" t="b">
        <v>0</v>
      </c>
      <c r="K33" s="111" t="b">
        <v>0</v>
      </c>
      <c r="L33" s="111" t="b">
        <v>0</v>
      </c>
    </row>
    <row r="34" spans="1:12" ht="15">
      <c r="A34" s="113" t="s">
        <v>845</v>
      </c>
      <c r="B34" s="111" t="s">
        <v>875</v>
      </c>
      <c r="C34" s="111">
        <v>5</v>
      </c>
      <c r="D34" s="115">
        <v>0.0009177567838758947</v>
      </c>
      <c r="E34" s="115">
        <v>1.7383720313936575</v>
      </c>
      <c r="F34" s="111" t="s">
        <v>1990</v>
      </c>
      <c r="G34" s="111" t="b">
        <v>0</v>
      </c>
      <c r="H34" s="111" t="b">
        <v>0</v>
      </c>
      <c r="I34" s="111" t="b">
        <v>0</v>
      </c>
      <c r="J34" s="111" t="b">
        <v>0</v>
      </c>
      <c r="K34" s="111" t="b">
        <v>1</v>
      </c>
      <c r="L34" s="111" t="b">
        <v>0</v>
      </c>
    </row>
    <row r="35" spans="1:12" ht="15">
      <c r="A35" s="113" t="s">
        <v>840</v>
      </c>
      <c r="B35" s="111" t="s">
        <v>1058</v>
      </c>
      <c r="C35" s="111">
        <v>5</v>
      </c>
      <c r="D35" s="115">
        <v>0.0009177567838758947</v>
      </c>
      <c r="E35" s="115">
        <v>1.7052426130795488</v>
      </c>
      <c r="F35" s="111" t="s">
        <v>1990</v>
      </c>
      <c r="G35" s="111" t="b">
        <v>0</v>
      </c>
      <c r="H35" s="111" t="b">
        <v>0</v>
      </c>
      <c r="I35" s="111" t="b">
        <v>0</v>
      </c>
      <c r="J35" s="111" t="b">
        <v>0</v>
      </c>
      <c r="K35" s="111" t="b">
        <v>0</v>
      </c>
      <c r="L35" s="111" t="b">
        <v>0</v>
      </c>
    </row>
    <row r="36" spans="1:12" ht="15">
      <c r="A36" s="113" t="s">
        <v>871</v>
      </c>
      <c r="B36" s="111" t="s">
        <v>870</v>
      </c>
      <c r="C36" s="111">
        <v>5</v>
      </c>
      <c r="D36" s="115">
        <v>0.0009177567838758947</v>
      </c>
      <c r="E36" s="115">
        <v>1.9989733700020305</v>
      </c>
      <c r="F36" s="111" t="s">
        <v>1990</v>
      </c>
      <c r="G36" s="111" t="b">
        <v>0</v>
      </c>
      <c r="H36" s="111" t="b">
        <v>0</v>
      </c>
      <c r="I36" s="111" t="b">
        <v>0</v>
      </c>
      <c r="J36" s="111" t="b">
        <v>0</v>
      </c>
      <c r="K36" s="111" t="b">
        <v>0</v>
      </c>
      <c r="L36" s="111" t="b">
        <v>0</v>
      </c>
    </row>
    <row r="37" spans="1:12" ht="15">
      <c r="A37" s="113" t="s">
        <v>849</v>
      </c>
      <c r="B37" s="111" t="s">
        <v>869</v>
      </c>
      <c r="C37" s="111">
        <v>5</v>
      </c>
      <c r="D37" s="115">
        <v>0.0010698746867944056</v>
      </c>
      <c r="E37" s="115">
        <v>1.7490958967854306</v>
      </c>
      <c r="F37" s="111" t="s">
        <v>1990</v>
      </c>
      <c r="G37" s="111" t="b">
        <v>0</v>
      </c>
      <c r="H37" s="111" t="b">
        <v>0</v>
      </c>
      <c r="I37" s="111" t="b">
        <v>0</v>
      </c>
      <c r="J37" s="111" t="b">
        <v>0</v>
      </c>
      <c r="K37" s="111" t="b">
        <v>0</v>
      </c>
      <c r="L37" s="111" t="b">
        <v>0</v>
      </c>
    </row>
    <row r="38" spans="1:12" ht="15">
      <c r="A38" s="113" t="s">
        <v>884</v>
      </c>
      <c r="B38" s="111" t="s">
        <v>894</v>
      </c>
      <c r="C38" s="111">
        <v>5</v>
      </c>
      <c r="D38" s="115">
        <v>0.0009177567838758947</v>
      </c>
      <c r="E38" s="115">
        <v>2.2330565760353984</v>
      </c>
      <c r="F38" s="111" t="s">
        <v>1990</v>
      </c>
      <c r="G38" s="111" t="b">
        <v>0</v>
      </c>
      <c r="H38" s="111" t="b">
        <v>0</v>
      </c>
      <c r="I38" s="111" t="b">
        <v>0</v>
      </c>
      <c r="J38" s="111" t="b">
        <v>0</v>
      </c>
      <c r="K38" s="111" t="b">
        <v>0</v>
      </c>
      <c r="L38" s="111" t="b">
        <v>0</v>
      </c>
    </row>
    <row r="39" spans="1:12" ht="15">
      <c r="A39" s="113" t="s">
        <v>894</v>
      </c>
      <c r="B39" s="111" t="s">
        <v>885</v>
      </c>
      <c r="C39" s="111">
        <v>5</v>
      </c>
      <c r="D39" s="115">
        <v>0.0009177567838758947</v>
      </c>
      <c r="E39" s="115">
        <v>2.2652412594067997</v>
      </c>
      <c r="F39" s="111" t="s">
        <v>1990</v>
      </c>
      <c r="G39" s="111" t="b">
        <v>0</v>
      </c>
      <c r="H39" s="111" t="b">
        <v>0</v>
      </c>
      <c r="I39" s="111" t="b">
        <v>0</v>
      </c>
      <c r="J39" s="111" t="b">
        <v>0</v>
      </c>
      <c r="K39" s="111" t="b">
        <v>0</v>
      </c>
      <c r="L39" s="111" t="b">
        <v>0</v>
      </c>
    </row>
    <row r="40" spans="1:12" ht="15">
      <c r="A40" s="113" t="s">
        <v>885</v>
      </c>
      <c r="B40" s="111" t="s">
        <v>915</v>
      </c>
      <c r="C40" s="111">
        <v>5</v>
      </c>
      <c r="D40" s="115">
        <v>0.0009177567838758947</v>
      </c>
      <c r="E40" s="115">
        <v>2.329966589043455</v>
      </c>
      <c r="F40" s="111" t="s">
        <v>1990</v>
      </c>
      <c r="G40" s="111" t="b">
        <v>0</v>
      </c>
      <c r="H40" s="111" t="b">
        <v>0</v>
      </c>
      <c r="I40" s="111" t="b">
        <v>0</v>
      </c>
      <c r="J40" s="111" t="b">
        <v>0</v>
      </c>
      <c r="K40" s="111" t="b">
        <v>0</v>
      </c>
      <c r="L40" s="111" t="b">
        <v>0</v>
      </c>
    </row>
    <row r="41" spans="1:12" ht="15">
      <c r="A41" s="113" t="s">
        <v>863</v>
      </c>
      <c r="B41" s="111" t="s">
        <v>841</v>
      </c>
      <c r="C41" s="111">
        <v>5</v>
      </c>
      <c r="D41" s="115">
        <v>0.0011906174590487126</v>
      </c>
      <c r="E41" s="115">
        <v>1.2599287224356999</v>
      </c>
      <c r="F41" s="111" t="s">
        <v>1990</v>
      </c>
      <c r="G41" s="111" t="b">
        <v>0</v>
      </c>
      <c r="H41" s="111" t="b">
        <v>1</v>
      </c>
      <c r="I41" s="111" t="b">
        <v>0</v>
      </c>
      <c r="J41" s="111" t="b">
        <v>0</v>
      </c>
      <c r="K41" s="111" t="b">
        <v>0</v>
      </c>
      <c r="L41" s="111" t="b">
        <v>0</v>
      </c>
    </row>
    <row r="42" spans="1:12" ht="15">
      <c r="A42" s="113" t="s">
        <v>939</v>
      </c>
      <c r="B42" s="111" t="s">
        <v>1059</v>
      </c>
      <c r="C42" s="111">
        <v>5</v>
      </c>
      <c r="D42" s="115">
        <v>0.0013970285915665276</v>
      </c>
      <c r="E42" s="115">
        <v>2.777124620385674</v>
      </c>
      <c r="F42" s="111" t="s">
        <v>1990</v>
      </c>
      <c r="G42" s="111" t="b">
        <v>0</v>
      </c>
      <c r="H42" s="111" t="b">
        <v>0</v>
      </c>
      <c r="I42" s="111" t="b">
        <v>0</v>
      </c>
      <c r="J42" s="111" t="b">
        <v>0</v>
      </c>
      <c r="K42" s="111" t="b">
        <v>0</v>
      </c>
      <c r="L42" s="111" t="b">
        <v>0</v>
      </c>
    </row>
    <row r="43" spans="1:12" ht="15">
      <c r="A43" s="113" t="s">
        <v>895</v>
      </c>
      <c r="B43" s="111" t="s">
        <v>1072</v>
      </c>
      <c r="C43" s="111">
        <v>5</v>
      </c>
      <c r="D43" s="115">
        <v>0.0013970285915665276</v>
      </c>
      <c r="E43" s="115">
        <v>2.6309965847074364</v>
      </c>
      <c r="F43" s="111" t="s">
        <v>1990</v>
      </c>
      <c r="G43" s="111" t="b">
        <v>0</v>
      </c>
      <c r="H43" s="111" t="b">
        <v>0</v>
      </c>
      <c r="I43" s="111" t="b">
        <v>0</v>
      </c>
      <c r="J43" s="111" t="b">
        <v>0</v>
      </c>
      <c r="K43" s="111" t="b">
        <v>0</v>
      </c>
      <c r="L43" s="111" t="b">
        <v>0</v>
      </c>
    </row>
    <row r="44" spans="1:12" ht="15">
      <c r="A44" s="113" t="s">
        <v>851</v>
      </c>
      <c r="B44" s="111" t="s">
        <v>1123</v>
      </c>
      <c r="C44" s="111">
        <v>5</v>
      </c>
      <c r="D44" s="115">
        <v>0.0013970285915665276</v>
      </c>
      <c r="E44" s="115">
        <v>2.364944172599026</v>
      </c>
      <c r="F44" s="111" t="s">
        <v>1990</v>
      </c>
      <c r="G44" s="111" t="b">
        <v>0</v>
      </c>
      <c r="H44" s="111" t="b">
        <v>0</v>
      </c>
      <c r="I44" s="111" t="b">
        <v>0</v>
      </c>
      <c r="J44" s="111" t="b">
        <v>0</v>
      </c>
      <c r="K44" s="111" t="b">
        <v>0</v>
      </c>
      <c r="L44" s="111" t="b">
        <v>0</v>
      </c>
    </row>
    <row r="45" spans="1:12" ht="15">
      <c r="A45" s="113" t="s">
        <v>1010</v>
      </c>
      <c r="B45" s="111" t="s">
        <v>1074</v>
      </c>
      <c r="C45" s="111">
        <v>5</v>
      </c>
      <c r="D45" s="115">
        <v>0.0009177567838758947</v>
      </c>
      <c r="E45" s="115">
        <v>2.932026580371417</v>
      </c>
      <c r="F45" s="111" t="s">
        <v>1990</v>
      </c>
      <c r="G45" s="111" t="b">
        <v>0</v>
      </c>
      <c r="H45" s="111" t="b">
        <v>0</v>
      </c>
      <c r="I45" s="111" t="b">
        <v>0</v>
      </c>
      <c r="J45" s="111" t="b">
        <v>0</v>
      </c>
      <c r="K45" s="111" t="b">
        <v>0</v>
      </c>
      <c r="L45" s="111" t="b">
        <v>0</v>
      </c>
    </row>
    <row r="46" spans="1:12" ht="15">
      <c r="A46" s="113" t="s">
        <v>880</v>
      </c>
      <c r="B46" s="111" t="s">
        <v>868</v>
      </c>
      <c r="C46" s="111">
        <v>5</v>
      </c>
      <c r="D46" s="115">
        <v>0.0009842063265308979</v>
      </c>
      <c r="E46" s="115">
        <v>2.0501258924494117</v>
      </c>
      <c r="F46" s="111" t="s">
        <v>1990</v>
      </c>
      <c r="G46" s="111" t="b">
        <v>0</v>
      </c>
      <c r="H46" s="111" t="b">
        <v>0</v>
      </c>
      <c r="I46" s="111" t="b">
        <v>0</v>
      </c>
      <c r="J46" s="111" t="b">
        <v>0</v>
      </c>
      <c r="K46" s="111" t="b">
        <v>0</v>
      </c>
      <c r="L46" s="111" t="b">
        <v>0</v>
      </c>
    </row>
    <row r="47" spans="1:12" ht="15">
      <c r="A47" s="113" t="s">
        <v>893</v>
      </c>
      <c r="B47" s="111" t="s">
        <v>916</v>
      </c>
      <c r="C47" s="111">
        <v>5</v>
      </c>
      <c r="D47" s="115">
        <v>0.0010698746867944056</v>
      </c>
      <c r="E47" s="115">
        <v>2.329966589043455</v>
      </c>
      <c r="F47" s="111" t="s">
        <v>1990</v>
      </c>
      <c r="G47" s="111" t="b">
        <v>0</v>
      </c>
      <c r="H47" s="111" t="b">
        <v>0</v>
      </c>
      <c r="I47" s="111" t="b">
        <v>0</v>
      </c>
      <c r="J47" s="111" t="b">
        <v>0</v>
      </c>
      <c r="K47" s="111" t="b">
        <v>0</v>
      </c>
      <c r="L47" s="111" t="b">
        <v>0</v>
      </c>
    </row>
    <row r="48" spans="1:12" ht="15">
      <c r="A48" s="113" t="s">
        <v>898</v>
      </c>
      <c r="B48" s="111" t="s">
        <v>856</v>
      </c>
      <c r="C48" s="111">
        <v>5</v>
      </c>
      <c r="D48" s="115">
        <v>0.0009177567838758947</v>
      </c>
      <c r="E48" s="115">
        <v>2.1081178394270985</v>
      </c>
      <c r="F48" s="111" t="s">
        <v>1990</v>
      </c>
      <c r="G48" s="111" t="b">
        <v>0</v>
      </c>
      <c r="H48" s="111" t="b">
        <v>0</v>
      </c>
      <c r="I48" s="111" t="b">
        <v>0</v>
      </c>
      <c r="J48" s="111" t="b">
        <v>0</v>
      </c>
      <c r="K48" s="111" t="b">
        <v>0</v>
      </c>
      <c r="L48" s="111" t="b">
        <v>0</v>
      </c>
    </row>
    <row r="49" spans="1:12" ht="15">
      <c r="A49" s="113" t="s">
        <v>856</v>
      </c>
      <c r="B49" s="111" t="s">
        <v>1077</v>
      </c>
      <c r="C49" s="111">
        <v>5</v>
      </c>
      <c r="D49" s="115">
        <v>0.0009177567838758947</v>
      </c>
      <c r="E49" s="115">
        <v>2.4153967843680815</v>
      </c>
      <c r="F49" s="111" t="s">
        <v>1990</v>
      </c>
      <c r="G49" s="111" t="b">
        <v>0</v>
      </c>
      <c r="H49" s="111" t="b">
        <v>0</v>
      </c>
      <c r="I49" s="111" t="b">
        <v>0</v>
      </c>
      <c r="J49" s="111" t="b">
        <v>0</v>
      </c>
      <c r="K49" s="111" t="b">
        <v>0</v>
      </c>
      <c r="L49" s="111" t="b">
        <v>0</v>
      </c>
    </row>
    <row r="50" spans="1:12" ht="15">
      <c r="A50" s="113" t="s">
        <v>840</v>
      </c>
      <c r="B50" s="111" t="s">
        <v>917</v>
      </c>
      <c r="C50" s="111">
        <v>5</v>
      </c>
      <c r="D50" s="115">
        <v>0.0009177567838758947</v>
      </c>
      <c r="E50" s="115">
        <v>1.4042126174155676</v>
      </c>
      <c r="F50" s="111" t="s">
        <v>1990</v>
      </c>
      <c r="G50" s="111" t="b">
        <v>0</v>
      </c>
      <c r="H50" s="111" t="b">
        <v>0</v>
      </c>
      <c r="I50" s="111" t="b">
        <v>0</v>
      </c>
      <c r="J50" s="111" t="b">
        <v>0</v>
      </c>
      <c r="K50" s="111" t="b">
        <v>0</v>
      </c>
      <c r="L50" s="111" t="b">
        <v>0</v>
      </c>
    </row>
    <row r="51" spans="1:12" ht="15">
      <c r="A51" s="113" t="s">
        <v>1159</v>
      </c>
      <c r="B51" s="111" t="s">
        <v>1021</v>
      </c>
      <c r="C51" s="111">
        <v>4</v>
      </c>
      <c r="D51" s="115">
        <v>0.0009524939672389702</v>
      </c>
      <c r="E51" s="115">
        <v>3.0781546160496553</v>
      </c>
      <c r="F51" s="111" t="s">
        <v>1990</v>
      </c>
      <c r="G51" s="111" t="b">
        <v>0</v>
      </c>
      <c r="H51" s="111" t="b">
        <v>0</v>
      </c>
      <c r="I51" s="111" t="b">
        <v>0</v>
      </c>
      <c r="J51" s="111" t="b">
        <v>0</v>
      </c>
      <c r="K51" s="111" t="b">
        <v>0</v>
      </c>
      <c r="L51" s="111" t="b">
        <v>0</v>
      </c>
    </row>
    <row r="52" spans="1:12" ht="15">
      <c r="A52" s="113" t="s">
        <v>956</v>
      </c>
      <c r="B52" s="111" t="s">
        <v>847</v>
      </c>
      <c r="C52" s="111">
        <v>4</v>
      </c>
      <c r="D52" s="115">
        <v>0.0009524939672389702</v>
      </c>
      <c r="E52" s="115">
        <v>1.9754922741525076</v>
      </c>
      <c r="F52" s="111" t="s">
        <v>1990</v>
      </c>
      <c r="G52" s="111" t="b">
        <v>0</v>
      </c>
      <c r="H52" s="111" t="b">
        <v>0</v>
      </c>
      <c r="I52" s="111" t="b">
        <v>0</v>
      </c>
      <c r="J52" s="111" t="b">
        <v>0</v>
      </c>
      <c r="K52" s="111" t="b">
        <v>0</v>
      </c>
      <c r="L52" s="111" t="b">
        <v>0</v>
      </c>
    </row>
    <row r="53" spans="1:12" ht="15">
      <c r="A53" s="113" t="s">
        <v>1028</v>
      </c>
      <c r="B53" s="111" t="s">
        <v>907</v>
      </c>
      <c r="C53" s="111">
        <v>4</v>
      </c>
      <c r="D53" s="115">
        <v>0.0009524939672389702</v>
      </c>
      <c r="E53" s="115">
        <v>2.6010333613299927</v>
      </c>
      <c r="F53" s="111" t="s">
        <v>1990</v>
      </c>
      <c r="G53" s="111" t="b">
        <v>0</v>
      </c>
      <c r="H53" s="111" t="b">
        <v>0</v>
      </c>
      <c r="I53" s="111" t="b">
        <v>0</v>
      </c>
      <c r="J53" s="111" t="b">
        <v>0</v>
      </c>
      <c r="K53" s="111" t="b">
        <v>0</v>
      </c>
      <c r="L53" s="111" t="b">
        <v>0</v>
      </c>
    </row>
    <row r="54" spans="1:12" ht="15">
      <c r="A54" s="113" t="s">
        <v>1040</v>
      </c>
      <c r="B54" s="111" t="s">
        <v>845</v>
      </c>
      <c r="C54" s="111">
        <v>4</v>
      </c>
      <c r="D54" s="115">
        <v>0.0008558997494355245</v>
      </c>
      <c r="E54" s="115">
        <v>2.0674307506578824</v>
      </c>
      <c r="F54" s="111" t="s">
        <v>1990</v>
      </c>
      <c r="G54" s="111" t="b">
        <v>0</v>
      </c>
      <c r="H54" s="111" t="b">
        <v>0</v>
      </c>
      <c r="I54" s="111" t="b">
        <v>0</v>
      </c>
      <c r="J54" s="111" t="b">
        <v>0</v>
      </c>
      <c r="K54" s="111" t="b">
        <v>0</v>
      </c>
      <c r="L54" s="111" t="b">
        <v>0</v>
      </c>
    </row>
    <row r="55" spans="1:12" ht="15">
      <c r="A55" s="113" t="s">
        <v>960</v>
      </c>
      <c r="B55" s="111" t="s">
        <v>848</v>
      </c>
      <c r="C55" s="111">
        <v>4</v>
      </c>
      <c r="D55" s="115">
        <v>0.0007873650612247183</v>
      </c>
      <c r="E55" s="115">
        <v>2.0112078264190423</v>
      </c>
      <c r="F55" s="111" t="s">
        <v>1990</v>
      </c>
      <c r="G55" s="111" t="b">
        <v>0</v>
      </c>
      <c r="H55" s="111" t="b">
        <v>0</v>
      </c>
      <c r="I55" s="111" t="b">
        <v>0</v>
      </c>
      <c r="J55" s="111" t="b">
        <v>0</v>
      </c>
      <c r="K55" s="111" t="b">
        <v>0</v>
      </c>
      <c r="L55" s="111" t="b">
        <v>0</v>
      </c>
    </row>
    <row r="56" spans="1:12" ht="15">
      <c r="A56" s="113" t="s">
        <v>934</v>
      </c>
      <c r="B56" s="111" t="s">
        <v>841</v>
      </c>
      <c r="C56" s="111">
        <v>4</v>
      </c>
      <c r="D56" s="115">
        <v>0.0007873650612247183</v>
      </c>
      <c r="E56" s="115">
        <v>1.4852380041615627</v>
      </c>
      <c r="F56" s="111" t="s">
        <v>1990</v>
      </c>
      <c r="G56" s="111" t="b">
        <v>0</v>
      </c>
      <c r="H56" s="111" t="b">
        <v>0</v>
      </c>
      <c r="I56" s="111" t="b">
        <v>0</v>
      </c>
      <c r="J56" s="111" t="b">
        <v>0</v>
      </c>
      <c r="K56" s="111" t="b">
        <v>0</v>
      </c>
      <c r="L56" s="111" t="b">
        <v>0</v>
      </c>
    </row>
    <row r="57" spans="1:12" ht="15">
      <c r="A57" s="113" t="s">
        <v>841</v>
      </c>
      <c r="B57" s="111" t="s">
        <v>875</v>
      </c>
      <c r="C57" s="111">
        <v>4</v>
      </c>
      <c r="D57" s="115">
        <v>0.0007873650612247183</v>
      </c>
      <c r="E57" s="115">
        <v>1.2952044827842428</v>
      </c>
      <c r="F57" s="111" t="s">
        <v>1990</v>
      </c>
      <c r="G57" s="111" t="b">
        <v>0</v>
      </c>
      <c r="H57" s="111" t="b">
        <v>0</v>
      </c>
      <c r="I57" s="111" t="b">
        <v>0</v>
      </c>
      <c r="J57" s="111" t="b">
        <v>0</v>
      </c>
      <c r="K57" s="111" t="b">
        <v>1</v>
      </c>
      <c r="L57" s="111" t="b">
        <v>0</v>
      </c>
    </row>
    <row r="58" spans="1:12" ht="15">
      <c r="A58" s="113" t="s">
        <v>1045</v>
      </c>
      <c r="B58" s="111" t="s">
        <v>841</v>
      </c>
      <c r="C58" s="111">
        <v>4</v>
      </c>
      <c r="D58" s="115">
        <v>0.0007873650612247183</v>
      </c>
      <c r="E58" s="115">
        <v>1.707086753777919</v>
      </c>
      <c r="F58" s="111" t="s">
        <v>1990</v>
      </c>
      <c r="G58" s="111" t="b">
        <v>0</v>
      </c>
      <c r="H58" s="111" t="b">
        <v>0</v>
      </c>
      <c r="I58" s="111" t="b">
        <v>0</v>
      </c>
      <c r="J58" s="111" t="b">
        <v>0</v>
      </c>
      <c r="K58" s="111" t="b">
        <v>0</v>
      </c>
      <c r="L58" s="111" t="b">
        <v>0</v>
      </c>
    </row>
    <row r="59" spans="1:12" ht="15">
      <c r="A59" s="113" t="s">
        <v>840</v>
      </c>
      <c r="B59" s="111" t="s">
        <v>961</v>
      </c>
      <c r="C59" s="111">
        <v>4</v>
      </c>
      <c r="D59" s="115">
        <v>0.0008558997494355245</v>
      </c>
      <c r="E59" s="115">
        <v>1.4833938634631925</v>
      </c>
      <c r="F59" s="111" t="s">
        <v>1990</v>
      </c>
      <c r="G59" s="111" t="b">
        <v>0</v>
      </c>
      <c r="H59" s="111" t="b">
        <v>0</v>
      </c>
      <c r="I59" s="111" t="b">
        <v>0</v>
      </c>
      <c r="J59" s="111" t="b">
        <v>0</v>
      </c>
      <c r="K59" s="111" t="b">
        <v>0</v>
      </c>
      <c r="L59" s="111" t="b">
        <v>0</v>
      </c>
    </row>
    <row r="60" spans="1:12" ht="15">
      <c r="A60" s="113" t="s">
        <v>967</v>
      </c>
      <c r="B60" s="111" t="s">
        <v>933</v>
      </c>
      <c r="C60" s="111">
        <v>4</v>
      </c>
      <c r="D60" s="115">
        <v>0.0007873650612247183</v>
      </c>
      <c r="E60" s="115">
        <v>2.555275870769318</v>
      </c>
      <c r="F60" s="111" t="s">
        <v>1990</v>
      </c>
      <c r="G60" s="111" t="b">
        <v>0</v>
      </c>
      <c r="H60" s="111" t="b">
        <v>0</v>
      </c>
      <c r="I60" s="111" t="b">
        <v>0</v>
      </c>
      <c r="J60" s="111" t="b">
        <v>0</v>
      </c>
      <c r="K60" s="111" t="b">
        <v>0</v>
      </c>
      <c r="L60" s="111" t="b">
        <v>0</v>
      </c>
    </row>
    <row r="61" spans="1:12" ht="15">
      <c r="A61" s="113" t="s">
        <v>934</v>
      </c>
      <c r="B61" s="111" t="s">
        <v>845</v>
      </c>
      <c r="C61" s="111">
        <v>4</v>
      </c>
      <c r="D61" s="115">
        <v>0.0007873650612247183</v>
      </c>
      <c r="E61" s="115">
        <v>1.8455820010415258</v>
      </c>
      <c r="F61" s="111" t="s">
        <v>1990</v>
      </c>
      <c r="G61" s="111" t="b">
        <v>0</v>
      </c>
      <c r="H61" s="111" t="b">
        <v>0</v>
      </c>
      <c r="I61" s="111" t="b">
        <v>0</v>
      </c>
      <c r="J61" s="111" t="b">
        <v>0</v>
      </c>
      <c r="K61" s="111" t="b">
        <v>0</v>
      </c>
      <c r="L61" s="111" t="b">
        <v>0</v>
      </c>
    </row>
    <row r="62" spans="1:12" ht="15">
      <c r="A62" s="113" t="s">
        <v>848</v>
      </c>
      <c r="B62" s="111" t="s">
        <v>849</v>
      </c>
      <c r="C62" s="111">
        <v>4</v>
      </c>
      <c r="D62" s="115">
        <v>0.0007873650612247183</v>
      </c>
      <c r="E62" s="115">
        <v>1.4091478350910798</v>
      </c>
      <c r="F62" s="111" t="s">
        <v>1990</v>
      </c>
      <c r="G62" s="111" t="b">
        <v>0</v>
      </c>
      <c r="H62" s="111" t="b">
        <v>0</v>
      </c>
      <c r="I62" s="111" t="b">
        <v>0</v>
      </c>
      <c r="J62" s="111" t="b">
        <v>0</v>
      </c>
      <c r="K62" s="111" t="b">
        <v>0</v>
      </c>
      <c r="L62" s="111" t="b">
        <v>0</v>
      </c>
    </row>
    <row r="63" spans="1:12" ht="15">
      <c r="A63" s="113" t="s">
        <v>1203</v>
      </c>
      <c r="B63" s="111" t="s">
        <v>926</v>
      </c>
      <c r="C63" s="111">
        <v>4</v>
      </c>
      <c r="D63" s="115">
        <v>0.0007873650612247183</v>
      </c>
      <c r="E63" s="115">
        <v>2.814913181275074</v>
      </c>
      <c r="F63" s="111" t="s">
        <v>1990</v>
      </c>
      <c r="G63" s="111" t="b">
        <v>0</v>
      </c>
      <c r="H63" s="111" t="b">
        <v>0</v>
      </c>
      <c r="I63" s="111" t="b">
        <v>0</v>
      </c>
      <c r="J63" s="111" t="b">
        <v>0</v>
      </c>
      <c r="K63" s="111" t="b">
        <v>0</v>
      </c>
      <c r="L63" s="111" t="b">
        <v>0</v>
      </c>
    </row>
    <row r="64" spans="1:12" ht="15">
      <c r="A64" s="113" t="s">
        <v>926</v>
      </c>
      <c r="B64" s="111" t="s">
        <v>1042</v>
      </c>
      <c r="C64" s="111">
        <v>4</v>
      </c>
      <c r="D64" s="115">
        <v>0.0007873650612247183</v>
      </c>
      <c r="E64" s="115">
        <v>2.6388219222193925</v>
      </c>
      <c r="F64" s="111" t="s">
        <v>1990</v>
      </c>
      <c r="G64" s="111" t="b">
        <v>0</v>
      </c>
      <c r="H64" s="111" t="b">
        <v>0</v>
      </c>
      <c r="I64" s="111" t="b">
        <v>0</v>
      </c>
      <c r="J64" s="111" t="b">
        <v>0</v>
      </c>
      <c r="K64" s="111" t="b">
        <v>0</v>
      </c>
      <c r="L64" s="111" t="b">
        <v>0</v>
      </c>
    </row>
    <row r="65" spans="1:12" ht="15">
      <c r="A65" s="113" t="s">
        <v>1042</v>
      </c>
      <c r="B65" s="111" t="s">
        <v>1204</v>
      </c>
      <c r="C65" s="111">
        <v>4</v>
      </c>
      <c r="D65" s="115">
        <v>0.0007873650612247183</v>
      </c>
      <c r="E65" s="115">
        <v>3.0781546160496553</v>
      </c>
      <c r="F65" s="111" t="s">
        <v>1990</v>
      </c>
      <c r="G65" s="111" t="b">
        <v>0</v>
      </c>
      <c r="H65" s="111" t="b">
        <v>0</v>
      </c>
      <c r="I65" s="111" t="b">
        <v>0</v>
      </c>
      <c r="J65" s="111" t="b">
        <v>0</v>
      </c>
      <c r="K65" s="111" t="b">
        <v>0</v>
      </c>
      <c r="L65" s="111" t="b">
        <v>0</v>
      </c>
    </row>
    <row r="66" spans="1:12" ht="15">
      <c r="A66" s="113" t="s">
        <v>1204</v>
      </c>
      <c r="B66" s="111" t="s">
        <v>1205</v>
      </c>
      <c r="C66" s="111">
        <v>4</v>
      </c>
      <c r="D66" s="115">
        <v>0.0007873650612247183</v>
      </c>
      <c r="E66" s="115">
        <v>3.2542458751053367</v>
      </c>
      <c r="F66" s="111" t="s">
        <v>1990</v>
      </c>
      <c r="G66" s="111" t="b">
        <v>0</v>
      </c>
      <c r="H66" s="111" t="b">
        <v>0</v>
      </c>
      <c r="I66" s="111" t="b">
        <v>0</v>
      </c>
      <c r="J66" s="111" t="b">
        <v>0</v>
      </c>
      <c r="K66" s="111" t="b">
        <v>0</v>
      </c>
      <c r="L66" s="111" t="b">
        <v>0</v>
      </c>
    </row>
    <row r="67" spans="1:12" ht="15">
      <c r="A67" s="113" t="s">
        <v>1205</v>
      </c>
      <c r="B67" s="111" t="s">
        <v>847</v>
      </c>
      <c r="C67" s="111">
        <v>4</v>
      </c>
      <c r="D67" s="115">
        <v>0.0007873650612247183</v>
      </c>
      <c r="E67" s="115">
        <v>2.2765222698164886</v>
      </c>
      <c r="F67" s="111" t="s">
        <v>1990</v>
      </c>
      <c r="G67" s="111" t="b">
        <v>0</v>
      </c>
      <c r="H67" s="111" t="b">
        <v>0</v>
      </c>
      <c r="I67" s="111" t="b">
        <v>0</v>
      </c>
      <c r="J67" s="111" t="b">
        <v>0</v>
      </c>
      <c r="K67" s="111" t="b">
        <v>0</v>
      </c>
      <c r="L67" s="111" t="b">
        <v>0</v>
      </c>
    </row>
    <row r="68" spans="1:12" ht="15">
      <c r="A68" s="113" t="s">
        <v>847</v>
      </c>
      <c r="B68" s="111" t="s">
        <v>867</v>
      </c>
      <c r="C68" s="111">
        <v>4</v>
      </c>
      <c r="D68" s="115">
        <v>0.0007873650612247183</v>
      </c>
      <c r="E68" s="115">
        <v>1.5775522654804701</v>
      </c>
      <c r="F68" s="111" t="s">
        <v>1990</v>
      </c>
      <c r="G68" s="111" t="b">
        <v>0</v>
      </c>
      <c r="H68" s="111" t="b">
        <v>0</v>
      </c>
      <c r="I68" s="111" t="b">
        <v>0</v>
      </c>
      <c r="J68" s="111" t="b">
        <v>0</v>
      </c>
      <c r="K68" s="111" t="b">
        <v>0</v>
      </c>
      <c r="L68" s="111" t="b">
        <v>0</v>
      </c>
    </row>
    <row r="69" spans="1:12" ht="15">
      <c r="A69" s="113" t="s">
        <v>867</v>
      </c>
      <c r="B69" s="111" t="s">
        <v>965</v>
      </c>
      <c r="C69" s="111">
        <v>4</v>
      </c>
      <c r="D69" s="115">
        <v>0.0007873650612247183</v>
      </c>
      <c r="E69" s="115">
        <v>2.2542458751053367</v>
      </c>
      <c r="F69" s="111" t="s">
        <v>1990</v>
      </c>
      <c r="G69" s="111" t="b">
        <v>0</v>
      </c>
      <c r="H69" s="111" t="b">
        <v>0</v>
      </c>
      <c r="I69" s="111" t="b">
        <v>0</v>
      </c>
      <c r="J69" s="111" t="b">
        <v>0</v>
      </c>
      <c r="K69" s="111" t="b">
        <v>0</v>
      </c>
      <c r="L69" s="111" t="b">
        <v>0</v>
      </c>
    </row>
    <row r="70" spans="1:12" ht="15">
      <c r="A70" s="113" t="s">
        <v>965</v>
      </c>
      <c r="B70" s="111" t="s">
        <v>1064</v>
      </c>
      <c r="C70" s="111">
        <v>4</v>
      </c>
      <c r="D70" s="115">
        <v>0.0007873650612247183</v>
      </c>
      <c r="E70" s="115">
        <v>2.777124620385674</v>
      </c>
      <c r="F70" s="111" t="s">
        <v>1990</v>
      </c>
      <c r="G70" s="111" t="b">
        <v>0</v>
      </c>
      <c r="H70" s="111" t="b">
        <v>0</v>
      </c>
      <c r="I70" s="111" t="b">
        <v>0</v>
      </c>
      <c r="J70" s="111" t="b">
        <v>0</v>
      </c>
      <c r="K70" s="111" t="b">
        <v>0</v>
      </c>
      <c r="L70" s="111" t="b">
        <v>0</v>
      </c>
    </row>
    <row r="71" spans="1:12" ht="15">
      <c r="A71" s="113" t="s">
        <v>1064</v>
      </c>
      <c r="B71" s="111" t="s">
        <v>1067</v>
      </c>
      <c r="C71" s="111">
        <v>4</v>
      </c>
      <c r="D71" s="115">
        <v>0.0007873650612247183</v>
      </c>
      <c r="E71" s="115">
        <v>2.902063356993974</v>
      </c>
      <c r="F71" s="111" t="s">
        <v>1990</v>
      </c>
      <c r="G71" s="111" t="b">
        <v>0</v>
      </c>
      <c r="H71" s="111" t="b">
        <v>0</v>
      </c>
      <c r="I71" s="111" t="b">
        <v>0</v>
      </c>
      <c r="J71" s="111" t="b">
        <v>0</v>
      </c>
      <c r="K71" s="111" t="b">
        <v>0</v>
      </c>
      <c r="L71" s="111" t="b">
        <v>0</v>
      </c>
    </row>
    <row r="72" spans="1:12" ht="15">
      <c r="A72" s="113" t="s">
        <v>1067</v>
      </c>
      <c r="B72" s="111" t="s">
        <v>840</v>
      </c>
      <c r="C72" s="111">
        <v>4</v>
      </c>
      <c r="D72" s="115">
        <v>0.0007873650612247183</v>
      </c>
      <c r="E72" s="115">
        <v>1.601033361329993</v>
      </c>
      <c r="F72" s="111" t="s">
        <v>1990</v>
      </c>
      <c r="G72" s="111" t="b">
        <v>0</v>
      </c>
      <c r="H72" s="111" t="b">
        <v>0</v>
      </c>
      <c r="I72" s="111" t="b">
        <v>0</v>
      </c>
      <c r="J72" s="111" t="b">
        <v>0</v>
      </c>
      <c r="K72" s="111" t="b">
        <v>0</v>
      </c>
      <c r="L72" s="111" t="b">
        <v>0</v>
      </c>
    </row>
    <row r="73" spans="1:12" ht="15">
      <c r="A73" s="113" t="s">
        <v>840</v>
      </c>
      <c r="B73" s="111" t="s">
        <v>865</v>
      </c>
      <c r="C73" s="111">
        <v>4</v>
      </c>
      <c r="D73" s="115">
        <v>0.0007873650612247183</v>
      </c>
      <c r="E73" s="115">
        <v>1.0854538547911547</v>
      </c>
      <c r="F73" s="111" t="s">
        <v>1990</v>
      </c>
      <c r="G73" s="111" t="b">
        <v>0</v>
      </c>
      <c r="H73" s="111" t="b">
        <v>0</v>
      </c>
      <c r="I73" s="111" t="b">
        <v>0</v>
      </c>
      <c r="J73" s="111" t="b">
        <v>0</v>
      </c>
      <c r="K73" s="111" t="b">
        <v>0</v>
      </c>
      <c r="L73" s="111" t="b">
        <v>0</v>
      </c>
    </row>
    <row r="74" spans="1:12" ht="15">
      <c r="A74" s="113" t="s">
        <v>865</v>
      </c>
      <c r="B74" s="111" t="s">
        <v>1206</v>
      </c>
      <c r="C74" s="111">
        <v>4</v>
      </c>
      <c r="D74" s="115">
        <v>0.0007873650612247183</v>
      </c>
      <c r="E74" s="115">
        <v>2.5340865716993797</v>
      </c>
      <c r="F74" s="111" t="s">
        <v>1990</v>
      </c>
      <c r="G74" s="111" t="b">
        <v>0</v>
      </c>
      <c r="H74" s="111" t="b">
        <v>0</v>
      </c>
      <c r="I74" s="111" t="b">
        <v>0</v>
      </c>
      <c r="J74" s="111" t="b">
        <v>0</v>
      </c>
      <c r="K74" s="111" t="b">
        <v>0</v>
      </c>
      <c r="L74" s="111" t="b">
        <v>0</v>
      </c>
    </row>
    <row r="75" spans="1:12" ht="15">
      <c r="A75" s="113" t="s">
        <v>1206</v>
      </c>
      <c r="B75" s="111" t="s">
        <v>1207</v>
      </c>
      <c r="C75" s="111">
        <v>4</v>
      </c>
      <c r="D75" s="115">
        <v>0.0007873650612247183</v>
      </c>
      <c r="E75" s="115">
        <v>3.2542458751053367</v>
      </c>
      <c r="F75" s="111" t="s">
        <v>1990</v>
      </c>
      <c r="G75" s="111" t="b">
        <v>0</v>
      </c>
      <c r="H75" s="111" t="b">
        <v>0</v>
      </c>
      <c r="I75" s="111" t="b">
        <v>0</v>
      </c>
      <c r="J75" s="111" t="b">
        <v>1</v>
      </c>
      <c r="K75" s="111" t="b">
        <v>0</v>
      </c>
      <c r="L75" s="111" t="b">
        <v>0</v>
      </c>
    </row>
    <row r="76" spans="1:12" ht="15">
      <c r="A76" s="113" t="s">
        <v>1207</v>
      </c>
      <c r="B76" s="111" t="s">
        <v>893</v>
      </c>
      <c r="C76" s="111">
        <v>4</v>
      </c>
      <c r="D76" s="115">
        <v>0.0007873650612247183</v>
      </c>
      <c r="E76" s="115">
        <v>2.710177830755061</v>
      </c>
      <c r="F76" s="111" t="s">
        <v>1990</v>
      </c>
      <c r="G76" s="111" t="b">
        <v>1</v>
      </c>
      <c r="H76" s="111" t="b">
        <v>0</v>
      </c>
      <c r="I76" s="111" t="b">
        <v>0</v>
      </c>
      <c r="J76" s="111" t="b">
        <v>0</v>
      </c>
      <c r="K76" s="111" t="b">
        <v>0</v>
      </c>
      <c r="L76" s="111" t="b">
        <v>0</v>
      </c>
    </row>
    <row r="77" spans="1:12" ht="15">
      <c r="A77" s="113" t="s">
        <v>893</v>
      </c>
      <c r="B77" s="111" t="s">
        <v>855</v>
      </c>
      <c r="C77" s="111">
        <v>4</v>
      </c>
      <c r="D77" s="115">
        <v>0.0007873650612247183</v>
      </c>
      <c r="E77" s="115">
        <v>1.9698151412608171</v>
      </c>
      <c r="F77" s="111" t="s">
        <v>1990</v>
      </c>
      <c r="G77" s="111" t="b">
        <v>0</v>
      </c>
      <c r="H77" s="111" t="b">
        <v>0</v>
      </c>
      <c r="I77" s="111" t="b">
        <v>0</v>
      </c>
      <c r="J77" s="111" t="b">
        <v>0</v>
      </c>
      <c r="K77" s="111" t="b">
        <v>0</v>
      </c>
      <c r="L77" s="111" t="b">
        <v>0</v>
      </c>
    </row>
    <row r="78" spans="1:12" ht="15">
      <c r="A78" s="113" t="s">
        <v>889</v>
      </c>
      <c r="B78" s="111" t="s">
        <v>1068</v>
      </c>
      <c r="C78" s="111">
        <v>4</v>
      </c>
      <c r="D78" s="115">
        <v>0.0007873650612247183</v>
      </c>
      <c r="E78" s="115">
        <v>2.5340865716993797</v>
      </c>
      <c r="F78" s="111" t="s">
        <v>1990</v>
      </c>
      <c r="G78" s="111" t="b">
        <v>0</v>
      </c>
      <c r="H78" s="111" t="b">
        <v>0</v>
      </c>
      <c r="I78" s="111" t="b">
        <v>0</v>
      </c>
      <c r="J78" s="111" t="b">
        <v>0</v>
      </c>
      <c r="K78" s="111" t="b">
        <v>0</v>
      </c>
      <c r="L78" s="111" t="b">
        <v>0</v>
      </c>
    </row>
    <row r="79" spans="1:12" ht="15">
      <c r="A79" s="113" t="s">
        <v>1068</v>
      </c>
      <c r="B79" s="111" t="s">
        <v>884</v>
      </c>
      <c r="C79" s="111">
        <v>4</v>
      </c>
      <c r="D79" s="115">
        <v>0.0007873650612247183</v>
      </c>
      <c r="E79" s="115">
        <v>2.5041233483219365</v>
      </c>
      <c r="F79" s="111" t="s">
        <v>1990</v>
      </c>
      <c r="G79" s="111" t="b">
        <v>0</v>
      </c>
      <c r="H79" s="111" t="b">
        <v>0</v>
      </c>
      <c r="I79" s="111" t="b">
        <v>0</v>
      </c>
      <c r="J79" s="111" t="b">
        <v>0</v>
      </c>
      <c r="K79" s="111" t="b">
        <v>0</v>
      </c>
      <c r="L79" s="111" t="b">
        <v>0</v>
      </c>
    </row>
    <row r="80" spans="1:12" ht="15">
      <c r="A80" s="113" t="s">
        <v>1071</v>
      </c>
      <c r="B80" s="111" t="s">
        <v>1224</v>
      </c>
      <c r="C80" s="111">
        <v>4</v>
      </c>
      <c r="D80" s="115">
        <v>0.001117622873253222</v>
      </c>
      <c r="E80" s="115">
        <v>3.0781546160496553</v>
      </c>
      <c r="F80" s="111" t="s">
        <v>1990</v>
      </c>
      <c r="G80" s="111" t="b">
        <v>0</v>
      </c>
      <c r="H80" s="111" t="b">
        <v>0</v>
      </c>
      <c r="I80" s="111" t="b">
        <v>0</v>
      </c>
      <c r="J80" s="111" t="b">
        <v>0</v>
      </c>
      <c r="K80" s="111" t="b">
        <v>0</v>
      </c>
      <c r="L80" s="111" t="b">
        <v>0</v>
      </c>
    </row>
    <row r="81" spans="1:12" ht="15">
      <c r="A81" s="113" t="s">
        <v>885</v>
      </c>
      <c r="B81" s="111" t="s">
        <v>894</v>
      </c>
      <c r="C81" s="111">
        <v>4</v>
      </c>
      <c r="D81" s="115">
        <v>0.0007873650612247183</v>
      </c>
      <c r="E81" s="115">
        <v>2.1661097864047854</v>
      </c>
      <c r="F81" s="111" t="s">
        <v>1990</v>
      </c>
      <c r="G81" s="111" t="b">
        <v>0</v>
      </c>
      <c r="H81" s="111" t="b">
        <v>0</v>
      </c>
      <c r="I81" s="111" t="b">
        <v>0</v>
      </c>
      <c r="J81" s="111" t="b">
        <v>0</v>
      </c>
      <c r="K81" s="111" t="b">
        <v>0</v>
      </c>
      <c r="L81" s="111" t="b">
        <v>0</v>
      </c>
    </row>
    <row r="82" spans="1:12" ht="15">
      <c r="A82" s="113" t="s">
        <v>941</v>
      </c>
      <c r="B82" s="111" t="s">
        <v>1129</v>
      </c>
      <c r="C82" s="111">
        <v>4</v>
      </c>
      <c r="D82" s="115">
        <v>0.0007873650612247183</v>
      </c>
      <c r="E82" s="115">
        <v>2.7593958534252425</v>
      </c>
      <c r="F82" s="111" t="s">
        <v>1990</v>
      </c>
      <c r="G82" s="111" t="b">
        <v>0</v>
      </c>
      <c r="H82" s="111" t="b">
        <v>0</v>
      </c>
      <c r="I82" s="111" t="b">
        <v>0</v>
      </c>
      <c r="J82" s="111" t="b">
        <v>0</v>
      </c>
      <c r="K82" s="111" t="b">
        <v>0</v>
      </c>
      <c r="L82" s="111" t="b">
        <v>0</v>
      </c>
    </row>
    <row r="83" spans="1:12" ht="15">
      <c r="A83" s="113" t="s">
        <v>1129</v>
      </c>
      <c r="B83" s="111" t="s">
        <v>953</v>
      </c>
      <c r="C83" s="111">
        <v>4</v>
      </c>
      <c r="D83" s="115">
        <v>0.0007873650612247183</v>
      </c>
      <c r="E83" s="115">
        <v>2.8051533439859178</v>
      </c>
      <c r="F83" s="111" t="s">
        <v>1990</v>
      </c>
      <c r="G83" s="111" t="b">
        <v>0</v>
      </c>
      <c r="H83" s="111" t="b">
        <v>0</v>
      </c>
      <c r="I83" s="111" t="b">
        <v>0</v>
      </c>
      <c r="J83" s="111" t="b">
        <v>0</v>
      </c>
      <c r="K83" s="111" t="b">
        <v>0</v>
      </c>
      <c r="L83" s="111" t="b">
        <v>0</v>
      </c>
    </row>
    <row r="84" spans="1:12" ht="15">
      <c r="A84" s="113" t="s">
        <v>953</v>
      </c>
      <c r="B84" s="111" t="s">
        <v>1232</v>
      </c>
      <c r="C84" s="111">
        <v>4</v>
      </c>
      <c r="D84" s="115">
        <v>0.0007873650612247183</v>
      </c>
      <c r="E84" s="115">
        <v>2.902063356993974</v>
      </c>
      <c r="F84" s="111" t="s">
        <v>1990</v>
      </c>
      <c r="G84" s="111" t="b">
        <v>0</v>
      </c>
      <c r="H84" s="111" t="b">
        <v>0</v>
      </c>
      <c r="I84" s="111" t="b">
        <v>0</v>
      </c>
      <c r="J84" s="111" t="b">
        <v>0</v>
      </c>
      <c r="K84" s="111" t="b">
        <v>0</v>
      </c>
      <c r="L84" s="111" t="b">
        <v>0</v>
      </c>
    </row>
    <row r="85" spans="1:12" ht="15">
      <c r="A85" s="113" t="s">
        <v>1232</v>
      </c>
      <c r="B85" s="111" t="s">
        <v>936</v>
      </c>
      <c r="C85" s="111">
        <v>4</v>
      </c>
      <c r="D85" s="115">
        <v>0.0007873650612247183</v>
      </c>
      <c r="E85" s="115">
        <v>2.8563058664332988</v>
      </c>
      <c r="F85" s="111" t="s">
        <v>1990</v>
      </c>
      <c r="G85" s="111" t="b">
        <v>0</v>
      </c>
      <c r="H85" s="111" t="b">
        <v>0</v>
      </c>
      <c r="I85" s="111" t="b">
        <v>0</v>
      </c>
      <c r="J85" s="111" t="b">
        <v>0</v>
      </c>
      <c r="K85" s="111" t="b">
        <v>0</v>
      </c>
      <c r="L85" s="111" t="b">
        <v>0</v>
      </c>
    </row>
    <row r="86" spans="1:12" ht="15">
      <c r="A86" s="113" t="s">
        <v>936</v>
      </c>
      <c r="B86" s="111" t="s">
        <v>1233</v>
      </c>
      <c r="C86" s="111">
        <v>4</v>
      </c>
      <c r="D86" s="115">
        <v>0.0007873650612247183</v>
      </c>
      <c r="E86" s="115">
        <v>2.8563058664332988</v>
      </c>
      <c r="F86" s="111" t="s">
        <v>1990</v>
      </c>
      <c r="G86" s="111" t="b">
        <v>0</v>
      </c>
      <c r="H86" s="111" t="b">
        <v>0</v>
      </c>
      <c r="I86" s="111" t="b">
        <v>0</v>
      </c>
      <c r="J86" s="111" t="b">
        <v>0</v>
      </c>
      <c r="K86" s="111" t="b">
        <v>0</v>
      </c>
      <c r="L86" s="111" t="b">
        <v>0</v>
      </c>
    </row>
    <row r="87" spans="1:12" ht="15">
      <c r="A87" s="113" t="s">
        <v>1233</v>
      </c>
      <c r="B87" s="111" t="s">
        <v>1234</v>
      </c>
      <c r="C87" s="111">
        <v>4</v>
      </c>
      <c r="D87" s="115">
        <v>0.0007873650612247183</v>
      </c>
      <c r="E87" s="115">
        <v>3.2542458751053367</v>
      </c>
      <c r="F87" s="111" t="s">
        <v>1990</v>
      </c>
      <c r="G87" s="111" t="b">
        <v>0</v>
      </c>
      <c r="H87" s="111" t="b">
        <v>0</v>
      </c>
      <c r="I87" s="111" t="b">
        <v>0</v>
      </c>
      <c r="J87" s="111" t="b">
        <v>0</v>
      </c>
      <c r="K87" s="111" t="b">
        <v>0</v>
      </c>
      <c r="L87" s="111" t="b">
        <v>0</v>
      </c>
    </row>
    <row r="88" spans="1:12" ht="15">
      <c r="A88" s="113" t="s">
        <v>1234</v>
      </c>
      <c r="B88" s="111" t="s">
        <v>1130</v>
      </c>
      <c r="C88" s="111">
        <v>4</v>
      </c>
      <c r="D88" s="115">
        <v>0.0007873650612247183</v>
      </c>
      <c r="E88" s="115">
        <v>3.15733586209728</v>
      </c>
      <c r="F88" s="111" t="s">
        <v>1990</v>
      </c>
      <c r="G88" s="111" t="b">
        <v>0</v>
      </c>
      <c r="H88" s="111" t="b">
        <v>0</v>
      </c>
      <c r="I88" s="111" t="b">
        <v>0</v>
      </c>
      <c r="J88" s="111" t="b">
        <v>0</v>
      </c>
      <c r="K88" s="111" t="b">
        <v>0</v>
      </c>
      <c r="L88" s="111" t="b">
        <v>0</v>
      </c>
    </row>
    <row r="89" spans="1:12" ht="15">
      <c r="A89" s="113" t="s">
        <v>1130</v>
      </c>
      <c r="B89" s="111" t="s">
        <v>1007</v>
      </c>
      <c r="C89" s="111">
        <v>4</v>
      </c>
      <c r="D89" s="115">
        <v>0.0007873650612247183</v>
      </c>
      <c r="E89" s="115">
        <v>2.9142978134109856</v>
      </c>
      <c r="F89" s="111" t="s">
        <v>1990</v>
      </c>
      <c r="G89" s="111" t="b">
        <v>0</v>
      </c>
      <c r="H89" s="111" t="b">
        <v>0</v>
      </c>
      <c r="I89" s="111" t="b">
        <v>0</v>
      </c>
      <c r="J89" s="111" t="b">
        <v>0</v>
      </c>
      <c r="K89" s="111" t="b">
        <v>0</v>
      </c>
      <c r="L89" s="111" t="b">
        <v>0</v>
      </c>
    </row>
    <row r="90" spans="1:12" ht="15">
      <c r="A90" s="113" t="s">
        <v>1007</v>
      </c>
      <c r="B90" s="111" t="s">
        <v>871</v>
      </c>
      <c r="C90" s="111">
        <v>4</v>
      </c>
      <c r="D90" s="115">
        <v>0.0007873650612247183</v>
      </c>
      <c r="E90" s="115">
        <v>2.3579953126436983</v>
      </c>
      <c r="F90" s="111" t="s">
        <v>1990</v>
      </c>
      <c r="G90" s="111" t="b">
        <v>0</v>
      </c>
      <c r="H90" s="111" t="b">
        <v>0</v>
      </c>
      <c r="I90" s="111" t="b">
        <v>0</v>
      </c>
      <c r="J90" s="111" t="b">
        <v>0</v>
      </c>
      <c r="K90" s="111" t="b">
        <v>0</v>
      </c>
      <c r="L90" s="111" t="b">
        <v>0</v>
      </c>
    </row>
    <row r="91" spans="1:12" ht="15">
      <c r="A91" s="113" t="s">
        <v>1074</v>
      </c>
      <c r="B91" s="111" t="s">
        <v>1133</v>
      </c>
      <c r="C91" s="111">
        <v>4</v>
      </c>
      <c r="D91" s="115">
        <v>0.0007873650612247183</v>
      </c>
      <c r="E91" s="115">
        <v>2.981244603041599</v>
      </c>
      <c r="F91" s="111" t="s">
        <v>1990</v>
      </c>
      <c r="G91" s="111" t="b">
        <v>0</v>
      </c>
      <c r="H91" s="111" t="b">
        <v>0</v>
      </c>
      <c r="I91" s="111" t="b">
        <v>0</v>
      </c>
      <c r="J91" s="111" t="b">
        <v>0</v>
      </c>
      <c r="K91" s="111" t="b">
        <v>0</v>
      </c>
      <c r="L91" s="111" t="b">
        <v>0</v>
      </c>
    </row>
    <row r="92" spans="1:12" ht="15">
      <c r="A92" s="113" t="s">
        <v>1137</v>
      </c>
      <c r="B92" s="111" t="s">
        <v>840</v>
      </c>
      <c r="C92" s="111">
        <v>4</v>
      </c>
      <c r="D92" s="115">
        <v>0.0009524939672389702</v>
      </c>
      <c r="E92" s="115">
        <v>1.6802146073776179</v>
      </c>
      <c r="F92" s="111" t="s">
        <v>1990</v>
      </c>
      <c r="G92" s="111" t="b">
        <v>0</v>
      </c>
      <c r="H92" s="111" t="b">
        <v>0</v>
      </c>
      <c r="I92" s="111" t="b">
        <v>0</v>
      </c>
      <c r="J92" s="111" t="b">
        <v>0</v>
      </c>
      <c r="K92" s="111" t="b">
        <v>0</v>
      </c>
      <c r="L92" s="111" t="b">
        <v>0</v>
      </c>
    </row>
    <row r="93" spans="1:12" ht="15">
      <c r="A93" s="113" t="s">
        <v>1014</v>
      </c>
      <c r="B93" s="111" t="s">
        <v>1083</v>
      </c>
      <c r="C93" s="111">
        <v>4</v>
      </c>
      <c r="D93" s="115">
        <v>0.001117622873253222</v>
      </c>
      <c r="E93" s="115">
        <v>2.835116567363361</v>
      </c>
      <c r="F93" s="111" t="s">
        <v>1990</v>
      </c>
      <c r="G93" s="111" t="b">
        <v>0</v>
      </c>
      <c r="H93" s="111" t="b">
        <v>0</v>
      </c>
      <c r="I93" s="111" t="b">
        <v>0</v>
      </c>
      <c r="J93" s="111" t="b">
        <v>0</v>
      </c>
      <c r="K93" s="111" t="b">
        <v>0</v>
      </c>
      <c r="L93" s="111" t="b">
        <v>0</v>
      </c>
    </row>
    <row r="94" spans="1:12" ht="15">
      <c r="A94" s="113" t="s">
        <v>1252</v>
      </c>
      <c r="B94" s="111" t="s">
        <v>1084</v>
      </c>
      <c r="C94" s="111">
        <v>4</v>
      </c>
      <c r="D94" s="115">
        <v>0.0008558997494355245</v>
      </c>
      <c r="E94" s="115">
        <v>3.0781546160496553</v>
      </c>
      <c r="F94" s="111" t="s">
        <v>1990</v>
      </c>
      <c r="G94" s="111" t="b">
        <v>0</v>
      </c>
      <c r="H94" s="111" t="b">
        <v>0</v>
      </c>
      <c r="I94" s="111" t="b">
        <v>0</v>
      </c>
      <c r="J94" s="111" t="b">
        <v>0</v>
      </c>
      <c r="K94" s="111" t="b">
        <v>0</v>
      </c>
      <c r="L94" s="111" t="b">
        <v>0</v>
      </c>
    </row>
    <row r="95" spans="1:12" ht="15">
      <c r="A95" s="113" t="s">
        <v>851</v>
      </c>
      <c r="B95" s="111" t="s">
        <v>1265</v>
      </c>
      <c r="C95" s="111">
        <v>4</v>
      </c>
      <c r="D95" s="115">
        <v>0.0009524939672389702</v>
      </c>
      <c r="E95" s="115">
        <v>2.364944172599026</v>
      </c>
      <c r="F95" s="111" t="s">
        <v>1990</v>
      </c>
      <c r="G95" s="111" t="b">
        <v>0</v>
      </c>
      <c r="H95" s="111" t="b">
        <v>0</v>
      </c>
      <c r="I95" s="111" t="b">
        <v>0</v>
      </c>
      <c r="J95" s="111" t="b">
        <v>0</v>
      </c>
      <c r="K95" s="111" t="b">
        <v>0</v>
      </c>
      <c r="L95" s="111" t="b">
        <v>0</v>
      </c>
    </row>
    <row r="96" spans="1:12" ht="15">
      <c r="A96" s="113" t="s">
        <v>1267</v>
      </c>
      <c r="B96" s="111" t="s">
        <v>980</v>
      </c>
      <c r="C96" s="111">
        <v>4</v>
      </c>
      <c r="D96" s="115">
        <v>0.0009524939672389702</v>
      </c>
      <c r="E96" s="115">
        <v>2.9532158794413554</v>
      </c>
      <c r="F96" s="111" t="s">
        <v>1990</v>
      </c>
      <c r="G96" s="111" t="b">
        <v>0</v>
      </c>
      <c r="H96" s="111" t="b">
        <v>0</v>
      </c>
      <c r="I96" s="111" t="b">
        <v>0</v>
      </c>
      <c r="J96" s="111" t="b">
        <v>0</v>
      </c>
      <c r="K96" s="111" t="b">
        <v>0</v>
      </c>
      <c r="L96" s="111" t="b">
        <v>0</v>
      </c>
    </row>
    <row r="97" spans="1:12" ht="15">
      <c r="A97" s="113" t="s">
        <v>857</v>
      </c>
      <c r="B97" s="111" t="s">
        <v>1273</v>
      </c>
      <c r="C97" s="111">
        <v>4</v>
      </c>
      <c r="D97" s="115">
        <v>0.001117622873253222</v>
      </c>
      <c r="E97" s="115">
        <v>2.494578030415706</v>
      </c>
      <c r="F97" s="111" t="s">
        <v>1990</v>
      </c>
      <c r="G97" s="111" t="b">
        <v>0</v>
      </c>
      <c r="H97" s="111" t="b">
        <v>0</v>
      </c>
      <c r="I97" s="111" t="b">
        <v>0</v>
      </c>
      <c r="J97" s="111" t="b">
        <v>0</v>
      </c>
      <c r="K97" s="111" t="b">
        <v>0</v>
      </c>
      <c r="L97" s="111" t="b">
        <v>0</v>
      </c>
    </row>
    <row r="98" spans="1:12" ht="15">
      <c r="A98" s="113" t="s">
        <v>840</v>
      </c>
      <c r="B98" s="111" t="s">
        <v>868</v>
      </c>
      <c r="C98" s="111">
        <v>3</v>
      </c>
      <c r="D98" s="115">
        <v>0.0006419248120766433</v>
      </c>
      <c r="E98" s="115">
        <v>0.9605151181828547</v>
      </c>
      <c r="F98" s="111" t="s">
        <v>1990</v>
      </c>
      <c r="G98" s="111" t="b">
        <v>0</v>
      </c>
      <c r="H98" s="111" t="b">
        <v>0</v>
      </c>
      <c r="I98" s="111" t="b">
        <v>0</v>
      </c>
      <c r="J98" s="111" t="b">
        <v>0</v>
      </c>
      <c r="K98" s="111" t="b">
        <v>0</v>
      </c>
      <c r="L98" s="111" t="b">
        <v>0</v>
      </c>
    </row>
    <row r="99" spans="1:12" ht="15">
      <c r="A99" s="113" t="s">
        <v>1022</v>
      </c>
      <c r="B99" s="111" t="s">
        <v>850</v>
      </c>
      <c r="C99" s="111">
        <v>3</v>
      </c>
      <c r="D99" s="115">
        <v>0.0006419248120766433</v>
      </c>
      <c r="E99" s="115">
        <v>2.063914176935045</v>
      </c>
      <c r="F99" s="111" t="s">
        <v>1990</v>
      </c>
      <c r="G99" s="111" t="b">
        <v>0</v>
      </c>
      <c r="H99" s="111" t="b">
        <v>0</v>
      </c>
      <c r="I99" s="111" t="b">
        <v>0</v>
      </c>
      <c r="J99" s="111" t="b">
        <v>0</v>
      </c>
      <c r="K99" s="111" t="b">
        <v>0</v>
      </c>
      <c r="L99" s="111" t="b">
        <v>0</v>
      </c>
    </row>
    <row r="100" spans="1:12" ht="15">
      <c r="A100" s="113" t="s">
        <v>1162</v>
      </c>
      <c r="B100" s="111" t="s">
        <v>1023</v>
      </c>
      <c r="C100" s="111">
        <v>3</v>
      </c>
      <c r="D100" s="115">
        <v>0.0006419248120766433</v>
      </c>
      <c r="E100" s="115">
        <v>2.9532158794413554</v>
      </c>
      <c r="F100" s="111" t="s">
        <v>1990</v>
      </c>
      <c r="G100" s="111" t="b">
        <v>0</v>
      </c>
      <c r="H100" s="111" t="b">
        <v>0</v>
      </c>
      <c r="I100" s="111" t="b">
        <v>0</v>
      </c>
      <c r="J100" s="111" t="b">
        <v>0</v>
      </c>
      <c r="K100" s="111" t="b">
        <v>0</v>
      </c>
      <c r="L100" s="111" t="b">
        <v>0</v>
      </c>
    </row>
    <row r="101" spans="1:12" ht="15">
      <c r="A101" s="113" t="s">
        <v>1023</v>
      </c>
      <c r="B101" s="111" t="s">
        <v>986</v>
      </c>
      <c r="C101" s="111">
        <v>3</v>
      </c>
      <c r="D101" s="115">
        <v>0.0006419248120766433</v>
      </c>
      <c r="E101" s="115">
        <v>2.710177830755061</v>
      </c>
      <c r="F101" s="111" t="s">
        <v>1990</v>
      </c>
      <c r="G101" s="111" t="b">
        <v>0</v>
      </c>
      <c r="H101" s="111" t="b">
        <v>0</v>
      </c>
      <c r="I101" s="111" t="b">
        <v>0</v>
      </c>
      <c r="J101" s="111" t="b">
        <v>0</v>
      </c>
      <c r="K101" s="111" t="b">
        <v>0</v>
      </c>
      <c r="L101" s="111" t="b">
        <v>0</v>
      </c>
    </row>
    <row r="102" spans="1:12" ht="15">
      <c r="A102" s="113" t="s">
        <v>1283</v>
      </c>
      <c r="B102" s="111" t="s">
        <v>840</v>
      </c>
      <c r="C102" s="111">
        <v>3</v>
      </c>
      <c r="D102" s="115">
        <v>0.0006419248120766433</v>
      </c>
      <c r="E102" s="115">
        <v>1.777124620385674</v>
      </c>
      <c r="F102" s="111" t="s">
        <v>1990</v>
      </c>
      <c r="G102" s="111" t="b">
        <v>1</v>
      </c>
      <c r="H102" s="111" t="b">
        <v>0</v>
      </c>
      <c r="I102" s="111" t="b">
        <v>0</v>
      </c>
      <c r="J102" s="111" t="b">
        <v>0</v>
      </c>
      <c r="K102" s="111" t="b">
        <v>0</v>
      </c>
      <c r="L102" s="111" t="b">
        <v>0</v>
      </c>
    </row>
    <row r="103" spans="1:12" ht="15">
      <c r="A103" s="113" t="s">
        <v>930</v>
      </c>
      <c r="B103" s="111" t="s">
        <v>1091</v>
      </c>
      <c r="C103" s="111">
        <v>3</v>
      </c>
      <c r="D103" s="115">
        <v>0.0006419248120766433</v>
      </c>
      <c r="E103" s="115">
        <v>2.6344571168169426</v>
      </c>
      <c r="F103" s="111" t="s">
        <v>1990</v>
      </c>
      <c r="G103" s="111" t="b">
        <v>0</v>
      </c>
      <c r="H103" s="111" t="b">
        <v>0</v>
      </c>
      <c r="I103" s="111" t="b">
        <v>0</v>
      </c>
      <c r="J103" s="111" t="b">
        <v>0</v>
      </c>
      <c r="K103" s="111" t="b">
        <v>0</v>
      </c>
      <c r="L103" s="111" t="b">
        <v>0</v>
      </c>
    </row>
    <row r="104" spans="1:12" ht="15">
      <c r="A104" s="113" t="s">
        <v>855</v>
      </c>
      <c r="B104" s="111" t="s">
        <v>889</v>
      </c>
      <c r="C104" s="111">
        <v>3</v>
      </c>
      <c r="D104" s="115">
        <v>0.0006419248120766433</v>
      </c>
      <c r="E104" s="115">
        <v>1.865079790740804</v>
      </c>
      <c r="F104" s="111" t="s">
        <v>1990</v>
      </c>
      <c r="G104" s="111" t="b">
        <v>0</v>
      </c>
      <c r="H104" s="111" t="b">
        <v>0</v>
      </c>
      <c r="I104" s="111" t="b">
        <v>0</v>
      </c>
      <c r="J104" s="111" t="b">
        <v>0</v>
      </c>
      <c r="K104" s="111" t="b">
        <v>0</v>
      </c>
      <c r="L104" s="111" t="b">
        <v>0</v>
      </c>
    </row>
    <row r="105" spans="1:12" ht="15">
      <c r="A105" s="113" t="s">
        <v>843</v>
      </c>
      <c r="B105" s="111" t="s">
        <v>860</v>
      </c>
      <c r="C105" s="111">
        <v>3</v>
      </c>
      <c r="D105" s="115">
        <v>0.0006419248120766433</v>
      </c>
      <c r="E105" s="115">
        <v>1.3210117463905284</v>
      </c>
      <c r="F105" s="111" t="s">
        <v>1990</v>
      </c>
      <c r="G105" s="111" t="b">
        <v>0</v>
      </c>
      <c r="H105" s="111" t="b">
        <v>0</v>
      </c>
      <c r="I105" s="111" t="b">
        <v>0</v>
      </c>
      <c r="J105" s="111" t="b">
        <v>1</v>
      </c>
      <c r="K105" s="111" t="b">
        <v>0</v>
      </c>
      <c r="L105" s="111" t="b">
        <v>0</v>
      </c>
    </row>
    <row r="106" spans="1:12" ht="15">
      <c r="A106" s="113" t="s">
        <v>863</v>
      </c>
      <c r="B106" s="111" t="s">
        <v>1040</v>
      </c>
      <c r="C106" s="111">
        <v>3</v>
      </c>
      <c r="D106" s="115">
        <v>0.0007143704754292275</v>
      </c>
      <c r="E106" s="115">
        <v>2.2330565760353984</v>
      </c>
      <c r="F106" s="111" t="s">
        <v>1990</v>
      </c>
      <c r="G106" s="111" t="b">
        <v>0</v>
      </c>
      <c r="H106" s="111" t="b">
        <v>1</v>
      </c>
      <c r="I106" s="111" t="b">
        <v>0</v>
      </c>
      <c r="J106" s="111" t="b">
        <v>0</v>
      </c>
      <c r="K106" s="111" t="b">
        <v>0</v>
      </c>
      <c r="L106" s="111" t="b">
        <v>0</v>
      </c>
    </row>
    <row r="107" spans="1:12" ht="15">
      <c r="A107" s="113" t="s">
        <v>1044</v>
      </c>
      <c r="B107" s="111" t="s">
        <v>1174</v>
      </c>
      <c r="C107" s="111">
        <v>3</v>
      </c>
      <c r="D107" s="115">
        <v>0.0008382171549399165</v>
      </c>
      <c r="E107" s="115">
        <v>2.9532158794413554</v>
      </c>
      <c r="F107" s="111" t="s">
        <v>1990</v>
      </c>
      <c r="G107" s="111" t="b">
        <v>0</v>
      </c>
      <c r="H107" s="111" t="b">
        <v>0</v>
      </c>
      <c r="I107" s="111" t="b">
        <v>0</v>
      </c>
      <c r="J107" s="111" t="b">
        <v>0</v>
      </c>
      <c r="K107" s="111" t="b">
        <v>0</v>
      </c>
      <c r="L107" s="111" t="b">
        <v>0</v>
      </c>
    </row>
    <row r="108" spans="1:12" ht="15">
      <c r="A108" s="113" t="s">
        <v>848</v>
      </c>
      <c r="B108" s="111" t="s">
        <v>1177</v>
      </c>
      <c r="C108" s="111">
        <v>3</v>
      </c>
      <c r="D108" s="115">
        <v>0.0006419248120766433</v>
      </c>
      <c r="E108" s="115">
        <v>2.187299085474723</v>
      </c>
      <c r="F108" s="111" t="s">
        <v>1990</v>
      </c>
      <c r="G108" s="111" t="b">
        <v>0</v>
      </c>
      <c r="H108" s="111" t="b">
        <v>0</v>
      </c>
      <c r="I108" s="111" t="b">
        <v>0</v>
      </c>
      <c r="J108" s="111" t="b">
        <v>0</v>
      </c>
      <c r="K108" s="111" t="b">
        <v>1</v>
      </c>
      <c r="L108" s="111" t="b">
        <v>0</v>
      </c>
    </row>
    <row r="109" spans="1:12" ht="15">
      <c r="A109" s="113" t="s">
        <v>863</v>
      </c>
      <c r="B109" s="111" t="s">
        <v>1045</v>
      </c>
      <c r="C109" s="111">
        <v>3</v>
      </c>
      <c r="D109" s="115">
        <v>0.0006419248120766433</v>
      </c>
      <c r="E109" s="115">
        <v>2.2330565760353984</v>
      </c>
      <c r="F109" s="111" t="s">
        <v>1990</v>
      </c>
      <c r="G109" s="111" t="b">
        <v>0</v>
      </c>
      <c r="H109" s="111" t="b">
        <v>1</v>
      </c>
      <c r="I109" s="111" t="b">
        <v>0</v>
      </c>
      <c r="J109" s="111" t="b">
        <v>0</v>
      </c>
      <c r="K109" s="111" t="b">
        <v>0</v>
      </c>
      <c r="L109" s="111" t="b">
        <v>0</v>
      </c>
    </row>
    <row r="110" spans="1:12" ht="15">
      <c r="A110" s="113" t="s">
        <v>922</v>
      </c>
      <c r="B110" s="111" t="s">
        <v>923</v>
      </c>
      <c r="C110" s="111">
        <v>3</v>
      </c>
      <c r="D110" s="115">
        <v>0.0006419248120766433</v>
      </c>
      <c r="E110" s="115">
        <v>2.250641750836511</v>
      </c>
      <c r="F110" s="111" t="s">
        <v>1990</v>
      </c>
      <c r="G110" s="111" t="b">
        <v>1</v>
      </c>
      <c r="H110" s="111" t="b">
        <v>0</v>
      </c>
      <c r="I110" s="111" t="b">
        <v>0</v>
      </c>
      <c r="J110" s="111" t="b">
        <v>0</v>
      </c>
      <c r="K110" s="111" t="b">
        <v>0</v>
      </c>
      <c r="L110" s="111" t="b">
        <v>0</v>
      </c>
    </row>
    <row r="111" spans="1:12" ht="15">
      <c r="A111" s="113" t="s">
        <v>843</v>
      </c>
      <c r="B111" s="111" t="s">
        <v>890</v>
      </c>
      <c r="C111" s="111">
        <v>3</v>
      </c>
      <c r="D111" s="115">
        <v>0.0006419248120766433</v>
      </c>
      <c r="E111" s="115">
        <v>1.4971030054462098</v>
      </c>
      <c r="F111" s="111" t="s">
        <v>1990</v>
      </c>
      <c r="G111" s="111" t="b">
        <v>0</v>
      </c>
      <c r="H111" s="111" t="b">
        <v>0</v>
      </c>
      <c r="I111" s="111" t="b">
        <v>0</v>
      </c>
      <c r="J111" s="111" t="b">
        <v>0</v>
      </c>
      <c r="K111" s="111" t="b">
        <v>0</v>
      </c>
      <c r="L111" s="111" t="b">
        <v>0</v>
      </c>
    </row>
    <row r="112" spans="1:12" ht="15">
      <c r="A112" s="113" t="s">
        <v>1308</v>
      </c>
      <c r="B112" s="111" t="s">
        <v>1309</v>
      </c>
      <c r="C112" s="111">
        <v>3</v>
      </c>
      <c r="D112" s="115">
        <v>0.0007143704754292275</v>
      </c>
      <c r="E112" s="115">
        <v>3.3791846117136366</v>
      </c>
      <c r="F112" s="111" t="s">
        <v>1990</v>
      </c>
      <c r="G112" s="111" t="b">
        <v>0</v>
      </c>
      <c r="H112" s="111" t="b">
        <v>0</v>
      </c>
      <c r="I112" s="111" t="b">
        <v>0</v>
      </c>
      <c r="J112" s="111" t="b">
        <v>0</v>
      </c>
      <c r="K112" s="111" t="b">
        <v>0</v>
      </c>
      <c r="L112" s="111" t="b">
        <v>0</v>
      </c>
    </row>
    <row r="113" spans="1:12" ht="15">
      <c r="A113" s="113" t="s">
        <v>1187</v>
      </c>
      <c r="B113" s="111" t="s">
        <v>968</v>
      </c>
      <c r="C113" s="111">
        <v>3</v>
      </c>
      <c r="D113" s="115">
        <v>0.0006419248120766433</v>
      </c>
      <c r="E113" s="115">
        <v>2.8282771428330555</v>
      </c>
      <c r="F113" s="111" t="s">
        <v>1990</v>
      </c>
      <c r="G113" s="111" t="b">
        <v>0</v>
      </c>
      <c r="H113" s="111" t="b">
        <v>1</v>
      </c>
      <c r="I113" s="111" t="b">
        <v>0</v>
      </c>
      <c r="J113" s="111" t="b">
        <v>0</v>
      </c>
      <c r="K113" s="111" t="b">
        <v>0</v>
      </c>
      <c r="L113" s="111" t="b">
        <v>0</v>
      </c>
    </row>
    <row r="114" spans="1:12" ht="15">
      <c r="A114" s="113" t="s">
        <v>925</v>
      </c>
      <c r="B114" s="111" t="s">
        <v>949</v>
      </c>
      <c r="C114" s="111">
        <v>3</v>
      </c>
      <c r="D114" s="115">
        <v>0.0006419248120766433</v>
      </c>
      <c r="E114" s="115">
        <v>2.3377919265554117</v>
      </c>
      <c r="F114" s="111" t="s">
        <v>1990</v>
      </c>
      <c r="G114" s="111" t="b">
        <v>0</v>
      </c>
      <c r="H114" s="111" t="b">
        <v>0</v>
      </c>
      <c r="I114" s="111" t="b">
        <v>0</v>
      </c>
      <c r="J114" s="111" t="b">
        <v>0</v>
      </c>
      <c r="K114" s="111" t="b">
        <v>0</v>
      </c>
      <c r="L114" s="111" t="b">
        <v>0</v>
      </c>
    </row>
    <row r="115" spans="1:12" ht="15">
      <c r="A115" s="113" t="s">
        <v>844</v>
      </c>
      <c r="B115" s="111" t="s">
        <v>845</v>
      </c>
      <c r="C115" s="111">
        <v>3</v>
      </c>
      <c r="D115" s="115">
        <v>0.0007143704754292275</v>
      </c>
      <c r="E115" s="115">
        <v>1.1078594077134902</v>
      </c>
      <c r="F115" s="111" t="s">
        <v>1990</v>
      </c>
      <c r="G115" s="111" t="b">
        <v>0</v>
      </c>
      <c r="H115" s="111" t="b">
        <v>0</v>
      </c>
      <c r="I115" s="111" t="b">
        <v>0</v>
      </c>
      <c r="J115" s="111" t="b">
        <v>0</v>
      </c>
      <c r="K115" s="111" t="b">
        <v>0</v>
      </c>
      <c r="L115" s="111" t="b">
        <v>0</v>
      </c>
    </row>
    <row r="116" spans="1:12" ht="15">
      <c r="A116" s="113" t="s">
        <v>845</v>
      </c>
      <c r="B116" s="111" t="s">
        <v>862</v>
      </c>
      <c r="C116" s="111">
        <v>3</v>
      </c>
      <c r="D116" s="115">
        <v>0.0006419248120766433</v>
      </c>
      <c r="E116" s="115">
        <v>1.3984239696993066</v>
      </c>
      <c r="F116" s="111" t="s">
        <v>1990</v>
      </c>
      <c r="G116" s="111" t="b">
        <v>0</v>
      </c>
      <c r="H116" s="111" t="b">
        <v>0</v>
      </c>
      <c r="I116" s="111" t="b">
        <v>0</v>
      </c>
      <c r="J116" s="111" t="b">
        <v>0</v>
      </c>
      <c r="K116" s="111" t="b">
        <v>0</v>
      </c>
      <c r="L116" s="111" t="b">
        <v>0</v>
      </c>
    </row>
    <row r="117" spans="1:12" ht="15">
      <c r="A117" s="113" t="s">
        <v>1322</v>
      </c>
      <c r="B117" s="111" t="s">
        <v>840</v>
      </c>
      <c r="C117" s="111">
        <v>3</v>
      </c>
      <c r="D117" s="115">
        <v>0.0006419248120766433</v>
      </c>
      <c r="E117" s="115">
        <v>1.777124620385674</v>
      </c>
      <c r="F117" s="111" t="s">
        <v>1990</v>
      </c>
      <c r="G117" s="111" t="b">
        <v>0</v>
      </c>
      <c r="H117" s="111" t="b">
        <v>0</v>
      </c>
      <c r="I117" s="111" t="b">
        <v>0</v>
      </c>
      <c r="J117" s="111" t="b">
        <v>0</v>
      </c>
      <c r="K117" s="111" t="b">
        <v>0</v>
      </c>
      <c r="L117" s="111" t="b">
        <v>0</v>
      </c>
    </row>
    <row r="118" spans="1:12" ht="15">
      <c r="A118" s="113" t="s">
        <v>1065</v>
      </c>
      <c r="B118" s="111" t="s">
        <v>840</v>
      </c>
      <c r="C118" s="111">
        <v>3</v>
      </c>
      <c r="D118" s="115">
        <v>0.0007143704754292275</v>
      </c>
      <c r="E118" s="115">
        <v>1.476094624721693</v>
      </c>
      <c r="F118" s="111" t="s">
        <v>1990</v>
      </c>
      <c r="G118" s="111" t="b">
        <v>1</v>
      </c>
      <c r="H118" s="111" t="b">
        <v>0</v>
      </c>
      <c r="I118" s="111" t="b">
        <v>0</v>
      </c>
      <c r="J118" s="111" t="b">
        <v>0</v>
      </c>
      <c r="K118" s="111" t="b">
        <v>0</v>
      </c>
      <c r="L118" s="111" t="b">
        <v>0</v>
      </c>
    </row>
    <row r="119" spans="1:12" ht="15">
      <c r="A119" s="113" t="s">
        <v>841</v>
      </c>
      <c r="B119" s="111" t="s">
        <v>1112</v>
      </c>
      <c r="C119" s="111">
        <v>3</v>
      </c>
      <c r="D119" s="115">
        <v>0.0006419248120766433</v>
      </c>
      <c r="E119" s="115">
        <v>1.675415724495849</v>
      </c>
      <c r="F119" s="111" t="s">
        <v>1990</v>
      </c>
      <c r="G119" s="111" t="b">
        <v>0</v>
      </c>
      <c r="H119" s="111" t="b">
        <v>0</v>
      </c>
      <c r="I119" s="111" t="b">
        <v>0</v>
      </c>
      <c r="J119" s="111" t="b">
        <v>0</v>
      </c>
      <c r="K119" s="111" t="b">
        <v>0</v>
      </c>
      <c r="L119" s="111" t="b">
        <v>0</v>
      </c>
    </row>
    <row r="120" spans="1:12" ht="15">
      <c r="A120" s="113" t="s">
        <v>857</v>
      </c>
      <c r="B120" s="111" t="s">
        <v>947</v>
      </c>
      <c r="C120" s="111">
        <v>3</v>
      </c>
      <c r="D120" s="115">
        <v>0.0006419248120766433</v>
      </c>
      <c r="E120" s="115">
        <v>2.0174567756960435</v>
      </c>
      <c r="F120" s="111" t="s">
        <v>1990</v>
      </c>
      <c r="G120" s="111" t="b">
        <v>0</v>
      </c>
      <c r="H120" s="111" t="b">
        <v>0</v>
      </c>
      <c r="I120" s="111" t="b">
        <v>0</v>
      </c>
      <c r="J120" s="111" t="b">
        <v>0</v>
      </c>
      <c r="K120" s="111" t="b">
        <v>0</v>
      </c>
      <c r="L120" s="111" t="b">
        <v>0</v>
      </c>
    </row>
    <row r="121" spans="1:12" ht="15">
      <c r="A121" s="113" t="s">
        <v>1024</v>
      </c>
      <c r="B121" s="111" t="s">
        <v>872</v>
      </c>
      <c r="C121" s="111">
        <v>3</v>
      </c>
      <c r="D121" s="115">
        <v>0.0006419248120766433</v>
      </c>
      <c r="E121" s="115">
        <v>2.324826949391044</v>
      </c>
      <c r="F121" s="111" t="s">
        <v>1990</v>
      </c>
      <c r="G121" s="111" t="b">
        <v>0</v>
      </c>
      <c r="H121" s="111" t="b">
        <v>0</v>
      </c>
      <c r="I121" s="111" t="b">
        <v>0</v>
      </c>
      <c r="J121" s="111" t="b">
        <v>0</v>
      </c>
      <c r="K121" s="111" t="b">
        <v>0</v>
      </c>
      <c r="L121" s="111" t="b">
        <v>0</v>
      </c>
    </row>
    <row r="122" spans="1:12" ht="15">
      <c r="A122" s="113" t="s">
        <v>927</v>
      </c>
      <c r="B122" s="111" t="s">
        <v>854</v>
      </c>
      <c r="C122" s="111">
        <v>3</v>
      </c>
      <c r="D122" s="115">
        <v>0.0008382171549399165</v>
      </c>
      <c r="E122" s="115">
        <v>1.9118231942831303</v>
      </c>
      <c r="F122" s="111" t="s">
        <v>1990</v>
      </c>
      <c r="G122" s="111" t="b">
        <v>0</v>
      </c>
      <c r="H122" s="111" t="b">
        <v>0</v>
      </c>
      <c r="I122" s="111" t="b">
        <v>0</v>
      </c>
      <c r="J122" s="111" t="b">
        <v>0</v>
      </c>
      <c r="K122" s="111" t="b">
        <v>0</v>
      </c>
      <c r="L122" s="111" t="b">
        <v>0</v>
      </c>
    </row>
    <row r="123" spans="1:12" ht="15">
      <c r="A123" s="113" t="s">
        <v>931</v>
      </c>
      <c r="B123" s="111" t="s">
        <v>895</v>
      </c>
      <c r="C123" s="111">
        <v>3</v>
      </c>
      <c r="D123" s="115">
        <v>0.0008382171549399165</v>
      </c>
      <c r="E123" s="115">
        <v>2.187299085474723</v>
      </c>
      <c r="F123" s="111" t="s">
        <v>1990</v>
      </c>
      <c r="G123" s="111" t="b">
        <v>0</v>
      </c>
      <c r="H123" s="111" t="b">
        <v>0</v>
      </c>
      <c r="I123" s="111" t="b">
        <v>0</v>
      </c>
      <c r="J123" s="111" t="b">
        <v>0</v>
      </c>
      <c r="K123" s="111" t="b">
        <v>0</v>
      </c>
      <c r="L123" s="111" t="b">
        <v>0</v>
      </c>
    </row>
    <row r="124" spans="1:12" ht="15">
      <c r="A124" s="113" t="s">
        <v>841</v>
      </c>
      <c r="B124" s="111" t="s">
        <v>943</v>
      </c>
      <c r="C124" s="111">
        <v>3</v>
      </c>
      <c r="D124" s="115">
        <v>0.0007143704754292275</v>
      </c>
      <c r="E124" s="115">
        <v>1.420143219392543</v>
      </c>
      <c r="F124" s="111" t="s">
        <v>1990</v>
      </c>
      <c r="G124" s="111" t="b">
        <v>0</v>
      </c>
      <c r="H124" s="111" t="b">
        <v>0</v>
      </c>
      <c r="I124" s="111" t="b">
        <v>0</v>
      </c>
      <c r="J124" s="111" t="b">
        <v>0</v>
      </c>
      <c r="K124" s="111" t="b">
        <v>0</v>
      </c>
      <c r="L124" s="111" t="b">
        <v>0</v>
      </c>
    </row>
    <row r="125" spans="1:12" ht="15">
      <c r="A125" s="113" t="s">
        <v>1123</v>
      </c>
      <c r="B125" s="111" t="s">
        <v>1366</v>
      </c>
      <c r="C125" s="111">
        <v>3</v>
      </c>
      <c r="D125" s="115">
        <v>0.0008382171549399165</v>
      </c>
      <c r="E125" s="115">
        <v>3.15733586209728</v>
      </c>
      <c r="F125" s="111" t="s">
        <v>1990</v>
      </c>
      <c r="G125" s="111" t="b">
        <v>0</v>
      </c>
      <c r="H125" s="111" t="b">
        <v>0</v>
      </c>
      <c r="I125" s="111" t="b">
        <v>0</v>
      </c>
      <c r="J125" s="111" t="b">
        <v>0</v>
      </c>
      <c r="K125" s="111" t="b">
        <v>0</v>
      </c>
      <c r="L125" s="111" t="b">
        <v>0</v>
      </c>
    </row>
    <row r="126" spans="1:12" ht="15">
      <c r="A126" s="113" t="s">
        <v>847</v>
      </c>
      <c r="B126" s="111" t="s">
        <v>1126</v>
      </c>
      <c r="C126" s="111">
        <v>3</v>
      </c>
      <c r="D126" s="115">
        <v>0.0006419248120766433</v>
      </c>
      <c r="E126" s="115">
        <v>2.0546735202001325</v>
      </c>
      <c r="F126" s="111" t="s">
        <v>1990</v>
      </c>
      <c r="G126" s="111" t="b">
        <v>0</v>
      </c>
      <c r="H126" s="111" t="b">
        <v>0</v>
      </c>
      <c r="I126" s="111" t="b">
        <v>0</v>
      </c>
      <c r="J126" s="111" t="b">
        <v>0</v>
      </c>
      <c r="K126" s="111" t="b">
        <v>0</v>
      </c>
      <c r="L126" s="111" t="b">
        <v>0</v>
      </c>
    </row>
    <row r="127" spans="1:12" ht="15">
      <c r="A127" s="113" t="s">
        <v>878</v>
      </c>
      <c r="B127" s="111" t="s">
        <v>844</v>
      </c>
      <c r="C127" s="111">
        <v>3</v>
      </c>
      <c r="D127" s="115">
        <v>0.0006419248120766433</v>
      </c>
      <c r="E127" s="115">
        <v>1.5891341380302852</v>
      </c>
      <c r="F127" s="111" t="s">
        <v>1990</v>
      </c>
      <c r="G127" s="111" t="b">
        <v>0</v>
      </c>
      <c r="H127" s="111" t="b">
        <v>0</v>
      </c>
      <c r="I127" s="111" t="b">
        <v>0</v>
      </c>
      <c r="J127" s="111" t="b">
        <v>0</v>
      </c>
      <c r="K127" s="111" t="b">
        <v>0</v>
      </c>
      <c r="L127" s="111" t="b">
        <v>0</v>
      </c>
    </row>
    <row r="128" spans="1:12" ht="15">
      <c r="A128" s="113" t="s">
        <v>1235</v>
      </c>
      <c r="B128" s="111" t="s">
        <v>1009</v>
      </c>
      <c r="C128" s="111">
        <v>3</v>
      </c>
      <c r="D128" s="115">
        <v>0.0008382171549399165</v>
      </c>
      <c r="E128" s="115">
        <v>2.8862690898107424</v>
      </c>
      <c r="F128" s="111" t="s">
        <v>1990</v>
      </c>
      <c r="G128" s="111" t="b">
        <v>0</v>
      </c>
      <c r="H128" s="111" t="b">
        <v>0</v>
      </c>
      <c r="I128" s="111" t="b">
        <v>0</v>
      </c>
      <c r="J128" s="111" t="b">
        <v>0</v>
      </c>
      <c r="K128" s="111" t="b">
        <v>0</v>
      </c>
      <c r="L128" s="111" t="b">
        <v>0</v>
      </c>
    </row>
    <row r="129" spans="1:12" ht="15">
      <c r="A129" s="113" t="s">
        <v>1371</v>
      </c>
      <c r="B129" s="111" t="s">
        <v>1372</v>
      </c>
      <c r="C129" s="111">
        <v>3</v>
      </c>
      <c r="D129" s="115">
        <v>0.0008382171549399165</v>
      </c>
      <c r="E129" s="115">
        <v>3.3791846117136366</v>
      </c>
      <c r="F129" s="111" t="s">
        <v>1990</v>
      </c>
      <c r="G129" s="111" t="b">
        <v>0</v>
      </c>
      <c r="H129" s="111" t="b">
        <v>0</v>
      </c>
      <c r="I129" s="111" t="b">
        <v>0</v>
      </c>
      <c r="J129" s="111" t="b">
        <v>0</v>
      </c>
      <c r="K129" s="111" t="b">
        <v>0</v>
      </c>
      <c r="L129" s="111" t="b">
        <v>0</v>
      </c>
    </row>
    <row r="130" spans="1:12" ht="15">
      <c r="A130" s="113" t="s">
        <v>1377</v>
      </c>
      <c r="B130" s="111" t="s">
        <v>1378</v>
      </c>
      <c r="C130" s="111">
        <v>3</v>
      </c>
      <c r="D130" s="115">
        <v>0.0008382171549399165</v>
      </c>
      <c r="E130" s="115">
        <v>3.3791846117136366</v>
      </c>
      <c r="F130" s="111" t="s">
        <v>1990</v>
      </c>
      <c r="G130" s="111" t="b">
        <v>0</v>
      </c>
      <c r="H130" s="111" t="b">
        <v>0</v>
      </c>
      <c r="I130" s="111" t="b">
        <v>0</v>
      </c>
      <c r="J130" s="111" t="b">
        <v>0</v>
      </c>
      <c r="K130" s="111" t="b">
        <v>0</v>
      </c>
      <c r="L130" s="111" t="b">
        <v>0</v>
      </c>
    </row>
    <row r="131" spans="1:12" ht="15">
      <c r="A131" s="113" t="s">
        <v>896</v>
      </c>
      <c r="B131" s="111" t="s">
        <v>840</v>
      </c>
      <c r="C131" s="111">
        <v>3</v>
      </c>
      <c r="D131" s="115">
        <v>0.0007143704754292275</v>
      </c>
      <c r="E131" s="115">
        <v>1.1081178394270985</v>
      </c>
      <c r="F131" s="111" t="s">
        <v>1990</v>
      </c>
      <c r="G131" s="111" t="b">
        <v>0</v>
      </c>
      <c r="H131" s="111" t="b">
        <v>0</v>
      </c>
      <c r="I131" s="111" t="b">
        <v>0</v>
      </c>
      <c r="J131" s="111" t="b">
        <v>0</v>
      </c>
      <c r="K131" s="111" t="b">
        <v>0</v>
      </c>
      <c r="L131" s="111" t="b">
        <v>0</v>
      </c>
    </row>
    <row r="132" spans="1:12" ht="15">
      <c r="A132" s="113" t="s">
        <v>842</v>
      </c>
      <c r="B132" s="111" t="s">
        <v>846</v>
      </c>
      <c r="C132" s="111">
        <v>3</v>
      </c>
      <c r="D132" s="115">
        <v>0.0007143704754292275</v>
      </c>
      <c r="E132" s="115">
        <v>1.018086644525673</v>
      </c>
      <c r="F132" s="111" t="s">
        <v>1990</v>
      </c>
      <c r="G132" s="111" t="b">
        <v>0</v>
      </c>
      <c r="H132" s="111" t="b">
        <v>0</v>
      </c>
      <c r="I132" s="111" t="b">
        <v>0</v>
      </c>
      <c r="J132" s="111" t="b">
        <v>0</v>
      </c>
      <c r="K132" s="111" t="b">
        <v>0</v>
      </c>
      <c r="L132" s="111" t="b">
        <v>0</v>
      </c>
    </row>
    <row r="133" spans="1:12" ht="15">
      <c r="A133" s="113" t="s">
        <v>1242</v>
      </c>
      <c r="B133" s="111" t="s">
        <v>1142</v>
      </c>
      <c r="C133" s="111">
        <v>3</v>
      </c>
      <c r="D133" s="115">
        <v>0.0006419248120766433</v>
      </c>
      <c r="E133" s="115">
        <v>3.03239712548898</v>
      </c>
      <c r="F133" s="111" t="s">
        <v>1990</v>
      </c>
      <c r="G133" s="111" t="b">
        <v>0</v>
      </c>
      <c r="H133" s="111" t="b">
        <v>0</v>
      </c>
      <c r="I133" s="111" t="b">
        <v>0</v>
      </c>
      <c r="J133" s="111" t="b">
        <v>0</v>
      </c>
      <c r="K133" s="111" t="b">
        <v>0</v>
      </c>
      <c r="L133" s="111" t="b">
        <v>0</v>
      </c>
    </row>
    <row r="134" spans="1:12" ht="15">
      <c r="A134" s="113" t="s">
        <v>1142</v>
      </c>
      <c r="B134" s="111" t="s">
        <v>840</v>
      </c>
      <c r="C134" s="111">
        <v>3</v>
      </c>
      <c r="D134" s="115">
        <v>0.0006419248120766433</v>
      </c>
      <c r="E134" s="115">
        <v>1.555275870769318</v>
      </c>
      <c r="F134" s="111" t="s">
        <v>1990</v>
      </c>
      <c r="G134" s="111" t="b">
        <v>0</v>
      </c>
      <c r="H134" s="111" t="b">
        <v>0</v>
      </c>
      <c r="I134" s="111" t="b">
        <v>0</v>
      </c>
      <c r="J134" s="111" t="b">
        <v>0</v>
      </c>
      <c r="K134" s="111" t="b">
        <v>0</v>
      </c>
      <c r="L134" s="111" t="b">
        <v>0</v>
      </c>
    </row>
    <row r="135" spans="1:12" ht="15">
      <c r="A135" s="113" t="s">
        <v>1144</v>
      </c>
      <c r="B135" s="111" t="s">
        <v>1400</v>
      </c>
      <c r="C135" s="111">
        <v>3</v>
      </c>
      <c r="D135" s="115">
        <v>0.0008382171549399165</v>
      </c>
      <c r="E135" s="115">
        <v>3.15733586209728</v>
      </c>
      <c r="F135" s="111" t="s">
        <v>1990</v>
      </c>
      <c r="G135" s="111" t="b">
        <v>0</v>
      </c>
      <c r="H135" s="111" t="b">
        <v>0</v>
      </c>
      <c r="I135" s="111" t="b">
        <v>0</v>
      </c>
      <c r="J135" s="111" t="b">
        <v>0</v>
      </c>
      <c r="K135" s="111" t="b">
        <v>0</v>
      </c>
      <c r="L135" s="111" t="b">
        <v>0</v>
      </c>
    </row>
    <row r="136" spans="1:12" ht="15">
      <c r="A136" s="113" t="s">
        <v>1066</v>
      </c>
      <c r="B136" s="111" t="s">
        <v>1403</v>
      </c>
      <c r="C136" s="111">
        <v>3</v>
      </c>
      <c r="D136" s="115">
        <v>0.0008382171549399165</v>
      </c>
      <c r="E136" s="115">
        <v>3.0781546160496553</v>
      </c>
      <c r="F136" s="111" t="s">
        <v>1990</v>
      </c>
      <c r="G136" s="111" t="b">
        <v>0</v>
      </c>
      <c r="H136" s="111" t="b">
        <v>0</v>
      </c>
      <c r="I136" s="111" t="b">
        <v>0</v>
      </c>
      <c r="J136" s="111" t="b">
        <v>0</v>
      </c>
      <c r="K136" s="111" t="b">
        <v>0</v>
      </c>
      <c r="L136" s="111" t="b">
        <v>0</v>
      </c>
    </row>
    <row r="137" spans="1:12" ht="15">
      <c r="A137" s="113" t="s">
        <v>840</v>
      </c>
      <c r="B137" s="111" t="s">
        <v>891</v>
      </c>
      <c r="C137" s="111">
        <v>3</v>
      </c>
      <c r="D137" s="115">
        <v>0.0007143704754292275</v>
      </c>
      <c r="E137" s="115">
        <v>1.115417078168598</v>
      </c>
      <c r="F137" s="111" t="s">
        <v>1990</v>
      </c>
      <c r="G137" s="111" t="b">
        <v>0</v>
      </c>
      <c r="H137" s="111" t="b">
        <v>0</v>
      </c>
      <c r="I137" s="111" t="b">
        <v>0</v>
      </c>
      <c r="J137" s="111" t="b">
        <v>0</v>
      </c>
      <c r="K137" s="111" t="b">
        <v>0</v>
      </c>
      <c r="L137" s="111" t="b">
        <v>0</v>
      </c>
    </row>
    <row r="138" spans="1:12" ht="15">
      <c r="A138" s="113" t="s">
        <v>873</v>
      </c>
      <c r="B138" s="111" t="s">
        <v>1425</v>
      </c>
      <c r="C138" s="111">
        <v>3</v>
      </c>
      <c r="D138" s="115">
        <v>0.0006419248120766433</v>
      </c>
      <c r="E138" s="115">
        <v>2.625856945055025</v>
      </c>
      <c r="F138" s="111" t="s">
        <v>1990</v>
      </c>
      <c r="G138" s="111" t="b">
        <v>0</v>
      </c>
      <c r="H138" s="111" t="b">
        <v>0</v>
      </c>
      <c r="I138" s="111" t="b">
        <v>0</v>
      </c>
      <c r="J138" s="111" t="b">
        <v>0</v>
      </c>
      <c r="K138" s="111" t="b">
        <v>0</v>
      </c>
      <c r="L138" s="111" t="b">
        <v>0</v>
      </c>
    </row>
    <row r="139" spans="1:12" ht="15">
      <c r="A139" s="113" t="s">
        <v>1425</v>
      </c>
      <c r="B139" s="111" t="s">
        <v>1426</v>
      </c>
      <c r="C139" s="111">
        <v>3</v>
      </c>
      <c r="D139" s="115">
        <v>0.0006419248120766433</v>
      </c>
      <c r="E139" s="115">
        <v>3.3791846117136366</v>
      </c>
      <c r="F139" s="111" t="s">
        <v>1990</v>
      </c>
      <c r="G139" s="111" t="b">
        <v>0</v>
      </c>
      <c r="H139" s="111" t="b">
        <v>0</v>
      </c>
      <c r="I139" s="111" t="b">
        <v>0</v>
      </c>
      <c r="J139" s="111" t="b">
        <v>0</v>
      </c>
      <c r="K139" s="111" t="b">
        <v>0</v>
      </c>
      <c r="L139" s="111" t="b">
        <v>0</v>
      </c>
    </row>
    <row r="140" spans="1:12" ht="15">
      <c r="A140" s="113" t="s">
        <v>1426</v>
      </c>
      <c r="B140" s="111" t="s">
        <v>977</v>
      </c>
      <c r="C140" s="111">
        <v>3</v>
      </c>
      <c r="D140" s="115">
        <v>0.0006419248120766433</v>
      </c>
      <c r="E140" s="115">
        <v>2.9532158794413554</v>
      </c>
      <c r="F140" s="111" t="s">
        <v>1990</v>
      </c>
      <c r="G140" s="111" t="b">
        <v>0</v>
      </c>
      <c r="H140" s="111" t="b">
        <v>0</v>
      </c>
      <c r="I140" s="111" t="b">
        <v>0</v>
      </c>
      <c r="J140" s="111" t="b">
        <v>0</v>
      </c>
      <c r="K140" s="111" t="b">
        <v>0</v>
      </c>
      <c r="L140" s="111" t="b">
        <v>0</v>
      </c>
    </row>
    <row r="141" spans="1:12" ht="15">
      <c r="A141" s="113" t="s">
        <v>977</v>
      </c>
      <c r="B141" s="111" t="s">
        <v>1427</v>
      </c>
      <c r="C141" s="111">
        <v>3</v>
      </c>
      <c r="D141" s="115">
        <v>0.0006419248120766433</v>
      </c>
      <c r="E141" s="115">
        <v>2.9532158794413554</v>
      </c>
      <c r="F141" s="111" t="s">
        <v>1990</v>
      </c>
      <c r="G141" s="111" t="b">
        <v>0</v>
      </c>
      <c r="H141" s="111" t="b">
        <v>0</v>
      </c>
      <c r="I141" s="111" t="b">
        <v>0</v>
      </c>
      <c r="J141" s="111" t="b">
        <v>0</v>
      </c>
      <c r="K141" s="111" t="b">
        <v>0</v>
      </c>
      <c r="L141" s="111" t="b">
        <v>0</v>
      </c>
    </row>
    <row r="142" spans="1:12" ht="15">
      <c r="A142" s="113" t="s">
        <v>1427</v>
      </c>
      <c r="B142" s="111" t="s">
        <v>1255</v>
      </c>
      <c r="C142" s="111">
        <v>3</v>
      </c>
      <c r="D142" s="115">
        <v>0.0006419248120766433</v>
      </c>
      <c r="E142" s="115">
        <v>3.3791846117136366</v>
      </c>
      <c r="F142" s="111" t="s">
        <v>1990</v>
      </c>
      <c r="G142" s="111" t="b">
        <v>0</v>
      </c>
      <c r="H142" s="111" t="b">
        <v>0</v>
      </c>
      <c r="I142" s="111" t="b">
        <v>0</v>
      </c>
      <c r="J142" s="111" t="b">
        <v>0</v>
      </c>
      <c r="K142" s="111" t="b">
        <v>0</v>
      </c>
      <c r="L142" s="111" t="b">
        <v>0</v>
      </c>
    </row>
    <row r="143" spans="1:12" ht="15">
      <c r="A143" s="113" t="s">
        <v>1255</v>
      </c>
      <c r="B143" s="111" t="s">
        <v>1428</v>
      </c>
      <c r="C143" s="111">
        <v>3</v>
      </c>
      <c r="D143" s="115">
        <v>0.0006419248120766433</v>
      </c>
      <c r="E143" s="115">
        <v>3.2542458751053367</v>
      </c>
      <c r="F143" s="111" t="s">
        <v>1990</v>
      </c>
      <c r="G143" s="111" t="b">
        <v>0</v>
      </c>
      <c r="H143" s="111" t="b">
        <v>0</v>
      </c>
      <c r="I143" s="111" t="b">
        <v>0</v>
      </c>
      <c r="J143" s="111" t="b">
        <v>1</v>
      </c>
      <c r="K143" s="111" t="b">
        <v>0</v>
      </c>
      <c r="L143" s="111" t="b">
        <v>0</v>
      </c>
    </row>
    <row r="144" spans="1:12" ht="15">
      <c r="A144" s="113" t="s">
        <v>1428</v>
      </c>
      <c r="B144" s="111" t="s">
        <v>873</v>
      </c>
      <c r="C144" s="111">
        <v>3</v>
      </c>
      <c r="D144" s="115">
        <v>0.0006419248120766433</v>
      </c>
      <c r="E144" s="115">
        <v>2.652185883777374</v>
      </c>
      <c r="F144" s="111" t="s">
        <v>1990</v>
      </c>
      <c r="G144" s="111" t="b">
        <v>1</v>
      </c>
      <c r="H144" s="111" t="b">
        <v>0</v>
      </c>
      <c r="I144" s="111" t="b">
        <v>0</v>
      </c>
      <c r="J144" s="111" t="b">
        <v>0</v>
      </c>
      <c r="K144" s="111" t="b">
        <v>0</v>
      </c>
      <c r="L144" s="111" t="b">
        <v>0</v>
      </c>
    </row>
    <row r="145" spans="1:12" ht="15">
      <c r="A145" s="113" t="s">
        <v>873</v>
      </c>
      <c r="B145" s="111" t="s">
        <v>1429</v>
      </c>
      <c r="C145" s="111">
        <v>3</v>
      </c>
      <c r="D145" s="115">
        <v>0.0006419248120766433</v>
      </c>
      <c r="E145" s="115">
        <v>2.625856945055025</v>
      </c>
      <c r="F145" s="111" t="s">
        <v>1990</v>
      </c>
      <c r="G145" s="111" t="b">
        <v>0</v>
      </c>
      <c r="H145" s="111" t="b">
        <v>0</v>
      </c>
      <c r="I145" s="111" t="b">
        <v>0</v>
      </c>
      <c r="J145" s="111" t="b">
        <v>0</v>
      </c>
      <c r="K145" s="111" t="b">
        <v>0</v>
      </c>
      <c r="L145" s="111" t="b">
        <v>0</v>
      </c>
    </row>
    <row r="146" spans="1:12" ht="15">
      <c r="A146" s="113" t="s">
        <v>1429</v>
      </c>
      <c r="B146" s="111" t="s">
        <v>1430</v>
      </c>
      <c r="C146" s="111">
        <v>3</v>
      </c>
      <c r="D146" s="115">
        <v>0.0006419248120766433</v>
      </c>
      <c r="E146" s="115">
        <v>3.3791846117136366</v>
      </c>
      <c r="F146" s="111" t="s">
        <v>1990</v>
      </c>
      <c r="G146" s="111" t="b">
        <v>0</v>
      </c>
      <c r="H146" s="111" t="b">
        <v>0</v>
      </c>
      <c r="I146" s="111" t="b">
        <v>0</v>
      </c>
      <c r="J146" s="111" t="b">
        <v>0</v>
      </c>
      <c r="K146" s="111" t="b">
        <v>0</v>
      </c>
      <c r="L146" s="111" t="b">
        <v>0</v>
      </c>
    </row>
    <row r="147" spans="1:12" ht="15">
      <c r="A147" s="113" t="s">
        <v>1430</v>
      </c>
      <c r="B147" s="111" t="s">
        <v>861</v>
      </c>
      <c r="C147" s="111">
        <v>3</v>
      </c>
      <c r="D147" s="115">
        <v>0.0006419248120766433</v>
      </c>
      <c r="E147" s="115">
        <v>2.5138831856110926</v>
      </c>
      <c r="F147" s="111" t="s">
        <v>1990</v>
      </c>
      <c r="G147" s="111" t="b">
        <v>0</v>
      </c>
      <c r="H147" s="111" t="b">
        <v>0</v>
      </c>
      <c r="I147" s="111" t="b">
        <v>0</v>
      </c>
      <c r="J147" s="111" t="b">
        <v>0</v>
      </c>
      <c r="K147" s="111" t="b">
        <v>0</v>
      </c>
      <c r="L147" s="111" t="b">
        <v>0</v>
      </c>
    </row>
    <row r="148" spans="1:12" ht="15">
      <c r="A148" s="113" t="s">
        <v>861</v>
      </c>
      <c r="B148" s="111" t="s">
        <v>1431</v>
      </c>
      <c r="C148" s="111">
        <v>3</v>
      </c>
      <c r="D148" s="115">
        <v>0.0006419248120766433</v>
      </c>
      <c r="E148" s="115">
        <v>2.5138831856110926</v>
      </c>
      <c r="F148" s="111" t="s">
        <v>1990</v>
      </c>
      <c r="G148" s="111" t="b">
        <v>0</v>
      </c>
      <c r="H148" s="111" t="b">
        <v>0</v>
      </c>
      <c r="I148" s="111" t="b">
        <v>0</v>
      </c>
      <c r="J148" s="111" t="b">
        <v>0</v>
      </c>
      <c r="K148" s="111" t="b">
        <v>0</v>
      </c>
      <c r="L148" s="111" t="b">
        <v>0</v>
      </c>
    </row>
    <row r="149" spans="1:12" ht="15">
      <c r="A149" s="113" t="s">
        <v>1431</v>
      </c>
      <c r="B149" s="111" t="s">
        <v>1082</v>
      </c>
      <c r="C149" s="111">
        <v>3</v>
      </c>
      <c r="D149" s="115">
        <v>0.0006419248120766433</v>
      </c>
      <c r="E149" s="115">
        <v>3.0781546160496553</v>
      </c>
      <c r="F149" s="111" t="s">
        <v>1990</v>
      </c>
      <c r="G149" s="111" t="b">
        <v>0</v>
      </c>
      <c r="H149" s="111" t="b">
        <v>0</v>
      </c>
      <c r="I149" s="111" t="b">
        <v>0</v>
      </c>
      <c r="J149" s="111" t="b">
        <v>0</v>
      </c>
      <c r="K149" s="111" t="b">
        <v>0</v>
      </c>
      <c r="L149" s="111" t="b">
        <v>0</v>
      </c>
    </row>
    <row r="150" spans="1:12" ht="15">
      <c r="A150" s="113" t="s">
        <v>1082</v>
      </c>
      <c r="B150" s="111" t="s">
        <v>1432</v>
      </c>
      <c r="C150" s="111">
        <v>3</v>
      </c>
      <c r="D150" s="115">
        <v>0.0006419248120766433</v>
      </c>
      <c r="E150" s="115">
        <v>3.0781546160496553</v>
      </c>
      <c r="F150" s="111" t="s">
        <v>1990</v>
      </c>
      <c r="G150" s="111" t="b">
        <v>0</v>
      </c>
      <c r="H150" s="111" t="b">
        <v>0</v>
      </c>
      <c r="I150" s="111" t="b">
        <v>0</v>
      </c>
      <c r="J150" s="111" t="b">
        <v>0</v>
      </c>
      <c r="K150" s="111" t="b">
        <v>0</v>
      </c>
      <c r="L150" s="111" t="b">
        <v>0</v>
      </c>
    </row>
    <row r="151" spans="1:12" ht="15">
      <c r="A151" s="113" t="s">
        <v>1432</v>
      </c>
      <c r="B151" s="111" t="s">
        <v>1433</v>
      </c>
      <c r="C151" s="111">
        <v>3</v>
      </c>
      <c r="D151" s="115">
        <v>0.0006419248120766433</v>
      </c>
      <c r="E151" s="115">
        <v>3.3791846117136366</v>
      </c>
      <c r="F151" s="111" t="s">
        <v>1990</v>
      </c>
      <c r="G151" s="111" t="b">
        <v>0</v>
      </c>
      <c r="H151" s="111" t="b">
        <v>0</v>
      </c>
      <c r="I151" s="111" t="b">
        <v>0</v>
      </c>
      <c r="J151" s="111" t="b">
        <v>0</v>
      </c>
      <c r="K151" s="111" t="b">
        <v>0</v>
      </c>
      <c r="L151" s="111" t="b">
        <v>0</v>
      </c>
    </row>
    <row r="152" spans="1:12" ht="15">
      <c r="A152" s="113" t="s">
        <v>1433</v>
      </c>
      <c r="B152" s="111" t="s">
        <v>1015</v>
      </c>
      <c r="C152" s="111">
        <v>3</v>
      </c>
      <c r="D152" s="115">
        <v>0.0006419248120766433</v>
      </c>
      <c r="E152" s="115">
        <v>3.0112078264190423</v>
      </c>
      <c r="F152" s="111" t="s">
        <v>1990</v>
      </c>
      <c r="G152" s="111" t="b">
        <v>0</v>
      </c>
      <c r="H152" s="111" t="b">
        <v>0</v>
      </c>
      <c r="I152" s="111" t="b">
        <v>0</v>
      </c>
      <c r="J152" s="111" t="b">
        <v>0</v>
      </c>
      <c r="K152" s="111" t="b">
        <v>0</v>
      </c>
      <c r="L152" s="111" t="b">
        <v>0</v>
      </c>
    </row>
    <row r="153" spans="1:12" ht="15">
      <c r="A153" s="113" t="s">
        <v>1015</v>
      </c>
      <c r="B153" s="111" t="s">
        <v>966</v>
      </c>
      <c r="C153" s="111">
        <v>3</v>
      </c>
      <c r="D153" s="115">
        <v>0.0006419248120766433</v>
      </c>
      <c r="E153" s="115">
        <v>2.585239094146761</v>
      </c>
      <c r="F153" s="111" t="s">
        <v>1990</v>
      </c>
      <c r="G153" s="111" t="b">
        <v>0</v>
      </c>
      <c r="H153" s="111" t="b">
        <v>0</v>
      </c>
      <c r="I153" s="111" t="b">
        <v>0</v>
      </c>
      <c r="J153" s="111" t="b">
        <v>0</v>
      </c>
      <c r="K153" s="111" t="b">
        <v>0</v>
      </c>
      <c r="L153" s="111" t="b">
        <v>0</v>
      </c>
    </row>
    <row r="154" spans="1:12" ht="15">
      <c r="A154" s="113" t="s">
        <v>966</v>
      </c>
      <c r="B154" s="111" t="s">
        <v>1434</v>
      </c>
      <c r="C154" s="111">
        <v>3</v>
      </c>
      <c r="D154" s="115">
        <v>0.0006419248120766433</v>
      </c>
      <c r="E154" s="115">
        <v>2.9532158794413554</v>
      </c>
      <c r="F154" s="111" t="s">
        <v>1990</v>
      </c>
      <c r="G154" s="111" t="b">
        <v>0</v>
      </c>
      <c r="H154" s="111" t="b">
        <v>0</v>
      </c>
      <c r="I154" s="111" t="b">
        <v>0</v>
      </c>
      <c r="J154" s="111" t="b">
        <v>0</v>
      </c>
      <c r="K154" s="111" t="b">
        <v>0</v>
      </c>
      <c r="L154" s="111" t="b">
        <v>0</v>
      </c>
    </row>
    <row r="155" spans="1:12" ht="15">
      <c r="A155" s="113" t="s">
        <v>1434</v>
      </c>
      <c r="B155" s="111" t="s">
        <v>1075</v>
      </c>
      <c r="C155" s="111">
        <v>3</v>
      </c>
      <c r="D155" s="115">
        <v>0.0006419248120766433</v>
      </c>
      <c r="E155" s="115">
        <v>3.15733586209728</v>
      </c>
      <c r="F155" s="111" t="s">
        <v>1990</v>
      </c>
      <c r="G155" s="111" t="b">
        <v>0</v>
      </c>
      <c r="H155" s="111" t="b">
        <v>0</v>
      </c>
      <c r="I155" s="111" t="b">
        <v>0</v>
      </c>
      <c r="J155" s="111" t="b">
        <v>0</v>
      </c>
      <c r="K155" s="111" t="b">
        <v>0</v>
      </c>
      <c r="L155" s="111" t="b">
        <v>0</v>
      </c>
    </row>
    <row r="156" spans="1:12" ht="15">
      <c r="A156" s="113" t="s">
        <v>1075</v>
      </c>
      <c r="B156" s="111" t="s">
        <v>1110</v>
      </c>
      <c r="C156" s="111">
        <v>3</v>
      </c>
      <c r="D156" s="115">
        <v>0.0006419248120766433</v>
      </c>
      <c r="E156" s="115">
        <v>2.8563058664332988</v>
      </c>
      <c r="F156" s="111" t="s">
        <v>1990</v>
      </c>
      <c r="G156" s="111" t="b">
        <v>0</v>
      </c>
      <c r="H156" s="111" t="b">
        <v>0</v>
      </c>
      <c r="I156" s="111" t="b">
        <v>0</v>
      </c>
      <c r="J156" s="111" t="b">
        <v>0</v>
      </c>
      <c r="K156" s="111" t="b">
        <v>0</v>
      </c>
      <c r="L156" s="111" t="b">
        <v>0</v>
      </c>
    </row>
    <row r="157" spans="1:12" ht="15">
      <c r="A157" s="113" t="s">
        <v>1110</v>
      </c>
      <c r="B157" s="111" t="s">
        <v>1151</v>
      </c>
      <c r="C157" s="111">
        <v>3</v>
      </c>
      <c r="D157" s="115">
        <v>0.0006419248120766433</v>
      </c>
      <c r="E157" s="115">
        <v>3.03239712548898</v>
      </c>
      <c r="F157" s="111" t="s">
        <v>1990</v>
      </c>
      <c r="G157" s="111" t="b">
        <v>0</v>
      </c>
      <c r="H157" s="111" t="b">
        <v>0</v>
      </c>
      <c r="I157" s="111" t="b">
        <v>0</v>
      </c>
      <c r="J157" s="111" t="b">
        <v>0</v>
      </c>
      <c r="K157" s="111" t="b">
        <v>0</v>
      </c>
      <c r="L157" s="111" t="b">
        <v>0</v>
      </c>
    </row>
    <row r="158" spans="1:12" ht="15">
      <c r="A158" s="113" t="s">
        <v>1151</v>
      </c>
      <c r="B158" s="111" t="s">
        <v>1125</v>
      </c>
      <c r="C158" s="111">
        <v>3</v>
      </c>
      <c r="D158" s="115">
        <v>0.0006419248120766433</v>
      </c>
      <c r="E158" s="115">
        <v>2.935487112480924</v>
      </c>
      <c r="F158" s="111" t="s">
        <v>1990</v>
      </c>
      <c r="G158" s="111" t="b">
        <v>0</v>
      </c>
      <c r="H158" s="111" t="b">
        <v>0</v>
      </c>
      <c r="I158" s="111" t="b">
        <v>0</v>
      </c>
      <c r="J158" s="111" t="b">
        <v>0</v>
      </c>
      <c r="K158" s="111" t="b">
        <v>0</v>
      </c>
      <c r="L158" s="111" t="b">
        <v>0</v>
      </c>
    </row>
    <row r="159" spans="1:12" ht="15">
      <c r="A159" s="113" t="s">
        <v>1125</v>
      </c>
      <c r="B159" s="111" t="s">
        <v>874</v>
      </c>
      <c r="C159" s="111">
        <v>3</v>
      </c>
      <c r="D159" s="115">
        <v>0.0006419248120766433</v>
      </c>
      <c r="E159" s="115">
        <v>2.4040081954386685</v>
      </c>
      <c r="F159" s="111" t="s">
        <v>1990</v>
      </c>
      <c r="G159" s="111" t="b">
        <v>0</v>
      </c>
      <c r="H159" s="111" t="b">
        <v>0</v>
      </c>
      <c r="I159" s="111" t="b">
        <v>0</v>
      </c>
      <c r="J159" s="111" t="b">
        <v>0</v>
      </c>
      <c r="K159" s="111" t="b">
        <v>0</v>
      </c>
      <c r="L159" s="111" t="b">
        <v>0</v>
      </c>
    </row>
    <row r="160" spans="1:12" ht="15">
      <c r="A160" s="113" t="s">
        <v>842</v>
      </c>
      <c r="B160" s="111" t="s">
        <v>1435</v>
      </c>
      <c r="C160" s="111">
        <v>3</v>
      </c>
      <c r="D160" s="115">
        <v>0.0006419248120766433</v>
      </c>
      <c r="E160" s="115">
        <v>2.13202999683251</v>
      </c>
      <c r="F160" s="111" t="s">
        <v>1990</v>
      </c>
      <c r="G160" s="111" t="b">
        <v>0</v>
      </c>
      <c r="H160" s="111" t="b">
        <v>0</v>
      </c>
      <c r="I160" s="111" t="b">
        <v>0</v>
      </c>
      <c r="J160" s="111" t="b">
        <v>1</v>
      </c>
      <c r="K160" s="111" t="b">
        <v>0</v>
      </c>
      <c r="L160" s="111" t="b">
        <v>0</v>
      </c>
    </row>
    <row r="161" spans="1:12" ht="15">
      <c r="A161" s="113" t="s">
        <v>1435</v>
      </c>
      <c r="B161" s="111" t="s">
        <v>1143</v>
      </c>
      <c r="C161" s="111">
        <v>3</v>
      </c>
      <c r="D161" s="115">
        <v>0.0006419248120766433</v>
      </c>
      <c r="E161" s="115">
        <v>3.2542458751053367</v>
      </c>
      <c r="F161" s="111" t="s">
        <v>1990</v>
      </c>
      <c r="G161" s="111" t="b">
        <v>1</v>
      </c>
      <c r="H161" s="111" t="b">
        <v>0</v>
      </c>
      <c r="I161" s="111" t="b">
        <v>0</v>
      </c>
      <c r="J161" s="111" t="b">
        <v>0</v>
      </c>
      <c r="K161" s="111" t="b">
        <v>0</v>
      </c>
      <c r="L161" s="111" t="b">
        <v>0</v>
      </c>
    </row>
    <row r="162" spans="1:12" ht="15">
      <c r="A162" s="113" t="s">
        <v>1143</v>
      </c>
      <c r="B162" s="111" t="s">
        <v>1436</v>
      </c>
      <c r="C162" s="111">
        <v>3</v>
      </c>
      <c r="D162" s="115">
        <v>0.0006419248120766433</v>
      </c>
      <c r="E162" s="115">
        <v>3.15733586209728</v>
      </c>
      <c r="F162" s="111" t="s">
        <v>1990</v>
      </c>
      <c r="G162" s="111" t="b">
        <v>0</v>
      </c>
      <c r="H162" s="111" t="b">
        <v>0</v>
      </c>
      <c r="I162" s="111" t="b">
        <v>0</v>
      </c>
      <c r="J162" s="111" t="b">
        <v>0</v>
      </c>
      <c r="K162" s="111" t="b">
        <v>0</v>
      </c>
      <c r="L162" s="111" t="b">
        <v>0</v>
      </c>
    </row>
    <row r="163" spans="1:12" ht="15">
      <c r="A163" s="113" t="s">
        <v>1436</v>
      </c>
      <c r="B163" s="111" t="s">
        <v>1437</v>
      </c>
      <c r="C163" s="111">
        <v>3</v>
      </c>
      <c r="D163" s="115">
        <v>0.0006419248120766433</v>
      </c>
      <c r="E163" s="115">
        <v>3.3791846117136366</v>
      </c>
      <c r="F163" s="111" t="s">
        <v>1990</v>
      </c>
      <c r="G163" s="111" t="b">
        <v>0</v>
      </c>
      <c r="H163" s="111" t="b">
        <v>0</v>
      </c>
      <c r="I163" s="111" t="b">
        <v>0</v>
      </c>
      <c r="J163" s="111" t="b">
        <v>1</v>
      </c>
      <c r="K163" s="111" t="b">
        <v>0</v>
      </c>
      <c r="L163" s="111" t="b">
        <v>0</v>
      </c>
    </row>
    <row r="164" spans="1:12" ht="15">
      <c r="A164" s="113" t="s">
        <v>1437</v>
      </c>
      <c r="B164" s="111" t="s">
        <v>1191</v>
      </c>
      <c r="C164" s="111">
        <v>3</v>
      </c>
      <c r="D164" s="115">
        <v>0.0006419248120766433</v>
      </c>
      <c r="E164" s="115">
        <v>3.2542458751053367</v>
      </c>
      <c r="F164" s="111" t="s">
        <v>1990</v>
      </c>
      <c r="G164" s="111" t="b">
        <v>1</v>
      </c>
      <c r="H164" s="111" t="b">
        <v>0</v>
      </c>
      <c r="I164" s="111" t="b">
        <v>0</v>
      </c>
      <c r="J164" s="111" t="b">
        <v>0</v>
      </c>
      <c r="K164" s="111" t="b">
        <v>0</v>
      </c>
      <c r="L164" s="111" t="b">
        <v>0</v>
      </c>
    </row>
    <row r="165" spans="1:12" ht="15">
      <c r="A165" s="113" t="s">
        <v>1191</v>
      </c>
      <c r="B165" s="111" t="s">
        <v>965</v>
      </c>
      <c r="C165" s="111">
        <v>3</v>
      </c>
      <c r="D165" s="115">
        <v>0.0006419248120766433</v>
      </c>
      <c r="E165" s="115">
        <v>2.8282771428330555</v>
      </c>
      <c r="F165" s="111" t="s">
        <v>1990</v>
      </c>
      <c r="G165" s="111" t="b">
        <v>0</v>
      </c>
      <c r="H165" s="111" t="b">
        <v>0</v>
      </c>
      <c r="I165" s="111" t="b">
        <v>0</v>
      </c>
      <c r="J165" s="111" t="b">
        <v>0</v>
      </c>
      <c r="K165" s="111" t="b">
        <v>0</v>
      </c>
      <c r="L165" s="111" t="b">
        <v>0</v>
      </c>
    </row>
    <row r="166" spans="1:12" ht="15">
      <c r="A166" s="113" t="s">
        <v>965</v>
      </c>
      <c r="B166" s="111" t="s">
        <v>1238</v>
      </c>
      <c r="C166" s="111">
        <v>3</v>
      </c>
      <c r="D166" s="115">
        <v>0.0006419248120766433</v>
      </c>
      <c r="E166" s="115">
        <v>2.8282771428330555</v>
      </c>
      <c r="F166" s="111" t="s">
        <v>1990</v>
      </c>
      <c r="G166" s="111" t="b">
        <v>0</v>
      </c>
      <c r="H166" s="111" t="b">
        <v>0</v>
      </c>
      <c r="I166" s="111" t="b">
        <v>0</v>
      </c>
      <c r="J166" s="111" t="b">
        <v>0</v>
      </c>
      <c r="K166" s="111" t="b">
        <v>0</v>
      </c>
      <c r="L166" s="111" t="b">
        <v>0</v>
      </c>
    </row>
    <row r="167" spans="1:12" ht="15">
      <c r="A167" s="113" t="s">
        <v>1238</v>
      </c>
      <c r="B167" s="111" t="s">
        <v>951</v>
      </c>
      <c r="C167" s="111">
        <v>3</v>
      </c>
      <c r="D167" s="115">
        <v>0.0006419248120766433</v>
      </c>
      <c r="E167" s="115">
        <v>2.777124620385674</v>
      </c>
      <c r="F167" s="111" t="s">
        <v>1990</v>
      </c>
      <c r="G167" s="111" t="b">
        <v>0</v>
      </c>
      <c r="H167" s="111" t="b">
        <v>0</v>
      </c>
      <c r="I167" s="111" t="b">
        <v>0</v>
      </c>
      <c r="J167" s="111" t="b">
        <v>0</v>
      </c>
      <c r="K167" s="111" t="b">
        <v>0</v>
      </c>
      <c r="L167" s="111" t="b">
        <v>0</v>
      </c>
    </row>
    <row r="168" spans="1:12" ht="15">
      <c r="A168" s="113" t="s">
        <v>981</v>
      </c>
      <c r="B168" s="111" t="s">
        <v>902</v>
      </c>
      <c r="C168" s="111">
        <v>3</v>
      </c>
      <c r="D168" s="115">
        <v>0.0008382171549399165</v>
      </c>
      <c r="E168" s="115">
        <v>2.316393781854181</v>
      </c>
      <c r="F168" s="111" t="s">
        <v>1990</v>
      </c>
      <c r="G168" s="111" t="b">
        <v>0</v>
      </c>
      <c r="H168" s="111" t="b">
        <v>0</v>
      </c>
      <c r="I168" s="111" t="b">
        <v>0</v>
      </c>
      <c r="J168" s="111" t="b">
        <v>0</v>
      </c>
      <c r="K168" s="111" t="b">
        <v>0</v>
      </c>
      <c r="L168" s="111" t="b">
        <v>0</v>
      </c>
    </row>
    <row r="169" spans="1:12" ht="15">
      <c r="A169" s="113" t="s">
        <v>873</v>
      </c>
      <c r="B169" s="111" t="s">
        <v>1443</v>
      </c>
      <c r="C169" s="111">
        <v>3</v>
      </c>
      <c r="D169" s="115">
        <v>0.0007143704754292275</v>
      </c>
      <c r="E169" s="115">
        <v>2.625856945055025</v>
      </c>
      <c r="F169" s="111" t="s">
        <v>1990</v>
      </c>
      <c r="G169" s="111" t="b">
        <v>0</v>
      </c>
      <c r="H169" s="111" t="b">
        <v>0</v>
      </c>
      <c r="I169" s="111" t="b">
        <v>0</v>
      </c>
      <c r="J169" s="111" t="b">
        <v>0</v>
      </c>
      <c r="K169" s="111" t="b">
        <v>0</v>
      </c>
      <c r="L169" s="111" t="b">
        <v>0</v>
      </c>
    </row>
    <row r="170" spans="1:12" ht="15">
      <c r="A170" s="113" t="s">
        <v>1445</v>
      </c>
      <c r="B170" s="111" t="s">
        <v>1446</v>
      </c>
      <c r="C170" s="111">
        <v>3</v>
      </c>
      <c r="D170" s="115">
        <v>0.0008382171549399165</v>
      </c>
      <c r="E170" s="115">
        <v>3.3791846117136366</v>
      </c>
      <c r="F170" s="111" t="s">
        <v>1990</v>
      </c>
      <c r="G170" s="111" t="b">
        <v>0</v>
      </c>
      <c r="H170" s="111" t="b">
        <v>0</v>
      </c>
      <c r="I170" s="111" t="b">
        <v>0</v>
      </c>
      <c r="J170" s="111" t="b">
        <v>0</v>
      </c>
      <c r="K170" s="111" t="b">
        <v>0</v>
      </c>
      <c r="L170" s="111" t="b">
        <v>0</v>
      </c>
    </row>
    <row r="171" spans="1:12" ht="15">
      <c r="A171" s="113" t="s">
        <v>1257</v>
      </c>
      <c r="B171" s="111" t="s">
        <v>998</v>
      </c>
      <c r="C171" s="111">
        <v>3</v>
      </c>
      <c r="D171" s="115">
        <v>0.0008382171549399165</v>
      </c>
      <c r="E171" s="115">
        <v>2.9532158794413554</v>
      </c>
      <c r="F171" s="111" t="s">
        <v>1990</v>
      </c>
      <c r="G171" s="111" t="b">
        <v>0</v>
      </c>
      <c r="H171" s="111" t="b">
        <v>0</v>
      </c>
      <c r="I171" s="111" t="b">
        <v>0</v>
      </c>
      <c r="J171" s="111" t="b">
        <v>0</v>
      </c>
      <c r="K171" s="111" t="b">
        <v>0</v>
      </c>
      <c r="L171" s="111" t="b">
        <v>0</v>
      </c>
    </row>
    <row r="172" spans="1:12" ht="15">
      <c r="A172" s="113" t="s">
        <v>918</v>
      </c>
      <c r="B172" s="111" t="s">
        <v>1153</v>
      </c>
      <c r="C172" s="111">
        <v>3</v>
      </c>
      <c r="D172" s="115">
        <v>0.0007143704754292275</v>
      </c>
      <c r="E172" s="115">
        <v>2.555275870769318</v>
      </c>
      <c r="F172" s="111" t="s">
        <v>1990</v>
      </c>
      <c r="G172" s="111" t="b">
        <v>0</v>
      </c>
      <c r="H172" s="111" t="b">
        <v>0</v>
      </c>
      <c r="I172" s="111" t="b">
        <v>0</v>
      </c>
      <c r="J172" s="111" t="b">
        <v>0</v>
      </c>
      <c r="K172" s="111" t="b">
        <v>0</v>
      </c>
      <c r="L172" s="111" t="b">
        <v>0</v>
      </c>
    </row>
    <row r="173" spans="1:12" ht="15">
      <c r="A173" s="113" t="s">
        <v>881</v>
      </c>
      <c r="B173" s="111" t="s">
        <v>1460</v>
      </c>
      <c r="C173" s="111">
        <v>3</v>
      </c>
      <c r="D173" s="115">
        <v>0.0007143704754292275</v>
      </c>
      <c r="E173" s="115">
        <v>2.680214607377618</v>
      </c>
      <c r="F173" s="111" t="s">
        <v>1990</v>
      </c>
      <c r="G173" s="111" t="b">
        <v>0</v>
      </c>
      <c r="H173" s="111" t="b">
        <v>0</v>
      </c>
      <c r="I173" s="111" t="b">
        <v>0</v>
      </c>
      <c r="J173" s="111" t="b">
        <v>0</v>
      </c>
      <c r="K173" s="111" t="b">
        <v>0</v>
      </c>
      <c r="L173" s="111" t="b">
        <v>0</v>
      </c>
    </row>
    <row r="174" spans="1:12" ht="15">
      <c r="A174" s="113" t="s">
        <v>856</v>
      </c>
      <c r="B174" s="111" t="s">
        <v>921</v>
      </c>
      <c r="C174" s="111">
        <v>3</v>
      </c>
      <c r="D174" s="115">
        <v>0.0006419248120766433</v>
      </c>
      <c r="E174" s="115">
        <v>1.9303065999771436</v>
      </c>
      <c r="F174" s="111" t="s">
        <v>1990</v>
      </c>
      <c r="G174" s="111" t="b">
        <v>0</v>
      </c>
      <c r="H174" s="111" t="b">
        <v>0</v>
      </c>
      <c r="I174" s="111" t="b">
        <v>0</v>
      </c>
      <c r="J174" s="111" t="b">
        <v>0</v>
      </c>
      <c r="K174" s="111" t="b">
        <v>0</v>
      </c>
      <c r="L174" s="111" t="b">
        <v>0</v>
      </c>
    </row>
    <row r="175" spans="1:12" ht="15">
      <c r="A175" s="113" t="s">
        <v>921</v>
      </c>
      <c r="B175" s="111" t="s">
        <v>1236</v>
      </c>
      <c r="C175" s="111">
        <v>3</v>
      </c>
      <c r="D175" s="115">
        <v>0.0006419248120766433</v>
      </c>
      <c r="E175" s="115">
        <v>2.689974444666774</v>
      </c>
      <c r="F175" s="111" t="s">
        <v>1990</v>
      </c>
      <c r="G175" s="111" t="b">
        <v>0</v>
      </c>
      <c r="H175" s="111" t="b">
        <v>0</v>
      </c>
      <c r="I175" s="111" t="b">
        <v>0</v>
      </c>
      <c r="J175" s="111" t="b">
        <v>0</v>
      </c>
      <c r="K175" s="111" t="b">
        <v>0</v>
      </c>
      <c r="L175" s="111" t="b">
        <v>0</v>
      </c>
    </row>
    <row r="176" spans="1:12" ht="15">
      <c r="A176" s="113" t="s">
        <v>1236</v>
      </c>
      <c r="B176" s="111" t="s">
        <v>1461</v>
      </c>
      <c r="C176" s="111">
        <v>3</v>
      </c>
      <c r="D176" s="115">
        <v>0.0006419248120766433</v>
      </c>
      <c r="E176" s="115">
        <v>3.2542458751053367</v>
      </c>
      <c r="F176" s="111" t="s">
        <v>1990</v>
      </c>
      <c r="G176" s="111" t="b">
        <v>0</v>
      </c>
      <c r="H176" s="111" t="b">
        <v>0</v>
      </c>
      <c r="I176" s="111" t="b">
        <v>0</v>
      </c>
      <c r="J176" s="111" t="b">
        <v>0</v>
      </c>
      <c r="K176" s="111" t="b">
        <v>0</v>
      </c>
      <c r="L176" s="111" t="b">
        <v>0</v>
      </c>
    </row>
    <row r="177" spans="1:12" ht="15">
      <c r="A177" s="113" t="s">
        <v>1461</v>
      </c>
      <c r="B177" s="111" t="s">
        <v>1085</v>
      </c>
      <c r="C177" s="111">
        <v>3</v>
      </c>
      <c r="D177" s="115">
        <v>0.0006419248120766433</v>
      </c>
      <c r="E177" s="115">
        <v>3.0781546160496553</v>
      </c>
      <c r="F177" s="111" t="s">
        <v>1990</v>
      </c>
      <c r="G177" s="111" t="b">
        <v>0</v>
      </c>
      <c r="H177" s="111" t="b">
        <v>0</v>
      </c>
      <c r="I177" s="111" t="b">
        <v>0</v>
      </c>
      <c r="J177" s="111" t="b">
        <v>0</v>
      </c>
      <c r="K177" s="111" t="b">
        <v>0</v>
      </c>
      <c r="L177" s="111" t="b">
        <v>0</v>
      </c>
    </row>
    <row r="178" spans="1:12" ht="15">
      <c r="A178" s="113" t="s">
        <v>1085</v>
      </c>
      <c r="B178" s="111" t="s">
        <v>1462</v>
      </c>
      <c r="C178" s="111">
        <v>3</v>
      </c>
      <c r="D178" s="115">
        <v>0.0006419248120766433</v>
      </c>
      <c r="E178" s="115">
        <v>3.0781546160496553</v>
      </c>
      <c r="F178" s="111" t="s">
        <v>1990</v>
      </c>
      <c r="G178" s="111" t="b">
        <v>0</v>
      </c>
      <c r="H178" s="111" t="b">
        <v>0</v>
      </c>
      <c r="I178" s="111" t="b">
        <v>0</v>
      </c>
      <c r="J178" s="111" t="b">
        <v>0</v>
      </c>
      <c r="K178" s="111" t="b">
        <v>0</v>
      </c>
      <c r="L178" s="111" t="b">
        <v>0</v>
      </c>
    </row>
    <row r="179" spans="1:12" ht="15">
      <c r="A179" s="113" t="s">
        <v>1462</v>
      </c>
      <c r="B179" s="111" t="s">
        <v>874</v>
      </c>
      <c r="C179" s="111">
        <v>3</v>
      </c>
      <c r="D179" s="115">
        <v>0.0006419248120766433</v>
      </c>
      <c r="E179" s="115">
        <v>2.625856945055025</v>
      </c>
      <c r="F179" s="111" t="s">
        <v>1990</v>
      </c>
      <c r="G179" s="111" t="b">
        <v>0</v>
      </c>
      <c r="H179" s="111" t="b">
        <v>0</v>
      </c>
      <c r="I179" s="111" t="b">
        <v>0</v>
      </c>
      <c r="J179" s="111" t="b">
        <v>0</v>
      </c>
      <c r="K179" s="111" t="b">
        <v>0</v>
      </c>
      <c r="L179" s="111" t="b">
        <v>0</v>
      </c>
    </row>
    <row r="180" spans="1:12" ht="15">
      <c r="A180" s="113" t="s">
        <v>842</v>
      </c>
      <c r="B180" s="111" t="s">
        <v>856</v>
      </c>
      <c r="C180" s="111">
        <v>3</v>
      </c>
      <c r="D180" s="115">
        <v>0.0006419248120766433</v>
      </c>
      <c r="E180" s="115">
        <v>1.3081212558881912</v>
      </c>
      <c r="F180" s="111" t="s">
        <v>1990</v>
      </c>
      <c r="G180" s="111" t="b">
        <v>0</v>
      </c>
      <c r="H180" s="111" t="b">
        <v>0</v>
      </c>
      <c r="I180" s="111" t="b">
        <v>0</v>
      </c>
      <c r="J180" s="111" t="b">
        <v>0</v>
      </c>
      <c r="K180" s="111" t="b">
        <v>0</v>
      </c>
      <c r="L180" s="111" t="b">
        <v>0</v>
      </c>
    </row>
    <row r="181" spans="1:12" ht="15">
      <c r="A181" s="113" t="s">
        <v>848</v>
      </c>
      <c r="B181" s="111" t="s">
        <v>1463</v>
      </c>
      <c r="C181" s="111">
        <v>3</v>
      </c>
      <c r="D181" s="115">
        <v>0.0006419248120766433</v>
      </c>
      <c r="E181" s="115">
        <v>2.3122378220830235</v>
      </c>
      <c r="F181" s="111" t="s">
        <v>1990</v>
      </c>
      <c r="G181" s="111" t="b">
        <v>0</v>
      </c>
      <c r="H181" s="111" t="b">
        <v>0</v>
      </c>
      <c r="I181" s="111" t="b">
        <v>0</v>
      </c>
      <c r="J181" s="111" t="b">
        <v>0</v>
      </c>
      <c r="K181" s="111" t="b">
        <v>0</v>
      </c>
      <c r="L181" s="111" t="b">
        <v>0</v>
      </c>
    </row>
    <row r="182" spans="1:12" ht="15">
      <c r="A182" s="113" t="s">
        <v>1463</v>
      </c>
      <c r="B182" s="111" t="s">
        <v>1017</v>
      </c>
      <c r="C182" s="111">
        <v>3</v>
      </c>
      <c r="D182" s="115">
        <v>0.0006419248120766433</v>
      </c>
      <c r="E182" s="115">
        <v>3.0112078264190423</v>
      </c>
      <c r="F182" s="111" t="s">
        <v>1990</v>
      </c>
      <c r="G182" s="111" t="b">
        <v>0</v>
      </c>
      <c r="H182" s="111" t="b">
        <v>0</v>
      </c>
      <c r="I182" s="111" t="b">
        <v>0</v>
      </c>
      <c r="J182" s="111" t="b">
        <v>0</v>
      </c>
      <c r="K182" s="111" t="b">
        <v>0</v>
      </c>
      <c r="L182" s="111" t="b">
        <v>0</v>
      </c>
    </row>
    <row r="183" spans="1:12" ht="15">
      <c r="A183" s="113" t="s">
        <v>1017</v>
      </c>
      <c r="B183" s="111" t="s">
        <v>900</v>
      </c>
      <c r="C183" s="111">
        <v>3</v>
      </c>
      <c r="D183" s="115">
        <v>0.0006419248120766433</v>
      </c>
      <c r="E183" s="115">
        <v>2.374385728831868</v>
      </c>
      <c r="F183" s="111" t="s">
        <v>1990</v>
      </c>
      <c r="G183" s="111" t="b">
        <v>0</v>
      </c>
      <c r="H183" s="111" t="b">
        <v>0</v>
      </c>
      <c r="I183" s="111" t="b">
        <v>0</v>
      </c>
      <c r="J183" s="111" t="b">
        <v>0</v>
      </c>
      <c r="K183" s="111" t="b">
        <v>1</v>
      </c>
      <c r="L183" s="111" t="b">
        <v>0</v>
      </c>
    </row>
    <row r="184" spans="1:12" ht="15">
      <c r="A184" s="113" t="s">
        <v>900</v>
      </c>
      <c r="B184" s="111" t="s">
        <v>1464</v>
      </c>
      <c r="C184" s="111">
        <v>3</v>
      </c>
      <c r="D184" s="115">
        <v>0.0006419248120766433</v>
      </c>
      <c r="E184" s="115">
        <v>2.7423625141264623</v>
      </c>
      <c r="F184" s="111" t="s">
        <v>1990</v>
      </c>
      <c r="G184" s="111" t="b">
        <v>0</v>
      </c>
      <c r="H184" s="111" t="b">
        <v>1</v>
      </c>
      <c r="I184" s="111" t="b">
        <v>0</v>
      </c>
      <c r="J184" s="111" t="b">
        <v>0</v>
      </c>
      <c r="K184" s="111" t="b">
        <v>0</v>
      </c>
      <c r="L184" s="111" t="b">
        <v>0</v>
      </c>
    </row>
    <row r="185" spans="1:12" ht="15">
      <c r="A185" s="113" t="s">
        <v>1464</v>
      </c>
      <c r="B185" s="111" t="s">
        <v>1008</v>
      </c>
      <c r="C185" s="111">
        <v>3</v>
      </c>
      <c r="D185" s="115">
        <v>0.0006419248120766433</v>
      </c>
      <c r="E185" s="115">
        <v>3.0112078264190423</v>
      </c>
      <c r="F185" s="111" t="s">
        <v>1990</v>
      </c>
      <c r="G185" s="111" t="b">
        <v>0</v>
      </c>
      <c r="H185" s="111" t="b">
        <v>0</v>
      </c>
      <c r="I185" s="111" t="b">
        <v>0</v>
      </c>
      <c r="J185" s="111" t="b">
        <v>0</v>
      </c>
      <c r="K185" s="111" t="b">
        <v>0</v>
      </c>
      <c r="L185" s="111" t="b">
        <v>0</v>
      </c>
    </row>
    <row r="186" spans="1:12" ht="15">
      <c r="A186" s="113" t="s">
        <v>1008</v>
      </c>
      <c r="B186" s="111" t="s">
        <v>864</v>
      </c>
      <c r="C186" s="111">
        <v>3</v>
      </c>
      <c r="D186" s="115">
        <v>0.0006419248120766433</v>
      </c>
      <c r="E186" s="115">
        <v>2.2542458751053367</v>
      </c>
      <c r="F186" s="111" t="s">
        <v>1990</v>
      </c>
      <c r="G186" s="111" t="b">
        <v>0</v>
      </c>
      <c r="H186" s="111" t="b">
        <v>0</v>
      </c>
      <c r="I186" s="111" t="b">
        <v>0</v>
      </c>
      <c r="J186" s="111" t="b">
        <v>0</v>
      </c>
      <c r="K186" s="111" t="b">
        <v>0</v>
      </c>
      <c r="L186" s="111" t="b">
        <v>0</v>
      </c>
    </row>
    <row r="187" spans="1:12" ht="15">
      <c r="A187" s="113" t="s">
        <v>864</v>
      </c>
      <c r="B187" s="111" t="s">
        <v>842</v>
      </c>
      <c r="C187" s="111">
        <v>3</v>
      </c>
      <c r="D187" s="115">
        <v>0.0006419248120766433</v>
      </c>
      <c r="E187" s="115">
        <v>1.2920344359947364</v>
      </c>
      <c r="F187" s="111" t="s">
        <v>1990</v>
      </c>
      <c r="G187" s="111" t="b">
        <v>0</v>
      </c>
      <c r="H187" s="111" t="b">
        <v>0</v>
      </c>
      <c r="I187" s="111" t="b">
        <v>0</v>
      </c>
      <c r="J187" s="111" t="b">
        <v>0</v>
      </c>
      <c r="K187" s="111" t="b">
        <v>0</v>
      </c>
      <c r="L187" s="111" t="b">
        <v>0</v>
      </c>
    </row>
    <row r="188" spans="1:12" ht="15">
      <c r="A188" s="113" t="s">
        <v>1465</v>
      </c>
      <c r="B188" s="111" t="s">
        <v>1466</v>
      </c>
      <c r="C188" s="111">
        <v>3</v>
      </c>
      <c r="D188" s="115">
        <v>0.0006419248120766433</v>
      </c>
      <c r="E188" s="115">
        <v>3.3791846117136366</v>
      </c>
      <c r="F188" s="111" t="s">
        <v>1990</v>
      </c>
      <c r="G188" s="111" t="b">
        <v>0</v>
      </c>
      <c r="H188" s="111" t="b">
        <v>0</v>
      </c>
      <c r="I188" s="111" t="b">
        <v>0</v>
      </c>
      <c r="J188" s="111" t="b">
        <v>0</v>
      </c>
      <c r="K188" s="111" t="b">
        <v>0</v>
      </c>
      <c r="L188" s="111" t="b">
        <v>0</v>
      </c>
    </row>
    <row r="189" spans="1:12" ht="15">
      <c r="A189" s="113" t="s">
        <v>1466</v>
      </c>
      <c r="B189" s="111" t="s">
        <v>1467</v>
      </c>
      <c r="C189" s="111">
        <v>3</v>
      </c>
      <c r="D189" s="115">
        <v>0.0006419248120766433</v>
      </c>
      <c r="E189" s="115">
        <v>3.3791846117136366</v>
      </c>
      <c r="F189" s="111" t="s">
        <v>1990</v>
      </c>
      <c r="G189" s="111" t="b">
        <v>0</v>
      </c>
      <c r="H189" s="111" t="b">
        <v>0</v>
      </c>
      <c r="I189" s="111" t="b">
        <v>0</v>
      </c>
      <c r="J189" s="111" t="b">
        <v>0</v>
      </c>
      <c r="K189" s="111" t="b">
        <v>0</v>
      </c>
      <c r="L189" s="111" t="b">
        <v>0</v>
      </c>
    </row>
    <row r="190" spans="1:12" ht="15">
      <c r="A190" s="113" t="s">
        <v>1467</v>
      </c>
      <c r="B190" s="111" t="s">
        <v>1085</v>
      </c>
      <c r="C190" s="111">
        <v>3</v>
      </c>
      <c r="D190" s="115">
        <v>0.0006419248120766433</v>
      </c>
      <c r="E190" s="115">
        <v>3.0781546160496553</v>
      </c>
      <c r="F190" s="111" t="s">
        <v>1990</v>
      </c>
      <c r="G190" s="111" t="b">
        <v>0</v>
      </c>
      <c r="H190" s="111" t="b">
        <v>0</v>
      </c>
      <c r="I190" s="111" t="b">
        <v>0</v>
      </c>
      <c r="J190" s="111" t="b">
        <v>0</v>
      </c>
      <c r="K190" s="111" t="b">
        <v>0</v>
      </c>
      <c r="L190" s="111" t="b">
        <v>0</v>
      </c>
    </row>
    <row r="191" spans="1:12" ht="15">
      <c r="A191" s="113" t="s">
        <v>1085</v>
      </c>
      <c r="B191" s="111" t="s">
        <v>903</v>
      </c>
      <c r="C191" s="111">
        <v>3</v>
      </c>
      <c r="D191" s="115">
        <v>0.0006419248120766433</v>
      </c>
      <c r="E191" s="115">
        <v>2.441332518462481</v>
      </c>
      <c r="F191" s="111" t="s">
        <v>1990</v>
      </c>
      <c r="G191" s="111" t="b">
        <v>0</v>
      </c>
      <c r="H191" s="111" t="b">
        <v>0</v>
      </c>
      <c r="I191" s="111" t="b">
        <v>0</v>
      </c>
      <c r="J191" s="111" t="b">
        <v>0</v>
      </c>
      <c r="K191" s="111" t="b">
        <v>0</v>
      </c>
      <c r="L191" s="111" t="b">
        <v>0</v>
      </c>
    </row>
    <row r="192" spans="1:12" ht="15">
      <c r="A192" s="113" t="s">
        <v>903</v>
      </c>
      <c r="B192" s="111" t="s">
        <v>1038</v>
      </c>
      <c r="C192" s="111">
        <v>3</v>
      </c>
      <c r="D192" s="115">
        <v>0.0006419248120766433</v>
      </c>
      <c r="E192" s="115">
        <v>2.441332518462481</v>
      </c>
      <c r="F192" s="111" t="s">
        <v>1990</v>
      </c>
      <c r="G192" s="111" t="b">
        <v>0</v>
      </c>
      <c r="H192" s="111" t="b">
        <v>0</v>
      </c>
      <c r="I192" s="111" t="b">
        <v>0</v>
      </c>
      <c r="J192" s="111" t="b">
        <v>0</v>
      </c>
      <c r="K192" s="111" t="b">
        <v>0</v>
      </c>
      <c r="L192" s="111" t="b">
        <v>0</v>
      </c>
    </row>
    <row r="193" spans="1:12" ht="15">
      <c r="A193" s="113" t="s">
        <v>1038</v>
      </c>
      <c r="B193" s="111" t="s">
        <v>840</v>
      </c>
      <c r="C193" s="111">
        <v>3</v>
      </c>
      <c r="D193" s="115">
        <v>0.0006419248120766433</v>
      </c>
      <c r="E193" s="115">
        <v>1.476094624721693</v>
      </c>
      <c r="F193" s="111" t="s">
        <v>1990</v>
      </c>
      <c r="G193" s="111" t="b">
        <v>0</v>
      </c>
      <c r="H193" s="111" t="b">
        <v>0</v>
      </c>
      <c r="I193" s="111" t="b">
        <v>0</v>
      </c>
      <c r="J193" s="111" t="b">
        <v>0</v>
      </c>
      <c r="K193" s="111" t="b">
        <v>0</v>
      </c>
      <c r="L193" s="111" t="b">
        <v>0</v>
      </c>
    </row>
    <row r="194" spans="1:12" ht="15">
      <c r="A194" s="113" t="s">
        <v>917</v>
      </c>
      <c r="B194" s="111" t="s">
        <v>874</v>
      </c>
      <c r="C194" s="111">
        <v>3</v>
      </c>
      <c r="D194" s="115">
        <v>0.0006419248120766433</v>
      </c>
      <c r="E194" s="115">
        <v>2.0237969537270626</v>
      </c>
      <c r="F194" s="111" t="s">
        <v>1990</v>
      </c>
      <c r="G194" s="111" t="b">
        <v>0</v>
      </c>
      <c r="H194" s="111" t="b">
        <v>0</v>
      </c>
      <c r="I194" s="111" t="b">
        <v>0</v>
      </c>
      <c r="J194" s="111" t="b">
        <v>0</v>
      </c>
      <c r="K194" s="111" t="b">
        <v>0</v>
      </c>
      <c r="L194" s="111" t="b">
        <v>0</v>
      </c>
    </row>
    <row r="195" spans="1:12" ht="15">
      <c r="A195" s="113" t="s">
        <v>1265</v>
      </c>
      <c r="B195" s="111" t="s">
        <v>1472</v>
      </c>
      <c r="C195" s="111">
        <v>3</v>
      </c>
      <c r="D195" s="115">
        <v>0.0008382171549399165</v>
      </c>
      <c r="E195" s="115">
        <v>3.2542458751053367</v>
      </c>
      <c r="F195" s="111" t="s">
        <v>1990</v>
      </c>
      <c r="G195" s="111" t="b">
        <v>0</v>
      </c>
      <c r="H195" s="111" t="b">
        <v>0</v>
      </c>
      <c r="I195" s="111" t="b">
        <v>0</v>
      </c>
      <c r="J195" s="111" t="b">
        <v>0</v>
      </c>
      <c r="K195" s="111" t="b">
        <v>0</v>
      </c>
      <c r="L195" s="111" t="b">
        <v>0</v>
      </c>
    </row>
    <row r="196" spans="1:12" ht="15">
      <c r="A196" s="113" t="s">
        <v>1474</v>
      </c>
      <c r="B196" s="111" t="s">
        <v>1267</v>
      </c>
      <c r="C196" s="111">
        <v>3</v>
      </c>
      <c r="D196" s="115">
        <v>0.0008382171549399165</v>
      </c>
      <c r="E196" s="115">
        <v>3.2542458751053367</v>
      </c>
      <c r="F196" s="111" t="s">
        <v>1990</v>
      </c>
      <c r="G196" s="111" t="b">
        <v>0</v>
      </c>
      <c r="H196" s="111" t="b">
        <v>0</v>
      </c>
      <c r="I196" s="111" t="b">
        <v>0</v>
      </c>
      <c r="J196" s="111" t="b">
        <v>0</v>
      </c>
      <c r="K196" s="111" t="b">
        <v>0</v>
      </c>
      <c r="L196" s="111" t="b">
        <v>0</v>
      </c>
    </row>
    <row r="197" spans="1:12" ht="15">
      <c r="A197" s="113" t="s">
        <v>1268</v>
      </c>
      <c r="B197" s="111" t="s">
        <v>1182</v>
      </c>
      <c r="C197" s="111">
        <v>3</v>
      </c>
      <c r="D197" s="115">
        <v>0.0008382171549399165</v>
      </c>
      <c r="E197" s="115">
        <v>3.129307138497037</v>
      </c>
      <c r="F197" s="111" t="s">
        <v>1990</v>
      </c>
      <c r="G197" s="111" t="b">
        <v>0</v>
      </c>
      <c r="H197" s="111" t="b">
        <v>0</v>
      </c>
      <c r="I197" s="111" t="b">
        <v>0</v>
      </c>
      <c r="J197" s="111" t="b">
        <v>1</v>
      </c>
      <c r="K197" s="111" t="b">
        <v>0</v>
      </c>
      <c r="L197" s="111" t="b">
        <v>0</v>
      </c>
    </row>
    <row r="198" spans="1:12" ht="15">
      <c r="A198" s="113" t="s">
        <v>1182</v>
      </c>
      <c r="B198" s="111" t="s">
        <v>1078</v>
      </c>
      <c r="C198" s="111">
        <v>3</v>
      </c>
      <c r="D198" s="115">
        <v>0.0008382171549399165</v>
      </c>
      <c r="E198" s="115">
        <v>2.9532158794413554</v>
      </c>
      <c r="F198" s="111" t="s">
        <v>1990</v>
      </c>
      <c r="G198" s="111" t="b">
        <v>1</v>
      </c>
      <c r="H198" s="111" t="b">
        <v>0</v>
      </c>
      <c r="I198" s="111" t="b">
        <v>0</v>
      </c>
      <c r="J198" s="111" t="b">
        <v>1</v>
      </c>
      <c r="K198" s="111" t="b">
        <v>0</v>
      </c>
      <c r="L198" s="111" t="b">
        <v>0</v>
      </c>
    </row>
    <row r="199" spans="1:12" ht="15">
      <c r="A199" s="113" t="s">
        <v>860</v>
      </c>
      <c r="B199" s="111" t="s">
        <v>885</v>
      </c>
      <c r="C199" s="111">
        <v>3</v>
      </c>
      <c r="D199" s="115">
        <v>0.0006419248120766433</v>
      </c>
      <c r="E199" s="115">
        <v>1.8149131812750738</v>
      </c>
      <c r="F199" s="111" t="s">
        <v>1990</v>
      </c>
      <c r="G199" s="111" t="b">
        <v>1</v>
      </c>
      <c r="H199" s="111" t="b">
        <v>0</v>
      </c>
      <c r="I199" s="111" t="b">
        <v>0</v>
      </c>
      <c r="J199" s="111" t="b">
        <v>0</v>
      </c>
      <c r="K199" s="111" t="b">
        <v>0</v>
      </c>
      <c r="L199" s="111" t="b">
        <v>0</v>
      </c>
    </row>
    <row r="200" spans="1:12" ht="15">
      <c r="A200" s="113" t="s">
        <v>982</v>
      </c>
      <c r="B200" s="111" t="s">
        <v>858</v>
      </c>
      <c r="C200" s="111">
        <v>3</v>
      </c>
      <c r="D200" s="115">
        <v>0.0008382171549399165</v>
      </c>
      <c r="E200" s="115">
        <v>2.068609298143425</v>
      </c>
      <c r="F200" s="111" t="s">
        <v>1990</v>
      </c>
      <c r="G200" s="111" t="b">
        <v>0</v>
      </c>
      <c r="H200" s="111" t="b">
        <v>0</v>
      </c>
      <c r="I200" s="111" t="b">
        <v>0</v>
      </c>
      <c r="J200" s="111" t="b">
        <v>0</v>
      </c>
      <c r="K200" s="111" t="b">
        <v>0</v>
      </c>
      <c r="L200" s="111" t="b">
        <v>0</v>
      </c>
    </row>
    <row r="201" spans="1:12" ht="15">
      <c r="A201" s="113" t="s">
        <v>1484</v>
      </c>
      <c r="B201" s="111" t="s">
        <v>1270</v>
      </c>
      <c r="C201" s="111">
        <v>3</v>
      </c>
      <c r="D201" s="115">
        <v>0.0008382171549399165</v>
      </c>
      <c r="E201" s="115">
        <v>3.2542458751053367</v>
      </c>
      <c r="F201" s="111" t="s">
        <v>1990</v>
      </c>
      <c r="G201" s="111" t="b">
        <v>0</v>
      </c>
      <c r="H201" s="111" t="b">
        <v>0</v>
      </c>
      <c r="I201" s="111" t="b">
        <v>0</v>
      </c>
      <c r="J201" s="111" t="b">
        <v>0</v>
      </c>
      <c r="K201" s="111" t="b">
        <v>1</v>
      </c>
      <c r="L201" s="111" t="b">
        <v>0</v>
      </c>
    </row>
    <row r="202" spans="1:12" ht="15">
      <c r="A202" s="113" t="s">
        <v>1495</v>
      </c>
      <c r="B202" s="111" t="s">
        <v>1496</v>
      </c>
      <c r="C202" s="111">
        <v>3</v>
      </c>
      <c r="D202" s="115">
        <v>0.0008382171549399165</v>
      </c>
      <c r="E202" s="115">
        <v>3.3791846117136366</v>
      </c>
      <c r="F202" s="111" t="s">
        <v>1990</v>
      </c>
      <c r="G202" s="111" t="b">
        <v>0</v>
      </c>
      <c r="H202" s="111" t="b">
        <v>0</v>
      </c>
      <c r="I202" s="111" t="b">
        <v>0</v>
      </c>
      <c r="J202" s="111" t="b">
        <v>0</v>
      </c>
      <c r="K202" s="111" t="b">
        <v>0</v>
      </c>
      <c r="L202" s="111" t="b">
        <v>0</v>
      </c>
    </row>
    <row r="203" spans="1:12" ht="15">
      <c r="A203" s="113" t="s">
        <v>840</v>
      </c>
      <c r="B203" s="111" t="s">
        <v>1009</v>
      </c>
      <c r="C203" s="111">
        <v>3</v>
      </c>
      <c r="D203" s="115">
        <v>0.0007143704754292275</v>
      </c>
      <c r="E203" s="115">
        <v>1.4164470738325792</v>
      </c>
      <c r="F203" s="111" t="s">
        <v>1990</v>
      </c>
      <c r="G203" s="111" t="b">
        <v>0</v>
      </c>
      <c r="H203" s="111" t="b">
        <v>0</v>
      </c>
      <c r="I203" s="111" t="b">
        <v>0</v>
      </c>
      <c r="J203" s="111" t="b">
        <v>0</v>
      </c>
      <c r="K203" s="111" t="b">
        <v>0</v>
      </c>
      <c r="L203" s="111" t="b">
        <v>0</v>
      </c>
    </row>
    <row r="204" spans="1:12" ht="15">
      <c r="A204" s="113" t="s">
        <v>972</v>
      </c>
      <c r="B204" s="111" t="s">
        <v>905</v>
      </c>
      <c r="C204" s="111">
        <v>3</v>
      </c>
      <c r="D204" s="115">
        <v>0.0008382171549399165</v>
      </c>
      <c r="E204" s="115">
        <v>2.316393781854181</v>
      </c>
      <c r="F204" s="111" t="s">
        <v>1990</v>
      </c>
      <c r="G204" s="111" t="b">
        <v>0</v>
      </c>
      <c r="H204" s="111" t="b">
        <v>0</v>
      </c>
      <c r="I204" s="111" t="b">
        <v>0</v>
      </c>
      <c r="J204" s="111" t="b">
        <v>0</v>
      </c>
      <c r="K204" s="111" t="b">
        <v>0</v>
      </c>
      <c r="L204" s="111" t="b">
        <v>0</v>
      </c>
    </row>
    <row r="205" spans="1:12" ht="15">
      <c r="A205" s="113" t="s">
        <v>869</v>
      </c>
      <c r="B205" s="111" t="s">
        <v>1499</v>
      </c>
      <c r="C205" s="111">
        <v>3</v>
      </c>
      <c r="D205" s="115">
        <v>0.0008382171549399165</v>
      </c>
      <c r="E205" s="115">
        <v>2.555275870769318</v>
      </c>
      <c r="F205" s="111" t="s">
        <v>1990</v>
      </c>
      <c r="G205" s="111" t="b">
        <v>0</v>
      </c>
      <c r="H205" s="111" t="b">
        <v>0</v>
      </c>
      <c r="I205" s="111" t="b">
        <v>0</v>
      </c>
      <c r="J205" s="111" t="b">
        <v>0</v>
      </c>
      <c r="K205" s="111" t="b">
        <v>0</v>
      </c>
      <c r="L205" s="111" t="b">
        <v>0</v>
      </c>
    </row>
    <row r="206" spans="1:12" ht="15">
      <c r="A206" s="113" t="s">
        <v>856</v>
      </c>
      <c r="B206" s="111" t="s">
        <v>840</v>
      </c>
      <c r="C206" s="111">
        <v>3</v>
      </c>
      <c r="D206" s="115">
        <v>0.0007143704754292275</v>
      </c>
      <c r="E206" s="115">
        <v>0.8925180390877437</v>
      </c>
      <c r="F206" s="111" t="s">
        <v>1990</v>
      </c>
      <c r="G206" s="111" t="b">
        <v>0</v>
      </c>
      <c r="H206" s="111" t="b">
        <v>0</v>
      </c>
      <c r="I206" s="111" t="b">
        <v>0</v>
      </c>
      <c r="J206" s="111" t="b">
        <v>0</v>
      </c>
      <c r="K206" s="111" t="b">
        <v>0</v>
      </c>
      <c r="L206" s="111" t="b">
        <v>0</v>
      </c>
    </row>
    <row r="207" spans="1:12" ht="15">
      <c r="A207" s="113" t="s">
        <v>840</v>
      </c>
      <c r="B207" s="111" t="s">
        <v>1088</v>
      </c>
      <c r="C207" s="111">
        <v>3</v>
      </c>
      <c r="D207" s="115">
        <v>0.0007143704754292275</v>
      </c>
      <c r="E207" s="115">
        <v>1.4833938634631925</v>
      </c>
      <c r="F207" s="111" t="s">
        <v>1990</v>
      </c>
      <c r="G207" s="111" t="b">
        <v>0</v>
      </c>
      <c r="H207" s="111" t="b">
        <v>0</v>
      </c>
      <c r="I207" s="111" t="b">
        <v>0</v>
      </c>
      <c r="J207" s="111" t="b">
        <v>0</v>
      </c>
      <c r="K207" s="111" t="b">
        <v>0</v>
      </c>
      <c r="L207" s="111" t="b">
        <v>0</v>
      </c>
    </row>
    <row r="208" spans="1:12" ht="15">
      <c r="A208" s="113" t="s">
        <v>906</v>
      </c>
      <c r="B208" s="111" t="s">
        <v>906</v>
      </c>
      <c r="C208" s="111">
        <v>3</v>
      </c>
      <c r="D208" s="115">
        <v>0.0008382171549399165</v>
      </c>
      <c r="E208" s="115">
        <v>2.105540416539288</v>
      </c>
      <c r="F208" s="111" t="s">
        <v>1990</v>
      </c>
      <c r="G208" s="111" t="b">
        <v>0</v>
      </c>
      <c r="H208" s="111" t="b">
        <v>0</v>
      </c>
      <c r="I208" s="111" t="b">
        <v>0</v>
      </c>
      <c r="J208" s="111" t="b">
        <v>0</v>
      </c>
      <c r="K208" s="111" t="b">
        <v>0</v>
      </c>
      <c r="L208" s="111" t="b">
        <v>0</v>
      </c>
    </row>
    <row r="209" spans="1:12" ht="15">
      <c r="A209" s="113" t="s">
        <v>928</v>
      </c>
      <c r="B209" s="111" t="s">
        <v>1159</v>
      </c>
      <c r="C209" s="111">
        <v>2</v>
      </c>
      <c r="D209" s="115">
        <v>0.0004762469836194851</v>
      </c>
      <c r="E209" s="115">
        <v>2.652185883777374</v>
      </c>
      <c r="F209" s="111" t="s">
        <v>1990</v>
      </c>
      <c r="G209" s="111" t="b">
        <v>0</v>
      </c>
      <c r="H209" s="111" t="b">
        <v>0</v>
      </c>
      <c r="I209" s="111" t="b">
        <v>0</v>
      </c>
      <c r="J209" s="111" t="b">
        <v>0</v>
      </c>
      <c r="K209" s="111" t="b">
        <v>0</v>
      </c>
      <c r="L209" s="111" t="b">
        <v>0</v>
      </c>
    </row>
    <row r="210" spans="1:12" ht="15">
      <c r="A210" s="113" t="s">
        <v>1021</v>
      </c>
      <c r="B210" s="111" t="s">
        <v>867</v>
      </c>
      <c r="C210" s="111">
        <v>2</v>
      </c>
      <c r="D210" s="115">
        <v>0.0004762469836194851</v>
      </c>
      <c r="E210" s="115">
        <v>2.2542458751053367</v>
      </c>
      <c r="F210" s="111" t="s">
        <v>1990</v>
      </c>
      <c r="G210" s="111" t="b">
        <v>0</v>
      </c>
      <c r="H210" s="111" t="b">
        <v>0</v>
      </c>
      <c r="I210" s="111" t="b">
        <v>0</v>
      </c>
      <c r="J210" s="111" t="b">
        <v>0</v>
      </c>
      <c r="K210" s="111" t="b">
        <v>0</v>
      </c>
      <c r="L210" s="111" t="b">
        <v>0</v>
      </c>
    </row>
    <row r="211" spans="1:12" ht="15">
      <c r="A211" s="113" t="s">
        <v>867</v>
      </c>
      <c r="B211" s="111" t="s">
        <v>1282</v>
      </c>
      <c r="C211" s="111">
        <v>2</v>
      </c>
      <c r="D211" s="115">
        <v>0.0004762469836194851</v>
      </c>
      <c r="E211" s="115">
        <v>2.3791846117136366</v>
      </c>
      <c r="F211" s="111" t="s">
        <v>1990</v>
      </c>
      <c r="G211" s="111" t="b">
        <v>0</v>
      </c>
      <c r="H211" s="111" t="b">
        <v>0</v>
      </c>
      <c r="I211" s="111" t="b">
        <v>0</v>
      </c>
      <c r="J211" s="111" t="b">
        <v>0</v>
      </c>
      <c r="K211" s="111" t="b">
        <v>0</v>
      </c>
      <c r="L211" s="111" t="b">
        <v>0</v>
      </c>
    </row>
    <row r="212" spans="1:12" ht="15">
      <c r="A212" s="113" t="s">
        <v>1282</v>
      </c>
      <c r="B212" s="111" t="s">
        <v>868</v>
      </c>
      <c r="C212" s="111">
        <v>2</v>
      </c>
      <c r="D212" s="115">
        <v>0.0004762469836194851</v>
      </c>
      <c r="E212" s="115">
        <v>2.3791846117136366</v>
      </c>
      <c r="F212" s="111" t="s">
        <v>1990</v>
      </c>
      <c r="G212" s="111" t="b">
        <v>0</v>
      </c>
      <c r="H212" s="111" t="b">
        <v>0</v>
      </c>
      <c r="I212" s="111" t="b">
        <v>0</v>
      </c>
      <c r="J212" s="111" t="b">
        <v>0</v>
      </c>
      <c r="K212" s="111" t="b">
        <v>0</v>
      </c>
      <c r="L212" s="111" t="b">
        <v>0</v>
      </c>
    </row>
    <row r="213" spans="1:12" ht="15">
      <c r="A213" s="113" t="s">
        <v>868</v>
      </c>
      <c r="B213" s="111" t="s">
        <v>840</v>
      </c>
      <c r="C213" s="111">
        <v>2</v>
      </c>
      <c r="D213" s="115">
        <v>0.0004762469836194851</v>
      </c>
      <c r="E213" s="115">
        <v>0.7771246203856742</v>
      </c>
      <c r="F213" s="111" t="s">
        <v>1990</v>
      </c>
      <c r="G213" s="111" t="b">
        <v>0</v>
      </c>
      <c r="H213" s="111" t="b">
        <v>0</v>
      </c>
      <c r="I213" s="111" t="b">
        <v>0</v>
      </c>
      <c r="J213" s="111" t="b">
        <v>0</v>
      </c>
      <c r="K213" s="111" t="b">
        <v>0</v>
      </c>
      <c r="L213" s="111" t="b">
        <v>0</v>
      </c>
    </row>
    <row r="214" spans="1:12" ht="15">
      <c r="A214" s="113" t="s">
        <v>868</v>
      </c>
      <c r="B214" s="111" t="s">
        <v>850</v>
      </c>
      <c r="C214" s="111">
        <v>2</v>
      </c>
      <c r="D214" s="115">
        <v>0.0004762469836194851</v>
      </c>
      <c r="E214" s="115">
        <v>1.3649441725990263</v>
      </c>
      <c r="F214" s="111" t="s">
        <v>1990</v>
      </c>
      <c r="G214" s="111" t="b">
        <v>0</v>
      </c>
      <c r="H214" s="111" t="b">
        <v>0</v>
      </c>
      <c r="I214" s="111" t="b">
        <v>0</v>
      </c>
      <c r="J214" s="111" t="b">
        <v>0</v>
      </c>
      <c r="K214" s="111" t="b">
        <v>0</v>
      </c>
      <c r="L214" s="111" t="b">
        <v>0</v>
      </c>
    </row>
    <row r="215" spans="1:12" ht="15">
      <c r="A215" s="113" t="s">
        <v>850</v>
      </c>
      <c r="B215" s="111" t="s">
        <v>1159</v>
      </c>
      <c r="C215" s="111">
        <v>2</v>
      </c>
      <c r="D215" s="115">
        <v>0.0004762469836194851</v>
      </c>
      <c r="E215" s="115">
        <v>2.063914176935045</v>
      </c>
      <c r="F215" s="111" t="s">
        <v>1990</v>
      </c>
      <c r="G215" s="111" t="b">
        <v>0</v>
      </c>
      <c r="H215" s="111" t="b">
        <v>0</v>
      </c>
      <c r="I215" s="111" t="b">
        <v>0</v>
      </c>
      <c r="J215" s="111" t="b">
        <v>0</v>
      </c>
      <c r="K215" s="111" t="b">
        <v>0</v>
      </c>
      <c r="L215" s="111" t="b">
        <v>0</v>
      </c>
    </row>
    <row r="216" spans="1:12" ht="15">
      <c r="A216" s="113" t="s">
        <v>1021</v>
      </c>
      <c r="B216" s="111" t="s">
        <v>1160</v>
      </c>
      <c r="C216" s="111">
        <v>2</v>
      </c>
      <c r="D216" s="115">
        <v>0.0004762469836194851</v>
      </c>
      <c r="E216" s="115">
        <v>2.9532158794413554</v>
      </c>
      <c r="F216" s="111" t="s">
        <v>1990</v>
      </c>
      <c r="G216" s="111" t="b">
        <v>0</v>
      </c>
      <c r="H216" s="111" t="b">
        <v>0</v>
      </c>
      <c r="I216" s="111" t="b">
        <v>0</v>
      </c>
      <c r="J216" s="111" t="b">
        <v>0</v>
      </c>
      <c r="K216" s="111" t="b">
        <v>0</v>
      </c>
      <c r="L216" s="111" t="b">
        <v>0</v>
      </c>
    </row>
    <row r="217" spans="1:12" ht="15">
      <c r="A217" s="113" t="s">
        <v>1160</v>
      </c>
      <c r="B217" s="111" t="s">
        <v>1505</v>
      </c>
      <c r="C217" s="111">
        <v>2</v>
      </c>
      <c r="D217" s="115">
        <v>0.0004762469836194851</v>
      </c>
      <c r="E217" s="115">
        <v>3.2542458751053367</v>
      </c>
      <c r="F217" s="111" t="s">
        <v>1990</v>
      </c>
      <c r="G217" s="111" t="b">
        <v>0</v>
      </c>
      <c r="H217" s="111" t="b">
        <v>0</v>
      </c>
      <c r="I217" s="111" t="b">
        <v>0</v>
      </c>
      <c r="J217" s="111" t="b">
        <v>0</v>
      </c>
      <c r="K217" s="111" t="b">
        <v>0</v>
      </c>
      <c r="L217" s="111" t="b">
        <v>0</v>
      </c>
    </row>
    <row r="218" spans="1:12" ht="15">
      <c r="A218" s="113" t="s">
        <v>1505</v>
      </c>
      <c r="B218" s="111" t="s">
        <v>1161</v>
      </c>
      <c r="C218" s="111">
        <v>2</v>
      </c>
      <c r="D218" s="115">
        <v>0.0004762469836194851</v>
      </c>
      <c r="E218" s="115">
        <v>3.2542458751053367</v>
      </c>
      <c r="F218" s="111" t="s">
        <v>1990</v>
      </c>
      <c r="G218" s="111" t="b">
        <v>0</v>
      </c>
      <c r="H218" s="111" t="b">
        <v>0</v>
      </c>
      <c r="I218" s="111" t="b">
        <v>0</v>
      </c>
      <c r="J218" s="111" t="b">
        <v>0</v>
      </c>
      <c r="K218" s="111" t="b">
        <v>0</v>
      </c>
      <c r="L218" s="111" t="b">
        <v>0</v>
      </c>
    </row>
    <row r="219" spans="1:12" ht="15">
      <c r="A219" s="113" t="s">
        <v>1161</v>
      </c>
      <c r="B219" s="111" t="s">
        <v>1161</v>
      </c>
      <c r="C219" s="111">
        <v>2</v>
      </c>
      <c r="D219" s="115">
        <v>0.0004762469836194851</v>
      </c>
      <c r="E219" s="115">
        <v>2.9532158794413554</v>
      </c>
      <c r="F219" s="111" t="s">
        <v>1990</v>
      </c>
      <c r="G219" s="111" t="b">
        <v>0</v>
      </c>
      <c r="H219" s="111" t="b">
        <v>0</v>
      </c>
      <c r="I219" s="111" t="b">
        <v>0</v>
      </c>
      <c r="J219" s="111" t="b">
        <v>0</v>
      </c>
      <c r="K219" s="111" t="b">
        <v>0</v>
      </c>
      <c r="L219" s="111" t="b">
        <v>0</v>
      </c>
    </row>
    <row r="220" spans="1:12" ht="15">
      <c r="A220" s="113" t="s">
        <v>1161</v>
      </c>
      <c r="B220" s="111" t="s">
        <v>1022</v>
      </c>
      <c r="C220" s="111">
        <v>2</v>
      </c>
      <c r="D220" s="115">
        <v>0.0004762469836194851</v>
      </c>
      <c r="E220" s="115">
        <v>2.777124620385674</v>
      </c>
      <c r="F220" s="111" t="s">
        <v>1990</v>
      </c>
      <c r="G220" s="111" t="b">
        <v>0</v>
      </c>
      <c r="H220" s="111" t="b">
        <v>0</v>
      </c>
      <c r="I220" s="111" t="b">
        <v>0</v>
      </c>
      <c r="J220" s="111" t="b">
        <v>0</v>
      </c>
      <c r="K220" s="111" t="b">
        <v>0</v>
      </c>
      <c r="L220" s="111" t="b">
        <v>0</v>
      </c>
    </row>
    <row r="221" spans="1:12" ht="15">
      <c r="A221" s="113" t="s">
        <v>850</v>
      </c>
      <c r="B221" s="111" t="s">
        <v>985</v>
      </c>
      <c r="C221" s="111">
        <v>2</v>
      </c>
      <c r="D221" s="115">
        <v>0.0004762469836194851</v>
      </c>
      <c r="E221" s="115">
        <v>1.8208761282487507</v>
      </c>
      <c r="F221" s="111" t="s">
        <v>1990</v>
      </c>
      <c r="G221" s="111" t="b">
        <v>0</v>
      </c>
      <c r="H221" s="111" t="b">
        <v>0</v>
      </c>
      <c r="I221" s="111" t="b">
        <v>0</v>
      </c>
      <c r="J221" s="111" t="b">
        <v>0</v>
      </c>
      <c r="K221" s="111" t="b">
        <v>0</v>
      </c>
      <c r="L221" s="111" t="b">
        <v>0</v>
      </c>
    </row>
    <row r="222" spans="1:12" ht="15">
      <c r="A222" s="113" t="s">
        <v>985</v>
      </c>
      <c r="B222" s="111" t="s">
        <v>847</v>
      </c>
      <c r="C222" s="111">
        <v>2</v>
      </c>
      <c r="D222" s="115">
        <v>0.0004762469836194851</v>
      </c>
      <c r="E222" s="115">
        <v>1.7324542254662132</v>
      </c>
      <c r="F222" s="111" t="s">
        <v>1990</v>
      </c>
      <c r="G222" s="111" t="b">
        <v>0</v>
      </c>
      <c r="H222" s="111" t="b">
        <v>0</v>
      </c>
      <c r="I222" s="111" t="b">
        <v>0</v>
      </c>
      <c r="J222" s="111" t="b">
        <v>0</v>
      </c>
      <c r="K222" s="111" t="b">
        <v>0</v>
      </c>
      <c r="L222" s="111" t="b">
        <v>0</v>
      </c>
    </row>
    <row r="223" spans="1:12" ht="15">
      <c r="A223" s="113" t="s">
        <v>872</v>
      </c>
      <c r="B223" s="111" t="s">
        <v>1162</v>
      </c>
      <c r="C223" s="111">
        <v>2</v>
      </c>
      <c r="D223" s="115">
        <v>0.0004762469836194851</v>
      </c>
      <c r="E223" s="115">
        <v>2.324826949391044</v>
      </c>
      <c r="F223" s="111" t="s">
        <v>1990</v>
      </c>
      <c r="G223" s="111" t="b">
        <v>0</v>
      </c>
      <c r="H223" s="111" t="b">
        <v>0</v>
      </c>
      <c r="I223" s="111" t="b">
        <v>0</v>
      </c>
      <c r="J223" s="111" t="b">
        <v>0</v>
      </c>
      <c r="K223" s="111" t="b">
        <v>0</v>
      </c>
      <c r="L223" s="111" t="b">
        <v>0</v>
      </c>
    </row>
    <row r="224" spans="1:12" ht="15">
      <c r="A224" s="113" t="s">
        <v>1024</v>
      </c>
      <c r="B224" s="111" t="s">
        <v>956</v>
      </c>
      <c r="C224" s="111">
        <v>2</v>
      </c>
      <c r="D224" s="115">
        <v>0.0004762469836194851</v>
      </c>
      <c r="E224" s="115">
        <v>2.476094624721693</v>
      </c>
      <c r="F224" s="111" t="s">
        <v>1990</v>
      </c>
      <c r="G224" s="111" t="b">
        <v>0</v>
      </c>
      <c r="H224" s="111" t="b">
        <v>0</v>
      </c>
      <c r="I224" s="111" t="b">
        <v>0</v>
      </c>
      <c r="J224" s="111" t="b">
        <v>0</v>
      </c>
      <c r="K224" s="111" t="b">
        <v>0</v>
      </c>
      <c r="L224" s="111" t="b">
        <v>0</v>
      </c>
    </row>
    <row r="225" spans="1:12" ht="15">
      <c r="A225" s="113" t="s">
        <v>872</v>
      </c>
      <c r="B225" s="111" t="s">
        <v>1506</v>
      </c>
      <c r="C225" s="111">
        <v>2</v>
      </c>
      <c r="D225" s="115">
        <v>0.0004762469836194851</v>
      </c>
      <c r="E225" s="115">
        <v>2.625856945055025</v>
      </c>
      <c r="F225" s="111" t="s">
        <v>1990</v>
      </c>
      <c r="G225" s="111" t="b">
        <v>0</v>
      </c>
      <c r="H225" s="111" t="b">
        <v>0</v>
      </c>
      <c r="I225" s="111" t="b">
        <v>0</v>
      </c>
      <c r="J225" s="111" t="b">
        <v>0</v>
      </c>
      <c r="K225" s="111" t="b">
        <v>0</v>
      </c>
      <c r="L225" s="111" t="b">
        <v>0</v>
      </c>
    </row>
    <row r="226" spans="1:12" ht="15">
      <c r="A226" s="113" t="s">
        <v>1506</v>
      </c>
      <c r="B226" s="111" t="s">
        <v>957</v>
      </c>
      <c r="C226" s="111">
        <v>2</v>
      </c>
      <c r="D226" s="115">
        <v>0.0004762469836194851</v>
      </c>
      <c r="E226" s="115">
        <v>2.9532158794413554</v>
      </c>
      <c r="F226" s="111" t="s">
        <v>1990</v>
      </c>
      <c r="G226" s="111" t="b">
        <v>0</v>
      </c>
      <c r="H226" s="111" t="b">
        <v>0</v>
      </c>
      <c r="I226" s="111" t="b">
        <v>0</v>
      </c>
      <c r="J226" s="111" t="b">
        <v>0</v>
      </c>
      <c r="K226" s="111" t="b">
        <v>0</v>
      </c>
      <c r="L226" s="111" t="b">
        <v>0</v>
      </c>
    </row>
    <row r="227" spans="1:12" ht="15">
      <c r="A227" s="113" t="s">
        <v>957</v>
      </c>
      <c r="B227" s="111" t="s">
        <v>1507</v>
      </c>
      <c r="C227" s="111">
        <v>2</v>
      </c>
      <c r="D227" s="115">
        <v>0.0004762469836194851</v>
      </c>
      <c r="E227" s="115">
        <v>2.9532158794413554</v>
      </c>
      <c r="F227" s="111" t="s">
        <v>1990</v>
      </c>
      <c r="G227" s="111" t="b">
        <v>0</v>
      </c>
      <c r="H227" s="111" t="b">
        <v>0</v>
      </c>
      <c r="I227" s="111" t="b">
        <v>0</v>
      </c>
      <c r="J227" s="111" t="b">
        <v>0</v>
      </c>
      <c r="K227" s="111" t="b">
        <v>0</v>
      </c>
      <c r="L227" s="111" t="b">
        <v>0</v>
      </c>
    </row>
    <row r="228" spans="1:12" ht="15">
      <c r="A228" s="113" t="s">
        <v>1507</v>
      </c>
      <c r="B228" s="111" t="s">
        <v>872</v>
      </c>
      <c r="C228" s="111">
        <v>2</v>
      </c>
      <c r="D228" s="115">
        <v>0.0004762469836194851</v>
      </c>
      <c r="E228" s="115">
        <v>2.625856945055025</v>
      </c>
      <c r="F228" s="111" t="s">
        <v>1990</v>
      </c>
      <c r="G228" s="111" t="b">
        <v>0</v>
      </c>
      <c r="H228" s="111" t="b">
        <v>0</v>
      </c>
      <c r="I228" s="111" t="b">
        <v>0</v>
      </c>
      <c r="J228" s="111" t="b">
        <v>0</v>
      </c>
      <c r="K228" s="111" t="b">
        <v>0</v>
      </c>
      <c r="L228" s="111" t="b">
        <v>0</v>
      </c>
    </row>
    <row r="229" spans="1:12" ht="15">
      <c r="A229" s="113" t="s">
        <v>872</v>
      </c>
      <c r="B229" s="111" t="s">
        <v>1283</v>
      </c>
      <c r="C229" s="111">
        <v>2</v>
      </c>
      <c r="D229" s="115">
        <v>0.0004762469836194851</v>
      </c>
      <c r="E229" s="115">
        <v>2.4497656859993437</v>
      </c>
      <c r="F229" s="111" t="s">
        <v>1990</v>
      </c>
      <c r="G229" s="111" t="b">
        <v>0</v>
      </c>
      <c r="H229" s="111" t="b">
        <v>0</v>
      </c>
      <c r="I229" s="111" t="b">
        <v>0</v>
      </c>
      <c r="J229" s="111" t="b">
        <v>1</v>
      </c>
      <c r="K229" s="111" t="b">
        <v>0</v>
      </c>
      <c r="L229" s="111" t="b">
        <v>0</v>
      </c>
    </row>
    <row r="230" spans="1:12" ht="15">
      <c r="A230" s="113" t="s">
        <v>840</v>
      </c>
      <c r="B230" s="111" t="s">
        <v>1284</v>
      </c>
      <c r="C230" s="111">
        <v>2</v>
      </c>
      <c r="D230" s="115">
        <v>0.0004762469836194851</v>
      </c>
      <c r="E230" s="115">
        <v>1.6083326000714924</v>
      </c>
      <c r="F230" s="111" t="s">
        <v>1990</v>
      </c>
      <c r="G230" s="111" t="b">
        <v>0</v>
      </c>
      <c r="H230" s="111" t="b">
        <v>0</v>
      </c>
      <c r="I230" s="111" t="b">
        <v>0</v>
      </c>
      <c r="J230" s="111" t="b">
        <v>0</v>
      </c>
      <c r="K230" s="111" t="b">
        <v>0</v>
      </c>
      <c r="L230" s="111" t="b">
        <v>0</v>
      </c>
    </row>
    <row r="231" spans="1:12" ht="15">
      <c r="A231" s="113" t="s">
        <v>1284</v>
      </c>
      <c r="B231" s="111" t="s">
        <v>919</v>
      </c>
      <c r="C231" s="111">
        <v>2</v>
      </c>
      <c r="D231" s="115">
        <v>0.0004762469836194851</v>
      </c>
      <c r="E231" s="115">
        <v>2.6388219222193925</v>
      </c>
      <c r="F231" s="111" t="s">
        <v>1990</v>
      </c>
      <c r="G231" s="111" t="b">
        <v>0</v>
      </c>
      <c r="H231" s="111" t="b">
        <v>0</v>
      </c>
      <c r="I231" s="111" t="b">
        <v>0</v>
      </c>
      <c r="J231" s="111" t="b">
        <v>0</v>
      </c>
      <c r="K231" s="111" t="b">
        <v>0</v>
      </c>
      <c r="L231" s="111" t="b">
        <v>0</v>
      </c>
    </row>
    <row r="232" spans="1:12" ht="15">
      <c r="A232" s="113" t="s">
        <v>919</v>
      </c>
      <c r="B232" s="111" t="s">
        <v>847</v>
      </c>
      <c r="C232" s="111">
        <v>2</v>
      </c>
      <c r="D232" s="115">
        <v>0.0004762469836194851</v>
      </c>
      <c r="E232" s="115">
        <v>1.536159580322245</v>
      </c>
      <c r="F232" s="111" t="s">
        <v>1990</v>
      </c>
      <c r="G232" s="111" t="b">
        <v>0</v>
      </c>
      <c r="H232" s="111" t="b">
        <v>0</v>
      </c>
      <c r="I232" s="111" t="b">
        <v>0</v>
      </c>
      <c r="J232" s="111" t="b">
        <v>0</v>
      </c>
      <c r="K232" s="111" t="b">
        <v>0</v>
      </c>
      <c r="L232" s="111" t="b">
        <v>0</v>
      </c>
    </row>
    <row r="233" spans="1:12" ht="15">
      <c r="A233" s="113" t="s">
        <v>847</v>
      </c>
      <c r="B233" s="111" t="s">
        <v>1285</v>
      </c>
      <c r="C233" s="111">
        <v>2</v>
      </c>
      <c r="D233" s="115">
        <v>0.0004762469836194851</v>
      </c>
      <c r="E233" s="115">
        <v>2.1004310107608077</v>
      </c>
      <c r="F233" s="111" t="s">
        <v>1990</v>
      </c>
      <c r="G233" s="111" t="b">
        <v>0</v>
      </c>
      <c r="H233" s="111" t="b">
        <v>0</v>
      </c>
      <c r="I233" s="111" t="b">
        <v>0</v>
      </c>
      <c r="J233" s="111" t="b">
        <v>0</v>
      </c>
      <c r="K233" s="111" t="b">
        <v>0</v>
      </c>
      <c r="L233" s="111" t="b">
        <v>0</v>
      </c>
    </row>
    <row r="234" spans="1:12" ht="15">
      <c r="A234" s="113" t="s">
        <v>1285</v>
      </c>
      <c r="B234" s="111" t="s">
        <v>1508</v>
      </c>
      <c r="C234" s="111">
        <v>2</v>
      </c>
      <c r="D234" s="115">
        <v>0.0004762469836194851</v>
      </c>
      <c r="E234" s="115">
        <v>3.3791846117136366</v>
      </c>
      <c r="F234" s="111" t="s">
        <v>1990</v>
      </c>
      <c r="G234" s="111" t="b">
        <v>0</v>
      </c>
      <c r="H234" s="111" t="b">
        <v>0</v>
      </c>
      <c r="I234" s="111" t="b">
        <v>0</v>
      </c>
      <c r="J234" s="111" t="b">
        <v>0</v>
      </c>
      <c r="K234" s="111" t="b">
        <v>1</v>
      </c>
      <c r="L234" s="111" t="b">
        <v>0</v>
      </c>
    </row>
    <row r="235" spans="1:12" ht="15">
      <c r="A235" s="113" t="s">
        <v>1508</v>
      </c>
      <c r="B235" s="111" t="s">
        <v>956</v>
      </c>
      <c r="C235" s="111">
        <v>2</v>
      </c>
      <c r="D235" s="115">
        <v>0.0004762469836194851</v>
      </c>
      <c r="E235" s="115">
        <v>2.9532158794413554</v>
      </c>
      <c r="F235" s="111" t="s">
        <v>1990</v>
      </c>
      <c r="G235" s="111" t="b">
        <v>0</v>
      </c>
      <c r="H235" s="111" t="b">
        <v>1</v>
      </c>
      <c r="I235" s="111" t="b">
        <v>0</v>
      </c>
      <c r="J235" s="111" t="b">
        <v>0</v>
      </c>
      <c r="K235" s="111" t="b">
        <v>0</v>
      </c>
      <c r="L235" s="111" t="b">
        <v>0</v>
      </c>
    </row>
    <row r="236" spans="1:12" ht="15">
      <c r="A236" s="113" t="s">
        <v>872</v>
      </c>
      <c r="B236" s="111" t="s">
        <v>1509</v>
      </c>
      <c r="C236" s="111">
        <v>2</v>
      </c>
      <c r="D236" s="115">
        <v>0.0004762469836194851</v>
      </c>
      <c r="E236" s="115">
        <v>2.625856945055025</v>
      </c>
      <c r="F236" s="111" t="s">
        <v>1990</v>
      </c>
      <c r="G236" s="111" t="b">
        <v>0</v>
      </c>
      <c r="H236" s="111" t="b">
        <v>0</v>
      </c>
      <c r="I236" s="111" t="b">
        <v>0</v>
      </c>
      <c r="J236" s="111" t="b">
        <v>0</v>
      </c>
      <c r="K236" s="111" t="b">
        <v>1</v>
      </c>
      <c r="L236" s="111" t="b">
        <v>0</v>
      </c>
    </row>
    <row r="237" spans="1:12" ht="15">
      <c r="A237" s="113" t="s">
        <v>1509</v>
      </c>
      <c r="B237" s="111" t="s">
        <v>1163</v>
      </c>
      <c r="C237" s="111">
        <v>2</v>
      </c>
      <c r="D237" s="115">
        <v>0.0004762469836194851</v>
      </c>
      <c r="E237" s="115">
        <v>3.2542458751053367</v>
      </c>
      <c r="F237" s="111" t="s">
        <v>1990</v>
      </c>
      <c r="G237" s="111" t="b">
        <v>0</v>
      </c>
      <c r="H237" s="111" t="b">
        <v>1</v>
      </c>
      <c r="I237" s="111" t="b">
        <v>0</v>
      </c>
      <c r="J237" s="111" t="b">
        <v>0</v>
      </c>
      <c r="K237" s="111" t="b">
        <v>0</v>
      </c>
      <c r="L237" s="111" t="b">
        <v>0</v>
      </c>
    </row>
    <row r="238" spans="1:12" ht="15">
      <c r="A238" s="113" t="s">
        <v>1163</v>
      </c>
      <c r="B238" s="111" t="s">
        <v>1025</v>
      </c>
      <c r="C238" s="111">
        <v>2</v>
      </c>
      <c r="D238" s="115">
        <v>0.0004762469836194851</v>
      </c>
      <c r="E238" s="115">
        <v>2.777124620385674</v>
      </c>
      <c r="F238" s="111" t="s">
        <v>1990</v>
      </c>
      <c r="G238" s="111" t="b">
        <v>0</v>
      </c>
      <c r="H238" s="111" t="b">
        <v>0</v>
      </c>
      <c r="I238" s="111" t="b">
        <v>0</v>
      </c>
      <c r="J238" s="111" t="b">
        <v>0</v>
      </c>
      <c r="K238" s="111" t="b">
        <v>0</v>
      </c>
      <c r="L238" s="111" t="b">
        <v>0</v>
      </c>
    </row>
    <row r="239" spans="1:12" ht="15">
      <c r="A239" s="113" t="s">
        <v>1025</v>
      </c>
      <c r="B239" s="111" t="s">
        <v>907</v>
      </c>
      <c r="C239" s="111">
        <v>2</v>
      </c>
      <c r="D239" s="115">
        <v>0.0004762469836194851</v>
      </c>
      <c r="E239" s="115">
        <v>2.3000033656660115</v>
      </c>
      <c r="F239" s="111" t="s">
        <v>1990</v>
      </c>
      <c r="G239" s="111" t="b">
        <v>0</v>
      </c>
      <c r="H239" s="111" t="b">
        <v>0</v>
      </c>
      <c r="I239" s="111" t="b">
        <v>0</v>
      </c>
      <c r="J239" s="111" t="b">
        <v>0</v>
      </c>
      <c r="K239" s="111" t="b">
        <v>0</v>
      </c>
      <c r="L239" s="111" t="b">
        <v>0</v>
      </c>
    </row>
    <row r="240" spans="1:12" ht="15">
      <c r="A240" s="113" t="s">
        <v>855</v>
      </c>
      <c r="B240" s="111" t="s">
        <v>1026</v>
      </c>
      <c r="C240" s="111">
        <v>2</v>
      </c>
      <c r="D240" s="115">
        <v>0.0004762469836194851</v>
      </c>
      <c r="E240" s="115">
        <v>2.0569653169797175</v>
      </c>
      <c r="F240" s="111" t="s">
        <v>1990</v>
      </c>
      <c r="G240" s="111" t="b">
        <v>0</v>
      </c>
      <c r="H240" s="111" t="b">
        <v>0</v>
      </c>
      <c r="I240" s="111" t="b">
        <v>0</v>
      </c>
      <c r="J240" s="111" t="b">
        <v>0</v>
      </c>
      <c r="K240" s="111" t="b">
        <v>0</v>
      </c>
      <c r="L240" s="111" t="b">
        <v>0</v>
      </c>
    </row>
    <row r="241" spans="1:12" ht="15">
      <c r="A241" s="113" t="s">
        <v>929</v>
      </c>
      <c r="B241" s="111" t="s">
        <v>1510</v>
      </c>
      <c r="C241" s="111">
        <v>2</v>
      </c>
      <c r="D241" s="115">
        <v>0.0004762469836194851</v>
      </c>
      <c r="E241" s="115">
        <v>2.8563058664332988</v>
      </c>
      <c r="F241" s="111" t="s">
        <v>1990</v>
      </c>
      <c r="G241" s="111" t="b">
        <v>0</v>
      </c>
      <c r="H241" s="111" t="b">
        <v>0</v>
      </c>
      <c r="I241" s="111" t="b">
        <v>0</v>
      </c>
      <c r="J241" s="111" t="b">
        <v>0</v>
      </c>
      <c r="K241" s="111" t="b">
        <v>1</v>
      </c>
      <c r="L241" s="111" t="b">
        <v>0</v>
      </c>
    </row>
    <row r="242" spans="1:12" ht="15">
      <c r="A242" s="113" t="s">
        <v>1510</v>
      </c>
      <c r="B242" s="111" t="s">
        <v>1511</v>
      </c>
      <c r="C242" s="111">
        <v>2</v>
      </c>
      <c r="D242" s="115">
        <v>0.0004762469836194851</v>
      </c>
      <c r="E242" s="115">
        <v>3.555275870769318</v>
      </c>
      <c r="F242" s="111" t="s">
        <v>1990</v>
      </c>
      <c r="G242" s="111" t="b">
        <v>0</v>
      </c>
      <c r="H242" s="111" t="b">
        <v>1</v>
      </c>
      <c r="I242" s="111" t="b">
        <v>0</v>
      </c>
      <c r="J242" s="111" t="b">
        <v>0</v>
      </c>
      <c r="K242" s="111" t="b">
        <v>0</v>
      </c>
      <c r="L242" s="111" t="b">
        <v>0</v>
      </c>
    </row>
    <row r="243" spans="1:12" ht="15">
      <c r="A243" s="113" t="s">
        <v>1511</v>
      </c>
      <c r="B243" s="111" t="s">
        <v>929</v>
      </c>
      <c r="C243" s="111">
        <v>2</v>
      </c>
      <c r="D243" s="115">
        <v>0.0004762469836194851</v>
      </c>
      <c r="E243" s="115">
        <v>2.902063356993974</v>
      </c>
      <c r="F243" s="111" t="s">
        <v>1990</v>
      </c>
      <c r="G243" s="111" t="b">
        <v>0</v>
      </c>
      <c r="H243" s="111" t="b">
        <v>0</v>
      </c>
      <c r="I243" s="111" t="b">
        <v>0</v>
      </c>
      <c r="J243" s="111" t="b">
        <v>0</v>
      </c>
      <c r="K243" s="111" t="b">
        <v>0</v>
      </c>
      <c r="L243" s="111" t="b">
        <v>0</v>
      </c>
    </row>
    <row r="244" spans="1:12" ht="15">
      <c r="A244" s="113" t="s">
        <v>929</v>
      </c>
      <c r="B244" s="111" t="s">
        <v>1027</v>
      </c>
      <c r="C244" s="111">
        <v>2</v>
      </c>
      <c r="D244" s="115">
        <v>0.0004762469836194851</v>
      </c>
      <c r="E244" s="115">
        <v>2.3791846117136366</v>
      </c>
      <c r="F244" s="111" t="s">
        <v>1990</v>
      </c>
      <c r="G244" s="111" t="b">
        <v>0</v>
      </c>
      <c r="H244" s="111" t="b">
        <v>0</v>
      </c>
      <c r="I244" s="111" t="b">
        <v>0</v>
      </c>
      <c r="J244" s="111" t="b">
        <v>0</v>
      </c>
      <c r="K244" s="111" t="b">
        <v>0</v>
      </c>
      <c r="L244" s="111" t="b">
        <v>0</v>
      </c>
    </row>
    <row r="245" spans="1:12" ht="15">
      <c r="A245" s="113" t="s">
        <v>855</v>
      </c>
      <c r="B245" s="111" t="s">
        <v>1089</v>
      </c>
      <c r="C245" s="111">
        <v>2</v>
      </c>
      <c r="D245" s="115">
        <v>0.0004762469836194851</v>
      </c>
      <c r="E245" s="115">
        <v>2.136146563027342</v>
      </c>
      <c r="F245" s="111" t="s">
        <v>1990</v>
      </c>
      <c r="G245" s="111" t="b">
        <v>0</v>
      </c>
      <c r="H245" s="111" t="b">
        <v>0</v>
      </c>
      <c r="I245" s="111" t="b">
        <v>0</v>
      </c>
      <c r="J245" s="111" t="b">
        <v>0</v>
      </c>
      <c r="K245" s="111" t="b">
        <v>0</v>
      </c>
      <c r="L245" s="111" t="b">
        <v>0</v>
      </c>
    </row>
    <row r="246" spans="1:12" ht="15">
      <c r="A246" s="113" t="s">
        <v>1089</v>
      </c>
      <c r="B246" s="111" t="s">
        <v>919</v>
      </c>
      <c r="C246" s="111">
        <v>2</v>
      </c>
      <c r="D246" s="115">
        <v>0.0004762469836194851</v>
      </c>
      <c r="E246" s="115">
        <v>2.4169731726030363</v>
      </c>
      <c r="F246" s="111" t="s">
        <v>1990</v>
      </c>
      <c r="G246" s="111" t="b">
        <v>0</v>
      </c>
      <c r="H246" s="111" t="b">
        <v>0</v>
      </c>
      <c r="I246" s="111" t="b">
        <v>0</v>
      </c>
      <c r="J246" s="111" t="b">
        <v>0</v>
      </c>
      <c r="K246" s="111" t="b">
        <v>0</v>
      </c>
      <c r="L246" s="111" t="b">
        <v>0</v>
      </c>
    </row>
    <row r="247" spans="1:12" ht="15">
      <c r="A247" s="113" t="s">
        <v>919</v>
      </c>
      <c r="B247" s="111" t="s">
        <v>850</v>
      </c>
      <c r="C247" s="111">
        <v>2</v>
      </c>
      <c r="D247" s="115">
        <v>0.0004762469836194851</v>
      </c>
      <c r="E247" s="115">
        <v>1.6245814831047825</v>
      </c>
      <c r="F247" s="111" t="s">
        <v>1990</v>
      </c>
      <c r="G247" s="111" t="b">
        <v>0</v>
      </c>
      <c r="H247" s="111" t="b">
        <v>0</v>
      </c>
      <c r="I247" s="111" t="b">
        <v>0</v>
      </c>
      <c r="J247" s="111" t="b">
        <v>0</v>
      </c>
      <c r="K247" s="111" t="b">
        <v>0</v>
      </c>
      <c r="L247" s="111" t="b">
        <v>0</v>
      </c>
    </row>
    <row r="248" spans="1:12" ht="15">
      <c r="A248" s="113" t="s">
        <v>850</v>
      </c>
      <c r="B248" s="111" t="s">
        <v>1090</v>
      </c>
      <c r="C248" s="111">
        <v>2</v>
      </c>
      <c r="D248" s="115">
        <v>0.0004762469836194851</v>
      </c>
      <c r="E248" s="115">
        <v>1.9670041639269886</v>
      </c>
      <c r="F248" s="111" t="s">
        <v>1990</v>
      </c>
      <c r="G248" s="111" t="b">
        <v>0</v>
      </c>
      <c r="H248" s="111" t="b">
        <v>0</v>
      </c>
      <c r="I248" s="111" t="b">
        <v>0</v>
      </c>
      <c r="J248" s="111" t="b">
        <v>0</v>
      </c>
      <c r="K248" s="111" t="b">
        <v>0</v>
      </c>
      <c r="L248" s="111" t="b">
        <v>0</v>
      </c>
    </row>
    <row r="249" spans="1:12" ht="15">
      <c r="A249" s="113" t="s">
        <v>1090</v>
      </c>
      <c r="B249" s="111" t="s">
        <v>1027</v>
      </c>
      <c r="C249" s="111">
        <v>2</v>
      </c>
      <c r="D249" s="115">
        <v>0.0004762469836194851</v>
      </c>
      <c r="E249" s="115">
        <v>2.680214607377618</v>
      </c>
      <c r="F249" s="111" t="s">
        <v>1990</v>
      </c>
      <c r="G249" s="111" t="b">
        <v>0</v>
      </c>
      <c r="H249" s="111" t="b">
        <v>0</v>
      </c>
      <c r="I249" s="111" t="b">
        <v>0</v>
      </c>
      <c r="J249" s="111" t="b">
        <v>0</v>
      </c>
      <c r="K249" s="111" t="b">
        <v>0</v>
      </c>
      <c r="L249" s="111" t="b">
        <v>0</v>
      </c>
    </row>
    <row r="250" spans="1:12" ht="15">
      <c r="A250" s="113" t="s">
        <v>1028</v>
      </c>
      <c r="B250" s="111" t="s">
        <v>919</v>
      </c>
      <c r="C250" s="111">
        <v>2</v>
      </c>
      <c r="D250" s="115">
        <v>0.0004762469836194851</v>
      </c>
      <c r="E250" s="115">
        <v>2.3377919265554117</v>
      </c>
      <c r="F250" s="111" t="s">
        <v>1990</v>
      </c>
      <c r="G250" s="111" t="b">
        <v>0</v>
      </c>
      <c r="H250" s="111" t="b">
        <v>0</v>
      </c>
      <c r="I250" s="111" t="b">
        <v>0</v>
      </c>
      <c r="J250" s="111" t="b">
        <v>0</v>
      </c>
      <c r="K250" s="111" t="b">
        <v>0</v>
      </c>
      <c r="L250" s="111" t="b">
        <v>0</v>
      </c>
    </row>
    <row r="251" spans="1:12" ht="15">
      <c r="A251" s="113" t="s">
        <v>919</v>
      </c>
      <c r="B251" s="111" t="s">
        <v>1029</v>
      </c>
      <c r="C251" s="111">
        <v>2</v>
      </c>
      <c r="D251" s="115">
        <v>0.0004762469836194851</v>
      </c>
      <c r="E251" s="115">
        <v>2.3377919265554117</v>
      </c>
      <c r="F251" s="111" t="s">
        <v>1990</v>
      </c>
      <c r="G251" s="111" t="b">
        <v>0</v>
      </c>
      <c r="H251" s="111" t="b">
        <v>0</v>
      </c>
      <c r="I251" s="111" t="b">
        <v>0</v>
      </c>
      <c r="J251" s="111" t="b">
        <v>1</v>
      </c>
      <c r="K251" s="111" t="b">
        <v>0</v>
      </c>
      <c r="L251" s="111" t="b">
        <v>0</v>
      </c>
    </row>
    <row r="252" spans="1:12" ht="15">
      <c r="A252" s="113" t="s">
        <v>1029</v>
      </c>
      <c r="B252" s="111" t="s">
        <v>1512</v>
      </c>
      <c r="C252" s="111">
        <v>2</v>
      </c>
      <c r="D252" s="115">
        <v>0.0004762469836194851</v>
      </c>
      <c r="E252" s="115">
        <v>3.0781546160496553</v>
      </c>
      <c r="F252" s="111" t="s">
        <v>1990</v>
      </c>
      <c r="G252" s="111" t="b">
        <v>1</v>
      </c>
      <c r="H252" s="111" t="b">
        <v>0</v>
      </c>
      <c r="I252" s="111" t="b">
        <v>0</v>
      </c>
      <c r="J252" s="111" t="b">
        <v>1</v>
      </c>
      <c r="K252" s="111" t="b">
        <v>0</v>
      </c>
      <c r="L252" s="111" t="b">
        <v>0</v>
      </c>
    </row>
    <row r="253" spans="1:12" ht="15">
      <c r="A253" s="113" t="s">
        <v>1512</v>
      </c>
      <c r="B253" s="111" t="s">
        <v>1513</v>
      </c>
      <c r="C253" s="111">
        <v>2</v>
      </c>
      <c r="D253" s="115">
        <v>0.0004762469836194851</v>
      </c>
      <c r="E253" s="115">
        <v>3.555275870769318</v>
      </c>
      <c r="F253" s="111" t="s">
        <v>1990</v>
      </c>
      <c r="G253" s="111" t="b">
        <v>1</v>
      </c>
      <c r="H253" s="111" t="b">
        <v>0</v>
      </c>
      <c r="I253" s="111" t="b">
        <v>0</v>
      </c>
      <c r="J253" s="111" t="b">
        <v>0</v>
      </c>
      <c r="K253" s="111" t="b">
        <v>0</v>
      </c>
      <c r="L253" s="111" t="b">
        <v>0</v>
      </c>
    </row>
    <row r="254" spans="1:12" ht="15">
      <c r="A254" s="113" t="s">
        <v>1513</v>
      </c>
      <c r="B254" s="111" t="s">
        <v>1286</v>
      </c>
      <c r="C254" s="111">
        <v>2</v>
      </c>
      <c r="D254" s="115">
        <v>0.0004762469836194851</v>
      </c>
      <c r="E254" s="115">
        <v>3.3791846117136366</v>
      </c>
      <c r="F254" s="111" t="s">
        <v>1990</v>
      </c>
      <c r="G254" s="111" t="b">
        <v>0</v>
      </c>
      <c r="H254" s="111" t="b">
        <v>0</v>
      </c>
      <c r="I254" s="111" t="b">
        <v>0</v>
      </c>
      <c r="J254" s="111" t="b">
        <v>0</v>
      </c>
      <c r="K254" s="111" t="b">
        <v>0</v>
      </c>
      <c r="L254" s="111" t="b">
        <v>0</v>
      </c>
    </row>
    <row r="255" spans="1:12" ht="15">
      <c r="A255" s="113" t="s">
        <v>1286</v>
      </c>
      <c r="B255" s="111" t="s">
        <v>1514</v>
      </c>
      <c r="C255" s="111">
        <v>2</v>
      </c>
      <c r="D255" s="115">
        <v>0.0004762469836194851</v>
      </c>
      <c r="E255" s="115">
        <v>3.3791846117136366</v>
      </c>
      <c r="F255" s="111" t="s">
        <v>1990</v>
      </c>
      <c r="G255" s="111" t="b">
        <v>0</v>
      </c>
      <c r="H255" s="111" t="b">
        <v>0</v>
      </c>
      <c r="I255" s="111" t="b">
        <v>0</v>
      </c>
      <c r="J255" s="111" t="b">
        <v>0</v>
      </c>
      <c r="K255" s="111" t="b">
        <v>0</v>
      </c>
      <c r="L255" s="111" t="b">
        <v>0</v>
      </c>
    </row>
    <row r="256" spans="1:12" ht="15">
      <c r="A256" s="113" t="s">
        <v>1514</v>
      </c>
      <c r="B256" s="111" t="s">
        <v>1515</v>
      </c>
      <c r="C256" s="111">
        <v>2</v>
      </c>
      <c r="D256" s="115">
        <v>0.0004762469836194851</v>
      </c>
      <c r="E256" s="115">
        <v>3.555275870769318</v>
      </c>
      <c r="F256" s="111" t="s">
        <v>1990</v>
      </c>
      <c r="G256" s="111" t="b">
        <v>0</v>
      </c>
      <c r="H256" s="111" t="b">
        <v>0</v>
      </c>
      <c r="I256" s="111" t="b">
        <v>0</v>
      </c>
      <c r="J256" s="111" t="b">
        <v>0</v>
      </c>
      <c r="K256" s="111" t="b">
        <v>0</v>
      </c>
      <c r="L256" s="111" t="b">
        <v>0</v>
      </c>
    </row>
    <row r="257" spans="1:12" ht="15">
      <c r="A257" s="113" t="s">
        <v>1515</v>
      </c>
      <c r="B257" s="111" t="s">
        <v>930</v>
      </c>
      <c r="C257" s="111">
        <v>2</v>
      </c>
      <c r="D257" s="115">
        <v>0.0004762469836194851</v>
      </c>
      <c r="E257" s="115">
        <v>2.8563058664332988</v>
      </c>
      <c r="F257" s="111" t="s">
        <v>1990</v>
      </c>
      <c r="G257" s="111" t="b">
        <v>0</v>
      </c>
      <c r="H257" s="111" t="b">
        <v>0</v>
      </c>
      <c r="I257" s="111" t="b">
        <v>0</v>
      </c>
      <c r="J257" s="111" t="b">
        <v>0</v>
      </c>
      <c r="K257" s="111" t="b">
        <v>0</v>
      </c>
      <c r="L257" s="111" t="b">
        <v>0</v>
      </c>
    </row>
    <row r="258" spans="1:12" ht="15">
      <c r="A258" s="113" t="s">
        <v>1091</v>
      </c>
      <c r="B258" s="111" t="s">
        <v>1287</v>
      </c>
      <c r="C258" s="111">
        <v>2</v>
      </c>
      <c r="D258" s="115">
        <v>0.0004762469836194851</v>
      </c>
      <c r="E258" s="115">
        <v>3.15733586209728</v>
      </c>
      <c r="F258" s="111" t="s">
        <v>1990</v>
      </c>
      <c r="G258" s="111" t="b">
        <v>0</v>
      </c>
      <c r="H258" s="111" t="b">
        <v>0</v>
      </c>
      <c r="I258" s="111" t="b">
        <v>0</v>
      </c>
      <c r="J258" s="111" t="b">
        <v>0</v>
      </c>
      <c r="K258" s="111" t="b">
        <v>0</v>
      </c>
      <c r="L258" s="111" t="b">
        <v>0</v>
      </c>
    </row>
    <row r="259" spans="1:12" ht="15">
      <c r="A259" s="113" t="s">
        <v>1287</v>
      </c>
      <c r="B259" s="111" t="s">
        <v>1029</v>
      </c>
      <c r="C259" s="111">
        <v>2</v>
      </c>
      <c r="D259" s="115">
        <v>0.0004762469836194851</v>
      </c>
      <c r="E259" s="115">
        <v>2.902063356993974</v>
      </c>
      <c r="F259" s="111" t="s">
        <v>1990</v>
      </c>
      <c r="G259" s="111" t="b">
        <v>0</v>
      </c>
      <c r="H259" s="111" t="b">
        <v>0</v>
      </c>
      <c r="I259" s="111" t="b">
        <v>0</v>
      </c>
      <c r="J259" s="111" t="b">
        <v>1</v>
      </c>
      <c r="K259" s="111" t="b">
        <v>0</v>
      </c>
      <c r="L259" s="111" t="b">
        <v>0</v>
      </c>
    </row>
    <row r="260" spans="1:12" ht="15">
      <c r="A260" s="113" t="s">
        <v>1029</v>
      </c>
      <c r="B260" s="111" t="s">
        <v>907</v>
      </c>
      <c r="C260" s="111">
        <v>2</v>
      </c>
      <c r="D260" s="115">
        <v>0.0004762469836194851</v>
      </c>
      <c r="E260" s="115">
        <v>2.3000033656660115</v>
      </c>
      <c r="F260" s="111" t="s">
        <v>1990</v>
      </c>
      <c r="G260" s="111" t="b">
        <v>1</v>
      </c>
      <c r="H260" s="111" t="b">
        <v>0</v>
      </c>
      <c r="I260" s="111" t="b">
        <v>0</v>
      </c>
      <c r="J260" s="111" t="b">
        <v>0</v>
      </c>
      <c r="K260" s="111" t="b">
        <v>0</v>
      </c>
      <c r="L260" s="111" t="b">
        <v>0</v>
      </c>
    </row>
    <row r="261" spans="1:12" ht="15">
      <c r="A261" s="113" t="s">
        <v>855</v>
      </c>
      <c r="B261" s="111" t="s">
        <v>907</v>
      </c>
      <c r="C261" s="111">
        <v>2</v>
      </c>
      <c r="D261" s="115">
        <v>0.0004762469836194851</v>
      </c>
      <c r="E261" s="115">
        <v>1.755935321315736</v>
      </c>
      <c r="F261" s="111" t="s">
        <v>1990</v>
      </c>
      <c r="G261" s="111" t="b">
        <v>0</v>
      </c>
      <c r="H261" s="111" t="b">
        <v>0</v>
      </c>
      <c r="I261" s="111" t="b">
        <v>0</v>
      </c>
      <c r="J261" s="111" t="b">
        <v>0</v>
      </c>
      <c r="K261" s="111" t="b">
        <v>0</v>
      </c>
      <c r="L261" s="111" t="b">
        <v>0</v>
      </c>
    </row>
    <row r="262" spans="1:12" ht="15">
      <c r="A262" s="113" t="s">
        <v>855</v>
      </c>
      <c r="B262" s="111" t="s">
        <v>1030</v>
      </c>
      <c r="C262" s="111">
        <v>2</v>
      </c>
      <c r="D262" s="115">
        <v>0.0004762469836194851</v>
      </c>
      <c r="E262" s="115">
        <v>2.0569653169797175</v>
      </c>
      <c r="F262" s="111" t="s">
        <v>1990</v>
      </c>
      <c r="G262" s="111" t="b">
        <v>0</v>
      </c>
      <c r="H262" s="111" t="b">
        <v>0</v>
      </c>
      <c r="I262" s="111" t="b">
        <v>0</v>
      </c>
      <c r="J262" s="111" t="b">
        <v>0</v>
      </c>
      <c r="K262" s="111" t="b">
        <v>0</v>
      </c>
      <c r="L262" s="111" t="b">
        <v>0</v>
      </c>
    </row>
    <row r="263" spans="1:12" ht="15">
      <c r="A263" s="113" t="s">
        <v>1030</v>
      </c>
      <c r="B263" s="111" t="s">
        <v>1164</v>
      </c>
      <c r="C263" s="111">
        <v>2</v>
      </c>
      <c r="D263" s="115">
        <v>0.0004762469836194851</v>
      </c>
      <c r="E263" s="115">
        <v>2.777124620385674</v>
      </c>
      <c r="F263" s="111" t="s">
        <v>1990</v>
      </c>
      <c r="G263" s="111" t="b">
        <v>0</v>
      </c>
      <c r="H263" s="111" t="b">
        <v>0</v>
      </c>
      <c r="I263" s="111" t="b">
        <v>0</v>
      </c>
      <c r="J263" s="111" t="b">
        <v>0</v>
      </c>
      <c r="K263" s="111" t="b">
        <v>0</v>
      </c>
      <c r="L263" s="111" t="b">
        <v>0</v>
      </c>
    </row>
    <row r="264" spans="1:12" ht="15">
      <c r="A264" s="113" t="s">
        <v>1164</v>
      </c>
      <c r="B264" s="111" t="s">
        <v>1516</v>
      </c>
      <c r="C264" s="111">
        <v>2</v>
      </c>
      <c r="D264" s="115">
        <v>0.0004762469836194851</v>
      </c>
      <c r="E264" s="115">
        <v>3.2542458751053367</v>
      </c>
      <c r="F264" s="111" t="s">
        <v>1990</v>
      </c>
      <c r="G264" s="111" t="b">
        <v>0</v>
      </c>
      <c r="H264" s="111" t="b">
        <v>0</v>
      </c>
      <c r="I264" s="111" t="b">
        <v>0</v>
      </c>
      <c r="J264" s="111" t="b">
        <v>0</v>
      </c>
      <c r="K264" s="111" t="b">
        <v>0</v>
      </c>
      <c r="L264" s="111" t="b">
        <v>0</v>
      </c>
    </row>
    <row r="265" spans="1:12" ht="15">
      <c r="A265" s="113" t="s">
        <v>1516</v>
      </c>
      <c r="B265" s="111" t="s">
        <v>1517</v>
      </c>
      <c r="C265" s="111">
        <v>2</v>
      </c>
      <c r="D265" s="115">
        <v>0.0004762469836194851</v>
      </c>
      <c r="E265" s="115">
        <v>3.555275870769318</v>
      </c>
      <c r="F265" s="111" t="s">
        <v>1990</v>
      </c>
      <c r="G265" s="111" t="b">
        <v>0</v>
      </c>
      <c r="H265" s="111" t="b">
        <v>0</v>
      </c>
      <c r="I265" s="111" t="b">
        <v>0</v>
      </c>
      <c r="J265" s="111" t="b">
        <v>0</v>
      </c>
      <c r="K265" s="111" t="b">
        <v>0</v>
      </c>
      <c r="L265" s="111" t="b">
        <v>0</v>
      </c>
    </row>
    <row r="266" spans="1:12" ht="15">
      <c r="A266" s="113" t="s">
        <v>1517</v>
      </c>
      <c r="B266" s="111" t="s">
        <v>1518</v>
      </c>
      <c r="C266" s="111">
        <v>2</v>
      </c>
      <c r="D266" s="115">
        <v>0.0004762469836194851</v>
      </c>
      <c r="E266" s="115">
        <v>3.555275870769318</v>
      </c>
      <c r="F266" s="111" t="s">
        <v>1990</v>
      </c>
      <c r="G266" s="111" t="b">
        <v>0</v>
      </c>
      <c r="H266" s="111" t="b">
        <v>0</v>
      </c>
      <c r="I266" s="111" t="b">
        <v>0</v>
      </c>
      <c r="J266" s="111" t="b">
        <v>1</v>
      </c>
      <c r="K266" s="111" t="b">
        <v>0</v>
      </c>
      <c r="L266" s="111" t="b">
        <v>0</v>
      </c>
    </row>
    <row r="267" spans="1:12" ht="15">
      <c r="A267" s="113" t="s">
        <v>1518</v>
      </c>
      <c r="B267" s="111" t="s">
        <v>987</v>
      </c>
      <c r="C267" s="111">
        <v>2</v>
      </c>
      <c r="D267" s="115">
        <v>0.0004762469836194851</v>
      </c>
      <c r="E267" s="115">
        <v>3.0112078264190423</v>
      </c>
      <c r="F267" s="111" t="s">
        <v>1990</v>
      </c>
      <c r="G267" s="111" t="b">
        <v>1</v>
      </c>
      <c r="H267" s="111" t="b">
        <v>0</v>
      </c>
      <c r="I267" s="111" t="b">
        <v>0</v>
      </c>
      <c r="J267" s="111" t="b">
        <v>0</v>
      </c>
      <c r="K267" s="111" t="b">
        <v>0</v>
      </c>
      <c r="L267" s="111" t="b">
        <v>0</v>
      </c>
    </row>
    <row r="268" spans="1:12" ht="15">
      <c r="A268" s="113" t="s">
        <v>987</v>
      </c>
      <c r="B268" s="111" t="s">
        <v>1519</v>
      </c>
      <c r="C268" s="111">
        <v>2</v>
      </c>
      <c r="D268" s="115">
        <v>0.0004762469836194851</v>
      </c>
      <c r="E268" s="115">
        <v>3.0112078264190423</v>
      </c>
      <c r="F268" s="111" t="s">
        <v>1990</v>
      </c>
      <c r="G268" s="111" t="b">
        <v>0</v>
      </c>
      <c r="H268" s="111" t="b">
        <v>0</v>
      </c>
      <c r="I268" s="111" t="b">
        <v>0</v>
      </c>
      <c r="J268" s="111" t="b">
        <v>0</v>
      </c>
      <c r="K268" s="111" t="b">
        <v>0</v>
      </c>
      <c r="L268" s="111" t="b">
        <v>0</v>
      </c>
    </row>
    <row r="269" spans="1:12" ht="15">
      <c r="A269" s="113" t="s">
        <v>1519</v>
      </c>
      <c r="B269" s="111" t="s">
        <v>1288</v>
      </c>
      <c r="C269" s="111">
        <v>2</v>
      </c>
      <c r="D269" s="115">
        <v>0.0004762469836194851</v>
      </c>
      <c r="E269" s="115">
        <v>3.3791846117136366</v>
      </c>
      <c r="F269" s="111" t="s">
        <v>1990</v>
      </c>
      <c r="G269" s="111" t="b">
        <v>0</v>
      </c>
      <c r="H269" s="111" t="b">
        <v>0</v>
      </c>
      <c r="I269" s="111" t="b">
        <v>0</v>
      </c>
      <c r="J269" s="111" t="b">
        <v>1</v>
      </c>
      <c r="K269" s="111" t="b">
        <v>0</v>
      </c>
      <c r="L269" s="111" t="b">
        <v>0</v>
      </c>
    </row>
    <row r="270" spans="1:12" ht="15">
      <c r="A270" s="113" t="s">
        <v>1288</v>
      </c>
      <c r="B270" s="111" t="s">
        <v>1165</v>
      </c>
      <c r="C270" s="111">
        <v>2</v>
      </c>
      <c r="D270" s="115">
        <v>0.0004762469836194851</v>
      </c>
      <c r="E270" s="115">
        <v>3.0781546160496553</v>
      </c>
      <c r="F270" s="111" t="s">
        <v>1990</v>
      </c>
      <c r="G270" s="111" t="b">
        <v>1</v>
      </c>
      <c r="H270" s="111" t="b">
        <v>0</v>
      </c>
      <c r="I270" s="111" t="b">
        <v>0</v>
      </c>
      <c r="J270" s="111" t="b">
        <v>0</v>
      </c>
      <c r="K270" s="111" t="b">
        <v>0</v>
      </c>
      <c r="L270" s="111" t="b">
        <v>0</v>
      </c>
    </row>
    <row r="271" spans="1:12" ht="15">
      <c r="A271" s="113" t="s">
        <v>1165</v>
      </c>
      <c r="B271" s="111" t="s">
        <v>988</v>
      </c>
      <c r="C271" s="111">
        <v>2</v>
      </c>
      <c r="D271" s="115">
        <v>0.0004762469836194851</v>
      </c>
      <c r="E271" s="115">
        <v>2.710177830755061</v>
      </c>
      <c r="F271" s="111" t="s">
        <v>1990</v>
      </c>
      <c r="G271" s="111" t="b">
        <v>0</v>
      </c>
      <c r="H271" s="111" t="b">
        <v>0</v>
      </c>
      <c r="I271" s="111" t="b">
        <v>0</v>
      </c>
      <c r="J271" s="111" t="b">
        <v>0</v>
      </c>
      <c r="K271" s="111" t="b">
        <v>0</v>
      </c>
      <c r="L271" s="111" t="b">
        <v>0</v>
      </c>
    </row>
    <row r="272" spans="1:12" ht="15">
      <c r="A272" s="113" t="s">
        <v>988</v>
      </c>
      <c r="B272" s="111" t="s">
        <v>1289</v>
      </c>
      <c r="C272" s="111">
        <v>2</v>
      </c>
      <c r="D272" s="115">
        <v>0.0004762469836194851</v>
      </c>
      <c r="E272" s="115">
        <v>2.835116567363361</v>
      </c>
      <c r="F272" s="111" t="s">
        <v>1990</v>
      </c>
      <c r="G272" s="111" t="b">
        <v>0</v>
      </c>
      <c r="H272" s="111" t="b">
        <v>0</v>
      </c>
      <c r="I272" s="111" t="b">
        <v>0</v>
      </c>
      <c r="J272" s="111" t="b">
        <v>0</v>
      </c>
      <c r="K272" s="111" t="b">
        <v>0</v>
      </c>
      <c r="L272" s="111" t="b">
        <v>0</v>
      </c>
    </row>
    <row r="273" spans="1:12" ht="15">
      <c r="A273" s="113" t="s">
        <v>1289</v>
      </c>
      <c r="B273" s="111" t="s">
        <v>1520</v>
      </c>
      <c r="C273" s="111">
        <v>2</v>
      </c>
      <c r="D273" s="115">
        <v>0.0004762469836194851</v>
      </c>
      <c r="E273" s="115">
        <v>3.3791846117136366</v>
      </c>
      <c r="F273" s="111" t="s">
        <v>1990</v>
      </c>
      <c r="G273" s="111" t="b">
        <v>0</v>
      </c>
      <c r="H273" s="111" t="b">
        <v>0</v>
      </c>
      <c r="I273" s="111" t="b">
        <v>0</v>
      </c>
      <c r="J273" s="111" t="b">
        <v>0</v>
      </c>
      <c r="K273" s="111" t="b">
        <v>0</v>
      </c>
      <c r="L273" s="111" t="b">
        <v>0</v>
      </c>
    </row>
    <row r="274" spans="1:12" ht="15">
      <c r="A274" s="113" t="s">
        <v>1520</v>
      </c>
      <c r="B274" s="111" t="s">
        <v>1031</v>
      </c>
      <c r="C274" s="111">
        <v>2</v>
      </c>
      <c r="D274" s="115">
        <v>0.0004762469836194851</v>
      </c>
      <c r="E274" s="115">
        <v>3.0781546160496553</v>
      </c>
      <c r="F274" s="111" t="s">
        <v>1990</v>
      </c>
      <c r="G274" s="111" t="b">
        <v>0</v>
      </c>
      <c r="H274" s="111" t="b">
        <v>0</v>
      </c>
      <c r="I274" s="111" t="b">
        <v>0</v>
      </c>
      <c r="J274" s="111" t="b">
        <v>0</v>
      </c>
      <c r="K274" s="111" t="b">
        <v>0</v>
      </c>
      <c r="L274" s="111" t="b">
        <v>0</v>
      </c>
    </row>
    <row r="275" spans="1:12" ht="15">
      <c r="A275" s="113" t="s">
        <v>1031</v>
      </c>
      <c r="B275" s="111" t="s">
        <v>1166</v>
      </c>
      <c r="C275" s="111">
        <v>2</v>
      </c>
      <c r="D275" s="115">
        <v>0.0004762469836194851</v>
      </c>
      <c r="E275" s="115">
        <v>2.777124620385674</v>
      </c>
      <c r="F275" s="111" t="s">
        <v>1990</v>
      </c>
      <c r="G275" s="111" t="b">
        <v>0</v>
      </c>
      <c r="H275" s="111" t="b">
        <v>0</v>
      </c>
      <c r="I275" s="111" t="b">
        <v>0</v>
      </c>
      <c r="J275" s="111" t="b">
        <v>0</v>
      </c>
      <c r="K275" s="111" t="b">
        <v>0</v>
      </c>
      <c r="L275" s="111" t="b">
        <v>0</v>
      </c>
    </row>
    <row r="276" spans="1:12" ht="15">
      <c r="A276" s="113" t="s">
        <v>1166</v>
      </c>
      <c r="B276" s="111" t="s">
        <v>867</v>
      </c>
      <c r="C276" s="111">
        <v>2</v>
      </c>
      <c r="D276" s="115">
        <v>0.0004762469836194851</v>
      </c>
      <c r="E276" s="115">
        <v>2.2542458751053367</v>
      </c>
      <c r="F276" s="111" t="s">
        <v>1990</v>
      </c>
      <c r="G276" s="111" t="b">
        <v>0</v>
      </c>
      <c r="H276" s="111" t="b">
        <v>0</v>
      </c>
      <c r="I276" s="111" t="b">
        <v>0</v>
      </c>
      <c r="J276" s="111" t="b">
        <v>0</v>
      </c>
      <c r="K276" s="111" t="b">
        <v>0</v>
      </c>
      <c r="L276" s="111" t="b">
        <v>0</v>
      </c>
    </row>
    <row r="277" spans="1:12" ht="15">
      <c r="A277" s="113" t="s">
        <v>867</v>
      </c>
      <c r="B277" s="111" t="s">
        <v>1521</v>
      </c>
      <c r="C277" s="111">
        <v>2</v>
      </c>
      <c r="D277" s="115">
        <v>0.0004762469836194851</v>
      </c>
      <c r="E277" s="115">
        <v>2.555275870769318</v>
      </c>
      <c r="F277" s="111" t="s">
        <v>1990</v>
      </c>
      <c r="G277" s="111" t="b">
        <v>0</v>
      </c>
      <c r="H277" s="111" t="b">
        <v>0</v>
      </c>
      <c r="I277" s="111" t="b">
        <v>0</v>
      </c>
      <c r="J277" s="111" t="b">
        <v>0</v>
      </c>
      <c r="K277" s="111" t="b">
        <v>0</v>
      </c>
      <c r="L277" s="111" t="b">
        <v>0</v>
      </c>
    </row>
    <row r="278" spans="1:12" ht="15">
      <c r="A278" s="113" t="s">
        <v>1521</v>
      </c>
      <c r="B278" s="111" t="s">
        <v>1522</v>
      </c>
      <c r="C278" s="111">
        <v>2</v>
      </c>
      <c r="D278" s="115">
        <v>0.0004762469836194851</v>
      </c>
      <c r="E278" s="115">
        <v>3.555275870769318</v>
      </c>
      <c r="F278" s="111" t="s">
        <v>1990</v>
      </c>
      <c r="G278" s="111" t="b">
        <v>0</v>
      </c>
      <c r="H278" s="111" t="b">
        <v>0</v>
      </c>
      <c r="I278" s="111" t="b">
        <v>0</v>
      </c>
      <c r="J278" s="111" t="b">
        <v>0</v>
      </c>
      <c r="K278" s="111" t="b">
        <v>0</v>
      </c>
      <c r="L278" s="111" t="b">
        <v>0</v>
      </c>
    </row>
    <row r="279" spans="1:12" ht="15">
      <c r="A279" s="113" t="s">
        <v>1522</v>
      </c>
      <c r="B279" s="111" t="s">
        <v>931</v>
      </c>
      <c r="C279" s="111">
        <v>2</v>
      </c>
      <c r="D279" s="115">
        <v>0.0004762469836194851</v>
      </c>
      <c r="E279" s="115">
        <v>2.8563058664332988</v>
      </c>
      <c r="F279" s="111" t="s">
        <v>1990</v>
      </c>
      <c r="G279" s="111" t="b">
        <v>0</v>
      </c>
      <c r="H279" s="111" t="b">
        <v>0</v>
      </c>
      <c r="I279" s="111" t="b">
        <v>0</v>
      </c>
      <c r="J279" s="111" t="b">
        <v>0</v>
      </c>
      <c r="K279" s="111" t="b">
        <v>0</v>
      </c>
      <c r="L279" s="111" t="b">
        <v>0</v>
      </c>
    </row>
    <row r="280" spans="1:12" ht="15">
      <c r="A280" s="113" t="s">
        <v>931</v>
      </c>
      <c r="B280" s="111" t="s">
        <v>1032</v>
      </c>
      <c r="C280" s="111">
        <v>2</v>
      </c>
      <c r="D280" s="115">
        <v>0.0004762469836194851</v>
      </c>
      <c r="E280" s="115">
        <v>2.3791846117136366</v>
      </c>
      <c r="F280" s="111" t="s">
        <v>1990</v>
      </c>
      <c r="G280" s="111" t="b">
        <v>0</v>
      </c>
      <c r="H280" s="111" t="b">
        <v>0</v>
      </c>
      <c r="I280" s="111" t="b">
        <v>0</v>
      </c>
      <c r="J280" s="111" t="b">
        <v>0</v>
      </c>
      <c r="K280" s="111" t="b">
        <v>0</v>
      </c>
      <c r="L280" s="111" t="b">
        <v>0</v>
      </c>
    </row>
    <row r="281" spans="1:12" ht="15">
      <c r="A281" s="113" t="s">
        <v>1032</v>
      </c>
      <c r="B281" s="111" t="s">
        <v>931</v>
      </c>
      <c r="C281" s="111">
        <v>2</v>
      </c>
      <c r="D281" s="115">
        <v>0.0004762469836194851</v>
      </c>
      <c r="E281" s="115">
        <v>2.3791846117136366</v>
      </c>
      <c r="F281" s="111" t="s">
        <v>1990</v>
      </c>
      <c r="G281" s="111" t="b">
        <v>0</v>
      </c>
      <c r="H281" s="111" t="b">
        <v>0</v>
      </c>
      <c r="I281" s="111" t="b">
        <v>0</v>
      </c>
      <c r="J281" s="111" t="b">
        <v>0</v>
      </c>
      <c r="K281" s="111" t="b">
        <v>0</v>
      </c>
      <c r="L281" s="111" t="b">
        <v>0</v>
      </c>
    </row>
    <row r="282" spans="1:12" ht="15">
      <c r="A282" s="113" t="s">
        <v>931</v>
      </c>
      <c r="B282" s="111" t="s">
        <v>1523</v>
      </c>
      <c r="C282" s="111">
        <v>2</v>
      </c>
      <c r="D282" s="115">
        <v>0.0004762469836194851</v>
      </c>
      <c r="E282" s="115">
        <v>2.8563058664332988</v>
      </c>
      <c r="F282" s="111" t="s">
        <v>1990</v>
      </c>
      <c r="G282" s="111" t="b">
        <v>0</v>
      </c>
      <c r="H282" s="111" t="b">
        <v>0</v>
      </c>
      <c r="I282" s="111" t="b">
        <v>0</v>
      </c>
      <c r="J282" s="111" t="b">
        <v>0</v>
      </c>
      <c r="K282" s="111" t="b">
        <v>0</v>
      </c>
      <c r="L282" s="111" t="b">
        <v>0</v>
      </c>
    </row>
    <row r="283" spans="1:12" ht="15">
      <c r="A283" s="113" t="s">
        <v>1523</v>
      </c>
      <c r="B283" s="111" t="s">
        <v>1166</v>
      </c>
      <c r="C283" s="111">
        <v>2</v>
      </c>
      <c r="D283" s="115">
        <v>0.0004762469836194851</v>
      </c>
      <c r="E283" s="115">
        <v>3.2542458751053367</v>
      </c>
      <c r="F283" s="111" t="s">
        <v>1990</v>
      </c>
      <c r="G283" s="111" t="b">
        <v>0</v>
      </c>
      <c r="H283" s="111" t="b">
        <v>0</v>
      </c>
      <c r="I283" s="111" t="b">
        <v>0</v>
      </c>
      <c r="J283" s="111" t="b">
        <v>0</v>
      </c>
      <c r="K283" s="111" t="b">
        <v>0</v>
      </c>
      <c r="L283" s="111" t="b">
        <v>0</v>
      </c>
    </row>
    <row r="284" spans="1:12" ht="15">
      <c r="A284" s="113" t="s">
        <v>1166</v>
      </c>
      <c r="B284" s="111" t="s">
        <v>1290</v>
      </c>
      <c r="C284" s="111">
        <v>2</v>
      </c>
      <c r="D284" s="115">
        <v>0.0004762469836194851</v>
      </c>
      <c r="E284" s="115">
        <v>3.0781546160496553</v>
      </c>
      <c r="F284" s="111" t="s">
        <v>1990</v>
      </c>
      <c r="G284" s="111" t="b">
        <v>0</v>
      </c>
      <c r="H284" s="111" t="b">
        <v>0</v>
      </c>
      <c r="I284" s="111" t="b">
        <v>0</v>
      </c>
      <c r="J284" s="111" t="b">
        <v>0</v>
      </c>
      <c r="K284" s="111" t="b">
        <v>0</v>
      </c>
      <c r="L284" s="111" t="b">
        <v>0</v>
      </c>
    </row>
    <row r="285" spans="1:12" ht="15">
      <c r="A285" s="113" t="s">
        <v>1290</v>
      </c>
      <c r="B285" s="111" t="s">
        <v>1167</v>
      </c>
      <c r="C285" s="111">
        <v>2</v>
      </c>
      <c r="D285" s="115">
        <v>0.0004762469836194851</v>
      </c>
      <c r="E285" s="115">
        <v>3.0781546160496553</v>
      </c>
      <c r="F285" s="111" t="s">
        <v>1990</v>
      </c>
      <c r="G285" s="111" t="b">
        <v>0</v>
      </c>
      <c r="H285" s="111" t="b">
        <v>0</v>
      </c>
      <c r="I285" s="111" t="b">
        <v>0</v>
      </c>
      <c r="J285" s="111" t="b">
        <v>0</v>
      </c>
      <c r="K285" s="111" t="b">
        <v>0</v>
      </c>
      <c r="L285" s="111" t="b">
        <v>0</v>
      </c>
    </row>
    <row r="286" spans="1:12" ht="15">
      <c r="A286" s="113" t="s">
        <v>1167</v>
      </c>
      <c r="B286" s="111" t="s">
        <v>1165</v>
      </c>
      <c r="C286" s="111">
        <v>2</v>
      </c>
      <c r="D286" s="115">
        <v>0.0004762469836194851</v>
      </c>
      <c r="E286" s="115">
        <v>2.9532158794413554</v>
      </c>
      <c r="F286" s="111" t="s">
        <v>1990</v>
      </c>
      <c r="G286" s="111" t="b">
        <v>0</v>
      </c>
      <c r="H286" s="111" t="b">
        <v>0</v>
      </c>
      <c r="I286" s="111" t="b">
        <v>0</v>
      </c>
      <c r="J286" s="111" t="b">
        <v>0</v>
      </c>
      <c r="K286" s="111" t="b">
        <v>0</v>
      </c>
      <c r="L286" s="111" t="b">
        <v>0</v>
      </c>
    </row>
    <row r="287" spans="1:12" ht="15">
      <c r="A287" s="113" t="s">
        <v>1165</v>
      </c>
      <c r="B287" s="111" t="s">
        <v>1524</v>
      </c>
      <c r="C287" s="111">
        <v>2</v>
      </c>
      <c r="D287" s="115">
        <v>0.0004762469836194851</v>
      </c>
      <c r="E287" s="115">
        <v>3.2542458751053367</v>
      </c>
      <c r="F287" s="111" t="s">
        <v>1990</v>
      </c>
      <c r="G287" s="111" t="b">
        <v>0</v>
      </c>
      <c r="H287" s="111" t="b">
        <v>0</v>
      </c>
      <c r="I287" s="111" t="b">
        <v>0</v>
      </c>
      <c r="J287" s="111" t="b">
        <v>0</v>
      </c>
      <c r="K287" s="111" t="b">
        <v>0</v>
      </c>
      <c r="L287" s="111" t="b">
        <v>0</v>
      </c>
    </row>
    <row r="288" spans="1:12" ht="15">
      <c r="A288" s="113" t="s">
        <v>1524</v>
      </c>
      <c r="B288" s="111" t="s">
        <v>1525</v>
      </c>
      <c r="C288" s="111">
        <v>2</v>
      </c>
      <c r="D288" s="115">
        <v>0.0004762469836194851</v>
      </c>
      <c r="E288" s="115">
        <v>3.555275870769318</v>
      </c>
      <c r="F288" s="111" t="s">
        <v>1990</v>
      </c>
      <c r="G288" s="111" t="b">
        <v>0</v>
      </c>
      <c r="H288" s="111" t="b">
        <v>0</v>
      </c>
      <c r="I288" s="111" t="b">
        <v>0</v>
      </c>
      <c r="J288" s="111" t="b">
        <v>0</v>
      </c>
      <c r="K288" s="111" t="b">
        <v>0</v>
      </c>
      <c r="L288" s="111" t="b">
        <v>0</v>
      </c>
    </row>
    <row r="289" spans="1:12" ht="15">
      <c r="A289" s="113" t="s">
        <v>1525</v>
      </c>
      <c r="B289" s="111" t="s">
        <v>1033</v>
      </c>
      <c r="C289" s="111">
        <v>2</v>
      </c>
      <c r="D289" s="115">
        <v>0.0004762469836194851</v>
      </c>
      <c r="E289" s="115">
        <v>3.0781546160496553</v>
      </c>
      <c r="F289" s="111" t="s">
        <v>1990</v>
      </c>
      <c r="G289" s="111" t="b">
        <v>0</v>
      </c>
      <c r="H289" s="111" t="b">
        <v>0</v>
      </c>
      <c r="I289" s="111" t="b">
        <v>0</v>
      </c>
      <c r="J289" s="111" t="b">
        <v>0</v>
      </c>
      <c r="K289" s="111" t="b">
        <v>0</v>
      </c>
      <c r="L289" s="111" t="b">
        <v>0</v>
      </c>
    </row>
    <row r="290" spans="1:12" ht="15">
      <c r="A290" s="113" t="s">
        <v>1033</v>
      </c>
      <c r="B290" s="111" t="s">
        <v>1032</v>
      </c>
      <c r="C290" s="111">
        <v>2</v>
      </c>
      <c r="D290" s="115">
        <v>0.0004762469836194851</v>
      </c>
      <c r="E290" s="115">
        <v>2.6010333613299927</v>
      </c>
      <c r="F290" s="111" t="s">
        <v>1990</v>
      </c>
      <c r="G290" s="111" t="b">
        <v>0</v>
      </c>
      <c r="H290" s="111" t="b">
        <v>0</v>
      </c>
      <c r="I290" s="111" t="b">
        <v>0</v>
      </c>
      <c r="J290" s="111" t="b">
        <v>0</v>
      </c>
      <c r="K290" s="111" t="b">
        <v>0</v>
      </c>
      <c r="L290" s="111" t="b">
        <v>0</v>
      </c>
    </row>
    <row r="291" spans="1:12" ht="15">
      <c r="A291" s="113" t="s">
        <v>1032</v>
      </c>
      <c r="B291" s="111" t="s">
        <v>1168</v>
      </c>
      <c r="C291" s="111">
        <v>2</v>
      </c>
      <c r="D291" s="115">
        <v>0.0004762469836194851</v>
      </c>
      <c r="E291" s="115">
        <v>2.777124620385674</v>
      </c>
      <c r="F291" s="111" t="s">
        <v>1990</v>
      </c>
      <c r="G291" s="111" t="b">
        <v>0</v>
      </c>
      <c r="H291" s="111" t="b">
        <v>0</v>
      </c>
      <c r="I291" s="111" t="b">
        <v>0</v>
      </c>
      <c r="J291" s="111" t="b">
        <v>1</v>
      </c>
      <c r="K291" s="111" t="b">
        <v>0</v>
      </c>
      <c r="L291" s="111" t="b">
        <v>0</v>
      </c>
    </row>
    <row r="292" spans="1:12" ht="15">
      <c r="A292" s="113" t="s">
        <v>1168</v>
      </c>
      <c r="B292" s="111" t="s">
        <v>958</v>
      </c>
      <c r="C292" s="111">
        <v>2</v>
      </c>
      <c r="D292" s="115">
        <v>0.0004762469836194851</v>
      </c>
      <c r="E292" s="115">
        <v>2.710177830755061</v>
      </c>
      <c r="F292" s="111" t="s">
        <v>1990</v>
      </c>
      <c r="G292" s="111" t="b">
        <v>1</v>
      </c>
      <c r="H292" s="111" t="b">
        <v>0</v>
      </c>
      <c r="I292" s="111" t="b">
        <v>0</v>
      </c>
      <c r="J292" s="111" t="b">
        <v>0</v>
      </c>
      <c r="K292" s="111" t="b">
        <v>0</v>
      </c>
      <c r="L292" s="111" t="b">
        <v>0</v>
      </c>
    </row>
    <row r="293" spans="1:12" ht="15">
      <c r="A293" s="113" t="s">
        <v>958</v>
      </c>
      <c r="B293" s="111" t="s">
        <v>1526</v>
      </c>
      <c r="C293" s="111">
        <v>2</v>
      </c>
      <c r="D293" s="115">
        <v>0.0004762469836194851</v>
      </c>
      <c r="E293" s="115">
        <v>2.9532158794413554</v>
      </c>
      <c r="F293" s="111" t="s">
        <v>1990</v>
      </c>
      <c r="G293" s="111" t="b">
        <v>0</v>
      </c>
      <c r="H293" s="111" t="b">
        <v>0</v>
      </c>
      <c r="I293" s="111" t="b">
        <v>0</v>
      </c>
      <c r="J293" s="111" t="b">
        <v>0</v>
      </c>
      <c r="K293" s="111" t="b">
        <v>0</v>
      </c>
      <c r="L293" s="111" t="b">
        <v>0</v>
      </c>
    </row>
    <row r="294" spans="1:12" ht="15">
      <c r="A294" s="113" t="s">
        <v>1526</v>
      </c>
      <c r="B294" s="111" t="s">
        <v>1527</v>
      </c>
      <c r="C294" s="111">
        <v>2</v>
      </c>
      <c r="D294" s="115">
        <v>0.0004762469836194851</v>
      </c>
      <c r="E294" s="115">
        <v>3.555275870769318</v>
      </c>
      <c r="F294" s="111" t="s">
        <v>1990</v>
      </c>
      <c r="G294" s="111" t="b">
        <v>0</v>
      </c>
      <c r="H294" s="111" t="b">
        <v>0</v>
      </c>
      <c r="I294" s="111" t="b">
        <v>0</v>
      </c>
      <c r="J294" s="111" t="b">
        <v>0</v>
      </c>
      <c r="K294" s="111" t="b">
        <v>0</v>
      </c>
      <c r="L294" s="111" t="b">
        <v>0</v>
      </c>
    </row>
    <row r="295" spans="1:12" ht="15">
      <c r="A295" s="113" t="s">
        <v>1527</v>
      </c>
      <c r="B295" s="111" t="s">
        <v>987</v>
      </c>
      <c r="C295" s="111">
        <v>2</v>
      </c>
      <c r="D295" s="115">
        <v>0.0004762469836194851</v>
      </c>
      <c r="E295" s="115">
        <v>3.0112078264190423</v>
      </c>
      <c r="F295" s="111" t="s">
        <v>1990</v>
      </c>
      <c r="G295" s="111" t="b">
        <v>0</v>
      </c>
      <c r="H295" s="111" t="b">
        <v>0</v>
      </c>
      <c r="I295" s="111" t="b">
        <v>0</v>
      </c>
      <c r="J295" s="111" t="b">
        <v>0</v>
      </c>
      <c r="K295" s="111" t="b">
        <v>0</v>
      </c>
      <c r="L295" s="111" t="b">
        <v>0</v>
      </c>
    </row>
    <row r="296" spans="1:12" ht="15">
      <c r="A296" s="113" t="s">
        <v>987</v>
      </c>
      <c r="B296" s="111" t="s">
        <v>1169</v>
      </c>
      <c r="C296" s="111">
        <v>2</v>
      </c>
      <c r="D296" s="115">
        <v>0.0004762469836194851</v>
      </c>
      <c r="E296" s="115">
        <v>2.710177830755061</v>
      </c>
      <c r="F296" s="111" t="s">
        <v>1990</v>
      </c>
      <c r="G296" s="111" t="b">
        <v>0</v>
      </c>
      <c r="H296" s="111" t="b">
        <v>0</v>
      </c>
      <c r="I296" s="111" t="b">
        <v>0</v>
      </c>
      <c r="J296" s="111" t="b">
        <v>0</v>
      </c>
      <c r="K296" s="111" t="b">
        <v>0</v>
      </c>
      <c r="L296" s="111" t="b">
        <v>0</v>
      </c>
    </row>
    <row r="297" spans="1:12" ht="15">
      <c r="A297" s="113" t="s">
        <v>1169</v>
      </c>
      <c r="B297" s="111" t="s">
        <v>1528</v>
      </c>
      <c r="C297" s="111">
        <v>2</v>
      </c>
      <c r="D297" s="115">
        <v>0.0004762469836194851</v>
      </c>
      <c r="E297" s="115">
        <v>3.2542458751053367</v>
      </c>
      <c r="F297" s="111" t="s">
        <v>1990</v>
      </c>
      <c r="G297" s="111" t="b">
        <v>0</v>
      </c>
      <c r="H297" s="111" t="b">
        <v>0</v>
      </c>
      <c r="I297" s="111" t="b">
        <v>0</v>
      </c>
      <c r="J297" s="111" t="b">
        <v>0</v>
      </c>
      <c r="K297" s="111" t="b">
        <v>0</v>
      </c>
      <c r="L297" s="111" t="b">
        <v>0</v>
      </c>
    </row>
    <row r="298" spans="1:12" ht="15">
      <c r="A298" s="113" t="s">
        <v>1528</v>
      </c>
      <c r="B298" s="111" t="s">
        <v>1529</v>
      </c>
      <c r="C298" s="111">
        <v>2</v>
      </c>
      <c r="D298" s="115">
        <v>0.0004762469836194851</v>
      </c>
      <c r="E298" s="115">
        <v>3.555275870769318</v>
      </c>
      <c r="F298" s="111" t="s">
        <v>1990</v>
      </c>
      <c r="G298" s="111" t="b">
        <v>0</v>
      </c>
      <c r="H298" s="111" t="b">
        <v>0</v>
      </c>
      <c r="I298" s="111" t="b">
        <v>0</v>
      </c>
      <c r="J298" s="111" t="b">
        <v>0</v>
      </c>
      <c r="K298" s="111" t="b">
        <v>0</v>
      </c>
      <c r="L298" s="111" t="b">
        <v>0</v>
      </c>
    </row>
    <row r="299" spans="1:12" ht="15">
      <c r="A299" s="113" t="s">
        <v>1529</v>
      </c>
      <c r="B299" s="111" t="s">
        <v>860</v>
      </c>
      <c r="C299" s="111">
        <v>2</v>
      </c>
      <c r="D299" s="115">
        <v>0.0004762469836194851</v>
      </c>
      <c r="E299" s="115">
        <v>2.5340865716993797</v>
      </c>
      <c r="F299" s="111" t="s">
        <v>1990</v>
      </c>
      <c r="G299" s="111" t="b">
        <v>0</v>
      </c>
      <c r="H299" s="111" t="b">
        <v>0</v>
      </c>
      <c r="I299" s="111" t="b">
        <v>0</v>
      </c>
      <c r="J299" s="111" t="b">
        <v>1</v>
      </c>
      <c r="K299" s="111" t="b">
        <v>0</v>
      </c>
      <c r="L299" s="111" t="b">
        <v>0</v>
      </c>
    </row>
    <row r="300" spans="1:12" ht="15">
      <c r="A300" s="113" t="s">
        <v>860</v>
      </c>
      <c r="B300" s="111" t="s">
        <v>1092</v>
      </c>
      <c r="C300" s="111">
        <v>2</v>
      </c>
      <c r="D300" s="115">
        <v>0.0004762469836194851</v>
      </c>
      <c r="E300" s="115">
        <v>2.115943176939055</v>
      </c>
      <c r="F300" s="111" t="s">
        <v>1990</v>
      </c>
      <c r="G300" s="111" t="b">
        <v>1</v>
      </c>
      <c r="H300" s="111" t="b">
        <v>0</v>
      </c>
      <c r="I300" s="111" t="b">
        <v>0</v>
      </c>
      <c r="J300" s="111" t="b">
        <v>0</v>
      </c>
      <c r="K300" s="111" t="b">
        <v>0</v>
      </c>
      <c r="L300" s="111" t="b">
        <v>0</v>
      </c>
    </row>
    <row r="301" spans="1:12" ht="15">
      <c r="A301" s="113" t="s">
        <v>1092</v>
      </c>
      <c r="B301" s="111" t="s">
        <v>1034</v>
      </c>
      <c r="C301" s="111">
        <v>2</v>
      </c>
      <c r="D301" s="115">
        <v>0.0004762469836194851</v>
      </c>
      <c r="E301" s="115">
        <v>2.680214607377618</v>
      </c>
      <c r="F301" s="111" t="s">
        <v>1990</v>
      </c>
      <c r="G301" s="111" t="b">
        <v>0</v>
      </c>
      <c r="H301" s="111" t="b">
        <v>0</v>
      </c>
      <c r="I301" s="111" t="b">
        <v>0</v>
      </c>
      <c r="J301" s="111" t="b">
        <v>0</v>
      </c>
      <c r="K301" s="111" t="b">
        <v>0</v>
      </c>
      <c r="L301" s="111" t="b">
        <v>0</v>
      </c>
    </row>
    <row r="302" spans="1:12" ht="15">
      <c r="A302" s="113" t="s">
        <v>1034</v>
      </c>
      <c r="B302" s="111" t="s">
        <v>1530</v>
      </c>
      <c r="C302" s="111">
        <v>2</v>
      </c>
      <c r="D302" s="115">
        <v>0.0004762469836194851</v>
      </c>
      <c r="E302" s="115">
        <v>3.0781546160496553</v>
      </c>
      <c r="F302" s="111" t="s">
        <v>1990</v>
      </c>
      <c r="G302" s="111" t="b">
        <v>0</v>
      </c>
      <c r="H302" s="111" t="b">
        <v>0</v>
      </c>
      <c r="I302" s="111" t="b">
        <v>0</v>
      </c>
      <c r="J302" s="111" t="b">
        <v>1</v>
      </c>
      <c r="K302" s="111" t="b">
        <v>0</v>
      </c>
      <c r="L302" s="111" t="b">
        <v>0</v>
      </c>
    </row>
    <row r="303" spans="1:12" ht="15">
      <c r="A303" s="113" t="s">
        <v>1530</v>
      </c>
      <c r="B303" s="111" t="s">
        <v>1032</v>
      </c>
      <c r="C303" s="111">
        <v>2</v>
      </c>
      <c r="D303" s="115">
        <v>0.0004762469836194851</v>
      </c>
      <c r="E303" s="115">
        <v>3.0781546160496553</v>
      </c>
      <c r="F303" s="111" t="s">
        <v>1990</v>
      </c>
      <c r="G303" s="111" t="b">
        <v>1</v>
      </c>
      <c r="H303" s="111" t="b">
        <v>0</v>
      </c>
      <c r="I303" s="111" t="b">
        <v>0</v>
      </c>
      <c r="J303" s="111" t="b">
        <v>0</v>
      </c>
      <c r="K303" s="111" t="b">
        <v>0</v>
      </c>
      <c r="L303" s="111" t="b">
        <v>0</v>
      </c>
    </row>
    <row r="304" spans="1:12" ht="15">
      <c r="A304" s="113" t="s">
        <v>1032</v>
      </c>
      <c r="B304" s="111" t="s">
        <v>1531</v>
      </c>
      <c r="C304" s="111">
        <v>2</v>
      </c>
      <c r="D304" s="115">
        <v>0.0004762469836194851</v>
      </c>
      <c r="E304" s="115">
        <v>3.0781546160496553</v>
      </c>
      <c r="F304" s="111" t="s">
        <v>1990</v>
      </c>
      <c r="G304" s="111" t="b">
        <v>0</v>
      </c>
      <c r="H304" s="111" t="b">
        <v>0</v>
      </c>
      <c r="I304" s="111" t="b">
        <v>0</v>
      </c>
      <c r="J304" s="111" t="b">
        <v>0</v>
      </c>
      <c r="K304" s="111" t="b">
        <v>0</v>
      </c>
      <c r="L304" s="111" t="b">
        <v>0</v>
      </c>
    </row>
    <row r="305" spans="1:12" ht="15">
      <c r="A305" s="113" t="s">
        <v>1531</v>
      </c>
      <c r="B305" s="111" t="s">
        <v>855</v>
      </c>
      <c r="C305" s="111">
        <v>2</v>
      </c>
      <c r="D305" s="115">
        <v>0.0004762469836194851</v>
      </c>
      <c r="E305" s="115">
        <v>2.5138831856110926</v>
      </c>
      <c r="F305" s="111" t="s">
        <v>1990</v>
      </c>
      <c r="G305" s="111" t="b">
        <v>0</v>
      </c>
      <c r="H305" s="111" t="b">
        <v>0</v>
      </c>
      <c r="I305" s="111" t="b">
        <v>0</v>
      </c>
      <c r="J305" s="111" t="b">
        <v>0</v>
      </c>
      <c r="K305" s="111" t="b">
        <v>0</v>
      </c>
      <c r="L305" s="111" t="b">
        <v>0</v>
      </c>
    </row>
    <row r="306" spans="1:12" ht="15">
      <c r="A306" s="113" t="s">
        <v>889</v>
      </c>
      <c r="B306" s="111" t="s">
        <v>1291</v>
      </c>
      <c r="C306" s="111">
        <v>2</v>
      </c>
      <c r="D306" s="115">
        <v>0.0004762469836194851</v>
      </c>
      <c r="E306" s="115">
        <v>2.5340865716993797</v>
      </c>
      <c r="F306" s="111" t="s">
        <v>1990</v>
      </c>
      <c r="G306" s="111" t="b">
        <v>0</v>
      </c>
      <c r="H306" s="111" t="b">
        <v>0</v>
      </c>
      <c r="I306" s="111" t="b">
        <v>0</v>
      </c>
      <c r="J306" s="111" t="b">
        <v>0</v>
      </c>
      <c r="K306" s="111" t="b">
        <v>0</v>
      </c>
      <c r="L306" s="111" t="b">
        <v>0</v>
      </c>
    </row>
    <row r="307" spans="1:12" ht="15">
      <c r="A307" s="113" t="s">
        <v>1291</v>
      </c>
      <c r="B307" s="111" t="s">
        <v>1532</v>
      </c>
      <c r="C307" s="111">
        <v>2</v>
      </c>
      <c r="D307" s="115">
        <v>0.0004762469836194851</v>
      </c>
      <c r="E307" s="115">
        <v>3.3791846117136366</v>
      </c>
      <c r="F307" s="111" t="s">
        <v>1990</v>
      </c>
      <c r="G307" s="111" t="b">
        <v>0</v>
      </c>
      <c r="H307" s="111" t="b">
        <v>0</v>
      </c>
      <c r="I307" s="111" t="b">
        <v>0</v>
      </c>
      <c r="J307" s="111" t="b">
        <v>0</v>
      </c>
      <c r="K307" s="111" t="b">
        <v>0</v>
      </c>
      <c r="L307" s="111" t="b">
        <v>0</v>
      </c>
    </row>
    <row r="308" spans="1:12" ht="15">
      <c r="A308" s="113" t="s">
        <v>1532</v>
      </c>
      <c r="B308" s="111" t="s">
        <v>850</v>
      </c>
      <c r="C308" s="111">
        <v>2</v>
      </c>
      <c r="D308" s="115">
        <v>0.0004762469836194851</v>
      </c>
      <c r="E308" s="115">
        <v>2.364944172599026</v>
      </c>
      <c r="F308" s="111" t="s">
        <v>1990</v>
      </c>
      <c r="G308" s="111" t="b">
        <v>0</v>
      </c>
      <c r="H308" s="111" t="b">
        <v>0</v>
      </c>
      <c r="I308" s="111" t="b">
        <v>0</v>
      </c>
      <c r="J308" s="111" t="b">
        <v>0</v>
      </c>
      <c r="K308" s="111" t="b">
        <v>0</v>
      </c>
      <c r="L308" s="111" t="b">
        <v>0</v>
      </c>
    </row>
    <row r="309" spans="1:12" ht="15">
      <c r="A309" s="113" t="s">
        <v>850</v>
      </c>
      <c r="B309" s="111" t="s">
        <v>1533</v>
      </c>
      <c r="C309" s="111">
        <v>2</v>
      </c>
      <c r="D309" s="115">
        <v>0.0004762469836194851</v>
      </c>
      <c r="E309" s="115">
        <v>2.364944172599026</v>
      </c>
      <c r="F309" s="111" t="s">
        <v>1990</v>
      </c>
      <c r="G309" s="111" t="b">
        <v>0</v>
      </c>
      <c r="H309" s="111" t="b">
        <v>0</v>
      </c>
      <c r="I309" s="111" t="b">
        <v>0</v>
      </c>
      <c r="J309" s="111" t="b">
        <v>0</v>
      </c>
      <c r="K309" s="111" t="b">
        <v>0</v>
      </c>
      <c r="L309" s="111" t="b">
        <v>0</v>
      </c>
    </row>
    <row r="310" spans="1:12" ht="15">
      <c r="A310" s="113" t="s">
        <v>1533</v>
      </c>
      <c r="B310" s="111" t="s">
        <v>907</v>
      </c>
      <c r="C310" s="111">
        <v>2</v>
      </c>
      <c r="D310" s="115">
        <v>0.0004762469836194851</v>
      </c>
      <c r="E310" s="115">
        <v>2.777124620385674</v>
      </c>
      <c r="F310" s="111" t="s">
        <v>1990</v>
      </c>
      <c r="G310" s="111" t="b">
        <v>0</v>
      </c>
      <c r="H310" s="111" t="b">
        <v>0</v>
      </c>
      <c r="I310" s="111" t="b">
        <v>0</v>
      </c>
      <c r="J310" s="111" t="b">
        <v>0</v>
      </c>
      <c r="K310" s="111" t="b">
        <v>0</v>
      </c>
      <c r="L310" s="111" t="b">
        <v>0</v>
      </c>
    </row>
    <row r="311" spans="1:12" ht="15">
      <c r="A311" s="113" t="s">
        <v>855</v>
      </c>
      <c r="B311" s="111" t="s">
        <v>1027</v>
      </c>
      <c r="C311" s="111">
        <v>2</v>
      </c>
      <c r="D311" s="115">
        <v>0.0004762469836194851</v>
      </c>
      <c r="E311" s="115">
        <v>2.0569653169797175</v>
      </c>
      <c r="F311" s="111" t="s">
        <v>1990</v>
      </c>
      <c r="G311" s="111" t="b">
        <v>0</v>
      </c>
      <c r="H311" s="111" t="b">
        <v>0</v>
      </c>
      <c r="I311" s="111" t="b">
        <v>0</v>
      </c>
      <c r="J311" s="111" t="b">
        <v>0</v>
      </c>
      <c r="K311" s="111" t="b">
        <v>0</v>
      </c>
      <c r="L311" s="111" t="b">
        <v>0</v>
      </c>
    </row>
    <row r="312" spans="1:12" ht="15">
      <c r="A312" s="113" t="s">
        <v>1036</v>
      </c>
      <c r="B312" s="111" t="s">
        <v>943</v>
      </c>
      <c r="C312" s="111">
        <v>2</v>
      </c>
      <c r="D312" s="115">
        <v>0.0004762469836194851</v>
      </c>
      <c r="E312" s="115">
        <v>2.4249421022743114</v>
      </c>
      <c r="F312" s="111" t="s">
        <v>1990</v>
      </c>
      <c r="G312" s="111" t="b">
        <v>0</v>
      </c>
      <c r="H312" s="111" t="b">
        <v>0</v>
      </c>
      <c r="I312" s="111" t="b">
        <v>0</v>
      </c>
      <c r="J312" s="111" t="b">
        <v>0</v>
      </c>
      <c r="K312" s="111" t="b">
        <v>0</v>
      </c>
      <c r="L312" s="111" t="b">
        <v>0</v>
      </c>
    </row>
    <row r="313" spans="1:12" ht="15">
      <c r="A313" s="113" t="s">
        <v>860</v>
      </c>
      <c r="B313" s="111" t="s">
        <v>890</v>
      </c>
      <c r="C313" s="111">
        <v>2</v>
      </c>
      <c r="D313" s="115">
        <v>0.0004762469836194851</v>
      </c>
      <c r="E313" s="115">
        <v>1.6687851455968359</v>
      </c>
      <c r="F313" s="111" t="s">
        <v>1990</v>
      </c>
      <c r="G313" s="111" t="b">
        <v>1</v>
      </c>
      <c r="H313" s="111" t="b">
        <v>0</v>
      </c>
      <c r="I313" s="111" t="b">
        <v>0</v>
      </c>
      <c r="J313" s="111" t="b">
        <v>0</v>
      </c>
      <c r="K313" s="111" t="b">
        <v>0</v>
      </c>
      <c r="L313" s="111" t="b">
        <v>0</v>
      </c>
    </row>
    <row r="314" spans="1:12" ht="15">
      <c r="A314" s="113" t="s">
        <v>862</v>
      </c>
      <c r="B314" s="111" t="s">
        <v>863</v>
      </c>
      <c r="C314" s="111">
        <v>2</v>
      </c>
      <c r="D314" s="115">
        <v>0.0004762469836194851</v>
      </c>
      <c r="E314" s="115">
        <v>1.5128972726294416</v>
      </c>
      <c r="F314" s="111" t="s">
        <v>1990</v>
      </c>
      <c r="G314" s="111" t="b">
        <v>0</v>
      </c>
      <c r="H314" s="111" t="b">
        <v>0</v>
      </c>
      <c r="I314" s="111" t="b">
        <v>0</v>
      </c>
      <c r="J314" s="111" t="b">
        <v>0</v>
      </c>
      <c r="K314" s="111" t="b">
        <v>1</v>
      </c>
      <c r="L314" s="111" t="b">
        <v>0</v>
      </c>
    </row>
    <row r="315" spans="1:12" ht="15">
      <c r="A315" s="113" t="s">
        <v>864</v>
      </c>
      <c r="B315" s="111" t="s">
        <v>1044</v>
      </c>
      <c r="C315" s="111">
        <v>2</v>
      </c>
      <c r="D315" s="115">
        <v>0.000558811436626611</v>
      </c>
      <c r="E315" s="115">
        <v>2.0781546160496553</v>
      </c>
      <c r="F315" s="111" t="s">
        <v>1990</v>
      </c>
      <c r="G315" s="111" t="b">
        <v>0</v>
      </c>
      <c r="H315" s="111" t="b">
        <v>0</v>
      </c>
      <c r="I315" s="111" t="b">
        <v>0</v>
      </c>
      <c r="J315" s="111" t="b">
        <v>0</v>
      </c>
      <c r="K315" s="111" t="b">
        <v>0</v>
      </c>
      <c r="L315" s="111" t="b">
        <v>0</v>
      </c>
    </row>
    <row r="316" spans="1:12" ht="15">
      <c r="A316" s="113" t="s">
        <v>848</v>
      </c>
      <c r="B316" s="111" t="s">
        <v>1095</v>
      </c>
      <c r="C316" s="111">
        <v>2</v>
      </c>
      <c r="D316" s="115">
        <v>0.000558811436626611</v>
      </c>
      <c r="E316" s="115">
        <v>1.9142978134109858</v>
      </c>
      <c r="F316" s="111" t="s">
        <v>1990</v>
      </c>
      <c r="G316" s="111" t="b">
        <v>0</v>
      </c>
      <c r="H316" s="111" t="b">
        <v>0</v>
      </c>
      <c r="I316" s="111" t="b">
        <v>0</v>
      </c>
      <c r="J316" s="111" t="b">
        <v>0</v>
      </c>
      <c r="K316" s="111" t="b">
        <v>1</v>
      </c>
      <c r="L316" s="111" t="b">
        <v>0</v>
      </c>
    </row>
    <row r="317" spans="1:12" ht="15">
      <c r="A317" s="113" t="s">
        <v>843</v>
      </c>
      <c r="B317" s="111" t="s">
        <v>934</v>
      </c>
      <c r="C317" s="111">
        <v>2</v>
      </c>
      <c r="D317" s="115">
        <v>0.0004762469836194851</v>
      </c>
      <c r="E317" s="115">
        <v>1.4671397820687664</v>
      </c>
      <c r="F317" s="111" t="s">
        <v>1990</v>
      </c>
      <c r="G317" s="111" t="b">
        <v>0</v>
      </c>
      <c r="H317" s="111" t="b">
        <v>0</v>
      </c>
      <c r="I317" s="111" t="b">
        <v>0</v>
      </c>
      <c r="J317" s="111" t="b">
        <v>0</v>
      </c>
      <c r="K317" s="111" t="b">
        <v>0</v>
      </c>
      <c r="L317" s="111" t="b">
        <v>0</v>
      </c>
    </row>
    <row r="318" spans="1:12" ht="15">
      <c r="A318" s="113" t="s">
        <v>962</v>
      </c>
      <c r="B318" s="111" t="s">
        <v>1178</v>
      </c>
      <c r="C318" s="111">
        <v>2</v>
      </c>
      <c r="D318" s="115">
        <v>0.0004762469836194851</v>
      </c>
      <c r="E318" s="115">
        <v>2.652185883777374</v>
      </c>
      <c r="F318" s="111" t="s">
        <v>1990</v>
      </c>
      <c r="G318" s="111" t="b">
        <v>0</v>
      </c>
      <c r="H318" s="111" t="b">
        <v>0</v>
      </c>
      <c r="I318" s="111" t="b">
        <v>0</v>
      </c>
      <c r="J318" s="111" t="b">
        <v>0</v>
      </c>
      <c r="K318" s="111" t="b">
        <v>0</v>
      </c>
      <c r="L318" s="111" t="b">
        <v>0</v>
      </c>
    </row>
    <row r="319" spans="1:12" ht="15">
      <c r="A319" s="113" t="s">
        <v>1300</v>
      </c>
      <c r="B319" s="111" t="s">
        <v>1048</v>
      </c>
      <c r="C319" s="111">
        <v>2</v>
      </c>
      <c r="D319" s="115">
        <v>0.0004762469836194851</v>
      </c>
      <c r="E319" s="115">
        <v>2.902063356993974</v>
      </c>
      <c r="F319" s="111" t="s">
        <v>1990</v>
      </c>
      <c r="G319" s="111" t="b">
        <v>0</v>
      </c>
      <c r="H319" s="111" t="b">
        <v>0</v>
      </c>
      <c r="I319" s="111" t="b">
        <v>0</v>
      </c>
      <c r="J319" s="111" t="b">
        <v>1</v>
      </c>
      <c r="K319" s="111" t="b">
        <v>0</v>
      </c>
      <c r="L319" s="111" t="b">
        <v>0</v>
      </c>
    </row>
    <row r="320" spans="1:12" ht="15">
      <c r="A320" s="113" t="s">
        <v>1048</v>
      </c>
      <c r="B320" s="111" t="s">
        <v>1049</v>
      </c>
      <c r="C320" s="111">
        <v>2</v>
      </c>
      <c r="D320" s="115">
        <v>0.0004762469836194851</v>
      </c>
      <c r="E320" s="115">
        <v>2.6010333613299927</v>
      </c>
      <c r="F320" s="111" t="s">
        <v>1990</v>
      </c>
      <c r="G320" s="111" t="b">
        <v>1</v>
      </c>
      <c r="H320" s="111" t="b">
        <v>0</v>
      </c>
      <c r="I320" s="111" t="b">
        <v>0</v>
      </c>
      <c r="J320" s="111" t="b">
        <v>0</v>
      </c>
      <c r="K320" s="111" t="b">
        <v>0</v>
      </c>
      <c r="L320" s="111" t="b">
        <v>0</v>
      </c>
    </row>
    <row r="321" spans="1:12" ht="15">
      <c r="A321" s="113" t="s">
        <v>840</v>
      </c>
      <c r="B321" s="111" t="s">
        <v>1054</v>
      </c>
      <c r="C321" s="111">
        <v>2</v>
      </c>
      <c r="D321" s="115">
        <v>0.0004762469836194851</v>
      </c>
      <c r="E321" s="115">
        <v>1.3073026044075111</v>
      </c>
      <c r="F321" s="111" t="s">
        <v>1990</v>
      </c>
      <c r="G321" s="111" t="b">
        <v>0</v>
      </c>
      <c r="H321" s="111" t="b">
        <v>0</v>
      </c>
      <c r="I321" s="111" t="b">
        <v>0</v>
      </c>
      <c r="J321" s="111" t="b">
        <v>0</v>
      </c>
      <c r="K321" s="111" t="b">
        <v>0</v>
      </c>
      <c r="L321" s="111" t="b">
        <v>0</v>
      </c>
    </row>
    <row r="322" spans="1:12" ht="15">
      <c r="A322" s="113" t="s">
        <v>890</v>
      </c>
      <c r="B322" s="111" t="s">
        <v>1040</v>
      </c>
      <c r="C322" s="111">
        <v>2</v>
      </c>
      <c r="D322" s="115">
        <v>0.0004762469836194851</v>
      </c>
      <c r="E322" s="115">
        <v>2.2330565760353984</v>
      </c>
      <c r="F322" s="111" t="s">
        <v>1990</v>
      </c>
      <c r="G322" s="111" t="b">
        <v>0</v>
      </c>
      <c r="H322" s="111" t="b">
        <v>0</v>
      </c>
      <c r="I322" s="111" t="b">
        <v>0</v>
      </c>
      <c r="J322" s="111" t="b">
        <v>0</v>
      </c>
      <c r="K322" s="111" t="b">
        <v>0</v>
      </c>
      <c r="L322" s="111" t="b">
        <v>0</v>
      </c>
    </row>
    <row r="323" spans="1:12" ht="15">
      <c r="A323" s="113" t="s">
        <v>1040</v>
      </c>
      <c r="B323" s="111" t="s">
        <v>841</v>
      </c>
      <c r="C323" s="111">
        <v>2</v>
      </c>
      <c r="D323" s="115">
        <v>0.0004762469836194851</v>
      </c>
      <c r="E323" s="115">
        <v>1.4060567581139378</v>
      </c>
      <c r="F323" s="111" t="s">
        <v>1990</v>
      </c>
      <c r="G323" s="111" t="b">
        <v>0</v>
      </c>
      <c r="H323" s="111" t="b">
        <v>0</v>
      </c>
      <c r="I323" s="111" t="b">
        <v>0</v>
      </c>
      <c r="J323" s="111" t="b">
        <v>0</v>
      </c>
      <c r="K323" s="111" t="b">
        <v>0</v>
      </c>
      <c r="L323" s="111" t="b">
        <v>0</v>
      </c>
    </row>
    <row r="324" spans="1:12" ht="15">
      <c r="A324" s="113" t="s">
        <v>841</v>
      </c>
      <c r="B324" s="111" t="s">
        <v>1305</v>
      </c>
      <c r="C324" s="111">
        <v>2</v>
      </c>
      <c r="D324" s="115">
        <v>0.0004762469836194851</v>
      </c>
      <c r="E324" s="115">
        <v>1.7211732150565242</v>
      </c>
      <c r="F324" s="111" t="s">
        <v>1990</v>
      </c>
      <c r="G324" s="111" t="b">
        <v>0</v>
      </c>
      <c r="H324" s="111" t="b">
        <v>0</v>
      </c>
      <c r="I324" s="111" t="b">
        <v>0</v>
      </c>
      <c r="J324" s="111" t="b">
        <v>0</v>
      </c>
      <c r="K324" s="111" t="b">
        <v>0</v>
      </c>
      <c r="L324" s="111" t="b">
        <v>0</v>
      </c>
    </row>
    <row r="325" spans="1:12" ht="15">
      <c r="A325" s="113" t="s">
        <v>1096</v>
      </c>
      <c r="B325" s="111" t="s">
        <v>1550</v>
      </c>
      <c r="C325" s="111">
        <v>2</v>
      </c>
      <c r="D325" s="115">
        <v>0.0004762469836194851</v>
      </c>
      <c r="E325" s="115">
        <v>3.15733586209728</v>
      </c>
      <c r="F325" s="111" t="s">
        <v>1990</v>
      </c>
      <c r="G325" s="111" t="b">
        <v>0</v>
      </c>
      <c r="H325" s="111" t="b">
        <v>0</v>
      </c>
      <c r="I325" s="111" t="b">
        <v>0</v>
      </c>
      <c r="J325" s="111" t="b">
        <v>0</v>
      </c>
      <c r="K325" s="111" t="b">
        <v>0</v>
      </c>
      <c r="L325" s="111" t="b">
        <v>0</v>
      </c>
    </row>
    <row r="326" spans="1:12" ht="15">
      <c r="A326" s="113" t="s">
        <v>1550</v>
      </c>
      <c r="B326" s="111" t="s">
        <v>1306</v>
      </c>
      <c r="C326" s="111">
        <v>2</v>
      </c>
      <c r="D326" s="115">
        <v>0.0004762469836194851</v>
      </c>
      <c r="E326" s="115">
        <v>3.3791846117136366</v>
      </c>
      <c r="F326" s="111" t="s">
        <v>1990</v>
      </c>
      <c r="G326" s="111" t="b">
        <v>0</v>
      </c>
      <c r="H326" s="111" t="b">
        <v>0</v>
      </c>
      <c r="I326" s="111" t="b">
        <v>0</v>
      </c>
      <c r="J326" s="111" t="b">
        <v>0</v>
      </c>
      <c r="K326" s="111" t="b">
        <v>0</v>
      </c>
      <c r="L326" s="111" t="b">
        <v>0</v>
      </c>
    </row>
    <row r="327" spans="1:12" ht="15">
      <c r="A327" s="113" t="s">
        <v>1306</v>
      </c>
      <c r="B327" s="111" t="s">
        <v>1551</v>
      </c>
      <c r="C327" s="111">
        <v>2</v>
      </c>
      <c r="D327" s="115">
        <v>0.0004762469836194851</v>
      </c>
      <c r="E327" s="115">
        <v>3.3791846117136366</v>
      </c>
      <c r="F327" s="111" t="s">
        <v>1990</v>
      </c>
      <c r="G327" s="111" t="b">
        <v>0</v>
      </c>
      <c r="H327" s="111" t="b">
        <v>0</v>
      </c>
      <c r="I327" s="111" t="b">
        <v>0</v>
      </c>
      <c r="J327" s="111" t="b">
        <v>0</v>
      </c>
      <c r="K327" s="111" t="b">
        <v>0</v>
      </c>
      <c r="L327" s="111" t="b">
        <v>0</v>
      </c>
    </row>
    <row r="328" spans="1:12" ht="15">
      <c r="A328" s="113" t="s">
        <v>846</v>
      </c>
      <c r="B328" s="111" t="s">
        <v>936</v>
      </c>
      <c r="C328" s="111">
        <v>2</v>
      </c>
      <c r="D328" s="115">
        <v>0.0004762469836194851</v>
      </c>
      <c r="E328" s="115">
        <v>1.5552758707693177</v>
      </c>
      <c r="F328" s="111" t="s">
        <v>1990</v>
      </c>
      <c r="G328" s="111" t="b">
        <v>0</v>
      </c>
      <c r="H328" s="111" t="b">
        <v>0</v>
      </c>
      <c r="I328" s="111" t="b">
        <v>0</v>
      </c>
      <c r="J328" s="111" t="b">
        <v>0</v>
      </c>
      <c r="K328" s="111" t="b">
        <v>0</v>
      </c>
      <c r="L328" s="111" t="b">
        <v>0</v>
      </c>
    </row>
    <row r="329" spans="1:12" ht="15">
      <c r="A329" s="113" t="s">
        <v>936</v>
      </c>
      <c r="B329" s="111" t="s">
        <v>843</v>
      </c>
      <c r="C329" s="111">
        <v>2</v>
      </c>
      <c r="D329" s="115">
        <v>0.0004762469836194851</v>
      </c>
      <c r="E329" s="115">
        <v>1.441332518462481</v>
      </c>
      <c r="F329" s="111" t="s">
        <v>1990</v>
      </c>
      <c r="G329" s="111" t="b">
        <v>0</v>
      </c>
      <c r="H329" s="111" t="b">
        <v>0</v>
      </c>
      <c r="I329" s="111" t="b">
        <v>0</v>
      </c>
      <c r="J329" s="111" t="b">
        <v>0</v>
      </c>
      <c r="K329" s="111" t="b">
        <v>0</v>
      </c>
      <c r="L329" s="111" t="b">
        <v>0</v>
      </c>
    </row>
    <row r="330" spans="1:12" ht="15">
      <c r="A330" s="113" t="s">
        <v>912</v>
      </c>
      <c r="B330" s="111" t="s">
        <v>1555</v>
      </c>
      <c r="C330" s="111">
        <v>2</v>
      </c>
      <c r="D330" s="115">
        <v>0.0004762469836194851</v>
      </c>
      <c r="E330" s="115">
        <v>2.777124620385674</v>
      </c>
      <c r="F330" s="111" t="s">
        <v>1990</v>
      </c>
      <c r="G330" s="111" t="b">
        <v>0</v>
      </c>
      <c r="H330" s="111" t="b">
        <v>0</v>
      </c>
      <c r="I330" s="111" t="b">
        <v>0</v>
      </c>
      <c r="J330" s="111" t="b">
        <v>0</v>
      </c>
      <c r="K330" s="111" t="b">
        <v>0</v>
      </c>
      <c r="L330" s="111" t="b">
        <v>0</v>
      </c>
    </row>
    <row r="331" spans="1:12" ht="15">
      <c r="A331" s="113" t="s">
        <v>1555</v>
      </c>
      <c r="B331" s="111" t="s">
        <v>1556</v>
      </c>
      <c r="C331" s="111">
        <v>2</v>
      </c>
      <c r="D331" s="115">
        <v>0.0004762469836194851</v>
      </c>
      <c r="E331" s="115">
        <v>3.555275870769318</v>
      </c>
      <c r="F331" s="111" t="s">
        <v>1990</v>
      </c>
      <c r="G331" s="111" t="b">
        <v>0</v>
      </c>
      <c r="H331" s="111" t="b">
        <v>0</v>
      </c>
      <c r="I331" s="111" t="b">
        <v>0</v>
      </c>
      <c r="J331" s="111" t="b">
        <v>0</v>
      </c>
      <c r="K331" s="111" t="b">
        <v>0</v>
      </c>
      <c r="L331" s="111" t="b">
        <v>0</v>
      </c>
    </row>
    <row r="332" spans="1:12" ht="15">
      <c r="A332" s="113" t="s">
        <v>852</v>
      </c>
      <c r="B332" s="111" t="s">
        <v>1557</v>
      </c>
      <c r="C332" s="111">
        <v>2</v>
      </c>
      <c r="D332" s="115">
        <v>0.0004762469836194851</v>
      </c>
      <c r="E332" s="115">
        <v>2.3791846117136366</v>
      </c>
      <c r="F332" s="111" t="s">
        <v>1990</v>
      </c>
      <c r="G332" s="111" t="b">
        <v>0</v>
      </c>
      <c r="H332" s="111" t="b">
        <v>0</v>
      </c>
      <c r="I332" s="111" t="b">
        <v>0</v>
      </c>
      <c r="J332" s="111" t="b">
        <v>0</v>
      </c>
      <c r="K332" s="111" t="b">
        <v>0</v>
      </c>
      <c r="L332" s="111" t="b">
        <v>0</v>
      </c>
    </row>
    <row r="333" spans="1:12" ht="15">
      <c r="A333" s="113" t="s">
        <v>840</v>
      </c>
      <c r="B333" s="111" t="s">
        <v>1184</v>
      </c>
      <c r="C333" s="111">
        <v>2</v>
      </c>
      <c r="D333" s="115">
        <v>0.0004762469836194851</v>
      </c>
      <c r="E333" s="115">
        <v>1.4833938634631925</v>
      </c>
      <c r="F333" s="111" t="s">
        <v>1990</v>
      </c>
      <c r="G333" s="111" t="b">
        <v>0</v>
      </c>
      <c r="H333" s="111" t="b">
        <v>0</v>
      </c>
      <c r="I333" s="111" t="b">
        <v>0</v>
      </c>
      <c r="J333" s="111" t="b">
        <v>0</v>
      </c>
      <c r="K333" s="111" t="b">
        <v>0</v>
      </c>
      <c r="L333" s="111" t="b">
        <v>0</v>
      </c>
    </row>
    <row r="334" spans="1:12" ht="15">
      <c r="A334" s="113" t="s">
        <v>1173</v>
      </c>
      <c r="B334" s="111" t="s">
        <v>840</v>
      </c>
      <c r="C334" s="111">
        <v>2</v>
      </c>
      <c r="D334" s="115">
        <v>0.0004762469836194851</v>
      </c>
      <c r="E334" s="115">
        <v>1.476094624721693</v>
      </c>
      <c r="F334" s="111" t="s">
        <v>1990</v>
      </c>
      <c r="G334" s="111" t="b">
        <v>0</v>
      </c>
      <c r="H334" s="111" t="b">
        <v>0</v>
      </c>
      <c r="I334" s="111" t="b">
        <v>0</v>
      </c>
      <c r="J334" s="111" t="b">
        <v>0</v>
      </c>
      <c r="K334" s="111" t="b">
        <v>0</v>
      </c>
      <c r="L334" s="111" t="b">
        <v>0</v>
      </c>
    </row>
    <row r="335" spans="1:12" ht="15">
      <c r="A335" s="113" t="s">
        <v>841</v>
      </c>
      <c r="B335" s="111" t="s">
        <v>852</v>
      </c>
      <c r="C335" s="111">
        <v>2</v>
      </c>
      <c r="D335" s="115">
        <v>0.0004762469836194851</v>
      </c>
      <c r="E335" s="115">
        <v>0.7211732150565241</v>
      </c>
      <c r="F335" s="111" t="s">
        <v>1990</v>
      </c>
      <c r="G335" s="111" t="b">
        <v>0</v>
      </c>
      <c r="H335" s="111" t="b">
        <v>0</v>
      </c>
      <c r="I335" s="111" t="b">
        <v>0</v>
      </c>
      <c r="J335" s="111" t="b">
        <v>0</v>
      </c>
      <c r="K335" s="111" t="b">
        <v>0</v>
      </c>
      <c r="L335" s="111" t="b">
        <v>0</v>
      </c>
    </row>
    <row r="336" spans="1:12" ht="15">
      <c r="A336" s="113" t="s">
        <v>862</v>
      </c>
      <c r="B336" s="111" t="s">
        <v>934</v>
      </c>
      <c r="C336" s="111">
        <v>2</v>
      </c>
      <c r="D336" s="115">
        <v>0.0004762469836194851</v>
      </c>
      <c r="E336" s="115">
        <v>1.835116567363361</v>
      </c>
      <c r="F336" s="111" t="s">
        <v>1990</v>
      </c>
      <c r="G336" s="111" t="b">
        <v>0</v>
      </c>
      <c r="H336" s="111" t="b">
        <v>0</v>
      </c>
      <c r="I336" s="111" t="b">
        <v>0</v>
      </c>
      <c r="J336" s="111" t="b">
        <v>0</v>
      </c>
      <c r="K336" s="111" t="b">
        <v>0</v>
      </c>
      <c r="L336" s="111" t="b">
        <v>0</v>
      </c>
    </row>
    <row r="337" spans="1:12" ht="15">
      <c r="A337" s="113" t="s">
        <v>840</v>
      </c>
      <c r="B337" s="111" t="s">
        <v>913</v>
      </c>
      <c r="C337" s="111">
        <v>2</v>
      </c>
      <c r="D337" s="115">
        <v>0.0004762469836194851</v>
      </c>
      <c r="E337" s="115">
        <v>1.0062726087435299</v>
      </c>
      <c r="F337" s="111" t="s">
        <v>1990</v>
      </c>
      <c r="G337" s="111" t="b">
        <v>0</v>
      </c>
      <c r="H337" s="111" t="b">
        <v>0</v>
      </c>
      <c r="I337" s="111" t="b">
        <v>0</v>
      </c>
      <c r="J337" s="111" t="b">
        <v>0</v>
      </c>
      <c r="K337" s="111" t="b">
        <v>0</v>
      </c>
      <c r="L337" s="111" t="b">
        <v>0</v>
      </c>
    </row>
    <row r="338" spans="1:12" ht="15">
      <c r="A338" s="113" t="s">
        <v>841</v>
      </c>
      <c r="B338" s="111" t="s">
        <v>876</v>
      </c>
      <c r="C338" s="111">
        <v>2</v>
      </c>
      <c r="D338" s="115">
        <v>0.0004762469836194851</v>
      </c>
      <c r="E338" s="115">
        <v>0.9941744871202617</v>
      </c>
      <c r="F338" s="111" t="s">
        <v>1990</v>
      </c>
      <c r="G338" s="111" t="b">
        <v>0</v>
      </c>
      <c r="H338" s="111" t="b">
        <v>0</v>
      </c>
      <c r="I338" s="111" t="b">
        <v>0</v>
      </c>
      <c r="J338" s="111" t="b">
        <v>0</v>
      </c>
      <c r="K338" s="111" t="b">
        <v>0</v>
      </c>
      <c r="L338" s="111" t="b">
        <v>0</v>
      </c>
    </row>
    <row r="339" spans="1:12" ht="15">
      <c r="A339" s="113" t="s">
        <v>857</v>
      </c>
      <c r="B339" s="111" t="s">
        <v>883</v>
      </c>
      <c r="C339" s="111">
        <v>2</v>
      </c>
      <c r="D339" s="115">
        <v>0.0004762469836194851</v>
      </c>
      <c r="E339" s="115">
        <v>1.619516767024006</v>
      </c>
      <c r="F339" s="111" t="s">
        <v>1990</v>
      </c>
      <c r="G339" s="111" t="b">
        <v>0</v>
      </c>
      <c r="H339" s="111" t="b">
        <v>0</v>
      </c>
      <c r="I339" s="111" t="b">
        <v>0</v>
      </c>
      <c r="J339" s="111" t="b">
        <v>0</v>
      </c>
      <c r="K339" s="111" t="b">
        <v>0</v>
      </c>
      <c r="L339" s="111" t="b">
        <v>0</v>
      </c>
    </row>
    <row r="340" spans="1:12" ht="15">
      <c r="A340" s="113" t="s">
        <v>1192</v>
      </c>
      <c r="B340" s="111" t="s">
        <v>1578</v>
      </c>
      <c r="C340" s="111">
        <v>2</v>
      </c>
      <c r="D340" s="115">
        <v>0.0004762469836194851</v>
      </c>
      <c r="E340" s="115">
        <v>3.2542458751053367</v>
      </c>
      <c r="F340" s="111" t="s">
        <v>1990</v>
      </c>
      <c r="G340" s="111" t="b">
        <v>0</v>
      </c>
      <c r="H340" s="111" t="b">
        <v>0</v>
      </c>
      <c r="I340" s="111" t="b">
        <v>0</v>
      </c>
      <c r="J340" s="111" t="b">
        <v>0</v>
      </c>
      <c r="K340" s="111" t="b">
        <v>0</v>
      </c>
      <c r="L340" s="111" t="b">
        <v>0</v>
      </c>
    </row>
    <row r="341" spans="1:12" ht="15">
      <c r="A341" s="113" t="s">
        <v>924</v>
      </c>
      <c r="B341" s="111" t="s">
        <v>1193</v>
      </c>
      <c r="C341" s="111">
        <v>2</v>
      </c>
      <c r="D341" s="115">
        <v>0.000558811436626611</v>
      </c>
      <c r="E341" s="115">
        <v>2.5138831856110926</v>
      </c>
      <c r="F341" s="111" t="s">
        <v>1990</v>
      </c>
      <c r="G341" s="111" t="b">
        <v>0</v>
      </c>
      <c r="H341" s="111" t="b">
        <v>0</v>
      </c>
      <c r="I341" s="111" t="b">
        <v>0</v>
      </c>
      <c r="J341" s="111" t="b">
        <v>0</v>
      </c>
      <c r="K341" s="111" t="b">
        <v>0</v>
      </c>
      <c r="L341" s="111" t="b">
        <v>0</v>
      </c>
    </row>
    <row r="342" spans="1:12" ht="15">
      <c r="A342" s="113" t="s">
        <v>1052</v>
      </c>
      <c r="B342" s="111" t="s">
        <v>1103</v>
      </c>
      <c r="C342" s="111">
        <v>2</v>
      </c>
      <c r="D342" s="115">
        <v>0.0004762469836194851</v>
      </c>
      <c r="E342" s="115">
        <v>2.680214607377618</v>
      </c>
      <c r="F342" s="111" t="s">
        <v>1990</v>
      </c>
      <c r="G342" s="111" t="b">
        <v>1</v>
      </c>
      <c r="H342" s="111" t="b">
        <v>0</v>
      </c>
      <c r="I342" s="111" t="b">
        <v>0</v>
      </c>
      <c r="J342" s="111" t="b">
        <v>0</v>
      </c>
      <c r="K342" s="111" t="b">
        <v>0</v>
      </c>
      <c r="L342" s="111" t="b">
        <v>0</v>
      </c>
    </row>
    <row r="343" spans="1:12" ht="15">
      <c r="A343" s="113" t="s">
        <v>992</v>
      </c>
      <c r="B343" s="111" t="s">
        <v>845</v>
      </c>
      <c r="C343" s="111">
        <v>2</v>
      </c>
      <c r="D343" s="115">
        <v>0.000558811436626611</v>
      </c>
      <c r="E343" s="115">
        <v>1.6994539653632879</v>
      </c>
      <c r="F343" s="111" t="s">
        <v>1990</v>
      </c>
      <c r="G343" s="111" t="b">
        <v>0</v>
      </c>
      <c r="H343" s="111" t="b">
        <v>1</v>
      </c>
      <c r="I343" s="111" t="b">
        <v>0</v>
      </c>
      <c r="J343" s="111" t="b">
        <v>0</v>
      </c>
      <c r="K343" s="111" t="b">
        <v>0</v>
      </c>
      <c r="L343" s="111" t="b">
        <v>0</v>
      </c>
    </row>
    <row r="344" spans="1:12" ht="15">
      <c r="A344" s="113" t="s">
        <v>843</v>
      </c>
      <c r="B344" s="111" t="s">
        <v>846</v>
      </c>
      <c r="C344" s="111">
        <v>2</v>
      </c>
      <c r="D344" s="115">
        <v>0.0004762469836194851</v>
      </c>
      <c r="E344" s="115">
        <v>0.8760751750422672</v>
      </c>
      <c r="F344" s="111" t="s">
        <v>1990</v>
      </c>
      <c r="G344" s="111" t="b">
        <v>0</v>
      </c>
      <c r="H344" s="111" t="b">
        <v>0</v>
      </c>
      <c r="I344" s="111" t="b">
        <v>0</v>
      </c>
      <c r="J344" s="111" t="b">
        <v>0</v>
      </c>
      <c r="K344" s="111" t="b">
        <v>0</v>
      </c>
      <c r="L344" s="111" t="b">
        <v>0</v>
      </c>
    </row>
    <row r="345" spans="1:12" ht="15">
      <c r="A345" s="113" t="s">
        <v>878</v>
      </c>
      <c r="B345" s="111" t="s">
        <v>1318</v>
      </c>
      <c r="C345" s="111">
        <v>2</v>
      </c>
      <c r="D345" s="115">
        <v>0.000558811436626611</v>
      </c>
      <c r="E345" s="115">
        <v>2.5041233483219365</v>
      </c>
      <c r="F345" s="111" t="s">
        <v>1990</v>
      </c>
      <c r="G345" s="111" t="b">
        <v>0</v>
      </c>
      <c r="H345" s="111" t="b">
        <v>0</v>
      </c>
      <c r="I345" s="111" t="b">
        <v>0</v>
      </c>
      <c r="J345" s="111" t="b">
        <v>0</v>
      </c>
      <c r="K345" s="111" t="b">
        <v>0</v>
      </c>
      <c r="L345" s="111" t="b">
        <v>0</v>
      </c>
    </row>
    <row r="346" spans="1:12" ht="15">
      <c r="A346" s="113" t="s">
        <v>1318</v>
      </c>
      <c r="B346" s="111" t="s">
        <v>877</v>
      </c>
      <c r="C346" s="111">
        <v>2</v>
      </c>
      <c r="D346" s="115">
        <v>0.000558811436626611</v>
      </c>
      <c r="E346" s="115">
        <v>2.476094624721693</v>
      </c>
      <c r="F346" s="111" t="s">
        <v>1990</v>
      </c>
      <c r="G346" s="111" t="b">
        <v>0</v>
      </c>
      <c r="H346" s="111" t="b">
        <v>0</v>
      </c>
      <c r="I346" s="111" t="b">
        <v>0</v>
      </c>
      <c r="J346" s="111" t="b">
        <v>0</v>
      </c>
      <c r="K346" s="111" t="b">
        <v>1</v>
      </c>
      <c r="L346" s="111" t="b">
        <v>0</v>
      </c>
    </row>
    <row r="347" spans="1:12" ht="15">
      <c r="A347" s="113" t="s">
        <v>878</v>
      </c>
      <c r="B347" s="111" t="s">
        <v>843</v>
      </c>
      <c r="C347" s="111">
        <v>2</v>
      </c>
      <c r="D347" s="115">
        <v>0.0004762469836194851</v>
      </c>
      <c r="E347" s="115">
        <v>1.2652412594067997</v>
      </c>
      <c r="F347" s="111" t="s">
        <v>1990</v>
      </c>
      <c r="G347" s="111" t="b">
        <v>0</v>
      </c>
      <c r="H347" s="111" t="b">
        <v>0</v>
      </c>
      <c r="I347" s="111" t="b">
        <v>0</v>
      </c>
      <c r="J347" s="111" t="b">
        <v>0</v>
      </c>
      <c r="K347" s="111" t="b">
        <v>0</v>
      </c>
      <c r="L347" s="111" t="b">
        <v>0</v>
      </c>
    </row>
    <row r="348" spans="1:12" ht="15">
      <c r="A348" s="113" t="s">
        <v>1196</v>
      </c>
      <c r="B348" s="111" t="s">
        <v>864</v>
      </c>
      <c r="C348" s="111">
        <v>2</v>
      </c>
      <c r="D348" s="115">
        <v>0.0004762469836194851</v>
      </c>
      <c r="E348" s="115">
        <v>2.2542458751053367</v>
      </c>
      <c r="F348" s="111" t="s">
        <v>1990</v>
      </c>
      <c r="G348" s="111" t="b">
        <v>0</v>
      </c>
      <c r="H348" s="111" t="b">
        <v>0</v>
      </c>
      <c r="I348" s="111" t="b">
        <v>0</v>
      </c>
      <c r="J348" s="111" t="b">
        <v>0</v>
      </c>
      <c r="K348" s="111" t="b">
        <v>0</v>
      </c>
      <c r="L348" s="111" t="b">
        <v>0</v>
      </c>
    </row>
    <row r="349" spans="1:12" ht="15">
      <c r="A349" s="113" t="s">
        <v>1319</v>
      </c>
      <c r="B349" s="111" t="s">
        <v>1055</v>
      </c>
      <c r="C349" s="111">
        <v>2</v>
      </c>
      <c r="D349" s="115">
        <v>0.0004762469836194851</v>
      </c>
      <c r="E349" s="115">
        <v>2.902063356993974</v>
      </c>
      <c r="F349" s="111" t="s">
        <v>1990</v>
      </c>
      <c r="G349" s="111" t="b">
        <v>0</v>
      </c>
      <c r="H349" s="111" t="b">
        <v>0</v>
      </c>
      <c r="I349" s="111" t="b">
        <v>0</v>
      </c>
      <c r="J349" s="111" t="b">
        <v>0</v>
      </c>
      <c r="K349" s="111" t="b">
        <v>0</v>
      </c>
      <c r="L349" s="111" t="b">
        <v>0</v>
      </c>
    </row>
    <row r="350" spans="1:12" ht="15">
      <c r="A350" s="113" t="s">
        <v>991</v>
      </c>
      <c r="B350" s="111" t="s">
        <v>843</v>
      </c>
      <c r="C350" s="111">
        <v>2</v>
      </c>
      <c r="D350" s="115">
        <v>0.0004762469836194851</v>
      </c>
      <c r="E350" s="115">
        <v>1.596234478448224</v>
      </c>
      <c r="F350" s="111" t="s">
        <v>1990</v>
      </c>
      <c r="G350" s="111" t="b">
        <v>0</v>
      </c>
      <c r="H350" s="111" t="b">
        <v>0</v>
      </c>
      <c r="I350" s="111" t="b">
        <v>0</v>
      </c>
      <c r="J350" s="111" t="b">
        <v>0</v>
      </c>
      <c r="K350" s="111" t="b">
        <v>0</v>
      </c>
      <c r="L350" s="111" t="b">
        <v>0</v>
      </c>
    </row>
    <row r="351" spans="1:12" ht="15">
      <c r="A351" s="113" t="s">
        <v>869</v>
      </c>
      <c r="B351" s="111" t="s">
        <v>840</v>
      </c>
      <c r="C351" s="111">
        <v>2</v>
      </c>
      <c r="D351" s="115">
        <v>0.0004762469836194851</v>
      </c>
      <c r="E351" s="115">
        <v>0.7771246203856742</v>
      </c>
      <c r="F351" s="111" t="s">
        <v>1990</v>
      </c>
      <c r="G351" s="111" t="b">
        <v>0</v>
      </c>
      <c r="H351" s="111" t="b">
        <v>0</v>
      </c>
      <c r="I351" s="111" t="b">
        <v>0</v>
      </c>
      <c r="J351" s="111" t="b">
        <v>0</v>
      </c>
      <c r="K351" s="111" t="b">
        <v>0</v>
      </c>
      <c r="L351" s="111" t="b">
        <v>0</v>
      </c>
    </row>
    <row r="352" spans="1:12" ht="15">
      <c r="A352" s="113" t="s">
        <v>841</v>
      </c>
      <c r="B352" s="111" t="s">
        <v>1322</v>
      </c>
      <c r="C352" s="111">
        <v>2</v>
      </c>
      <c r="D352" s="115">
        <v>0.0004762469836194851</v>
      </c>
      <c r="E352" s="115">
        <v>1.7211732150565242</v>
      </c>
      <c r="F352" s="111" t="s">
        <v>1990</v>
      </c>
      <c r="G352" s="111" t="b">
        <v>0</v>
      </c>
      <c r="H352" s="111" t="b">
        <v>0</v>
      </c>
      <c r="I352" s="111" t="b">
        <v>0</v>
      </c>
      <c r="J352" s="111" t="b">
        <v>0</v>
      </c>
      <c r="K352" s="111" t="b">
        <v>0</v>
      </c>
      <c r="L352" s="111" t="b">
        <v>0</v>
      </c>
    </row>
    <row r="353" spans="1:12" ht="15">
      <c r="A353" s="113" t="s">
        <v>1177</v>
      </c>
      <c r="B353" s="111" t="s">
        <v>844</v>
      </c>
      <c r="C353" s="111">
        <v>2</v>
      </c>
      <c r="D353" s="115">
        <v>0.0004762469836194851</v>
      </c>
      <c r="E353" s="115">
        <v>1.9870741467023227</v>
      </c>
      <c r="F353" s="111" t="s">
        <v>1990</v>
      </c>
      <c r="G353" s="111" t="b">
        <v>0</v>
      </c>
      <c r="H353" s="111" t="b">
        <v>1</v>
      </c>
      <c r="I353" s="111" t="b">
        <v>0</v>
      </c>
      <c r="J353" s="111" t="b">
        <v>0</v>
      </c>
      <c r="K353" s="111" t="b">
        <v>0</v>
      </c>
      <c r="L353" s="111" t="b">
        <v>0</v>
      </c>
    </row>
    <row r="354" spans="1:12" ht="15">
      <c r="A354" s="113" t="s">
        <v>1189</v>
      </c>
      <c r="B354" s="111" t="s">
        <v>862</v>
      </c>
      <c r="C354" s="111">
        <v>2</v>
      </c>
      <c r="D354" s="115">
        <v>0.0004762469836194851</v>
      </c>
      <c r="E354" s="115">
        <v>2.2330565760353984</v>
      </c>
      <c r="F354" s="111" t="s">
        <v>1990</v>
      </c>
      <c r="G354" s="111" t="b">
        <v>0</v>
      </c>
      <c r="H354" s="111" t="b">
        <v>0</v>
      </c>
      <c r="I354" s="111" t="b">
        <v>0</v>
      </c>
      <c r="J354" s="111" t="b">
        <v>0</v>
      </c>
      <c r="K354" s="111" t="b">
        <v>0</v>
      </c>
      <c r="L354" s="111" t="b">
        <v>0</v>
      </c>
    </row>
    <row r="355" spans="1:12" ht="15">
      <c r="A355" s="113" t="s">
        <v>1323</v>
      </c>
      <c r="B355" s="111" t="s">
        <v>1324</v>
      </c>
      <c r="C355" s="111">
        <v>2</v>
      </c>
      <c r="D355" s="115">
        <v>0.0004762469836194851</v>
      </c>
      <c r="E355" s="115">
        <v>3.2030933526579553</v>
      </c>
      <c r="F355" s="111" t="s">
        <v>1990</v>
      </c>
      <c r="G355" s="111" t="b">
        <v>0</v>
      </c>
      <c r="H355" s="111" t="b">
        <v>0</v>
      </c>
      <c r="I355" s="111" t="b">
        <v>0</v>
      </c>
      <c r="J355" s="111" t="b">
        <v>0</v>
      </c>
      <c r="K355" s="111" t="b">
        <v>0</v>
      </c>
      <c r="L355" s="111" t="b">
        <v>0</v>
      </c>
    </row>
    <row r="356" spans="1:12" ht="15">
      <c r="A356" s="113" t="s">
        <v>1324</v>
      </c>
      <c r="B356" s="111" t="s">
        <v>864</v>
      </c>
      <c r="C356" s="111">
        <v>2</v>
      </c>
      <c r="D356" s="115">
        <v>0.0004762469836194851</v>
      </c>
      <c r="E356" s="115">
        <v>2.3791846117136366</v>
      </c>
      <c r="F356" s="111" t="s">
        <v>1990</v>
      </c>
      <c r="G356" s="111" t="b">
        <v>0</v>
      </c>
      <c r="H356" s="111" t="b">
        <v>0</v>
      </c>
      <c r="I356" s="111" t="b">
        <v>0</v>
      </c>
      <c r="J356" s="111" t="b">
        <v>0</v>
      </c>
      <c r="K356" s="111" t="b">
        <v>0</v>
      </c>
      <c r="L356" s="111" t="b">
        <v>0</v>
      </c>
    </row>
    <row r="357" spans="1:12" ht="15">
      <c r="A357" s="113" t="s">
        <v>912</v>
      </c>
      <c r="B357" s="111" t="s">
        <v>1598</v>
      </c>
      <c r="C357" s="111">
        <v>2</v>
      </c>
      <c r="D357" s="115">
        <v>0.0004762469836194851</v>
      </c>
      <c r="E357" s="115">
        <v>2.777124620385674</v>
      </c>
      <c r="F357" s="111" t="s">
        <v>1990</v>
      </c>
      <c r="G357" s="111" t="b">
        <v>0</v>
      </c>
      <c r="H357" s="111" t="b">
        <v>0</v>
      </c>
      <c r="I357" s="111" t="b">
        <v>0</v>
      </c>
      <c r="J357" s="111" t="b">
        <v>0</v>
      </c>
      <c r="K357" s="111" t="b">
        <v>0</v>
      </c>
      <c r="L357" s="111" t="b">
        <v>0</v>
      </c>
    </row>
    <row r="358" spans="1:12" ht="15">
      <c r="A358" s="113" t="s">
        <v>1050</v>
      </c>
      <c r="B358" s="111" t="s">
        <v>1051</v>
      </c>
      <c r="C358" s="111">
        <v>2</v>
      </c>
      <c r="D358" s="115">
        <v>0.0004762469836194851</v>
      </c>
      <c r="E358" s="115">
        <v>2.6010333613299927</v>
      </c>
      <c r="F358" s="111" t="s">
        <v>1990</v>
      </c>
      <c r="G358" s="111" t="b">
        <v>0</v>
      </c>
      <c r="H358" s="111" t="b">
        <v>0</v>
      </c>
      <c r="I358" s="111" t="b">
        <v>0</v>
      </c>
      <c r="J358" s="111" t="b">
        <v>0</v>
      </c>
      <c r="K358" s="111" t="b">
        <v>0</v>
      </c>
      <c r="L358" s="111" t="b">
        <v>0</v>
      </c>
    </row>
    <row r="359" spans="1:12" ht="15">
      <c r="A359" s="113" t="s">
        <v>962</v>
      </c>
      <c r="B359" s="111" t="s">
        <v>992</v>
      </c>
      <c r="C359" s="111">
        <v>2</v>
      </c>
      <c r="D359" s="115">
        <v>0.0004762469836194851</v>
      </c>
      <c r="E359" s="115">
        <v>2.4091478350910798</v>
      </c>
      <c r="F359" s="111" t="s">
        <v>1990</v>
      </c>
      <c r="G359" s="111" t="b">
        <v>0</v>
      </c>
      <c r="H359" s="111" t="b">
        <v>0</v>
      </c>
      <c r="I359" s="111" t="b">
        <v>0</v>
      </c>
      <c r="J359" s="111" t="b">
        <v>0</v>
      </c>
      <c r="K359" s="111" t="b">
        <v>1</v>
      </c>
      <c r="L359" s="111" t="b">
        <v>0</v>
      </c>
    </row>
    <row r="360" spans="1:12" ht="15">
      <c r="A360" s="113" t="s">
        <v>1111</v>
      </c>
      <c r="B360" s="111" t="s">
        <v>1210</v>
      </c>
      <c r="C360" s="111">
        <v>2</v>
      </c>
      <c r="D360" s="115">
        <v>0.000558811436626611</v>
      </c>
      <c r="E360" s="115">
        <v>2.8563058664332988</v>
      </c>
      <c r="F360" s="111" t="s">
        <v>1990</v>
      </c>
      <c r="G360" s="111" t="b">
        <v>1</v>
      </c>
      <c r="H360" s="111" t="b">
        <v>0</v>
      </c>
      <c r="I360" s="111" t="b">
        <v>0</v>
      </c>
      <c r="J360" s="111" t="b">
        <v>0</v>
      </c>
      <c r="K360" s="111" t="b">
        <v>0</v>
      </c>
      <c r="L360" s="111" t="b">
        <v>0</v>
      </c>
    </row>
    <row r="361" spans="1:12" ht="15">
      <c r="A361" s="113" t="s">
        <v>1337</v>
      </c>
      <c r="B361" s="111" t="s">
        <v>1340</v>
      </c>
      <c r="C361" s="111">
        <v>2</v>
      </c>
      <c r="D361" s="115">
        <v>0.000558811436626611</v>
      </c>
      <c r="E361" s="115">
        <v>3.2030933526579553</v>
      </c>
      <c r="F361" s="111" t="s">
        <v>1990</v>
      </c>
      <c r="G361" s="111" t="b">
        <v>0</v>
      </c>
      <c r="H361" s="111" t="b">
        <v>0</v>
      </c>
      <c r="I361" s="111" t="b">
        <v>0</v>
      </c>
      <c r="J361" s="111" t="b">
        <v>0</v>
      </c>
      <c r="K361" s="111" t="b">
        <v>0</v>
      </c>
      <c r="L361" s="111" t="b">
        <v>0</v>
      </c>
    </row>
    <row r="362" spans="1:12" ht="15">
      <c r="A362" s="113" t="s">
        <v>1340</v>
      </c>
      <c r="B362" s="111" t="s">
        <v>843</v>
      </c>
      <c r="C362" s="111">
        <v>2</v>
      </c>
      <c r="D362" s="115">
        <v>0.000558811436626611</v>
      </c>
      <c r="E362" s="115">
        <v>1.9642112637428184</v>
      </c>
      <c r="F362" s="111" t="s">
        <v>1990</v>
      </c>
      <c r="G362" s="111" t="b">
        <v>0</v>
      </c>
      <c r="H362" s="111" t="b">
        <v>0</v>
      </c>
      <c r="I362" s="111" t="b">
        <v>0</v>
      </c>
      <c r="J362" s="111" t="b">
        <v>0</v>
      </c>
      <c r="K362" s="111" t="b">
        <v>0</v>
      </c>
      <c r="L362" s="111" t="b">
        <v>0</v>
      </c>
    </row>
    <row r="363" spans="1:12" ht="15">
      <c r="A363" s="113" t="s">
        <v>1117</v>
      </c>
      <c r="B363" s="111" t="s">
        <v>929</v>
      </c>
      <c r="C363" s="111">
        <v>2</v>
      </c>
      <c r="D363" s="115">
        <v>0.0004762469836194851</v>
      </c>
      <c r="E363" s="115">
        <v>2.5041233483219365</v>
      </c>
      <c r="F363" s="111" t="s">
        <v>1990</v>
      </c>
      <c r="G363" s="111" t="b">
        <v>0</v>
      </c>
      <c r="H363" s="111" t="b">
        <v>0</v>
      </c>
      <c r="I363" s="111" t="b">
        <v>0</v>
      </c>
      <c r="J363" s="111" t="b">
        <v>0</v>
      </c>
      <c r="K363" s="111" t="b">
        <v>0</v>
      </c>
      <c r="L363" s="111" t="b">
        <v>0</v>
      </c>
    </row>
    <row r="364" spans="1:12" ht="15">
      <c r="A364" s="113" t="s">
        <v>1069</v>
      </c>
      <c r="B364" s="111" t="s">
        <v>848</v>
      </c>
      <c r="C364" s="111">
        <v>2</v>
      </c>
      <c r="D364" s="115">
        <v>0.0004762469836194851</v>
      </c>
      <c r="E364" s="115">
        <v>1.835116567363361</v>
      </c>
      <c r="F364" s="111" t="s">
        <v>1990</v>
      </c>
      <c r="G364" s="111" t="b">
        <v>0</v>
      </c>
      <c r="H364" s="111" t="b">
        <v>0</v>
      </c>
      <c r="I364" s="111" t="b">
        <v>0</v>
      </c>
      <c r="J364" s="111" t="b">
        <v>0</v>
      </c>
      <c r="K364" s="111" t="b">
        <v>0</v>
      </c>
      <c r="L364" s="111" t="b">
        <v>0</v>
      </c>
    </row>
    <row r="365" spans="1:12" ht="15">
      <c r="A365" s="113" t="s">
        <v>1614</v>
      </c>
      <c r="B365" s="111" t="s">
        <v>1615</v>
      </c>
      <c r="C365" s="111">
        <v>2</v>
      </c>
      <c r="D365" s="115">
        <v>0.000558811436626611</v>
      </c>
      <c r="E365" s="115">
        <v>3.555275870769318</v>
      </c>
      <c r="F365" s="111" t="s">
        <v>1990</v>
      </c>
      <c r="G365" s="111" t="b">
        <v>0</v>
      </c>
      <c r="H365" s="111" t="b">
        <v>0</v>
      </c>
      <c r="I365" s="111" t="b">
        <v>0</v>
      </c>
      <c r="J365" s="111" t="b">
        <v>0</v>
      </c>
      <c r="K365" s="111" t="b">
        <v>0</v>
      </c>
      <c r="L365" s="111" t="b">
        <v>0</v>
      </c>
    </row>
    <row r="366" spans="1:12" ht="15">
      <c r="A366" s="113" t="s">
        <v>973</v>
      </c>
      <c r="B366" s="111" t="s">
        <v>1617</v>
      </c>
      <c r="C366" s="111">
        <v>2</v>
      </c>
      <c r="D366" s="115">
        <v>0.0004762469836194851</v>
      </c>
      <c r="E366" s="115">
        <v>2.9532158794413554</v>
      </c>
      <c r="F366" s="111" t="s">
        <v>1990</v>
      </c>
      <c r="G366" s="111" t="b">
        <v>0</v>
      </c>
      <c r="H366" s="111" t="b">
        <v>1</v>
      </c>
      <c r="I366" s="111" t="b">
        <v>0</v>
      </c>
      <c r="J366" s="111" t="b">
        <v>0</v>
      </c>
      <c r="K366" s="111" t="b">
        <v>1</v>
      </c>
      <c r="L366" s="111" t="b">
        <v>0</v>
      </c>
    </row>
    <row r="367" spans="1:12" ht="15">
      <c r="A367" s="113" t="s">
        <v>1618</v>
      </c>
      <c r="B367" s="111" t="s">
        <v>1619</v>
      </c>
      <c r="C367" s="111">
        <v>2</v>
      </c>
      <c r="D367" s="115">
        <v>0.000558811436626611</v>
      </c>
      <c r="E367" s="115">
        <v>3.555275870769318</v>
      </c>
      <c r="F367" s="111" t="s">
        <v>1990</v>
      </c>
      <c r="G367" s="111" t="b">
        <v>0</v>
      </c>
      <c r="H367" s="111" t="b">
        <v>0</v>
      </c>
      <c r="I367" s="111" t="b">
        <v>0</v>
      </c>
      <c r="J367" s="111" t="b">
        <v>0</v>
      </c>
      <c r="K367" s="111" t="b">
        <v>0</v>
      </c>
      <c r="L367" s="111" t="b">
        <v>0</v>
      </c>
    </row>
    <row r="368" spans="1:12" ht="15">
      <c r="A368" s="113" t="s">
        <v>1619</v>
      </c>
      <c r="B368" s="111" t="s">
        <v>1620</v>
      </c>
      <c r="C368" s="111">
        <v>2</v>
      </c>
      <c r="D368" s="115">
        <v>0.000558811436626611</v>
      </c>
      <c r="E368" s="115">
        <v>3.555275870769318</v>
      </c>
      <c r="F368" s="111" t="s">
        <v>1990</v>
      </c>
      <c r="G368" s="111" t="b">
        <v>0</v>
      </c>
      <c r="H368" s="111" t="b">
        <v>0</v>
      </c>
      <c r="I368" s="111" t="b">
        <v>0</v>
      </c>
      <c r="J368" s="111" t="b">
        <v>0</v>
      </c>
      <c r="K368" s="111" t="b">
        <v>0</v>
      </c>
      <c r="L368" s="111" t="b">
        <v>0</v>
      </c>
    </row>
    <row r="369" spans="1:12" ht="15">
      <c r="A369" s="113" t="s">
        <v>1026</v>
      </c>
      <c r="B369" s="111" t="s">
        <v>1624</v>
      </c>
      <c r="C369" s="111">
        <v>2</v>
      </c>
      <c r="D369" s="115">
        <v>0.0004762469836194851</v>
      </c>
      <c r="E369" s="115">
        <v>3.0781546160496553</v>
      </c>
      <c r="F369" s="111" t="s">
        <v>1990</v>
      </c>
      <c r="G369" s="111" t="b">
        <v>0</v>
      </c>
      <c r="H369" s="111" t="b">
        <v>0</v>
      </c>
      <c r="I369" s="111" t="b">
        <v>0</v>
      </c>
      <c r="J369" s="111" t="b">
        <v>0</v>
      </c>
      <c r="K369" s="111" t="b">
        <v>0</v>
      </c>
      <c r="L369" s="111" t="b">
        <v>0</v>
      </c>
    </row>
    <row r="370" spans="1:12" ht="15">
      <c r="A370" s="113" t="s">
        <v>1624</v>
      </c>
      <c r="B370" s="111" t="s">
        <v>1625</v>
      </c>
      <c r="C370" s="111">
        <v>2</v>
      </c>
      <c r="D370" s="115">
        <v>0.0004762469836194851</v>
      </c>
      <c r="E370" s="115">
        <v>3.555275870769318</v>
      </c>
      <c r="F370" s="111" t="s">
        <v>1990</v>
      </c>
      <c r="G370" s="111" t="b">
        <v>0</v>
      </c>
      <c r="H370" s="111" t="b">
        <v>0</v>
      </c>
      <c r="I370" s="111" t="b">
        <v>0</v>
      </c>
      <c r="J370" s="111" t="b">
        <v>0</v>
      </c>
      <c r="K370" s="111" t="b">
        <v>0</v>
      </c>
      <c r="L370" s="111" t="b">
        <v>0</v>
      </c>
    </row>
    <row r="371" spans="1:12" ht="15">
      <c r="A371" s="113" t="s">
        <v>1625</v>
      </c>
      <c r="B371" s="111" t="s">
        <v>1626</v>
      </c>
      <c r="C371" s="111">
        <v>2</v>
      </c>
      <c r="D371" s="115">
        <v>0.0004762469836194851</v>
      </c>
      <c r="E371" s="115">
        <v>3.555275870769318</v>
      </c>
      <c r="F371" s="111" t="s">
        <v>1990</v>
      </c>
      <c r="G371" s="111" t="b">
        <v>0</v>
      </c>
      <c r="H371" s="111" t="b">
        <v>0</v>
      </c>
      <c r="I371" s="111" t="b">
        <v>0</v>
      </c>
      <c r="J371" s="111" t="b">
        <v>0</v>
      </c>
      <c r="K371" s="111" t="b">
        <v>0</v>
      </c>
      <c r="L371" s="111" t="b">
        <v>0</v>
      </c>
    </row>
    <row r="372" spans="1:12" ht="15">
      <c r="A372" s="113" t="s">
        <v>1626</v>
      </c>
      <c r="B372" s="111" t="s">
        <v>1294</v>
      </c>
      <c r="C372" s="111">
        <v>2</v>
      </c>
      <c r="D372" s="115">
        <v>0.0004762469836194851</v>
      </c>
      <c r="E372" s="115">
        <v>3.3791846117136366</v>
      </c>
      <c r="F372" s="111" t="s">
        <v>1990</v>
      </c>
      <c r="G372" s="111" t="b">
        <v>0</v>
      </c>
      <c r="H372" s="111" t="b">
        <v>0</v>
      </c>
      <c r="I372" s="111" t="b">
        <v>0</v>
      </c>
      <c r="J372" s="111" t="b">
        <v>0</v>
      </c>
      <c r="K372" s="111" t="b">
        <v>0</v>
      </c>
      <c r="L372" s="111" t="b">
        <v>0</v>
      </c>
    </row>
    <row r="373" spans="1:12" ht="15">
      <c r="A373" s="113" t="s">
        <v>1294</v>
      </c>
      <c r="B373" s="111" t="s">
        <v>1347</v>
      </c>
      <c r="C373" s="111">
        <v>2</v>
      </c>
      <c r="D373" s="115">
        <v>0.0004762469836194851</v>
      </c>
      <c r="E373" s="115">
        <v>3.2030933526579553</v>
      </c>
      <c r="F373" s="111" t="s">
        <v>1990</v>
      </c>
      <c r="G373" s="111" t="b">
        <v>0</v>
      </c>
      <c r="H373" s="111" t="b">
        <v>0</v>
      </c>
      <c r="I373" s="111" t="b">
        <v>0</v>
      </c>
      <c r="J373" s="111" t="b">
        <v>0</v>
      </c>
      <c r="K373" s="111" t="b">
        <v>0</v>
      </c>
      <c r="L373" s="111" t="b">
        <v>0</v>
      </c>
    </row>
    <row r="374" spans="1:12" ht="15">
      <c r="A374" s="113" t="s">
        <v>1347</v>
      </c>
      <c r="B374" s="111" t="s">
        <v>852</v>
      </c>
      <c r="C374" s="111">
        <v>2</v>
      </c>
      <c r="D374" s="115">
        <v>0.0004762469836194851</v>
      </c>
      <c r="E374" s="115">
        <v>2.2030933526579553</v>
      </c>
      <c r="F374" s="111" t="s">
        <v>1990</v>
      </c>
      <c r="G374" s="111" t="b">
        <v>0</v>
      </c>
      <c r="H374" s="111" t="b">
        <v>0</v>
      </c>
      <c r="I374" s="111" t="b">
        <v>0</v>
      </c>
      <c r="J374" s="111" t="b">
        <v>0</v>
      </c>
      <c r="K374" s="111" t="b">
        <v>0</v>
      </c>
      <c r="L374" s="111" t="b">
        <v>0</v>
      </c>
    </row>
    <row r="375" spans="1:12" ht="15">
      <c r="A375" s="113" t="s">
        <v>1094</v>
      </c>
      <c r="B375" s="111" t="s">
        <v>975</v>
      </c>
      <c r="C375" s="111">
        <v>2</v>
      </c>
      <c r="D375" s="115">
        <v>0.0004762469836194851</v>
      </c>
      <c r="E375" s="115">
        <v>2.613267817747005</v>
      </c>
      <c r="F375" s="111" t="s">
        <v>1990</v>
      </c>
      <c r="G375" s="111" t="b">
        <v>0</v>
      </c>
      <c r="H375" s="111" t="b">
        <v>0</v>
      </c>
      <c r="I375" s="111" t="b">
        <v>0</v>
      </c>
      <c r="J375" s="111" t="b">
        <v>0</v>
      </c>
      <c r="K375" s="111" t="b">
        <v>0</v>
      </c>
      <c r="L375" s="111" t="b">
        <v>0</v>
      </c>
    </row>
    <row r="376" spans="1:12" ht="15">
      <c r="A376" s="113" t="s">
        <v>975</v>
      </c>
      <c r="B376" s="111" t="s">
        <v>1023</v>
      </c>
      <c r="C376" s="111">
        <v>2</v>
      </c>
      <c r="D376" s="115">
        <v>0.0004762469836194851</v>
      </c>
      <c r="E376" s="115">
        <v>2.476094624721693</v>
      </c>
      <c r="F376" s="111" t="s">
        <v>1990</v>
      </c>
      <c r="G376" s="111" t="b">
        <v>0</v>
      </c>
      <c r="H376" s="111" t="b">
        <v>0</v>
      </c>
      <c r="I376" s="111" t="b">
        <v>0</v>
      </c>
      <c r="J376" s="111" t="b">
        <v>0</v>
      </c>
      <c r="K376" s="111" t="b">
        <v>0</v>
      </c>
      <c r="L376" s="111" t="b">
        <v>0</v>
      </c>
    </row>
    <row r="377" spans="1:12" ht="15">
      <c r="A377" s="113" t="s">
        <v>1023</v>
      </c>
      <c r="B377" s="111" t="s">
        <v>1627</v>
      </c>
      <c r="C377" s="111">
        <v>2</v>
      </c>
      <c r="D377" s="115">
        <v>0.0004762469836194851</v>
      </c>
      <c r="E377" s="115">
        <v>3.0781546160496553</v>
      </c>
      <c r="F377" s="111" t="s">
        <v>1990</v>
      </c>
      <c r="G377" s="111" t="b">
        <v>0</v>
      </c>
      <c r="H377" s="111" t="b">
        <v>0</v>
      </c>
      <c r="I377" s="111" t="b">
        <v>0</v>
      </c>
      <c r="J377" s="111" t="b">
        <v>0</v>
      </c>
      <c r="K377" s="111" t="b">
        <v>0</v>
      </c>
      <c r="L377" s="111" t="b">
        <v>0</v>
      </c>
    </row>
    <row r="378" spans="1:12" ht="15">
      <c r="A378" s="113" t="s">
        <v>1627</v>
      </c>
      <c r="B378" s="111" t="s">
        <v>1628</v>
      </c>
      <c r="C378" s="111">
        <v>2</v>
      </c>
      <c r="D378" s="115">
        <v>0.0004762469836194851</v>
      </c>
      <c r="E378" s="115">
        <v>3.555275870769318</v>
      </c>
      <c r="F378" s="111" t="s">
        <v>1990</v>
      </c>
      <c r="G378" s="111" t="b">
        <v>0</v>
      </c>
      <c r="H378" s="111" t="b">
        <v>0</v>
      </c>
      <c r="I378" s="111" t="b">
        <v>0</v>
      </c>
      <c r="J378" s="111" t="b">
        <v>0</v>
      </c>
      <c r="K378" s="111" t="b">
        <v>0</v>
      </c>
      <c r="L378" s="111" t="b">
        <v>0</v>
      </c>
    </row>
    <row r="379" spans="1:12" ht="15">
      <c r="A379" s="113" t="s">
        <v>1628</v>
      </c>
      <c r="B379" s="111" t="s">
        <v>1629</v>
      </c>
      <c r="C379" s="111">
        <v>2</v>
      </c>
      <c r="D379" s="115">
        <v>0.0004762469836194851</v>
      </c>
      <c r="E379" s="115">
        <v>3.555275870769318</v>
      </c>
      <c r="F379" s="111" t="s">
        <v>1990</v>
      </c>
      <c r="G379" s="111" t="b">
        <v>0</v>
      </c>
      <c r="H379" s="111" t="b">
        <v>0</v>
      </c>
      <c r="I379" s="111" t="b">
        <v>0</v>
      </c>
      <c r="J379" s="111" t="b">
        <v>0</v>
      </c>
      <c r="K379" s="111" t="b">
        <v>0</v>
      </c>
      <c r="L379" s="111" t="b">
        <v>0</v>
      </c>
    </row>
    <row r="380" spans="1:12" ht="15">
      <c r="A380" s="113" t="s">
        <v>1629</v>
      </c>
      <c r="B380" s="111" t="s">
        <v>852</v>
      </c>
      <c r="C380" s="111">
        <v>2</v>
      </c>
      <c r="D380" s="115">
        <v>0.0004762469836194851</v>
      </c>
      <c r="E380" s="115">
        <v>2.3791846117136366</v>
      </c>
      <c r="F380" s="111" t="s">
        <v>1990</v>
      </c>
      <c r="G380" s="111" t="b">
        <v>0</v>
      </c>
      <c r="H380" s="111" t="b">
        <v>0</v>
      </c>
      <c r="I380" s="111" t="b">
        <v>0</v>
      </c>
      <c r="J380" s="111" t="b">
        <v>0</v>
      </c>
      <c r="K380" s="111" t="b">
        <v>0</v>
      </c>
      <c r="L380" s="111" t="b">
        <v>0</v>
      </c>
    </row>
    <row r="381" spans="1:12" ht="15">
      <c r="A381" s="113" t="s">
        <v>1003</v>
      </c>
      <c r="B381" s="111" t="s">
        <v>986</v>
      </c>
      <c r="C381" s="111">
        <v>2</v>
      </c>
      <c r="D381" s="115">
        <v>0.0004762469836194851</v>
      </c>
      <c r="E381" s="115">
        <v>2.613267817747005</v>
      </c>
      <c r="F381" s="111" t="s">
        <v>1990</v>
      </c>
      <c r="G381" s="111" t="b">
        <v>0</v>
      </c>
      <c r="H381" s="111" t="b">
        <v>0</v>
      </c>
      <c r="I381" s="111" t="b">
        <v>0</v>
      </c>
      <c r="J381" s="111" t="b">
        <v>0</v>
      </c>
      <c r="K381" s="111" t="b">
        <v>0</v>
      </c>
      <c r="L381" s="111" t="b">
        <v>0</v>
      </c>
    </row>
    <row r="382" spans="1:12" ht="15">
      <c r="A382" s="113" t="s">
        <v>872</v>
      </c>
      <c r="B382" s="111" t="s">
        <v>1113</v>
      </c>
      <c r="C382" s="111">
        <v>2</v>
      </c>
      <c r="D382" s="115">
        <v>0.0004762469836194851</v>
      </c>
      <c r="E382" s="115">
        <v>2.2279169363829876</v>
      </c>
      <c r="F382" s="111" t="s">
        <v>1990</v>
      </c>
      <c r="G382" s="111" t="b">
        <v>0</v>
      </c>
      <c r="H382" s="111" t="b">
        <v>0</v>
      </c>
      <c r="I382" s="111" t="b">
        <v>0</v>
      </c>
      <c r="J382" s="111" t="b">
        <v>0</v>
      </c>
      <c r="K382" s="111" t="b">
        <v>0</v>
      </c>
      <c r="L382" s="111" t="b">
        <v>0</v>
      </c>
    </row>
    <row r="383" spans="1:12" ht="15">
      <c r="A383" s="113" t="s">
        <v>1113</v>
      </c>
      <c r="B383" s="111" t="s">
        <v>1214</v>
      </c>
      <c r="C383" s="111">
        <v>2</v>
      </c>
      <c r="D383" s="115">
        <v>0.0004762469836194851</v>
      </c>
      <c r="E383" s="115">
        <v>2.8563058664332988</v>
      </c>
      <c r="F383" s="111" t="s">
        <v>1990</v>
      </c>
      <c r="G383" s="111" t="b">
        <v>0</v>
      </c>
      <c r="H383" s="111" t="b">
        <v>0</v>
      </c>
      <c r="I383" s="111" t="b">
        <v>0</v>
      </c>
      <c r="J383" s="111" t="b">
        <v>0</v>
      </c>
      <c r="K383" s="111" t="b">
        <v>0</v>
      </c>
      <c r="L383" s="111" t="b">
        <v>0</v>
      </c>
    </row>
    <row r="384" spans="1:12" ht="15">
      <c r="A384" s="113" t="s">
        <v>1214</v>
      </c>
      <c r="B384" s="111" t="s">
        <v>1119</v>
      </c>
      <c r="C384" s="111">
        <v>2</v>
      </c>
      <c r="D384" s="115">
        <v>0.0004762469836194851</v>
      </c>
      <c r="E384" s="115">
        <v>2.8563058664332988</v>
      </c>
      <c r="F384" s="111" t="s">
        <v>1990</v>
      </c>
      <c r="G384" s="111" t="b">
        <v>0</v>
      </c>
      <c r="H384" s="111" t="b">
        <v>0</v>
      </c>
      <c r="I384" s="111" t="b">
        <v>0</v>
      </c>
      <c r="J384" s="111" t="b">
        <v>0</v>
      </c>
      <c r="K384" s="111" t="b">
        <v>0</v>
      </c>
      <c r="L384" s="111" t="b">
        <v>0</v>
      </c>
    </row>
    <row r="385" spans="1:12" ht="15">
      <c r="A385" s="113" t="s">
        <v>1119</v>
      </c>
      <c r="B385" s="111" t="s">
        <v>1630</v>
      </c>
      <c r="C385" s="111">
        <v>2</v>
      </c>
      <c r="D385" s="115">
        <v>0.0004762469836194851</v>
      </c>
      <c r="E385" s="115">
        <v>3.15733586209728</v>
      </c>
      <c r="F385" s="111" t="s">
        <v>1990</v>
      </c>
      <c r="G385" s="111" t="b">
        <v>0</v>
      </c>
      <c r="H385" s="111" t="b">
        <v>0</v>
      </c>
      <c r="I385" s="111" t="b">
        <v>0</v>
      </c>
      <c r="J385" s="111" t="b">
        <v>0</v>
      </c>
      <c r="K385" s="111" t="b">
        <v>0</v>
      </c>
      <c r="L385" s="111" t="b">
        <v>0</v>
      </c>
    </row>
    <row r="386" spans="1:12" ht="15">
      <c r="A386" s="113" t="s">
        <v>1630</v>
      </c>
      <c r="B386" s="111" t="s">
        <v>1631</v>
      </c>
      <c r="C386" s="111">
        <v>2</v>
      </c>
      <c r="D386" s="115">
        <v>0.0004762469836194851</v>
      </c>
      <c r="E386" s="115">
        <v>3.555275870769318</v>
      </c>
      <c r="F386" s="111" t="s">
        <v>1990</v>
      </c>
      <c r="G386" s="111" t="b">
        <v>0</v>
      </c>
      <c r="H386" s="111" t="b">
        <v>0</v>
      </c>
      <c r="I386" s="111" t="b">
        <v>0</v>
      </c>
      <c r="J386" s="111" t="b">
        <v>0</v>
      </c>
      <c r="K386" s="111" t="b">
        <v>0</v>
      </c>
      <c r="L386" s="111" t="b">
        <v>0</v>
      </c>
    </row>
    <row r="387" spans="1:12" ht="15">
      <c r="A387" s="113" t="s">
        <v>1631</v>
      </c>
      <c r="B387" s="111" t="s">
        <v>852</v>
      </c>
      <c r="C387" s="111">
        <v>2</v>
      </c>
      <c r="D387" s="115">
        <v>0.0004762469836194851</v>
      </c>
      <c r="E387" s="115">
        <v>2.3791846117136366</v>
      </c>
      <c r="F387" s="111" t="s">
        <v>1990</v>
      </c>
      <c r="G387" s="111" t="b">
        <v>0</v>
      </c>
      <c r="H387" s="111" t="b">
        <v>0</v>
      </c>
      <c r="I387" s="111" t="b">
        <v>0</v>
      </c>
      <c r="J387" s="111" t="b">
        <v>0</v>
      </c>
      <c r="K387" s="111" t="b">
        <v>0</v>
      </c>
      <c r="L387" s="111" t="b">
        <v>0</v>
      </c>
    </row>
    <row r="388" spans="1:12" ht="15">
      <c r="A388" s="113" t="s">
        <v>1003</v>
      </c>
      <c r="B388" s="111" t="s">
        <v>1348</v>
      </c>
      <c r="C388" s="111">
        <v>2</v>
      </c>
      <c r="D388" s="115">
        <v>0.0004762469836194851</v>
      </c>
      <c r="E388" s="115">
        <v>2.981244603041599</v>
      </c>
      <c r="F388" s="111" t="s">
        <v>1990</v>
      </c>
      <c r="G388" s="111" t="b">
        <v>0</v>
      </c>
      <c r="H388" s="111" t="b">
        <v>0</v>
      </c>
      <c r="I388" s="111" t="b">
        <v>0</v>
      </c>
      <c r="J388" s="111" t="b">
        <v>1</v>
      </c>
      <c r="K388" s="111" t="b">
        <v>0</v>
      </c>
      <c r="L388" s="111" t="b">
        <v>0</v>
      </c>
    </row>
    <row r="389" spans="1:12" ht="15">
      <c r="A389" s="113" t="s">
        <v>1348</v>
      </c>
      <c r="B389" s="111" t="s">
        <v>939</v>
      </c>
      <c r="C389" s="111">
        <v>2</v>
      </c>
      <c r="D389" s="115">
        <v>0.0004762469836194851</v>
      </c>
      <c r="E389" s="115">
        <v>2.680214607377618</v>
      </c>
      <c r="F389" s="111" t="s">
        <v>1990</v>
      </c>
      <c r="G389" s="111" t="b">
        <v>1</v>
      </c>
      <c r="H389" s="111" t="b">
        <v>0</v>
      </c>
      <c r="I389" s="111" t="b">
        <v>0</v>
      </c>
      <c r="J389" s="111" t="b">
        <v>0</v>
      </c>
      <c r="K389" s="111" t="b">
        <v>0</v>
      </c>
      <c r="L389" s="111" t="b">
        <v>0</v>
      </c>
    </row>
    <row r="390" spans="1:12" ht="15">
      <c r="A390" s="113" t="s">
        <v>939</v>
      </c>
      <c r="B390" s="111" t="s">
        <v>1120</v>
      </c>
      <c r="C390" s="111">
        <v>2</v>
      </c>
      <c r="D390" s="115">
        <v>0.0004762469836194851</v>
      </c>
      <c r="E390" s="115">
        <v>2.4583658577612613</v>
      </c>
      <c r="F390" s="111" t="s">
        <v>1990</v>
      </c>
      <c r="G390" s="111" t="b">
        <v>0</v>
      </c>
      <c r="H390" s="111" t="b">
        <v>0</v>
      </c>
      <c r="I390" s="111" t="b">
        <v>0</v>
      </c>
      <c r="J390" s="111" t="b">
        <v>0</v>
      </c>
      <c r="K390" s="111" t="b">
        <v>0</v>
      </c>
      <c r="L390" s="111" t="b">
        <v>0</v>
      </c>
    </row>
    <row r="391" spans="1:12" ht="15">
      <c r="A391" s="113" t="s">
        <v>1120</v>
      </c>
      <c r="B391" s="111" t="s">
        <v>1349</v>
      </c>
      <c r="C391" s="111">
        <v>2</v>
      </c>
      <c r="D391" s="115">
        <v>0.0004762469836194851</v>
      </c>
      <c r="E391" s="115">
        <v>2.981244603041599</v>
      </c>
      <c r="F391" s="111" t="s">
        <v>1990</v>
      </c>
      <c r="G391" s="111" t="b">
        <v>0</v>
      </c>
      <c r="H391" s="111" t="b">
        <v>0</v>
      </c>
      <c r="I391" s="111" t="b">
        <v>0</v>
      </c>
      <c r="J391" s="111" t="b">
        <v>0</v>
      </c>
      <c r="K391" s="111" t="b">
        <v>0</v>
      </c>
      <c r="L391" s="111" t="b">
        <v>0</v>
      </c>
    </row>
    <row r="392" spans="1:12" ht="15">
      <c r="A392" s="113" t="s">
        <v>1349</v>
      </c>
      <c r="B392" s="111" t="s">
        <v>1632</v>
      </c>
      <c r="C392" s="111">
        <v>2</v>
      </c>
      <c r="D392" s="115">
        <v>0.0004762469836194851</v>
      </c>
      <c r="E392" s="115">
        <v>3.3791846117136366</v>
      </c>
      <c r="F392" s="111" t="s">
        <v>1990</v>
      </c>
      <c r="G392" s="111" t="b">
        <v>0</v>
      </c>
      <c r="H392" s="111" t="b">
        <v>0</v>
      </c>
      <c r="I392" s="111" t="b">
        <v>0</v>
      </c>
      <c r="J392" s="111" t="b">
        <v>0</v>
      </c>
      <c r="K392" s="111" t="b">
        <v>0</v>
      </c>
      <c r="L392" s="111" t="b">
        <v>0</v>
      </c>
    </row>
    <row r="393" spans="1:12" ht="15">
      <c r="A393" s="113" t="s">
        <v>1632</v>
      </c>
      <c r="B393" s="111" t="s">
        <v>1633</v>
      </c>
      <c r="C393" s="111">
        <v>2</v>
      </c>
      <c r="D393" s="115">
        <v>0.0004762469836194851</v>
      </c>
      <c r="E393" s="115">
        <v>3.555275870769318</v>
      </c>
      <c r="F393" s="111" t="s">
        <v>1990</v>
      </c>
      <c r="G393" s="111" t="b">
        <v>0</v>
      </c>
      <c r="H393" s="111" t="b">
        <v>0</v>
      </c>
      <c r="I393" s="111" t="b">
        <v>0</v>
      </c>
      <c r="J393" s="111" t="b">
        <v>0</v>
      </c>
      <c r="K393" s="111" t="b">
        <v>1</v>
      </c>
      <c r="L393" s="111" t="b">
        <v>0</v>
      </c>
    </row>
    <row r="394" spans="1:12" ht="15">
      <c r="A394" s="113" t="s">
        <v>1633</v>
      </c>
      <c r="B394" s="111" t="s">
        <v>1350</v>
      </c>
      <c r="C394" s="111">
        <v>2</v>
      </c>
      <c r="D394" s="115">
        <v>0.0004762469836194851</v>
      </c>
      <c r="E394" s="115">
        <v>3.3791846117136366</v>
      </c>
      <c r="F394" s="111" t="s">
        <v>1990</v>
      </c>
      <c r="G394" s="111" t="b">
        <v>0</v>
      </c>
      <c r="H394" s="111" t="b">
        <v>1</v>
      </c>
      <c r="I394" s="111" t="b">
        <v>0</v>
      </c>
      <c r="J394" s="111" t="b">
        <v>0</v>
      </c>
      <c r="K394" s="111" t="b">
        <v>0</v>
      </c>
      <c r="L394" s="111" t="b">
        <v>0</v>
      </c>
    </row>
    <row r="395" spans="1:12" ht="15">
      <c r="A395" s="113" t="s">
        <v>1350</v>
      </c>
      <c r="B395" s="111" t="s">
        <v>1215</v>
      </c>
      <c r="C395" s="111">
        <v>2</v>
      </c>
      <c r="D395" s="115">
        <v>0.0004762469836194851</v>
      </c>
      <c r="E395" s="115">
        <v>3.0781546160496553</v>
      </c>
      <c r="F395" s="111" t="s">
        <v>1990</v>
      </c>
      <c r="G395" s="111" t="b">
        <v>0</v>
      </c>
      <c r="H395" s="111" t="b">
        <v>0</v>
      </c>
      <c r="I395" s="111" t="b">
        <v>0</v>
      </c>
      <c r="J395" s="111" t="b">
        <v>0</v>
      </c>
      <c r="K395" s="111" t="b">
        <v>1</v>
      </c>
      <c r="L395" s="111" t="b">
        <v>0</v>
      </c>
    </row>
    <row r="396" spans="1:12" ht="15">
      <c r="A396" s="113" t="s">
        <v>1215</v>
      </c>
      <c r="B396" s="111" t="s">
        <v>1634</v>
      </c>
      <c r="C396" s="111">
        <v>2</v>
      </c>
      <c r="D396" s="115">
        <v>0.0004762469836194851</v>
      </c>
      <c r="E396" s="115">
        <v>3.2542458751053367</v>
      </c>
      <c r="F396" s="111" t="s">
        <v>1990</v>
      </c>
      <c r="G396" s="111" t="b">
        <v>0</v>
      </c>
      <c r="H396" s="111" t="b">
        <v>1</v>
      </c>
      <c r="I396" s="111" t="b">
        <v>0</v>
      </c>
      <c r="J396" s="111" t="b">
        <v>0</v>
      </c>
      <c r="K396" s="111" t="b">
        <v>1</v>
      </c>
      <c r="L396" s="111" t="b">
        <v>0</v>
      </c>
    </row>
    <row r="397" spans="1:12" ht="15">
      <c r="A397" s="113" t="s">
        <v>1634</v>
      </c>
      <c r="B397" s="111" t="s">
        <v>1312</v>
      </c>
      <c r="C397" s="111">
        <v>2</v>
      </c>
      <c r="D397" s="115">
        <v>0.0004762469836194851</v>
      </c>
      <c r="E397" s="115">
        <v>3.3791846117136366</v>
      </c>
      <c r="F397" s="111" t="s">
        <v>1990</v>
      </c>
      <c r="G397" s="111" t="b">
        <v>0</v>
      </c>
      <c r="H397" s="111" t="b">
        <v>1</v>
      </c>
      <c r="I397" s="111" t="b">
        <v>0</v>
      </c>
      <c r="J397" s="111" t="b">
        <v>0</v>
      </c>
      <c r="K397" s="111" t="b">
        <v>0</v>
      </c>
      <c r="L397" s="111" t="b">
        <v>0</v>
      </c>
    </row>
    <row r="398" spans="1:12" ht="15">
      <c r="A398" s="113" t="s">
        <v>1312</v>
      </c>
      <c r="B398" s="111" t="s">
        <v>1635</v>
      </c>
      <c r="C398" s="111">
        <v>2</v>
      </c>
      <c r="D398" s="115">
        <v>0.0004762469836194851</v>
      </c>
      <c r="E398" s="115">
        <v>3.3791846117136366</v>
      </c>
      <c r="F398" s="111" t="s">
        <v>1990</v>
      </c>
      <c r="G398" s="111" t="b">
        <v>0</v>
      </c>
      <c r="H398" s="111" t="b">
        <v>0</v>
      </c>
      <c r="I398" s="111" t="b">
        <v>0</v>
      </c>
      <c r="J398" s="111" t="b">
        <v>0</v>
      </c>
      <c r="K398" s="111" t="b">
        <v>0</v>
      </c>
      <c r="L398" s="111" t="b">
        <v>0</v>
      </c>
    </row>
    <row r="399" spans="1:12" ht="15">
      <c r="A399" s="113" t="s">
        <v>1635</v>
      </c>
      <c r="B399" s="111" t="s">
        <v>1636</v>
      </c>
      <c r="C399" s="111">
        <v>2</v>
      </c>
      <c r="D399" s="115">
        <v>0.0004762469836194851</v>
      </c>
      <c r="E399" s="115">
        <v>3.555275870769318</v>
      </c>
      <c r="F399" s="111" t="s">
        <v>1990</v>
      </c>
      <c r="G399" s="111" t="b">
        <v>0</v>
      </c>
      <c r="H399" s="111" t="b">
        <v>0</v>
      </c>
      <c r="I399" s="111" t="b">
        <v>0</v>
      </c>
      <c r="J399" s="111" t="b">
        <v>0</v>
      </c>
      <c r="K399" s="111" t="b">
        <v>0</v>
      </c>
      <c r="L399" s="111" t="b">
        <v>0</v>
      </c>
    </row>
    <row r="400" spans="1:12" ht="15">
      <c r="A400" s="113" t="s">
        <v>1636</v>
      </c>
      <c r="B400" s="111" t="s">
        <v>1637</v>
      </c>
      <c r="C400" s="111">
        <v>2</v>
      </c>
      <c r="D400" s="115">
        <v>0.0004762469836194851</v>
      </c>
      <c r="E400" s="115">
        <v>3.555275870769318</v>
      </c>
      <c r="F400" s="111" t="s">
        <v>1990</v>
      </c>
      <c r="G400" s="111" t="b">
        <v>0</v>
      </c>
      <c r="H400" s="111" t="b">
        <v>0</v>
      </c>
      <c r="I400" s="111" t="b">
        <v>0</v>
      </c>
      <c r="J400" s="111" t="b">
        <v>0</v>
      </c>
      <c r="K400" s="111" t="b">
        <v>0</v>
      </c>
      <c r="L400" s="111" t="b">
        <v>0</v>
      </c>
    </row>
    <row r="401" spans="1:12" ht="15">
      <c r="A401" s="113" t="s">
        <v>1637</v>
      </c>
      <c r="B401" s="111" t="s">
        <v>1638</v>
      </c>
      <c r="C401" s="111">
        <v>2</v>
      </c>
      <c r="D401" s="115">
        <v>0.0004762469836194851</v>
      </c>
      <c r="E401" s="115">
        <v>3.555275870769318</v>
      </c>
      <c r="F401" s="111" t="s">
        <v>1990</v>
      </c>
      <c r="G401" s="111" t="b">
        <v>0</v>
      </c>
      <c r="H401" s="111" t="b">
        <v>0</v>
      </c>
      <c r="I401" s="111" t="b">
        <v>0</v>
      </c>
      <c r="J401" s="111" t="b">
        <v>0</v>
      </c>
      <c r="K401" s="111" t="b">
        <v>0</v>
      </c>
      <c r="L401" s="111" t="b">
        <v>0</v>
      </c>
    </row>
    <row r="402" spans="1:12" ht="15">
      <c r="A402" s="113" t="s">
        <v>1638</v>
      </c>
      <c r="B402" s="111" t="s">
        <v>852</v>
      </c>
      <c r="C402" s="111">
        <v>2</v>
      </c>
      <c r="D402" s="115">
        <v>0.0004762469836194851</v>
      </c>
      <c r="E402" s="115">
        <v>2.3791846117136366</v>
      </c>
      <c r="F402" s="111" t="s">
        <v>1990</v>
      </c>
      <c r="G402" s="111" t="b">
        <v>0</v>
      </c>
      <c r="H402" s="111" t="b">
        <v>0</v>
      </c>
      <c r="I402" s="111" t="b">
        <v>0</v>
      </c>
      <c r="J402" s="111" t="b">
        <v>0</v>
      </c>
      <c r="K402" s="111" t="b">
        <v>0</v>
      </c>
      <c r="L402" s="111" t="b">
        <v>0</v>
      </c>
    </row>
    <row r="403" spans="1:12" ht="15">
      <c r="A403" s="113" t="s">
        <v>1639</v>
      </c>
      <c r="B403" s="111" t="s">
        <v>1640</v>
      </c>
      <c r="C403" s="111">
        <v>2</v>
      </c>
      <c r="D403" s="115">
        <v>0.000558811436626611</v>
      </c>
      <c r="E403" s="115">
        <v>3.555275870769318</v>
      </c>
      <c r="F403" s="111" t="s">
        <v>1990</v>
      </c>
      <c r="G403" s="111" t="b">
        <v>0</v>
      </c>
      <c r="H403" s="111" t="b">
        <v>0</v>
      </c>
      <c r="I403" s="111" t="b">
        <v>0</v>
      </c>
      <c r="J403" s="111" t="b">
        <v>0</v>
      </c>
      <c r="K403" s="111" t="b">
        <v>0</v>
      </c>
      <c r="L403" s="111" t="b">
        <v>0</v>
      </c>
    </row>
    <row r="404" spans="1:12" ht="15">
      <c r="A404" s="113" t="s">
        <v>879</v>
      </c>
      <c r="B404" s="111" t="s">
        <v>1071</v>
      </c>
      <c r="C404" s="111">
        <v>2</v>
      </c>
      <c r="D404" s="115">
        <v>0.000558811436626611</v>
      </c>
      <c r="E404" s="115">
        <v>2.1750646290577116</v>
      </c>
      <c r="F404" s="111" t="s">
        <v>1990</v>
      </c>
      <c r="G404" s="111" t="b">
        <v>0</v>
      </c>
      <c r="H404" s="111" t="b">
        <v>0</v>
      </c>
      <c r="I404" s="111" t="b">
        <v>0</v>
      </c>
      <c r="J404" s="111" t="b">
        <v>0</v>
      </c>
      <c r="K404" s="111" t="b">
        <v>0</v>
      </c>
      <c r="L404" s="111" t="b">
        <v>0</v>
      </c>
    </row>
    <row r="405" spans="1:12" ht="15">
      <c r="A405" s="113" t="s">
        <v>1219</v>
      </c>
      <c r="B405" s="111" t="s">
        <v>854</v>
      </c>
      <c r="C405" s="111">
        <v>2</v>
      </c>
      <c r="D405" s="115">
        <v>0.0004762469836194851</v>
      </c>
      <c r="E405" s="115">
        <v>2.1750646290577116</v>
      </c>
      <c r="F405" s="111" t="s">
        <v>1990</v>
      </c>
      <c r="G405" s="111" t="b">
        <v>0</v>
      </c>
      <c r="H405" s="111" t="b">
        <v>0</v>
      </c>
      <c r="I405" s="111" t="b">
        <v>0</v>
      </c>
      <c r="J405" s="111" t="b">
        <v>0</v>
      </c>
      <c r="K405" s="111" t="b">
        <v>0</v>
      </c>
      <c r="L405" s="111" t="b">
        <v>0</v>
      </c>
    </row>
    <row r="406" spans="1:12" ht="15">
      <c r="A406" s="113" t="s">
        <v>879</v>
      </c>
      <c r="B406" s="111" t="s">
        <v>895</v>
      </c>
      <c r="C406" s="111">
        <v>2</v>
      </c>
      <c r="D406" s="115">
        <v>0.000558811436626611</v>
      </c>
      <c r="E406" s="115">
        <v>1.8070878437631173</v>
      </c>
      <c r="F406" s="111" t="s">
        <v>1990</v>
      </c>
      <c r="G406" s="111" t="b">
        <v>0</v>
      </c>
      <c r="H406" s="111" t="b">
        <v>0</v>
      </c>
      <c r="I406" s="111" t="b">
        <v>0</v>
      </c>
      <c r="J406" s="111" t="b">
        <v>0</v>
      </c>
      <c r="K406" s="111" t="b">
        <v>0</v>
      </c>
      <c r="L406" s="111" t="b">
        <v>0</v>
      </c>
    </row>
    <row r="407" spans="1:12" ht="15">
      <c r="A407" s="113" t="s">
        <v>895</v>
      </c>
      <c r="B407" s="111" t="s">
        <v>1646</v>
      </c>
      <c r="C407" s="111">
        <v>2</v>
      </c>
      <c r="D407" s="115">
        <v>0.000558811436626611</v>
      </c>
      <c r="E407" s="115">
        <v>2.710177830755061</v>
      </c>
      <c r="F407" s="111" t="s">
        <v>1990</v>
      </c>
      <c r="G407" s="111" t="b">
        <v>0</v>
      </c>
      <c r="H407" s="111" t="b">
        <v>0</v>
      </c>
      <c r="I407" s="111" t="b">
        <v>0</v>
      </c>
      <c r="J407" s="111" t="b">
        <v>0</v>
      </c>
      <c r="K407" s="111" t="b">
        <v>0</v>
      </c>
      <c r="L407" s="111" t="b">
        <v>0</v>
      </c>
    </row>
    <row r="408" spans="1:12" ht="15">
      <c r="A408" s="113" t="s">
        <v>1197</v>
      </c>
      <c r="B408" s="111" t="s">
        <v>1650</v>
      </c>
      <c r="C408" s="111">
        <v>2</v>
      </c>
      <c r="D408" s="115">
        <v>0.000558811436626611</v>
      </c>
      <c r="E408" s="115">
        <v>3.2542458751053367</v>
      </c>
      <c r="F408" s="111" t="s">
        <v>1990</v>
      </c>
      <c r="G408" s="111" t="b">
        <v>0</v>
      </c>
      <c r="H408" s="111" t="b">
        <v>0</v>
      </c>
      <c r="I408" s="111" t="b">
        <v>0</v>
      </c>
      <c r="J408" s="111" t="b">
        <v>0</v>
      </c>
      <c r="K408" s="111" t="b">
        <v>0</v>
      </c>
      <c r="L408" s="111" t="b">
        <v>0</v>
      </c>
    </row>
    <row r="409" spans="1:12" ht="15">
      <c r="A409" s="113" t="s">
        <v>1160</v>
      </c>
      <c r="B409" s="111" t="s">
        <v>914</v>
      </c>
      <c r="C409" s="111">
        <v>2</v>
      </c>
      <c r="D409" s="115">
        <v>0.000558811436626611</v>
      </c>
      <c r="E409" s="115">
        <v>2.476094624721693</v>
      </c>
      <c r="F409" s="111" t="s">
        <v>1990</v>
      </c>
      <c r="G409" s="111" t="b">
        <v>0</v>
      </c>
      <c r="H409" s="111" t="b">
        <v>0</v>
      </c>
      <c r="I409" s="111" t="b">
        <v>0</v>
      </c>
      <c r="J409" s="111" t="b">
        <v>0</v>
      </c>
      <c r="K409" s="111" t="b">
        <v>0</v>
      </c>
      <c r="L409" s="111" t="b">
        <v>0</v>
      </c>
    </row>
    <row r="410" spans="1:12" ht="15">
      <c r="A410" s="113" t="s">
        <v>927</v>
      </c>
      <c r="B410" s="111" t="s">
        <v>1221</v>
      </c>
      <c r="C410" s="111">
        <v>2</v>
      </c>
      <c r="D410" s="115">
        <v>0.000558811436626611</v>
      </c>
      <c r="E410" s="115">
        <v>2.5138831856110926</v>
      </c>
      <c r="F410" s="111" t="s">
        <v>1990</v>
      </c>
      <c r="G410" s="111" t="b">
        <v>0</v>
      </c>
      <c r="H410" s="111" t="b">
        <v>0</v>
      </c>
      <c r="I410" s="111" t="b">
        <v>0</v>
      </c>
      <c r="J410" s="111" t="b">
        <v>0</v>
      </c>
      <c r="K410" s="111" t="b">
        <v>0</v>
      </c>
      <c r="L410" s="111" t="b">
        <v>0</v>
      </c>
    </row>
    <row r="411" spans="1:12" ht="15">
      <c r="A411" s="113" t="s">
        <v>1654</v>
      </c>
      <c r="B411" s="111" t="s">
        <v>927</v>
      </c>
      <c r="C411" s="111">
        <v>2</v>
      </c>
      <c r="D411" s="115">
        <v>0.000558811436626611</v>
      </c>
      <c r="E411" s="115">
        <v>2.814913181275074</v>
      </c>
      <c r="F411" s="111" t="s">
        <v>1990</v>
      </c>
      <c r="G411" s="111" t="b">
        <v>0</v>
      </c>
      <c r="H411" s="111" t="b">
        <v>0</v>
      </c>
      <c r="I411" s="111" t="b">
        <v>0</v>
      </c>
      <c r="J411" s="111" t="b">
        <v>0</v>
      </c>
      <c r="K411" s="111" t="b">
        <v>0</v>
      </c>
      <c r="L411" s="111" t="b">
        <v>0</v>
      </c>
    </row>
    <row r="412" spans="1:12" ht="15">
      <c r="A412" s="113" t="s">
        <v>849</v>
      </c>
      <c r="B412" s="111" t="s">
        <v>931</v>
      </c>
      <c r="C412" s="111">
        <v>2</v>
      </c>
      <c r="D412" s="115">
        <v>0.000558811436626611</v>
      </c>
      <c r="E412" s="115">
        <v>1.6521858837773742</v>
      </c>
      <c r="F412" s="111" t="s">
        <v>1990</v>
      </c>
      <c r="G412" s="111" t="b">
        <v>0</v>
      </c>
      <c r="H412" s="111" t="b">
        <v>0</v>
      </c>
      <c r="I412" s="111" t="b">
        <v>0</v>
      </c>
      <c r="J412" s="111" t="b">
        <v>0</v>
      </c>
      <c r="K412" s="111" t="b">
        <v>0</v>
      </c>
      <c r="L412" s="111" t="b">
        <v>0</v>
      </c>
    </row>
    <row r="413" spans="1:12" ht="15">
      <c r="A413" s="113" t="s">
        <v>1218</v>
      </c>
      <c r="B413" s="111" t="s">
        <v>1664</v>
      </c>
      <c r="C413" s="111">
        <v>2</v>
      </c>
      <c r="D413" s="115">
        <v>0.000558811436626611</v>
      </c>
      <c r="E413" s="115">
        <v>3.2542458751053367</v>
      </c>
      <c r="F413" s="111" t="s">
        <v>1990</v>
      </c>
      <c r="G413" s="111" t="b">
        <v>0</v>
      </c>
      <c r="H413" s="111" t="b">
        <v>0</v>
      </c>
      <c r="I413" s="111" t="b">
        <v>0</v>
      </c>
      <c r="J413" s="111" t="b">
        <v>0</v>
      </c>
      <c r="K413" s="111" t="b">
        <v>0</v>
      </c>
      <c r="L413" s="111" t="b">
        <v>0</v>
      </c>
    </row>
    <row r="414" spans="1:12" ht="15">
      <c r="A414" s="113" t="s">
        <v>867</v>
      </c>
      <c r="B414" s="111" t="s">
        <v>958</v>
      </c>
      <c r="C414" s="111">
        <v>2</v>
      </c>
      <c r="D414" s="115">
        <v>0.0004762469836194851</v>
      </c>
      <c r="E414" s="115">
        <v>2.0112078264190423</v>
      </c>
      <c r="F414" s="111" t="s">
        <v>1990</v>
      </c>
      <c r="G414" s="111" t="b">
        <v>0</v>
      </c>
      <c r="H414" s="111" t="b">
        <v>0</v>
      </c>
      <c r="I414" s="111" t="b">
        <v>0</v>
      </c>
      <c r="J414" s="111" t="b">
        <v>0</v>
      </c>
      <c r="K414" s="111" t="b">
        <v>0</v>
      </c>
      <c r="L414" s="111" t="b">
        <v>0</v>
      </c>
    </row>
    <row r="415" spans="1:12" ht="15">
      <c r="A415" s="113" t="s">
        <v>1366</v>
      </c>
      <c r="B415" s="111" t="s">
        <v>847</v>
      </c>
      <c r="C415" s="111">
        <v>2</v>
      </c>
      <c r="D415" s="115">
        <v>0.000558811436626611</v>
      </c>
      <c r="E415" s="115">
        <v>2.1004310107608077</v>
      </c>
      <c r="F415" s="111" t="s">
        <v>1990</v>
      </c>
      <c r="G415" s="111" t="b">
        <v>0</v>
      </c>
      <c r="H415" s="111" t="b">
        <v>0</v>
      </c>
      <c r="I415" s="111" t="b">
        <v>0</v>
      </c>
      <c r="J415" s="111" t="b">
        <v>0</v>
      </c>
      <c r="K415" s="111" t="b">
        <v>0</v>
      </c>
      <c r="L415" s="111" t="b">
        <v>0</v>
      </c>
    </row>
    <row r="416" spans="1:12" ht="15">
      <c r="A416" s="113" t="s">
        <v>847</v>
      </c>
      <c r="B416" s="111" t="s">
        <v>853</v>
      </c>
      <c r="C416" s="111">
        <v>2</v>
      </c>
      <c r="D416" s="115">
        <v>0.0004762469836194851</v>
      </c>
      <c r="E416" s="115">
        <v>1.197341023768864</v>
      </c>
      <c r="F416" s="111" t="s">
        <v>1990</v>
      </c>
      <c r="G416" s="111" t="b">
        <v>0</v>
      </c>
      <c r="H416" s="111" t="b">
        <v>0</v>
      </c>
      <c r="I416" s="111" t="b">
        <v>0</v>
      </c>
      <c r="J416" s="111" t="b">
        <v>0</v>
      </c>
      <c r="K416" s="111" t="b">
        <v>0</v>
      </c>
      <c r="L416" s="111" t="b">
        <v>0</v>
      </c>
    </row>
    <row r="417" spans="1:12" ht="15">
      <c r="A417" s="113" t="s">
        <v>840</v>
      </c>
      <c r="B417" s="111" t="s">
        <v>1675</v>
      </c>
      <c r="C417" s="111">
        <v>2</v>
      </c>
      <c r="D417" s="115">
        <v>0.0004762469836194851</v>
      </c>
      <c r="E417" s="115">
        <v>1.7844238591271735</v>
      </c>
      <c r="F417" s="111" t="s">
        <v>1990</v>
      </c>
      <c r="G417" s="111" t="b">
        <v>0</v>
      </c>
      <c r="H417" s="111" t="b">
        <v>0</v>
      </c>
      <c r="I417" s="111" t="b">
        <v>0</v>
      </c>
      <c r="J417" s="111" t="b">
        <v>0</v>
      </c>
      <c r="K417" s="111" t="b">
        <v>0</v>
      </c>
      <c r="L417" s="111" t="b">
        <v>0</v>
      </c>
    </row>
    <row r="418" spans="1:12" ht="15">
      <c r="A418" s="113" t="s">
        <v>1230</v>
      </c>
      <c r="B418" s="111" t="s">
        <v>853</v>
      </c>
      <c r="C418" s="111">
        <v>2</v>
      </c>
      <c r="D418" s="115">
        <v>0.0004762469836194851</v>
      </c>
      <c r="E418" s="115">
        <v>2.1750646290577116</v>
      </c>
      <c r="F418" s="111" t="s">
        <v>1990</v>
      </c>
      <c r="G418" s="111" t="b">
        <v>0</v>
      </c>
      <c r="H418" s="111" t="b">
        <v>0</v>
      </c>
      <c r="I418" s="111" t="b">
        <v>0</v>
      </c>
      <c r="J418" s="111" t="b">
        <v>0</v>
      </c>
      <c r="K418" s="111" t="b">
        <v>0</v>
      </c>
      <c r="L418" s="111" t="b">
        <v>0</v>
      </c>
    </row>
    <row r="419" spans="1:12" ht="15">
      <c r="A419" s="113" t="s">
        <v>1680</v>
      </c>
      <c r="B419" s="111" t="s">
        <v>951</v>
      </c>
      <c r="C419" s="111">
        <v>2</v>
      </c>
      <c r="D419" s="115">
        <v>0.0004762469836194851</v>
      </c>
      <c r="E419" s="115">
        <v>2.902063356993974</v>
      </c>
      <c r="F419" s="111" t="s">
        <v>1990</v>
      </c>
      <c r="G419" s="111" t="b">
        <v>0</v>
      </c>
      <c r="H419" s="111" t="b">
        <v>0</v>
      </c>
      <c r="I419" s="111" t="b">
        <v>0</v>
      </c>
      <c r="J419" s="111" t="b">
        <v>0</v>
      </c>
      <c r="K419" s="111" t="b">
        <v>0</v>
      </c>
      <c r="L419" s="111" t="b">
        <v>0</v>
      </c>
    </row>
    <row r="420" spans="1:12" ht="15">
      <c r="A420" s="113" t="s">
        <v>1078</v>
      </c>
      <c r="B420" s="111" t="s">
        <v>1375</v>
      </c>
      <c r="C420" s="111">
        <v>2</v>
      </c>
      <c r="D420" s="115">
        <v>0.0004762469836194851</v>
      </c>
      <c r="E420" s="115">
        <v>2.902063356993974</v>
      </c>
      <c r="F420" s="111" t="s">
        <v>1990</v>
      </c>
      <c r="G420" s="111" t="b">
        <v>1</v>
      </c>
      <c r="H420" s="111" t="b">
        <v>0</v>
      </c>
      <c r="I420" s="111" t="b">
        <v>0</v>
      </c>
      <c r="J420" s="111" t="b">
        <v>1</v>
      </c>
      <c r="K420" s="111" t="b">
        <v>0</v>
      </c>
      <c r="L420" s="111" t="b">
        <v>0</v>
      </c>
    </row>
    <row r="421" spans="1:12" ht="15">
      <c r="A421" s="113" t="s">
        <v>1690</v>
      </c>
      <c r="B421" s="111" t="s">
        <v>1053</v>
      </c>
      <c r="C421" s="111">
        <v>2</v>
      </c>
      <c r="D421" s="115">
        <v>0.000558811436626611</v>
      </c>
      <c r="E421" s="115">
        <v>3.0781546160496553</v>
      </c>
      <c r="F421" s="111" t="s">
        <v>1990</v>
      </c>
      <c r="G421" s="111" t="b">
        <v>0</v>
      </c>
      <c r="H421" s="111" t="b">
        <v>0</v>
      </c>
      <c r="I421" s="111" t="b">
        <v>0</v>
      </c>
      <c r="J421" s="111" t="b">
        <v>0</v>
      </c>
      <c r="K421" s="111" t="b">
        <v>0</v>
      </c>
      <c r="L421" s="111" t="b">
        <v>0</v>
      </c>
    </row>
    <row r="422" spans="1:12" ht="15">
      <c r="A422" s="113" t="s">
        <v>846</v>
      </c>
      <c r="B422" s="111" t="s">
        <v>1692</v>
      </c>
      <c r="C422" s="111">
        <v>2</v>
      </c>
      <c r="D422" s="115">
        <v>0.0004762469836194851</v>
      </c>
      <c r="E422" s="115">
        <v>2.2542458751053367</v>
      </c>
      <c r="F422" s="111" t="s">
        <v>1990</v>
      </c>
      <c r="G422" s="111" t="b">
        <v>0</v>
      </c>
      <c r="H422" s="111" t="b">
        <v>0</v>
      </c>
      <c r="I422" s="111" t="b">
        <v>0</v>
      </c>
      <c r="J422" s="111" t="b">
        <v>0</v>
      </c>
      <c r="K422" s="111" t="b">
        <v>0</v>
      </c>
      <c r="L422" s="111" t="b">
        <v>0</v>
      </c>
    </row>
    <row r="423" spans="1:12" ht="15">
      <c r="A423" s="113" t="s">
        <v>1378</v>
      </c>
      <c r="B423" s="111" t="s">
        <v>1379</v>
      </c>
      <c r="C423" s="111">
        <v>2</v>
      </c>
      <c r="D423" s="115">
        <v>0.000558811436626611</v>
      </c>
      <c r="E423" s="115">
        <v>3.2030933526579553</v>
      </c>
      <c r="F423" s="111" t="s">
        <v>1990</v>
      </c>
      <c r="G423" s="111" t="b">
        <v>0</v>
      </c>
      <c r="H423" s="111" t="b">
        <v>0</v>
      </c>
      <c r="I423" s="111" t="b">
        <v>0</v>
      </c>
      <c r="J423" s="111" t="b">
        <v>0</v>
      </c>
      <c r="K423" s="111" t="b">
        <v>0</v>
      </c>
      <c r="L423" s="111" t="b">
        <v>0</v>
      </c>
    </row>
    <row r="424" spans="1:12" ht="15">
      <c r="A424" s="113" t="s">
        <v>1063</v>
      </c>
      <c r="B424" s="111" t="s">
        <v>1338</v>
      </c>
      <c r="C424" s="111">
        <v>2</v>
      </c>
      <c r="D424" s="115">
        <v>0.0004762469836194851</v>
      </c>
      <c r="E424" s="115">
        <v>2.902063356993974</v>
      </c>
      <c r="F424" s="111" t="s">
        <v>1990</v>
      </c>
      <c r="G424" s="111" t="b">
        <v>1</v>
      </c>
      <c r="H424" s="111" t="b">
        <v>0</v>
      </c>
      <c r="I424" s="111" t="b">
        <v>0</v>
      </c>
      <c r="J424" s="111" t="b">
        <v>0</v>
      </c>
      <c r="K424" s="111" t="b">
        <v>1</v>
      </c>
      <c r="L424" s="111" t="b">
        <v>0</v>
      </c>
    </row>
    <row r="425" spans="1:12" ht="15">
      <c r="A425" s="113" t="s">
        <v>1382</v>
      </c>
      <c r="B425" s="111" t="s">
        <v>840</v>
      </c>
      <c r="C425" s="111">
        <v>2</v>
      </c>
      <c r="D425" s="115">
        <v>0.0004762469836194851</v>
      </c>
      <c r="E425" s="115">
        <v>1.601033361329993</v>
      </c>
      <c r="F425" s="111" t="s">
        <v>1990</v>
      </c>
      <c r="G425" s="111" t="b">
        <v>0</v>
      </c>
      <c r="H425" s="111" t="b">
        <v>0</v>
      </c>
      <c r="I425" s="111" t="b">
        <v>0</v>
      </c>
      <c r="J425" s="111" t="b">
        <v>0</v>
      </c>
      <c r="K425" s="111" t="b">
        <v>0</v>
      </c>
      <c r="L425" s="111" t="b">
        <v>0</v>
      </c>
    </row>
    <row r="426" spans="1:12" ht="15">
      <c r="A426" s="113" t="s">
        <v>862</v>
      </c>
      <c r="B426" s="111" t="s">
        <v>1383</v>
      </c>
      <c r="C426" s="111">
        <v>2</v>
      </c>
      <c r="D426" s="115">
        <v>0.0004762469836194851</v>
      </c>
      <c r="E426" s="115">
        <v>2.3579953126436983</v>
      </c>
      <c r="F426" s="111" t="s">
        <v>1990</v>
      </c>
      <c r="G426" s="111" t="b">
        <v>0</v>
      </c>
      <c r="H426" s="111" t="b">
        <v>0</v>
      </c>
      <c r="I426" s="111" t="b">
        <v>0</v>
      </c>
      <c r="J426" s="111" t="b">
        <v>0</v>
      </c>
      <c r="K426" s="111" t="b">
        <v>0</v>
      </c>
      <c r="L426" s="111" t="b">
        <v>0</v>
      </c>
    </row>
    <row r="427" spans="1:12" ht="15">
      <c r="A427" s="113" t="s">
        <v>1240</v>
      </c>
      <c r="B427" s="111" t="s">
        <v>1212</v>
      </c>
      <c r="C427" s="111">
        <v>2</v>
      </c>
      <c r="D427" s="115">
        <v>0.0004762469836194851</v>
      </c>
      <c r="E427" s="115">
        <v>2.9532158794413554</v>
      </c>
      <c r="F427" s="111" t="s">
        <v>1990</v>
      </c>
      <c r="G427" s="111" t="b">
        <v>0</v>
      </c>
      <c r="H427" s="111" t="b">
        <v>0</v>
      </c>
      <c r="I427" s="111" t="b">
        <v>0</v>
      </c>
      <c r="J427" s="111" t="b">
        <v>0</v>
      </c>
      <c r="K427" s="111" t="b">
        <v>0</v>
      </c>
      <c r="L427" s="111" t="b">
        <v>0</v>
      </c>
    </row>
    <row r="428" spans="1:12" ht="15">
      <c r="A428" s="113" t="s">
        <v>847</v>
      </c>
      <c r="B428" s="111" t="s">
        <v>880</v>
      </c>
      <c r="C428" s="111">
        <v>2</v>
      </c>
      <c r="D428" s="115">
        <v>0.0004762469836194851</v>
      </c>
      <c r="E428" s="115">
        <v>1.3734322828245453</v>
      </c>
      <c r="F428" s="111" t="s">
        <v>1990</v>
      </c>
      <c r="G428" s="111" t="b">
        <v>0</v>
      </c>
      <c r="H428" s="111" t="b">
        <v>0</v>
      </c>
      <c r="I428" s="111" t="b">
        <v>0</v>
      </c>
      <c r="J428" s="111" t="b">
        <v>0</v>
      </c>
      <c r="K428" s="111" t="b">
        <v>0</v>
      </c>
      <c r="L428" s="111" t="b">
        <v>0</v>
      </c>
    </row>
    <row r="429" spans="1:12" ht="15">
      <c r="A429" s="113" t="s">
        <v>880</v>
      </c>
      <c r="B429" s="111" t="s">
        <v>896</v>
      </c>
      <c r="C429" s="111">
        <v>2</v>
      </c>
      <c r="D429" s="115">
        <v>0.0004762469836194851</v>
      </c>
      <c r="E429" s="115">
        <v>1.8392725271345187</v>
      </c>
      <c r="F429" s="111" t="s">
        <v>1990</v>
      </c>
      <c r="G429" s="111" t="b">
        <v>0</v>
      </c>
      <c r="H429" s="111" t="b">
        <v>0</v>
      </c>
      <c r="I429" s="111" t="b">
        <v>0</v>
      </c>
      <c r="J429" s="111" t="b">
        <v>0</v>
      </c>
      <c r="K429" s="111" t="b">
        <v>0</v>
      </c>
      <c r="L429" s="111" t="b">
        <v>0</v>
      </c>
    </row>
    <row r="430" spans="1:12" ht="15">
      <c r="A430" s="113" t="s">
        <v>1081</v>
      </c>
      <c r="B430" s="111" t="s">
        <v>1060</v>
      </c>
      <c r="C430" s="111">
        <v>2</v>
      </c>
      <c r="D430" s="115">
        <v>0.0004762469836194851</v>
      </c>
      <c r="E430" s="115">
        <v>2.6010333613299927</v>
      </c>
      <c r="F430" s="111" t="s">
        <v>1990</v>
      </c>
      <c r="G430" s="111" t="b">
        <v>0</v>
      </c>
      <c r="H430" s="111" t="b">
        <v>0</v>
      </c>
      <c r="I430" s="111" t="b">
        <v>0</v>
      </c>
      <c r="J430" s="111" t="b">
        <v>0</v>
      </c>
      <c r="K430" s="111" t="b">
        <v>0</v>
      </c>
      <c r="L430" s="111" t="b">
        <v>0</v>
      </c>
    </row>
    <row r="431" spans="1:12" ht="15">
      <c r="A431" s="113" t="s">
        <v>840</v>
      </c>
      <c r="B431" s="111" t="s">
        <v>1708</v>
      </c>
      <c r="C431" s="111">
        <v>2</v>
      </c>
      <c r="D431" s="115">
        <v>0.000558811436626611</v>
      </c>
      <c r="E431" s="115">
        <v>1.7844238591271735</v>
      </c>
      <c r="F431" s="111" t="s">
        <v>1990</v>
      </c>
      <c r="G431" s="111" t="b">
        <v>0</v>
      </c>
      <c r="H431" s="111" t="b">
        <v>0</v>
      </c>
      <c r="I431" s="111" t="b">
        <v>0</v>
      </c>
      <c r="J431" s="111" t="b">
        <v>0</v>
      </c>
      <c r="K431" s="111" t="b">
        <v>0</v>
      </c>
      <c r="L431" s="111" t="b">
        <v>0</v>
      </c>
    </row>
    <row r="432" spans="1:12" ht="15">
      <c r="A432" s="113" t="s">
        <v>948</v>
      </c>
      <c r="B432" s="111" t="s">
        <v>1104</v>
      </c>
      <c r="C432" s="111">
        <v>2</v>
      </c>
      <c r="D432" s="115">
        <v>0.0004762469836194851</v>
      </c>
      <c r="E432" s="115">
        <v>2.5041233483219365</v>
      </c>
      <c r="F432" s="111" t="s">
        <v>1990</v>
      </c>
      <c r="G432" s="111" t="b">
        <v>0</v>
      </c>
      <c r="H432" s="111" t="b">
        <v>0</v>
      </c>
      <c r="I432" s="111" t="b">
        <v>0</v>
      </c>
      <c r="J432" s="111" t="b">
        <v>0</v>
      </c>
      <c r="K432" s="111" t="b">
        <v>0</v>
      </c>
      <c r="L432" s="111" t="b">
        <v>0</v>
      </c>
    </row>
    <row r="433" spans="1:12" ht="15">
      <c r="A433" s="113" t="s">
        <v>1390</v>
      </c>
      <c r="B433" s="111" t="s">
        <v>874</v>
      </c>
      <c r="C433" s="111">
        <v>2</v>
      </c>
      <c r="D433" s="115">
        <v>0.000558811436626611</v>
      </c>
      <c r="E433" s="115">
        <v>2.4497656859993437</v>
      </c>
      <c r="F433" s="111" t="s">
        <v>1990</v>
      </c>
      <c r="G433" s="111" t="b">
        <v>0</v>
      </c>
      <c r="H433" s="111" t="b">
        <v>0</v>
      </c>
      <c r="I433" s="111" t="b">
        <v>0</v>
      </c>
      <c r="J433" s="111" t="b">
        <v>0</v>
      </c>
      <c r="K433" s="111" t="b">
        <v>0</v>
      </c>
      <c r="L433" s="111" t="b">
        <v>0</v>
      </c>
    </row>
    <row r="434" spans="1:12" ht="15">
      <c r="A434" s="113" t="s">
        <v>874</v>
      </c>
      <c r="B434" s="111" t="s">
        <v>856</v>
      </c>
      <c r="C434" s="111">
        <v>2</v>
      </c>
      <c r="D434" s="115">
        <v>0.000558811436626611</v>
      </c>
      <c r="E434" s="115">
        <v>1.625856945055025</v>
      </c>
      <c r="F434" s="111" t="s">
        <v>1990</v>
      </c>
      <c r="G434" s="111" t="b">
        <v>0</v>
      </c>
      <c r="H434" s="111" t="b">
        <v>0</v>
      </c>
      <c r="I434" s="111" t="b">
        <v>0</v>
      </c>
      <c r="J434" s="111" t="b">
        <v>0</v>
      </c>
      <c r="K434" s="111" t="b">
        <v>0</v>
      </c>
      <c r="L434" s="111" t="b">
        <v>0</v>
      </c>
    </row>
    <row r="435" spans="1:12" ht="15">
      <c r="A435" s="113" t="s">
        <v>856</v>
      </c>
      <c r="B435" s="111" t="s">
        <v>842</v>
      </c>
      <c r="C435" s="111">
        <v>2</v>
      </c>
      <c r="D435" s="115">
        <v>0.000558811436626611</v>
      </c>
      <c r="E435" s="115">
        <v>1.0552453365854435</v>
      </c>
      <c r="F435" s="111" t="s">
        <v>1990</v>
      </c>
      <c r="G435" s="111" t="b">
        <v>0</v>
      </c>
      <c r="H435" s="111" t="b">
        <v>0</v>
      </c>
      <c r="I435" s="111" t="b">
        <v>0</v>
      </c>
      <c r="J435" s="111" t="b">
        <v>0</v>
      </c>
      <c r="K435" s="111" t="b">
        <v>0</v>
      </c>
      <c r="L435" s="111" t="b">
        <v>0</v>
      </c>
    </row>
    <row r="436" spans="1:12" ht="15">
      <c r="A436" s="113" t="s">
        <v>1717</v>
      </c>
      <c r="B436" s="111" t="s">
        <v>1391</v>
      </c>
      <c r="C436" s="111">
        <v>2</v>
      </c>
      <c r="D436" s="115">
        <v>0.000558811436626611</v>
      </c>
      <c r="E436" s="115">
        <v>3.3791846117136366</v>
      </c>
      <c r="F436" s="111" t="s">
        <v>1990</v>
      </c>
      <c r="G436" s="111" t="b">
        <v>0</v>
      </c>
      <c r="H436" s="111" t="b">
        <v>0</v>
      </c>
      <c r="I436" s="111" t="b">
        <v>0</v>
      </c>
      <c r="J436" s="111" t="b">
        <v>0</v>
      </c>
      <c r="K436" s="111" t="b">
        <v>0</v>
      </c>
      <c r="L436" s="111" t="b">
        <v>0</v>
      </c>
    </row>
    <row r="437" spans="1:12" ht="15">
      <c r="A437" s="113" t="s">
        <v>842</v>
      </c>
      <c r="B437" s="111" t="s">
        <v>1142</v>
      </c>
      <c r="C437" s="111">
        <v>2</v>
      </c>
      <c r="D437" s="115">
        <v>0.000558811436626611</v>
      </c>
      <c r="E437" s="115">
        <v>1.7340899881604723</v>
      </c>
      <c r="F437" s="111" t="s">
        <v>1990</v>
      </c>
      <c r="G437" s="111" t="b">
        <v>0</v>
      </c>
      <c r="H437" s="111" t="b">
        <v>0</v>
      </c>
      <c r="I437" s="111" t="b">
        <v>0</v>
      </c>
      <c r="J437" s="111" t="b">
        <v>0</v>
      </c>
      <c r="K437" s="111" t="b">
        <v>0</v>
      </c>
      <c r="L437" s="111" t="b">
        <v>0</v>
      </c>
    </row>
    <row r="438" spans="1:12" ht="15">
      <c r="A438" s="113" t="s">
        <v>1142</v>
      </c>
      <c r="B438" s="111" t="s">
        <v>945</v>
      </c>
      <c r="C438" s="111">
        <v>2</v>
      </c>
      <c r="D438" s="115">
        <v>0.000558811436626611</v>
      </c>
      <c r="E438" s="115">
        <v>2.5041233483219365</v>
      </c>
      <c r="F438" s="111" t="s">
        <v>1990</v>
      </c>
      <c r="G438" s="111" t="b">
        <v>0</v>
      </c>
      <c r="H438" s="111" t="b">
        <v>0</v>
      </c>
      <c r="I438" s="111" t="b">
        <v>0</v>
      </c>
      <c r="J438" s="111" t="b">
        <v>0</v>
      </c>
      <c r="K438" s="111" t="b">
        <v>0</v>
      </c>
      <c r="L438" s="111" t="b">
        <v>0</v>
      </c>
    </row>
    <row r="439" spans="1:12" ht="15">
      <c r="A439" s="113" t="s">
        <v>1106</v>
      </c>
      <c r="B439" s="111" t="s">
        <v>843</v>
      </c>
      <c r="C439" s="111">
        <v>2</v>
      </c>
      <c r="D439" s="115">
        <v>0.000558811436626611</v>
      </c>
      <c r="E439" s="115">
        <v>1.7423625141264623</v>
      </c>
      <c r="F439" s="111" t="s">
        <v>1990</v>
      </c>
      <c r="G439" s="111" t="b">
        <v>0</v>
      </c>
      <c r="H439" s="111" t="b">
        <v>0</v>
      </c>
      <c r="I439" s="111" t="b">
        <v>0</v>
      </c>
      <c r="J439" s="111" t="b">
        <v>0</v>
      </c>
      <c r="K439" s="111" t="b">
        <v>0</v>
      </c>
      <c r="L439" s="111" t="b">
        <v>0</v>
      </c>
    </row>
    <row r="440" spans="1:12" ht="15">
      <c r="A440" s="113" t="s">
        <v>1724</v>
      </c>
      <c r="B440" s="111" t="s">
        <v>1725</v>
      </c>
      <c r="C440" s="111">
        <v>2</v>
      </c>
      <c r="D440" s="115">
        <v>0.000558811436626611</v>
      </c>
      <c r="E440" s="115">
        <v>3.555275870769318</v>
      </c>
      <c r="F440" s="111" t="s">
        <v>1990</v>
      </c>
      <c r="G440" s="111" t="b">
        <v>0</v>
      </c>
      <c r="H440" s="111" t="b">
        <v>0</v>
      </c>
      <c r="I440" s="111" t="b">
        <v>0</v>
      </c>
      <c r="J440" s="111" t="b">
        <v>0</v>
      </c>
      <c r="K440" s="111" t="b">
        <v>0</v>
      </c>
      <c r="L440" s="111" t="b">
        <v>0</v>
      </c>
    </row>
    <row r="441" spans="1:12" ht="15">
      <c r="A441" s="113" t="s">
        <v>1725</v>
      </c>
      <c r="B441" s="111" t="s">
        <v>914</v>
      </c>
      <c r="C441" s="111">
        <v>2</v>
      </c>
      <c r="D441" s="115">
        <v>0.000558811436626611</v>
      </c>
      <c r="E441" s="115">
        <v>2.777124620385674</v>
      </c>
      <c r="F441" s="111" t="s">
        <v>1990</v>
      </c>
      <c r="G441" s="111" t="b">
        <v>0</v>
      </c>
      <c r="H441" s="111" t="b">
        <v>0</v>
      </c>
      <c r="I441" s="111" t="b">
        <v>0</v>
      </c>
      <c r="J441" s="111" t="b">
        <v>0</v>
      </c>
      <c r="K441" s="111" t="b">
        <v>0</v>
      </c>
      <c r="L441" s="111" t="b">
        <v>0</v>
      </c>
    </row>
    <row r="442" spans="1:12" ht="15">
      <c r="A442" s="113" t="s">
        <v>875</v>
      </c>
      <c r="B442" s="111" t="s">
        <v>1394</v>
      </c>
      <c r="C442" s="111">
        <v>2</v>
      </c>
      <c r="D442" s="115">
        <v>0.0004762469836194851</v>
      </c>
      <c r="E442" s="115">
        <v>2.476094624721693</v>
      </c>
      <c r="F442" s="111" t="s">
        <v>1990</v>
      </c>
      <c r="G442" s="111" t="b">
        <v>0</v>
      </c>
      <c r="H442" s="111" t="b">
        <v>1</v>
      </c>
      <c r="I442" s="111" t="b">
        <v>0</v>
      </c>
      <c r="J442" s="111" t="b">
        <v>0</v>
      </c>
      <c r="K442" s="111" t="b">
        <v>0</v>
      </c>
      <c r="L442" s="111" t="b">
        <v>0</v>
      </c>
    </row>
    <row r="443" spans="1:12" ht="15">
      <c r="A443" s="113" t="s">
        <v>1394</v>
      </c>
      <c r="B443" s="111" t="s">
        <v>1726</v>
      </c>
      <c r="C443" s="111">
        <v>2</v>
      </c>
      <c r="D443" s="115">
        <v>0.0004762469836194851</v>
      </c>
      <c r="E443" s="115">
        <v>3.3791846117136366</v>
      </c>
      <c r="F443" s="111" t="s">
        <v>1990</v>
      </c>
      <c r="G443" s="111" t="b">
        <v>0</v>
      </c>
      <c r="H443" s="111" t="b">
        <v>0</v>
      </c>
      <c r="I443" s="111" t="b">
        <v>0</v>
      </c>
      <c r="J443" s="111" t="b">
        <v>0</v>
      </c>
      <c r="K443" s="111" t="b">
        <v>0</v>
      </c>
      <c r="L443" s="111" t="b">
        <v>0</v>
      </c>
    </row>
    <row r="444" spans="1:12" ht="15">
      <c r="A444" s="113" t="s">
        <v>1730</v>
      </c>
      <c r="B444" s="111" t="s">
        <v>1396</v>
      </c>
      <c r="C444" s="111">
        <v>2</v>
      </c>
      <c r="D444" s="115">
        <v>0.0004762469836194851</v>
      </c>
      <c r="E444" s="115">
        <v>3.3791846117136366</v>
      </c>
      <c r="F444" s="111" t="s">
        <v>1990</v>
      </c>
      <c r="G444" s="111" t="b">
        <v>0</v>
      </c>
      <c r="H444" s="111" t="b">
        <v>0</v>
      </c>
      <c r="I444" s="111" t="b">
        <v>0</v>
      </c>
      <c r="J444" s="111" t="b">
        <v>1</v>
      </c>
      <c r="K444" s="111" t="b">
        <v>0</v>
      </c>
      <c r="L444" s="111" t="b">
        <v>0</v>
      </c>
    </row>
    <row r="445" spans="1:12" ht="15">
      <c r="A445" s="113" t="s">
        <v>1735</v>
      </c>
      <c r="B445" s="111" t="s">
        <v>1246</v>
      </c>
      <c r="C445" s="111">
        <v>2</v>
      </c>
      <c r="D445" s="115">
        <v>0.000558811436626611</v>
      </c>
      <c r="E445" s="115">
        <v>3.2542458751053367</v>
      </c>
      <c r="F445" s="111" t="s">
        <v>1990</v>
      </c>
      <c r="G445" s="111" t="b">
        <v>0</v>
      </c>
      <c r="H445" s="111" t="b">
        <v>0</v>
      </c>
      <c r="I445" s="111" t="b">
        <v>0</v>
      </c>
      <c r="J445" s="111" t="b">
        <v>0</v>
      </c>
      <c r="K445" s="111" t="b">
        <v>0</v>
      </c>
      <c r="L445" s="111" t="b">
        <v>0</v>
      </c>
    </row>
    <row r="446" spans="1:12" ht="15">
      <c r="A446" s="113" t="s">
        <v>1246</v>
      </c>
      <c r="B446" s="111" t="s">
        <v>1012</v>
      </c>
      <c r="C446" s="111">
        <v>2</v>
      </c>
      <c r="D446" s="115">
        <v>0.000558811436626611</v>
      </c>
      <c r="E446" s="115">
        <v>2.710177830755061</v>
      </c>
      <c r="F446" s="111" t="s">
        <v>1990</v>
      </c>
      <c r="G446" s="111" t="b">
        <v>0</v>
      </c>
      <c r="H446" s="111" t="b">
        <v>0</v>
      </c>
      <c r="I446" s="111" t="b">
        <v>0</v>
      </c>
      <c r="J446" s="111" t="b">
        <v>0</v>
      </c>
      <c r="K446" s="111" t="b">
        <v>0</v>
      </c>
      <c r="L446" s="111" t="b">
        <v>0</v>
      </c>
    </row>
    <row r="447" spans="1:12" ht="15">
      <c r="A447" s="113" t="s">
        <v>1739</v>
      </c>
      <c r="B447" s="111" t="s">
        <v>1054</v>
      </c>
      <c r="C447" s="111">
        <v>2</v>
      </c>
      <c r="D447" s="115">
        <v>0.0004762469836194851</v>
      </c>
      <c r="E447" s="115">
        <v>3.0781546160496553</v>
      </c>
      <c r="F447" s="111" t="s">
        <v>1990</v>
      </c>
      <c r="G447" s="111" t="b">
        <v>0</v>
      </c>
      <c r="H447" s="111" t="b">
        <v>0</v>
      </c>
      <c r="I447" s="111" t="b">
        <v>0</v>
      </c>
      <c r="J447" s="111" t="b">
        <v>0</v>
      </c>
      <c r="K447" s="111" t="b">
        <v>0</v>
      </c>
      <c r="L447" s="111" t="b">
        <v>0</v>
      </c>
    </row>
    <row r="448" spans="1:12" ht="15">
      <c r="A448" s="113" t="s">
        <v>1056</v>
      </c>
      <c r="B448" s="111" t="s">
        <v>1012</v>
      </c>
      <c r="C448" s="111">
        <v>2</v>
      </c>
      <c r="D448" s="115">
        <v>0.000558811436626611</v>
      </c>
      <c r="E448" s="115">
        <v>2.5340865716993797</v>
      </c>
      <c r="F448" s="111" t="s">
        <v>1990</v>
      </c>
      <c r="G448" s="111" t="b">
        <v>0</v>
      </c>
      <c r="H448" s="111" t="b">
        <v>0</v>
      </c>
      <c r="I448" s="111" t="b">
        <v>0</v>
      </c>
      <c r="J448" s="111" t="b">
        <v>0</v>
      </c>
      <c r="K448" s="111" t="b">
        <v>0</v>
      </c>
      <c r="L448" s="111" t="b">
        <v>0</v>
      </c>
    </row>
    <row r="449" spans="1:12" ht="15">
      <c r="A449" s="113" t="s">
        <v>1094</v>
      </c>
      <c r="B449" s="111" t="s">
        <v>850</v>
      </c>
      <c r="C449" s="111">
        <v>2</v>
      </c>
      <c r="D449" s="115">
        <v>0.0004762469836194851</v>
      </c>
      <c r="E449" s="115">
        <v>1.9670041639269886</v>
      </c>
      <c r="F449" s="111" t="s">
        <v>1990</v>
      </c>
      <c r="G449" s="111" t="b">
        <v>0</v>
      </c>
      <c r="H449" s="111" t="b">
        <v>0</v>
      </c>
      <c r="I449" s="111" t="b">
        <v>0</v>
      </c>
      <c r="J449" s="111" t="b">
        <v>0</v>
      </c>
      <c r="K449" s="111" t="b">
        <v>0</v>
      </c>
      <c r="L449" s="111" t="b">
        <v>0</v>
      </c>
    </row>
    <row r="450" spans="1:12" ht="15">
      <c r="A450" s="113" t="s">
        <v>883</v>
      </c>
      <c r="B450" s="111" t="s">
        <v>1399</v>
      </c>
      <c r="C450" s="111">
        <v>2</v>
      </c>
      <c r="D450" s="115">
        <v>0.000558811436626611</v>
      </c>
      <c r="E450" s="115">
        <v>2.5041233483219365</v>
      </c>
      <c r="F450" s="111" t="s">
        <v>1990</v>
      </c>
      <c r="G450" s="111" t="b">
        <v>0</v>
      </c>
      <c r="H450" s="111" t="b">
        <v>0</v>
      </c>
      <c r="I450" s="111" t="b">
        <v>0</v>
      </c>
      <c r="J450" s="111" t="b">
        <v>0</v>
      </c>
      <c r="K450" s="111" t="b">
        <v>0</v>
      </c>
      <c r="L450" s="111" t="b">
        <v>0</v>
      </c>
    </row>
    <row r="451" spans="1:12" ht="15">
      <c r="A451" s="113" t="s">
        <v>1400</v>
      </c>
      <c r="B451" s="111" t="s">
        <v>850</v>
      </c>
      <c r="C451" s="111">
        <v>2</v>
      </c>
      <c r="D451" s="115">
        <v>0.000558811436626611</v>
      </c>
      <c r="E451" s="115">
        <v>2.188852913543345</v>
      </c>
      <c r="F451" s="111" t="s">
        <v>1990</v>
      </c>
      <c r="G451" s="111" t="b">
        <v>0</v>
      </c>
      <c r="H451" s="111" t="b">
        <v>0</v>
      </c>
      <c r="I451" s="111" t="b">
        <v>0</v>
      </c>
      <c r="J451" s="111" t="b">
        <v>0</v>
      </c>
      <c r="K451" s="111" t="b">
        <v>0</v>
      </c>
      <c r="L451" s="111" t="b">
        <v>0</v>
      </c>
    </row>
    <row r="452" spans="1:12" ht="15">
      <c r="A452" s="113" t="s">
        <v>850</v>
      </c>
      <c r="B452" s="111" t="s">
        <v>1401</v>
      </c>
      <c r="C452" s="111">
        <v>2</v>
      </c>
      <c r="D452" s="115">
        <v>0.000558811436626611</v>
      </c>
      <c r="E452" s="115">
        <v>2.188852913543345</v>
      </c>
      <c r="F452" s="111" t="s">
        <v>1990</v>
      </c>
      <c r="G452" s="111" t="b">
        <v>0</v>
      </c>
      <c r="H452" s="111" t="b">
        <v>0</v>
      </c>
      <c r="I452" s="111" t="b">
        <v>0</v>
      </c>
      <c r="J452" s="111" t="b">
        <v>0</v>
      </c>
      <c r="K452" s="111" t="b">
        <v>0</v>
      </c>
      <c r="L452" s="111" t="b">
        <v>0</v>
      </c>
    </row>
    <row r="453" spans="1:12" ht="15">
      <c r="A453" s="113" t="s">
        <v>1144</v>
      </c>
      <c r="B453" s="111" t="s">
        <v>884</v>
      </c>
      <c r="C453" s="111">
        <v>2</v>
      </c>
      <c r="D453" s="115">
        <v>0.000558811436626611</v>
      </c>
      <c r="E453" s="115">
        <v>2.2822745987055804</v>
      </c>
      <c r="F453" s="111" t="s">
        <v>1990</v>
      </c>
      <c r="G453" s="111" t="b">
        <v>0</v>
      </c>
      <c r="H453" s="111" t="b">
        <v>0</v>
      </c>
      <c r="I453" s="111" t="b">
        <v>0</v>
      </c>
      <c r="J453" s="111" t="b">
        <v>0</v>
      </c>
      <c r="K453" s="111" t="b">
        <v>0</v>
      </c>
      <c r="L453" s="111" t="b">
        <v>0</v>
      </c>
    </row>
    <row r="454" spans="1:12" ht="15">
      <c r="A454" s="113" t="s">
        <v>894</v>
      </c>
      <c r="B454" s="111" t="s">
        <v>915</v>
      </c>
      <c r="C454" s="111">
        <v>2</v>
      </c>
      <c r="D454" s="115">
        <v>0.0004762469836194851</v>
      </c>
      <c r="E454" s="115">
        <v>1.9642112637428184</v>
      </c>
      <c r="F454" s="111" t="s">
        <v>1990</v>
      </c>
      <c r="G454" s="111" t="b">
        <v>0</v>
      </c>
      <c r="H454" s="111" t="b">
        <v>0</v>
      </c>
      <c r="I454" s="111" t="b">
        <v>0</v>
      </c>
      <c r="J454" s="111" t="b">
        <v>0</v>
      </c>
      <c r="K454" s="111" t="b">
        <v>0</v>
      </c>
      <c r="L454" s="111" t="b">
        <v>0</v>
      </c>
    </row>
    <row r="455" spans="1:12" ht="15">
      <c r="A455" s="113" t="s">
        <v>1754</v>
      </c>
      <c r="B455" s="111" t="s">
        <v>1755</v>
      </c>
      <c r="C455" s="111">
        <v>2</v>
      </c>
      <c r="D455" s="115">
        <v>0.0004762469836194851</v>
      </c>
      <c r="E455" s="115">
        <v>3.555275870769318</v>
      </c>
      <c r="F455" s="111" t="s">
        <v>1990</v>
      </c>
      <c r="G455" s="111" t="b">
        <v>0</v>
      </c>
      <c r="H455" s="111" t="b">
        <v>0</v>
      </c>
      <c r="I455" s="111" t="b">
        <v>0</v>
      </c>
      <c r="J455" s="111" t="b">
        <v>0</v>
      </c>
      <c r="K455" s="111" t="b">
        <v>0</v>
      </c>
      <c r="L455" s="111" t="b">
        <v>0</v>
      </c>
    </row>
    <row r="456" spans="1:12" ht="15">
      <c r="A456" s="113" t="s">
        <v>1755</v>
      </c>
      <c r="B456" s="111" t="s">
        <v>1756</v>
      </c>
      <c r="C456" s="111">
        <v>2</v>
      </c>
      <c r="D456" s="115">
        <v>0.0004762469836194851</v>
      </c>
      <c r="E456" s="115">
        <v>3.555275870769318</v>
      </c>
      <c r="F456" s="111" t="s">
        <v>1990</v>
      </c>
      <c r="G456" s="111" t="b">
        <v>0</v>
      </c>
      <c r="H456" s="111" t="b">
        <v>0</v>
      </c>
      <c r="I456" s="111" t="b">
        <v>0</v>
      </c>
      <c r="J456" s="111" t="b">
        <v>0</v>
      </c>
      <c r="K456" s="111" t="b">
        <v>0</v>
      </c>
      <c r="L456" s="111" t="b">
        <v>0</v>
      </c>
    </row>
    <row r="457" spans="1:12" ht="15">
      <c r="A457" s="113" t="s">
        <v>863</v>
      </c>
      <c r="B457" s="111" t="s">
        <v>973</v>
      </c>
      <c r="C457" s="111">
        <v>2</v>
      </c>
      <c r="D457" s="115">
        <v>0.000558811436626611</v>
      </c>
      <c r="E457" s="115">
        <v>1.9320265803714174</v>
      </c>
      <c r="F457" s="111" t="s">
        <v>1990</v>
      </c>
      <c r="G457" s="111" t="b">
        <v>0</v>
      </c>
      <c r="H457" s="111" t="b">
        <v>1</v>
      </c>
      <c r="I457" s="111" t="b">
        <v>0</v>
      </c>
      <c r="J457" s="111" t="b">
        <v>0</v>
      </c>
      <c r="K457" s="111" t="b">
        <v>1</v>
      </c>
      <c r="L457" s="111" t="b">
        <v>0</v>
      </c>
    </row>
    <row r="458" spans="1:12" ht="15">
      <c r="A458" s="113" t="s">
        <v>935</v>
      </c>
      <c r="B458" s="111" t="s">
        <v>840</v>
      </c>
      <c r="C458" s="111">
        <v>2</v>
      </c>
      <c r="D458" s="115">
        <v>0.0004762469836194851</v>
      </c>
      <c r="E458" s="115">
        <v>1.0781546160496553</v>
      </c>
      <c r="F458" s="111" t="s">
        <v>1990</v>
      </c>
      <c r="G458" s="111" t="b">
        <v>0</v>
      </c>
      <c r="H458" s="111" t="b">
        <v>0</v>
      </c>
      <c r="I458" s="111" t="b">
        <v>0</v>
      </c>
      <c r="J458" s="111" t="b">
        <v>0</v>
      </c>
      <c r="K458" s="111" t="b">
        <v>0</v>
      </c>
      <c r="L458" s="111" t="b">
        <v>0</v>
      </c>
    </row>
    <row r="459" spans="1:12" ht="15">
      <c r="A459" s="113" t="s">
        <v>870</v>
      </c>
      <c r="B459" s="111" t="s">
        <v>863</v>
      </c>
      <c r="C459" s="111">
        <v>2</v>
      </c>
      <c r="D459" s="115">
        <v>0.0004762469836194851</v>
      </c>
      <c r="E459" s="115">
        <v>1.6590253083076796</v>
      </c>
      <c r="F459" s="111" t="s">
        <v>1990</v>
      </c>
      <c r="G459" s="111" t="b">
        <v>0</v>
      </c>
      <c r="H459" s="111" t="b">
        <v>0</v>
      </c>
      <c r="I459" s="111" t="b">
        <v>0</v>
      </c>
      <c r="J459" s="111" t="b">
        <v>0</v>
      </c>
      <c r="K459" s="111" t="b">
        <v>1</v>
      </c>
      <c r="L459" s="111" t="b">
        <v>0</v>
      </c>
    </row>
    <row r="460" spans="1:12" ht="15">
      <c r="A460" s="113" t="s">
        <v>1248</v>
      </c>
      <c r="B460" s="111" t="s">
        <v>847</v>
      </c>
      <c r="C460" s="111">
        <v>2</v>
      </c>
      <c r="D460" s="115">
        <v>0.0004762469836194851</v>
      </c>
      <c r="E460" s="115">
        <v>1.9754922741525076</v>
      </c>
      <c r="F460" s="111" t="s">
        <v>1990</v>
      </c>
      <c r="G460" s="111" t="b">
        <v>0</v>
      </c>
      <c r="H460" s="111" t="b">
        <v>0</v>
      </c>
      <c r="I460" s="111" t="b">
        <v>0</v>
      </c>
      <c r="J460" s="111" t="b">
        <v>0</v>
      </c>
      <c r="K460" s="111" t="b">
        <v>0</v>
      </c>
      <c r="L460" s="111" t="b">
        <v>0</v>
      </c>
    </row>
    <row r="461" spans="1:12" ht="15">
      <c r="A461" s="113" t="s">
        <v>1759</v>
      </c>
      <c r="B461" s="111" t="s">
        <v>1760</v>
      </c>
      <c r="C461" s="111">
        <v>2</v>
      </c>
      <c r="D461" s="115">
        <v>0.000558811436626611</v>
      </c>
      <c r="E461" s="115">
        <v>3.555275870769318</v>
      </c>
      <c r="F461" s="111" t="s">
        <v>1990</v>
      </c>
      <c r="G461" s="111" t="b">
        <v>0</v>
      </c>
      <c r="H461" s="111" t="b">
        <v>0</v>
      </c>
      <c r="I461" s="111" t="b">
        <v>0</v>
      </c>
      <c r="J461" s="111" t="b">
        <v>0</v>
      </c>
      <c r="K461" s="111" t="b">
        <v>0</v>
      </c>
      <c r="L461" s="111" t="b">
        <v>0</v>
      </c>
    </row>
    <row r="462" spans="1:12" ht="15">
      <c r="A462" s="113" t="s">
        <v>1760</v>
      </c>
      <c r="B462" s="111" t="s">
        <v>1761</v>
      </c>
      <c r="C462" s="111">
        <v>2</v>
      </c>
      <c r="D462" s="115">
        <v>0.000558811436626611</v>
      </c>
      <c r="E462" s="115">
        <v>3.555275870769318</v>
      </c>
      <c r="F462" s="111" t="s">
        <v>1990</v>
      </c>
      <c r="G462" s="111" t="b">
        <v>0</v>
      </c>
      <c r="H462" s="111" t="b">
        <v>0</v>
      </c>
      <c r="I462" s="111" t="b">
        <v>0</v>
      </c>
      <c r="J462" s="111" t="b">
        <v>0</v>
      </c>
      <c r="K462" s="111" t="b">
        <v>0</v>
      </c>
      <c r="L462" s="111" t="b">
        <v>0</v>
      </c>
    </row>
    <row r="463" spans="1:12" ht="15">
      <c r="A463" s="113" t="s">
        <v>1761</v>
      </c>
      <c r="B463" s="111" t="s">
        <v>1762</v>
      </c>
      <c r="C463" s="111">
        <v>2</v>
      </c>
      <c r="D463" s="115">
        <v>0.000558811436626611</v>
      </c>
      <c r="E463" s="115">
        <v>3.555275870769318</v>
      </c>
      <c r="F463" s="111" t="s">
        <v>1990</v>
      </c>
      <c r="G463" s="111" t="b">
        <v>0</v>
      </c>
      <c r="H463" s="111" t="b">
        <v>0</v>
      </c>
      <c r="I463" s="111" t="b">
        <v>0</v>
      </c>
      <c r="J463" s="111" t="b">
        <v>0</v>
      </c>
      <c r="K463" s="111" t="b">
        <v>0</v>
      </c>
      <c r="L463" s="111" t="b">
        <v>0</v>
      </c>
    </row>
    <row r="464" spans="1:12" ht="15">
      <c r="A464" s="113" t="s">
        <v>1764</v>
      </c>
      <c r="B464" s="111" t="s">
        <v>1765</v>
      </c>
      <c r="C464" s="111">
        <v>2</v>
      </c>
      <c r="D464" s="115">
        <v>0.000558811436626611</v>
      </c>
      <c r="E464" s="115">
        <v>3.555275870769318</v>
      </c>
      <c r="F464" s="111" t="s">
        <v>1990</v>
      </c>
      <c r="G464" s="111" t="b">
        <v>0</v>
      </c>
      <c r="H464" s="111" t="b">
        <v>0</v>
      </c>
      <c r="I464" s="111" t="b">
        <v>0</v>
      </c>
      <c r="J464" s="111" t="b">
        <v>0</v>
      </c>
      <c r="K464" s="111" t="b">
        <v>0</v>
      </c>
      <c r="L464" s="111" t="b">
        <v>0</v>
      </c>
    </row>
    <row r="465" spans="1:12" ht="15">
      <c r="A465" s="113" t="s">
        <v>1765</v>
      </c>
      <c r="B465" s="111" t="s">
        <v>1006</v>
      </c>
      <c r="C465" s="111">
        <v>2</v>
      </c>
      <c r="D465" s="115">
        <v>0.000558811436626611</v>
      </c>
      <c r="E465" s="115">
        <v>3.0112078264190423</v>
      </c>
      <c r="F465" s="111" t="s">
        <v>1990</v>
      </c>
      <c r="G465" s="111" t="b">
        <v>0</v>
      </c>
      <c r="H465" s="111" t="b">
        <v>0</v>
      </c>
      <c r="I465" s="111" t="b">
        <v>0</v>
      </c>
      <c r="J465" s="111" t="b">
        <v>0</v>
      </c>
      <c r="K465" s="111" t="b">
        <v>0</v>
      </c>
      <c r="L465" s="111" t="b">
        <v>0</v>
      </c>
    </row>
    <row r="466" spans="1:12" ht="15">
      <c r="A466" s="113" t="s">
        <v>1006</v>
      </c>
      <c r="B466" s="111" t="s">
        <v>1066</v>
      </c>
      <c r="C466" s="111">
        <v>2</v>
      </c>
      <c r="D466" s="115">
        <v>0.000558811436626611</v>
      </c>
      <c r="E466" s="115">
        <v>2.5340865716993797</v>
      </c>
      <c r="F466" s="111" t="s">
        <v>1990</v>
      </c>
      <c r="G466" s="111" t="b">
        <v>0</v>
      </c>
      <c r="H466" s="111" t="b">
        <v>0</v>
      </c>
      <c r="I466" s="111" t="b">
        <v>0</v>
      </c>
      <c r="J466" s="111" t="b">
        <v>0</v>
      </c>
      <c r="K466" s="111" t="b">
        <v>0</v>
      </c>
      <c r="L466" s="111" t="b">
        <v>0</v>
      </c>
    </row>
    <row r="467" spans="1:12" ht="15">
      <c r="A467" s="113" t="s">
        <v>848</v>
      </c>
      <c r="B467" s="111" t="s">
        <v>863</v>
      </c>
      <c r="C467" s="111">
        <v>2</v>
      </c>
      <c r="D467" s="115">
        <v>0.000558811436626611</v>
      </c>
      <c r="E467" s="115">
        <v>1.2910485230130853</v>
      </c>
      <c r="F467" s="111" t="s">
        <v>1990</v>
      </c>
      <c r="G467" s="111" t="b">
        <v>0</v>
      </c>
      <c r="H467" s="111" t="b">
        <v>0</v>
      </c>
      <c r="I467" s="111" t="b">
        <v>0</v>
      </c>
      <c r="J467" s="111" t="b">
        <v>0</v>
      </c>
      <c r="K467" s="111" t="b">
        <v>1</v>
      </c>
      <c r="L467" s="111" t="b">
        <v>0</v>
      </c>
    </row>
    <row r="468" spans="1:12" ht="15">
      <c r="A468" s="113" t="s">
        <v>845</v>
      </c>
      <c r="B468" s="111" t="s">
        <v>870</v>
      </c>
      <c r="C468" s="111">
        <v>2</v>
      </c>
      <c r="D468" s="115">
        <v>0.0004762469836194851</v>
      </c>
      <c r="E468" s="115">
        <v>1.2435220097135635</v>
      </c>
      <c r="F468" s="111" t="s">
        <v>1990</v>
      </c>
      <c r="G468" s="111" t="b">
        <v>0</v>
      </c>
      <c r="H468" s="111" t="b">
        <v>0</v>
      </c>
      <c r="I468" s="111" t="b">
        <v>0</v>
      </c>
      <c r="J468" s="111" t="b">
        <v>0</v>
      </c>
      <c r="K468" s="111" t="b">
        <v>0</v>
      </c>
      <c r="L468" s="111" t="b">
        <v>0</v>
      </c>
    </row>
    <row r="469" spans="1:12" ht="15">
      <c r="A469" s="113" t="s">
        <v>1407</v>
      </c>
      <c r="B469" s="111" t="s">
        <v>1775</v>
      </c>
      <c r="C469" s="111">
        <v>2</v>
      </c>
      <c r="D469" s="115">
        <v>0.000558811436626611</v>
      </c>
      <c r="E469" s="115">
        <v>3.3791846117136366</v>
      </c>
      <c r="F469" s="111" t="s">
        <v>1990</v>
      </c>
      <c r="G469" s="111" t="b">
        <v>0</v>
      </c>
      <c r="H469" s="111" t="b">
        <v>0</v>
      </c>
      <c r="I469" s="111" t="b">
        <v>0</v>
      </c>
      <c r="J469" s="111" t="b">
        <v>0</v>
      </c>
      <c r="K469" s="111" t="b">
        <v>0</v>
      </c>
      <c r="L469" s="111" t="b">
        <v>0</v>
      </c>
    </row>
    <row r="470" spans="1:12" ht="15">
      <c r="A470" s="113" t="s">
        <v>996</v>
      </c>
      <c r="B470" s="111" t="s">
        <v>914</v>
      </c>
      <c r="C470" s="111">
        <v>2</v>
      </c>
      <c r="D470" s="115">
        <v>0.0004762469836194851</v>
      </c>
      <c r="E470" s="115">
        <v>2.2330565760353984</v>
      </c>
      <c r="F470" s="111" t="s">
        <v>1990</v>
      </c>
      <c r="G470" s="111" t="b">
        <v>0</v>
      </c>
      <c r="H470" s="111" t="b">
        <v>0</v>
      </c>
      <c r="I470" s="111" t="b">
        <v>0</v>
      </c>
      <c r="J470" s="111" t="b">
        <v>0</v>
      </c>
      <c r="K470" s="111" t="b">
        <v>0</v>
      </c>
      <c r="L470" s="111" t="b">
        <v>0</v>
      </c>
    </row>
    <row r="471" spans="1:12" ht="15">
      <c r="A471" s="113" t="s">
        <v>1781</v>
      </c>
      <c r="B471" s="111" t="s">
        <v>1412</v>
      </c>
      <c r="C471" s="111">
        <v>2</v>
      </c>
      <c r="D471" s="115">
        <v>0.000558811436626611</v>
      </c>
      <c r="E471" s="115">
        <v>3.3791846117136366</v>
      </c>
      <c r="F471" s="111" t="s">
        <v>1990</v>
      </c>
      <c r="G471" s="111" t="b">
        <v>0</v>
      </c>
      <c r="H471" s="111" t="b">
        <v>0</v>
      </c>
      <c r="I471" s="111" t="b">
        <v>0</v>
      </c>
      <c r="J471" s="111" t="b">
        <v>0</v>
      </c>
      <c r="K471" s="111" t="b">
        <v>0</v>
      </c>
      <c r="L471" s="111" t="b">
        <v>0</v>
      </c>
    </row>
    <row r="472" spans="1:12" ht="15">
      <c r="A472" s="113" t="s">
        <v>913</v>
      </c>
      <c r="B472" s="111" t="s">
        <v>869</v>
      </c>
      <c r="C472" s="111">
        <v>2</v>
      </c>
      <c r="D472" s="115">
        <v>0.0004762469836194851</v>
      </c>
      <c r="E472" s="115">
        <v>1.777124620385674</v>
      </c>
      <c r="F472" s="111" t="s">
        <v>1990</v>
      </c>
      <c r="G472" s="111" t="b">
        <v>0</v>
      </c>
      <c r="H472" s="111" t="b">
        <v>0</v>
      </c>
      <c r="I472" s="111" t="b">
        <v>0</v>
      </c>
      <c r="J472" s="111" t="b">
        <v>0</v>
      </c>
      <c r="K472" s="111" t="b">
        <v>0</v>
      </c>
      <c r="L472" s="111" t="b">
        <v>0</v>
      </c>
    </row>
    <row r="473" spans="1:12" ht="15">
      <c r="A473" s="113" t="s">
        <v>892</v>
      </c>
      <c r="B473" s="111" t="s">
        <v>841</v>
      </c>
      <c r="C473" s="111">
        <v>2</v>
      </c>
      <c r="D473" s="115">
        <v>0.0004762469836194851</v>
      </c>
      <c r="E473" s="115">
        <v>1.0380799728193435</v>
      </c>
      <c r="F473" s="111" t="s">
        <v>1990</v>
      </c>
      <c r="G473" s="111" t="b">
        <v>0</v>
      </c>
      <c r="H473" s="111" t="b">
        <v>0</v>
      </c>
      <c r="I473" s="111" t="b">
        <v>0</v>
      </c>
      <c r="J473" s="111" t="b">
        <v>0</v>
      </c>
      <c r="K473" s="111" t="b">
        <v>0</v>
      </c>
      <c r="L473" s="111" t="b">
        <v>0</v>
      </c>
    </row>
    <row r="474" spans="1:12" ht="15">
      <c r="A474" s="113" t="s">
        <v>853</v>
      </c>
      <c r="B474" s="111" t="s">
        <v>947</v>
      </c>
      <c r="C474" s="111">
        <v>2</v>
      </c>
      <c r="D474" s="115">
        <v>0.000558811436626611</v>
      </c>
      <c r="E474" s="115">
        <v>1.8051533439859175</v>
      </c>
      <c r="F474" s="111" t="s">
        <v>1990</v>
      </c>
      <c r="G474" s="111" t="b">
        <v>0</v>
      </c>
      <c r="H474" s="111" t="b">
        <v>0</v>
      </c>
      <c r="I474" s="111" t="b">
        <v>0</v>
      </c>
      <c r="J474" s="111" t="b">
        <v>0</v>
      </c>
      <c r="K474" s="111" t="b">
        <v>0</v>
      </c>
      <c r="L474" s="111" t="b">
        <v>0</v>
      </c>
    </row>
    <row r="475" spans="1:12" ht="15">
      <c r="A475" s="113" t="s">
        <v>902</v>
      </c>
      <c r="B475" s="111" t="s">
        <v>1795</v>
      </c>
      <c r="C475" s="111">
        <v>2</v>
      </c>
      <c r="D475" s="115">
        <v>0.000558811436626611</v>
      </c>
      <c r="E475" s="115">
        <v>2.777124620385674</v>
      </c>
      <c r="F475" s="111" t="s">
        <v>1990</v>
      </c>
      <c r="G475" s="111" t="b">
        <v>0</v>
      </c>
      <c r="H475" s="111" t="b">
        <v>0</v>
      </c>
      <c r="I475" s="111" t="b">
        <v>0</v>
      </c>
      <c r="J475" s="111" t="b">
        <v>0</v>
      </c>
      <c r="K475" s="111" t="b">
        <v>0</v>
      </c>
      <c r="L475" s="111" t="b">
        <v>0</v>
      </c>
    </row>
    <row r="476" spans="1:12" ht="15">
      <c r="A476" s="113" t="s">
        <v>1795</v>
      </c>
      <c r="B476" s="111" t="s">
        <v>880</v>
      </c>
      <c r="C476" s="111">
        <v>2</v>
      </c>
      <c r="D476" s="115">
        <v>0.000558811436626611</v>
      </c>
      <c r="E476" s="115">
        <v>2.652185883777374</v>
      </c>
      <c r="F476" s="111" t="s">
        <v>1990</v>
      </c>
      <c r="G476" s="111" t="b">
        <v>0</v>
      </c>
      <c r="H476" s="111" t="b">
        <v>0</v>
      </c>
      <c r="I476" s="111" t="b">
        <v>0</v>
      </c>
      <c r="J476" s="111" t="b">
        <v>0</v>
      </c>
      <c r="K476" s="111" t="b">
        <v>0</v>
      </c>
      <c r="L476" s="111" t="b">
        <v>0</v>
      </c>
    </row>
    <row r="477" spans="1:12" ht="15">
      <c r="A477" s="113" t="s">
        <v>840</v>
      </c>
      <c r="B477" s="111" t="s">
        <v>845</v>
      </c>
      <c r="C477" s="111">
        <v>2</v>
      </c>
      <c r="D477" s="115">
        <v>0.0004762469836194851</v>
      </c>
      <c r="E477" s="115">
        <v>0.47266999807141924</v>
      </c>
      <c r="F477" s="111" t="s">
        <v>1990</v>
      </c>
      <c r="G477" s="111" t="b">
        <v>0</v>
      </c>
      <c r="H477" s="111" t="b">
        <v>0</v>
      </c>
      <c r="I477" s="111" t="b">
        <v>0</v>
      </c>
      <c r="J477" s="111" t="b">
        <v>0</v>
      </c>
      <c r="K477" s="111" t="b">
        <v>0</v>
      </c>
      <c r="L477" s="111" t="b">
        <v>0</v>
      </c>
    </row>
    <row r="478" spans="1:12" ht="15">
      <c r="A478" s="113" t="s">
        <v>1418</v>
      </c>
      <c r="B478" s="111" t="s">
        <v>1801</v>
      </c>
      <c r="C478" s="111">
        <v>2</v>
      </c>
      <c r="D478" s="115">
        <v>0.0004762469836194851</v>
      </c>
      <c r="E478" s="115">
        <v>3.3791846117136366</v>
      </c>
      <c r="F478" s="111" t="s">
        <v>1990</v>
      </c>
      <c r="G478" s="111" t="b">
        <v>0</v>
      </c>
      <c r="H478" s="111" t="b">
        <v>0</v>
      </c>
      <c r="I478" s="111" t="b">
        <v>0</v>
      </c>
      <c r="J478" s="111" t="b">
        <v>0</v>
      </c>
      <c r="K478" s="111" t="b">
        <v>0</v>
      </c>
      <c r="L478" s="111" t="b">
        <v>0</v>
      </c>
    </row>
    <row r="479" spans="1:12" ht="15">
      <c r="A479" s="113" t="s">
        <v>1098</v>
      </c>
      <c r="B479" s="111" t="s">
        <v>1803</v>
      </c>
      <c r="C479" s="111">
        <v>2</v>
      </c>
      <c r="D479" s="115">
        <v>0.0004762469836194851</v>
      </c>
      <c r="E479" s="115">
        <v>3.15733586209728</v>
      </c>
      <c r="F479" s="111" t="s">
        <v>1990</v>
      </c>
      <c r="G479" s="111" t="b">
        <v>0</v>
      </c>
      <c r="H479" s="111" t="b">
        <v>0</v>
      </c>
      <c r="I479" s="111" t="b">
        <v>0</v>
      </c>
      <c r="J479" s="111" t="b">
        <v>0</v>
      </c>
      <c r="K479" s="111" t="b">
        <v>0</v>
      </c>
      <c r="L479" s="111" t="b">
        <v>0</v>
      </c>
    </row>
    <row r="480" spans="1:12" ht="15">
      <c r="A480" s="113" t="s">
        <v>932</v>
      </c>
      <c r="B480" s="111" t="s">
        <v>1252</v>
      </c>
      <c r="C480" s="111">
        <v>2</v>
      </c>
      <c r="D480" s="115">
        <v>0.0004762469836194851</v>
      </c>
      <c r="E480" s="115">
        <v>2.555275870769318</v>
      </c>
      <c r="F480" s="111" t="s">
        <v>1990</v>
      </c>
      <c r="G480" s="111" t="b">
        <v>0</v>
      </c>
      <c r="H480" s="111" t="b">
        <v>0</v>
      </c>
      <c r="I480" s="111" t="b">
        <v>0</v>
      </c>
      <c r="J480" s="111" t="b">
        <v>0</v>
      </c>
      <c r="K480" s="111" t="b">
        <v>0</v>
      </c>
      <c r="L480" s="111" t="b">
        <v>0</v>
      </c>
    </row>
    <row r="481" spans="1:12" ht="15">
      <c r="A481" s="113" t="s">
        <v>1098</v>
      </c>
      <c r="B481" s="111" t="s">
        <v>1424</v>
      </c>
      <c r="C481" s="111">
        <v>2</v>
      </c>
      <c r="D481" s="115">
        <v>0.0004762469836194851</v>
      </c>
      <c r="E481" s="115">
        <v>2.981244603041599</v>
      </c>
      <c r="F481" s="111" t="s">
        <v>1990</v>
      </c>
      <c r="G481" s="111" t="b">
        <v>0</v>
      </c>
      <c r="H481" s="111" t="b">
        <v>0</v>
      </c>
      <c r="I481" s="111" t="b">
        <v>0</v>
      </c>
      <c r="J481" s="111" t="b">
        <v>0</v>
      </c>
      <c r="K481" s="111" t="b">
        <v>0</v>
      </c>
      <c r="L481" s="111" t="b">
        <v>0</v>
      </c>
    </row>
    <row r="482" spans="1:12" ht="15">
      <c r="A482" s="113" t="s">
        <v>1150</v>
      </c>
      <c r="B482" s="111" t="s">
        <v>976</v>
      </c>
      <c r="C482" s="111">
        <v>2</v>
      </c>
      <c r="D482" s="115">
        <v>0.000558811436626611</v>
      </c>
      <c r="E482" s="115">
        <v>2.555275870769318</v>
      </c>
      <c r="F482" s="111" t="s">
        <v>1990</v>
      </c>
      <c r="G482" s="111" t="b">
        <v>0</v>
      </c>
      <c r="H482" s="111" t="b">
        <v>0</v>
      </c>
      <c r="I482" s="111" t="b">
        <v>0</v>
      </c>
      <c r="J482" s="111" t="b">
        <v>0</v>
      </c>
      <c r="K482" s="111" t="b">
        <v>0</v>
      </c>
      <c r="L482" s="111" t="b">
        <v>0</v>
      </c>
    </row>
    <row r="483" spans="1:12" ht="15">
      <c r="A483" s="113" t="s">
        <v>976</v>
      </c>
      <c r="B483" s="111" t="s">
        <v>1241</v>
      </c>
      <c r="C483" s="111">
        <v>2</v>
      </c>
      <c r="D483" s="115">
        <v>0.000558811436626611</v>
      </c>
      <c r="E483" s="115">
        <v>2.652185883777374</v>
      </c>
      <c r="F483" s="111" t="s">
        <v>1990</v>
      </c>
      <c r="G483" s="111" t="b">
        <v>0</v>
      </c>
      <c r="H483" s="111" t="b">
        <v>0</v>
      </c>
      <c r="I483" s="111" t="b">
        <v>0</v>
      </c>
      <c r="J483" s="111" t="b">
        <v>0</v>
      </c>
      <c r="K483" s="111" t="b">
        <v>0</v>
      </c>
      <c r="L483" s="111" t="b">
        <v>0</v>
      </c>
    </row>
    <row r="484" spans="1:12" ht="15">
      <c r="A484" s="113" t="s">
        <v>1241</v>
      </c>
      <c r="B484" s="111" t="s">
        <v>1150</v>
      </c>
      <c r="C484" s="111">
        <v>2</v>
      </c>
      <c r="D484" s="115">
        <v>0.000558811436626611</v>
      </c>
      <c r="E484" s="115">
        <v>2.8563058664332988</v>
      </c>
      <c r="F484" s="111" t="s">
        <v>1990</v>
      </c>
      <c r="G484" s="111" t="b">
        <v>0</v>
      </c>
      <c r="H484" s="111" t="b">
        <v>0</v>
      </c>
      <c r="I484" s="111" t="b">
        <v>0</v>
      </c>
      <c r="J484" s="111" t="b">
        <v>0</v>
      </c>
      <c r="K484" s="111" t="b">
        <v>0</v>
      </c>
      <c r="L484" s="111" t="b">
        <v>0</v>
      </c>
    </row>
    <row r="485" spans="1:12" ht="15">
      <c r="A485" s="113" t="s">
        <v>900</v>
      </c>
      <c r="B485" s="111" t="s">
        <v>1365</v>
      </c>
      <c r="C485" s="111">
        <v>2</v>
      </c>
      <c r="D485" s="115">
        <v>0.0004762469836194851</v>
      </c>
      <c r="E485" s="115">
        <v>2.566271255070781</v>
      </c>
      <c r="F485" s="111" t="s">
        <v>1990</v>
      </c>
      <c r="G485" s="111" t="b">
        <v>0</v>
      </c>
      <c r="H485" s="111" t="b">
        <v>1</v>
      </c>
      <c r="I485" s="111" t="b">
        <v>0</v>
      </c>
      <c r="J485" s="111" t="b">
        <v>0</v>
      </c>
      <c r="K485" s="111" t="b">
        <v>0</v>
      </c>
      <c r="L485" s="111" t="b">
        <v>0</v>
      </c>
    </row>
    <row r="486" spans="1:12" ht="15">
      <c r="A486" s="113" t="s">
        <v>1438</v>
      </c>
      <c r="B486" s="111" t="s">
        <v>1817</v>
      </c>
      <c r="C486" s="111">
        <v>2</v>
      </c>
      <c r="D486" s="115">
        <v>0.000558811436626611</v>
      </c>
      <c r="E486" s="115">
        <v>3.3791846117136366</v>
      </c>
      <c r="F486" s="111" t="s">
        <v>1990</v>
      </c>
      <c r="G486" s="111" t="b">
        <v>0</v>
      </c>
      <c r="H486" s="111" t="b">
        <v>0</v>
      </c>
      <c r="I486" s="111" t="b">
        <v>0</v>
      </c>
      <c r="J486" s="111" t="b">
        <v>0</v>
      </c>
      <c r="K486" s="111" t="b">
        <v>0</v>
      </c>
      <c r="L486" s="111" t="b">
        <v>0</v>
      </c>
    </row>
    <row r="487" spans="1:12" ht="15">
      <c r="A487" s="113" t="s">
        <v>1817</v>
      </c>
      <c r="B487" s="111" t="s">
        <v>1439</v>
      </c>
      <c r="C487" s="111">
        <v>2</v>
      </c>
      <c r="D487" s="115">
        <v>0.000558811436626611</v>
      </c>
      <c r="E487" s="115">
        <v>3.3791846117136366</v>
      </c>
      <c r="F487" s="111" t="s">
        <v>1990</v>
      </c>
      <c r="G487" s="111" t="b">
        <v>0</v>
      </c>
      <c r="H487" s="111" t="b">
        <v>0</v>
      </c>
      <c r="I487" s="111" t="b">
        <v>0</v>
      </c>
      <c r="J487" s="111" t="b">
        <v>0</v>
      </c>
      <c r="K487" s="111" t="b">
        <v>0</v>
      </c>
      <c r="L487" s="111" t="b">
        <v>0</v>
      </c>
    </row>
    <row r="488" spans="1:12" ht="15">
      <c r="A488" s="113" t="s">
        <v>848</v>
      </c>
      <c r="B488" s="111" t="s">
        <v>1136</v>
      </c>
      <c r="C488" s="111">
        <v>2</v>
      </c>
      <c r="D488" s="115">
        <v>0.0004762469836194851</v>
      </c>
      <c r="E488" s="115">
        <v>1.9142978134109858</v>
      </c>
      <c r="F488" s="111" t="s">
        <v>1990</v>
      </c>
      <c r="G488" s="111" t="b">
        <v>0</v>
      </c>
      <c r="H488" s="111" t="b">
        <v>0</v>
      </c>
      <c r="I488" s="111" t="b">
        <v>0</v>
      </c>
      <c r="J488" s="111" t="b">
        <v>0</v>
      </c>
      <c r="K488" s="111" t="b">
        <v>0</v>
      </c>
      <c r="L488" s="111" t="b">
        <v>0</v>
      </c>
    </row>
    <row r="489" spans="1:12" ht="15">
      <c r="A489" s="113" t="s">
        <v>860</v>
      </c>
      <c r="B489" s="111" t="s">
        <v>875</v>
      </c>
      <c r="C489" s="111">
        <v>2</v>
      </c>
      <c r="D489" s="115">
        <v>0.0004762469836194851</v>
      </c>
      <c r="E489" s="115">
        <v>1.610793198619149</v>
      </c>
      <c r="F489" s="111" t="s">
        <v>1990</v>
      </c>
      <c r="G489" s="111" t="b">
        <v>1</v>
      </c>
      <c r="H489" s="111" t="b">
        <v>0</v>
      </c>
      <c r="I489" s="111" t="b">
        <v>0</v>
      </c>
      <c r="J489" s="111" t="b">
        <v>0</v>
      </c>
      <c r="K489" s="111" t="b">
        <v>1</v>
      </c>
      <c r="L489" s="111" t="b">
        <v>0</v>
      </c>
    </row>
    <row r="490" spans="1:12" ht="15">
      <c r="A490" s="113" t="s">
        <v>981</v>
      </c>
      <c r="B490" s="111" t="s">
        <v>1384</v>
      </c>
      <c r="C490" s="111">
        <v>2</v>
      </c>
      <c r="D490" s="115">
        <v>0.000558811436626611</v>
      </c>
      <c r="E490" s="115">
        <v>2.777124620385674</v>
      </c>
      <c r="F490" s="111" t="s">
        <v>1990</v>
      </c>
      <c r="G490" s="111" t="b">
        <v>0</v>
      </c>
      <c r="H490" s="111" t="b">
        <v>0</v>
      </c>
      <c r="I490" s="111" t="b">
        <v>0</v>
      </c>
      <c r="J490" s="111" t="b">
        <v>0</v>
      </c>
      <c r="K490" s="111" t="b">
        <v>0</v>
      </c>
      <c r="L490" s="111" t="b">
        <v>0</v>
      </c>
    </row>
    <row r="491" spans="1:12" ht="15">
      <c r="A491" s="113" t="s">
        <v>1384</v>
      </c>
      <c r="B491" s="111" t="s">
        <v>1820</v>
      </c>
      <c r="C491" s="111">
        <v>2</v>
      </c>
      <c r="D491" s="115">
        <v>0.000558811436626611</v>
      </c>
      <c r="E491" s="115">
        <v>3.3791846117136366</v>
      </c>
      <c r="F491" s="111" t="s">
        <v>1990</v>
      </c>
      <c r="G491" s="111" t="b">
        <v>0</v>
      </c>
      <c r="H491" s="111" t="b">
        <v>0</v>
      </c>
      <c r="I491" s="111" t="b">
        <v>0</v>
      </c>
      <c r="J491" s="111" t="b">
        <v>0</v>
      </c>
      <c r="K491" s="111" t="b">
        <v>0</v>
      </c>
      <c r="L491" s="111" t="b">
        <v>0</v>
      </c>
    </row>
    <row r="492" spans="1:12" ht="15">
      <c r="A492" s="113" t="s">
        <v>1820</v>
      </c>
      <c r="B492" s="111" t="s">
        <v>880</v>
      </c>
      <c r="C492" s="111">
        <v>2</v>
      </c>
      <c r="D492" s="115">
        <v>0.000558811436626611</v>
      </c>
      <c r="E492" s="115">
        <v>2.652185883777374</v>
      </c>
      <c r="F492" s="111" t="s">
        <v>1990</v>
      </c>
      <c r="G492" s="111" t="b">
        <v>0</v>
      </c>
      <c r="H492" s="111" t="b">
        <v>0</v>
      </c>
      <c r="I492" s="111" t="b">
        <v>0</v>
      </c>
      <c r="J492" s="111" t="b">
        <v>0</v>
      </c>
      <c r="K492" s="111" t="b">
        <v>0</v>
      </c>
      <c r="L492" s="111" t="b">
        <v>0</v>
      </c>
    </row>
    <row r="493" spans="1:12" ht="15">
      <c r="A493" s="113" t="s">
        <v>981</v>
      </c>
      <c r="B493" s="111" t="s">
        <v>1442</v>
      </c>
      <c r="C493" s="111">
        <v>2</v>
      </c>
      <c r="D493" s="115">
        <v>0.000558811436626611</v>
      </c>
      <c r="E493" s="115">
        <v>2.777124620385674</v>
      </c>
      <c r="F493" s="111" t="s">
        <v>1990</v>
      </c>
      <c r="G493" s="111" t="b">
        <v>0</v>
      </c>
      <c r="H493" s="111" t="b">
        <v>0</v>
      </c>
      <c r="I493" s="111" t="b">
        <v>0</v>
      </c>
      <c r="J493" s="111" t="b">
        <v>0</v>
      </c>
      <c r="K493" s="111" t="b">
        <v>0</v>
      </c>
      <c r="L493" s="111" t="b">
        <v>0</v>
      </c>
    </row>
    <row r="494" spans="1:12" ht="15">
      <c r="A494" s="113" t="s">
        <v>1442</v>
      </c>
      <c r="B494" s="111" t="s">
        <v>1253</v>
      </c>
      <c r="C494" s="111">
        <v>2</v>
      </c>
      <c r="D494" s="115">
        <v>0.000558811436626611</v>
      </c>
      <c r="E494" s="115">
        <v>3.0781546160496553</v>
      </c>
      <c r="F494" s="111" t="s">
        <v>1990</v>
      </c>
      <c r="G494" s="111" t="b">
        <v>0</v>
      </c>
      <c r="H494" s="111" t="b">
        <v>0</v>
      </c>
      <c r="I494" s="111" t="b">
        <v>0</v>
      </c>
      <c r="J494" s="111" t="b">
        <v>0</v>
      </c>
      <c r="K494" s="111" t="b">
        <v>0</v>
      </c>
      <c r="L494" s="111" t="b">
        <v>0</v>
      </c>
    </row>
    <row r="495" spans="1:12" ht="15">
      <c r="A495" s="113" t="s">
        <v>1443</v>
      </c>
      <c r="B495" s="111" t="s">
        <v>840</v>
      </c>
      <c r="C495" s="111">
        <v>2</v>
      </c>
      <c r="D495" s="115">
        <v>0.000558811436626611</v>
      </c>
      <c r="E495" s="115">
        <v>1.601033361329993</v>
      </c>
      <c r="F495" s="111" t="s">
        <v>1990</v>
      </c>
      <c r="G495" s="111" t="b">
        <v>0</v>
      </c>
      <c r="H495" s="111" t="b">
        <v>0</v>
      </c>
      <c r="I495" s="111" t="b">
        <v>0</v>
      </c>
      <c r="J495" s="111" t="b">
        <v>0</v>
      </c>
      <c r="K495" s="111" t="b">
        <v>0</v>
      </c>
      <c r="L495" s="111" t="b">
        <v>0</v>
      </c>
    </row>
    <row r="496" spans="1:12" ht="15">
      <c r="A496" s="113" t="s">
        <v>1823</v>
      </c>
      <c r="B496" s="111" t="s">
        <v>1824</v>
      </c>
      <c r="C496" s="111">
        <v>2</v>
      </c>
      <c r="D496" s="115">
        <v>0.000558811436626611</v>
      </c>
      <c r="E496" s="115">
        <v>3.555275870769318</v>
      </c>
      <c r="F496" s="111" t="s">
        <v>1990</v>
      </c>
      <c r="G496" s="111" t="b">
        <v>0</v>
      </c>
      <c r="H496" s="111" t="b">
        <v>0</v>
      </c>
      <c r="I496" s="111" t="b">
        <v>0</v>
      </c>
      <c r="J496" s="111" t="b">
        <v>0</v>
      </c>
      <c r="K496" s="111" t="b">
        <v>0</v>
      </c>
      <c r="L496" s="111" t="b">
        <v>0</v>
      </c>
    </row>
    <row r="497" spans="1:12" ht="15">
      <c r="A497" s="113" t="s">
        <v>1825</v>
      </c>
      <c r="B497" s="111" t="s">
        <v>1002</v>
      </c>
      <c r="C497" s="111">
        <v>2</v>
      </c>
      <c r="D497" s="115">
        <v>0.000558811436626611</v>
      </c>
      <c r="E497" s="115">
        <v>3.0112078264190423</v>
      </c>
      <c r="F497" s="111" t="s">
        <v>1990</v>
      </c>
      <c r="G497" s="111" t="b">
        <v>0</v>
      </c>
      <c r="H497" s="111" t="b">
        <v>0</v>
      </c>
      <c r="I497" s="111" t="b">
        <v>0</v>
      </c>
      <c r="J497" s="111" t="b">
        <v>0</v>
      </c>
      <c r="K497" s="111" t="b">
        <v>0</v>
      </c>
      <c r="L497" s="111" t="b">
        <v>0</v>
      </c>
    </row>
    <row r="498" spans="1:12" ht="15">
      <c r="A498" s="113" t="s">
        <v>1828</v>
      </c>
      <c r="B498" s="111" t="s">
        <v>1450</v>
      </c>
      <c r="C498" s="111">
        <v>2</v>
      </c>
      <c r="D498" s="115">
        <v>0.000558811436626611</v>
      </c>
      <c r="E498" s="115">
        <v>3.3791846117136366</v>
      </c>
      <c r="F498" s="111" t="s">
        <v>1990</v>
      </c>
      <c r="G498" s="111" t="b">
        <v>0</v>
      </c>
      <c r="H498" s="111" t="b">
        <v>0</v>
      </c>
      <c r="I498" s="111" t="b">
        <v>0</v>
      </c>
      <c r="J498" s="111" t="b">
        <v>0</v>
      </c>
      <c r="K498" s="111" t="b">
        <v>0</v>
      </c>
      <c r="L498" s="111" t="b">
        <v>0</v>
      </c>
    </row>
    <row r="499" spans="1:12" ht="15">
      <c r="A499" s="113" t="s">
        <v>1831</v>
      </c>
      <c r="B499" s="111" t="s">
        <v>871</v>
      </c>
      <c r="C499" s="111">
        <v>2</v>
      </c>
      <c r="D499" s="115">
        <v>0.000558811436626611</v>
      </c>
      <c r="E499" s="115">
        <v>2.6010333613299927</v>
      </c>
      <c r="F499" s="111" t="s">
        <v>1990</v>
      </c>
      <c r="G499" s="111" t="b">
        <v>0</v>
      </c>
      <c r="H499" s="111" t="b">
        <v>0</v>
      </c>
      <c r="I499" s="111" t="b">
        <v>0</v>
      </c>
      <c r="J499" s="111" t="b">
        <v>0</v>
      </c>
      <c r="K499" s="111" t="b">
        <v>0</v>
      </c>
      <c r="L499" s="111" t="b">
        <v>0</v>
      </c>
    </row>
    <row r="500" spans="1:12" ht="15">
      <c r="A500" s="113" t="s">
        <v>871</v>
      </c>
      <c r="B500" s="111" t="s">
        <v>1419</v>
      </c>
      <c r="C500" s="111">
        <v>2</v>
      </c>
      <c r="D500" s="115">
        <v>0.000558811436626611</v>
      </c>
      <c r="E500" s="115">
        <v>2.4249421022743114</v>
      </c>
      <c r="F500" s="111" t="s">
        <v>1990</v>
      </c>
      <c r="G500" s="111" t="b">
        <v>0</v>
      </c>
      <c r="H500" s="111" t="b">
        <v>0</v>
      </c>
      <c r="I500" s="111" t="b">
        <v>0</v>
      </c>
      <c r="J500" s="111" t="b">
        <v>0</v>
      </c>
      <c r="K500" s="111" t="b">
        <v>0</v>
      </c>
      <c r="L500" s="111" t="b">
        <v>0</v>
      </c>
    </row>
    <row r="501" spans="1:12" ht="15">
      <c r="A501" s="113" t="s">
        <v>881</v>
      </c>
      <c r="B501" s="111" t="s">
        <v>978</v>
      </c>
      <c r="C501" s="111">
        <v>2</v>
      </c>
      <c r="D501" s="115">
        <v>0.0004762469836194851</v>
      </c>
      <c r="E501" s="115">
        <v>2.0781546160496553</v>
      </c>
      <c r="F501" s="111" t="s">
        <v>1990</v>
      </c>
      <c r="G501" s="111" t="b">
        <v>0</v>
      </c>
      <c r="H501" s="111" t="b">
        <v>0</v>
      </c>
      <c r="I501" s="111" t="b">
        <v>0</v>
      </c>
      <c r="J501" s="111" t="b">
        <v>0</v>
      </c>
      <c r="K501" s="111" t="b">
        <v>0</v>
      </c>
      <c r="L501" s="111" t="b">
        <v>0</v>
      </c>
    </row>
    <row r="502" spans="1:12" ht="15">
      <c r="A502" s="113" t="s">
        <v>1260</v>
      </c>
      <c r="B502" s="111" t="s">
        <v>940</v>
      </c>
      <c r="C502" s="111">
        <v>2</v>
      </c>
      <c r="D502" s="115">
        <v>0.000558811436626611</v>
      </c>
      <c r="E502" s="115">
        <v>2.555275870769318</v>
      </c>
      <c r="F502" s="111" t="s">
        <v>1990</v>
      </c>
      <c r="G502" s="111" t="b">
        <v>0</v>
      </c>
      <c r="H502" s="111" t="b">
        <v>0</v>
      </c>
      <c r="I502" s="111" t="b">
        <v>0</v>
      </c>
      <c r="J502" s="111" t="b">
        <v>0</v>
      </c>
      <c r="K502" s="111" t="b">
        <v>0</v>
      </c>
      <c r="L502" s="111" t="b">
        <v>0</v>
      </c>
    </row>
    <row r="503" spans="1:12" ht="15">
      <c r="A503" s="113" t="s">
        <v>916</v>
      </c>
      <c r="B503" s="111" t="s">
        <v>1453</v>
      </c>
      <c r="C503" s="111">
        <v>2</v>
      </c>
      <c r="D503" s="115">
        <v>0.0004762469836194851</v>
      </c>
      <c r="E503" s="115">
        <v>2.6010333613299927</v>
      </c>
      <c r="F503" s="111" t="s">
        <v>1990</v>
      </c>
      <c r="G503" s="111" t="b">
        <v>0</v>
      </c>
      <c r="H503" s="111" t="b">
        <v>0</v>
      </c>
      <c r="I503" s="111" t="b">
        <v>0</v>
      </c>
      <c r="J503" s="111" t="b">
        <v>0</v>
      </c>
      <c r="K503" s="111" t="b">
        <v>0</v>
      </c>
      <c r="L503" s="111" t="b">
        <v>0</v>
      </c>
    </row>
    <row r="504" spans="1:12" ht="15">
      <c r="A504" s="113" t="s">
        <v>920</v>
      </c>
      <c r="B504" s="111" t="s">
        <v>1140</v>
      </c>
      <c r="C504" s="111">
        <v>2</v>
      </c>
      <c r="D504" s="115">
        <v>0.000558811436626611</v>
      </c>
      <c r="E504" s="115">
        <v>2.4169731726030363</v>
      </c>
      <c r="F504" s="111" t="s">
        <v>1990</v>
      </c>
      <c r="G504" s="111" t="b">
        <v>0</v>
      </c>
      <c r="H504" s="111" t="b">
        <v>0</v>
      </c>
      <c r="I504" s="111" t="b">
        <v>0</v>
      </c>
      <c r="J504" s="111" t="b">
        <v>0</v>
      </c>
      <c r="K504" s="111" t="b">
        <v>0</v>
      </c>
      <c r="L504" s="111" t="b">
        <v>0</v>
      </c>
    </row>
    <row r="505" spans="1:12" ht="15">
      <c r="A505" s="113" t="s">
        <v>840</v>
      </c>
      <c r="B505" s="111" t="s">
        <v>908</v>
      </c>
      <c r="C505" s="111">
        <v>2</v>
      </c>
      <c r="D505" s="115">
        <v>0.0004762469836194851</v>
      </c>
      <c r="E505" s="115">
        <v>1.0062726087435299</v>
      </c>
      <c r="F505" s="111" t="s">
        <v>1990</v>
      </c>
      <c r="G505" s="111" t="b">
        <v>0</v>
      </c>
      <c r="H505" s="111" t="b">
        <v>0</v>
      </c>
      <c r="I505" s="111" t="b">
        <v>0</v>
      </c>
      <c r="J505" s="111" t="b">
        <v>0</v>
      </c>
      <c r="K505" s="111" t="b">
        <v>0</v>
      </c>
      <c r="L505" s="111" t="b">
        <v>0</v>
      </c>
    </row>
    <row r="506" spans="1:12" ht="15">
      <c r="A506" s="113" t="s">
        <v>971</v>
      </c>
      <c r="B506" s="111" t="s">
        <v>1848</v>
      </c>
      <c r="C506" s="111">
        <v>2</v>
      </c>
      <c r="D506" s="115">
        <v>0.0004762469836194851</v>
      </c>
      <c r="E506" s="115">
        <v>2.9532158794413554</v>
      </c>
      <c r="F506" s="111" t="s">
        <v>1990</v>
      </c>
      <c r="G506" s="111" t="b">
        <v>0</v>
      </c>
      <c r="H506" s="111" t="b">
        <v>0</v>
      </c>
      <c r="I506" s="111" t="b">
        <v>0</v>
      </c>
      <c r="J506" s="111" t="b">
        <v>0</v>
      </c>
      <c r="K506" s="111" t="b">
        <v>0</v>
      </c>
      <c r="L506" s="111" t="b">
        <v>0</v>
      </c>
    </row>
    <row r="507" spans="1:12" ht="15">
      <c r="A507" s="113" t="s">
        <v>1851</v>
      </c>
      <c r="B507" s="111" t="s">
        <v>840</v>
      </c>
      <c r="C507" s="111">
        <v>2</v>
      </c>
      <c r="D507" s="115">
        <v>0.0004762469836194851</v>
      </c>
      <c r="E507" s="115">
        <v>1.777124620385674</v>
      </c>
      <c r="F507" s="111" t="s">
        <v>1990</v>
      </c>
      <c r="G507" s="111" t="b">
        <v>0</v>
      </c>
      <c r="H507" s="111" t="b">
        <v>0</v>
      </c>
      <c r="I507" s="111" t="b">
        <v>0</v>
      </c>
      <c r="J507" s="111" t="b">
        <v>0</v>
      </c>
      <c r="K507" s="111" t="b">
        <v>0</v>
      </c>
      <c r="L507" s="111" t="b">
        <v>0</v>
      </c>
    </row>
    <row r="508" spans="1:12" ht="15">
      <c r="A508" s="113" t="s">
        <v>840</v>
      </c>
      <c r="B508" s="111" t="s">
        <v>1852</v>
      </c>
      <c r="C508" s="111">
        <v>2</v>
      </c>
      <c r="D508" s="115">
        <v>0.0004762469836194851</v>
      </c>
      <c r="E508" s="115">
        <v>1.7844238591271735</v>
      </c>
      <c r="F508" s="111" t="s">
        <v>1990</v>
      </c>
      <c r="G508" s="111" t="b">
        <v>0</v>
      </c>
      <c r="H508" s="111" t="b">
        <v>0</v>
      </c>
      <c r="I508" s="111" t="b">
        <v>0</v>
      </c>
      <c r="J508" s="111" t="b">
        <v>0</v>
      </c>
      <c r="K508" s="111" t="b">
        <v>0</v>
      </c>
      <c r="L508" s="111" t="b">
        <v>0</v>
      </c>
    </row>
    <row r="509" spans="1:12" ht="15">
      <c r="A509" s="113" t="s">
        <v>1852</v>
      </c>
      <c r="B509" s="111" t="s">
        <v>904</v>
      </c>
      <c r="C509" s="111">
        <v>2</v>
      </c>
      <c r="D509" s="115">
        <v>0.0004762469836194851</v>
      </c>
      <c r="E509" s="115">
        <v>2.7423625141264623</v>
      </c>
      <c r="F509" s="111" t="s">
        <v>1990</v>
      </c>
      <c r="G509" s="111" t="b">
        <v>0</v>
      </c>
      <c r="H509" s="111" t="b">
        <v>0</v>
      </c>
      <c r="I509" s="111" t="b">
        <v>0</v>
      </c>
      <c r="J509" s="111" t="b">
        <v>0</v>
      </c>
      <c r="K509" s="111" t="b">
        <v>0</v>
      </c>
      <c r="L509" s="111" t="b">
        <v>0</v>
      </c>
    </row>
    <row r="510" spans="1:12" ht="15">
      <c r="A510" s="113" t="s">
        <v>917</v>
      </c>
      <c r="B510" s="111" t="s">
        <v>1153</v>
      </c>
      <c r="C510" s="111">
        <v>2</v>
      </c>
      <c r="D510" s="115">
        <v>0.0004762469836194851</v>
      </c>
      <c r="E510" s="115">
        <v>2.3791846117136366</v>
      </c>
      <c r="F510" s="111" t="s">
        <v>1990</v>
      </c>
      <c r="G510" s="111" t="b">
        <v>0</v>
      </c>
      <c r="H510" s="111" t="b">
        <v>0</v>
      </c>
      <c r="I510" s="111" t="b">
        <v>0</v>
      </c>
      <c r="J510" s="111" t="b">
        <v>0</v>
      </c>
      <c r="K510" s="111" t="b">
        <v>0</v>
      </c>
      <c r="L510" s="111" t="b">
        <v>0</v>
      </c>
    </row>
    <row r="511" spans="1:12" ht="15">
      <c r="A511" s="113" t="s">
        <v>1118</v>
      </c>
      <c r="B511" s="111" t="s">
        <v>1853</v>
      </c>
      <c r="C511" s="111">
        <v>2</v>
      </c>
      <c r="D511" s="115">
        <v>0.000558811436626611</v>
      </c>
      <c r="E511" s="115">
        <v>3.15733586209728</v>
      </c>
      <c r="F511" s="111" t="s">
        <v>1990</v>
      </c>
      <c r="G511" s="111" t="b">
        <v>0</v>
      </c>
      <c r="H511" s="111" t="b">
        <v>0</v>
      </c>
      <c r="I511" s="111" t="b">
        <v>0</v>
      </c>
      <c r="J511" s="111" t="b">
        <v>0</v>
      </c>
      <c r="K511" s="111" t="b">
        <v>0</v>
      </c>
      <c r="L511" s="111" t="b">
        <v>0</v>
      </c>
    </row>
    <row r="512" spans="1:12" ht="15">
      <c r="A512" s="113" t="s">
        <v>1153</v>
      </c>
      <c r="B512" s="111" t="s">
        <v>904</v>
      </c>
      <c r="C512" s="111">
        <v>2</v>
      </c>
      <c r="D512" s="115">
        <v>0.0004762469836194851</v>
      </c>
      <c r="E512" s="115">
        <v>2.3444225054544248</v>
      </c>
      <c r="F512" s="111" t="s">
        <v>1990</v>
      </c>
      <c r="G512" s="111" t="b">
        <v>0</v>
      </c>
      <c r="H512" s="111" t="b">
        <v>0</v>
      </c>
      <c r="I512" s="111" t="b">
        <v>0</v>
      </c>
      <c r="J512" s="111" t="b">
        <v>0</v>
      </c>
      <c r="K512" s="111" t="b">
        <v>0</v>
      </c>
      <c r="L512" s="111" t="b">
        <v>0</v>
      </c>
    </row>
    <row r="513" spans="1:12" ht="15">
      <c r="A513" s="113" t="s">
        <v>1856</v>
      </c>
      <c r="B513" s="111" t="s">
        <v>1093</v>
      </c>
      <c r="C513" s="111">
        <v>2</v>
      </c>
      <c r="D513" s="115">
        <v>0.0004762469836194851</v>
      </c>
      <c r="E513" s="115">
        <v>3.15733586209728</v>
      </c>
      <c r="F513" s="111" t="s">
        <v>1990</v>
      </c>
      <c r="G513" s="111" t="b">
        <v>0</v>
      </c>
      <c r="H513" s="111" t="b">
        <v>0</v>
      </c>
      <c r="I513" s="111" t="b">
        <v>0</v>
      </c>
      <c r="J513" s="111" t="b">
        <v>0</v>
      </c>
      <c r="K513" s="111" t="b">
        <v>0</v>
      </c>
      <c r="L513" s="111" t="b">
        <v>0</v>
      </c>
    </row>
    <row r="514" spans="1:12" ht="15">
      <c r="A514" s="113" t="s">
        <v>1093</v>
      </c>
      <c r="B514" s="111" t="s">
        <v>1454</v>
      </c>
      <c r="C514" s="111">
        <v>2</v>
      </c>
      <c r="D514" s="115">
        <v>0.0004762469836194851</v>
      </c>
      <c r="E514" s="115">
        <v>2.981244603041599</v>
      </c>
      <c r="F514" s="111" t="s">
        <v>1990</v>
      </c>
      <c r="G514" s="111" t="b">
        <v>0</v>
      </c>
      <c r="H514" s="111" t="b">
        <v>0</v>
      </c>
      <c r="I514" s="111" t="b">
        <v>0</v>
      </c>
      <c r="J514" s="111" t="b">
        <v>0</v>
      </c>
      <c r="K514" s="111" t="b">
        <v>0</v>
      </c>
      <c r="L514" s="111" t="b">
        <v>0</v>
      </c>
    </row>
    <row r="515" spans="1:12" ht="15">
      <c r="A515" s="113" t="s">
        <v>1454</v>
      </c>
      <c r="B515" s="111" t="s">
        <v>842</v>
      </c>
      <c r="C515" s="111">
        <v>2</v>
      </c>
      <c r="D515" s="115">
        <v>0.0004762469836194851</v>
      </c>
      <c r="E515" s="115">
        <v>1.939851917883374</v>
      </c>
      <c r="F515" s="111" t="s">
        <v>1990</v>
      </c>
      <c r="G515" s="111" t="b">
        <v>0</v>
      </c>
      <c r="H515" s="111" t="b">
        <v>0</v>
      </c>
      <c r="I515" s="111" t="b">
        <v>0</v>
      </c>
      <c r="J515" s="111" t="b">
        <v>0</v>
      </c>
      <c r="K515" s="111" t="b">
        <v>0</v>
      </c>
      <c r="L515" s="111" t="b">
        <v>0</v>
      </c>
    </row>
    <row r="516" spans="1:12" ht="15">
      <c r="A516" s="113" t="s">
        <v>840</v>
      </c>
      <c r="B516" s="111" t="s">
        <v>937</v>
      </c>
      <c r="C516" s="111">
        <v>2</v>
      </c>
      <c r="D516" s="115">
        <v>0.0004762469836194851</v>
      </c>
      <c r="E516" s="115">
        <v>1.0854538547911547</v>
      </c>
      <c r="F516" s="111" t="s">
        <v>1990</v>
      </c>
      <c r="G516" s="111" t="b">
        <v>0</v>
      </c>
      <c r="H516" s="111" t="b">
        <v>0</v>
      </c>
      <c r="I516" s="111" t="b">
        <v>0</v>
      </c>
      <c r="J516" s="111" t="b">
        <v>0</v>
      </c>
      <c r="K516" s="111" t="b">
        <v>0</v>
      </c>
      <c r="L516" s="111" t="b">
        <v>0</v>
      </c>
    </row>
    <row r="517" spans="1:12" ht="15">
      <c r="A517" s="113" t="s">
        <v>1421</v>
      </c>
      <c r="B517" s="111" t="s">
        <v>918</v>
      </c>
      <c r="C517" s="111">
        <v>2</v>
      </c>
      <c r="D517" s="115">
        <v>0.000558811436626611</v>
      </c>
      <c r="E517" s="115">
        <v>2.6010333613299927</v>
      </c>
      <c r="F517" s="111" t="s">
        <v>1990</v>
      </c>
      <c r="G517" s="111" t="b">
        <v>0</v>
      </c>
      <c r="H517" s="111" t="b">
        <v>0</v>
      </c>
      <c r="I517" s="111" t="b">
        <v>0</v>
      </c>
      <c r="J517" s="111" t="b">
        <v>0</v>
      </c>
      <c r="K517" s="111" t="b">
        <v>0</v>
      </c>
      <c r="L517" s="111" t="b">
        <v>0</v>
      </c>
    </row>
    <row r="518" spans="1:12" ht="15">
      <c r="A518" s="113" t="s">
        <v>918</v>
      </c>
      <c r="B518" s="111" t="s">
        <v>1018</v>
      </c>
      <c r="C518" s="111">
        <v>2</v>
      </c>
      <c r="D518" s="115">
        <v>0.000558811436626611</v>
      </c>
      <c r="E518" s="115">
        <v>2.2330565760353984</v>
      </c>
      <c r="F518" s="111" t="s">
        <v>1990</v>
      </c>
      <c r="G518" s="111" t="b">
        <v>0</v>
      </c>
      <c r="H518" s="111" t="b">
        <v>0</v>
      </c>
      <c r="I518" s="111" t="b">
        <v>0</v>
      </c>
      <c r="J518" s="111" t="b">
        <v>0</v>
      </c>
      <c r="K518" s="111" t="b">
        <v>0</v>
      </c>
      <c r="L518" s="111" t="b">
        <v>0</v>
      </c>
    </row>
    <row r="519" spans="1:12" ht="15">
      <c r="A519" s="113" t="s">
        <v>842</v>
      </c>
      <c r="B519" s="111" t="s">
        <v>917</v>
      </c>
      <c r="C519" s="111">
        <v>2</v>
      </c>
      <c r="D519" s="115">
        <v>0.0004762469836194851</v>
      </c>
      <c r="E519" s="115">
        <v>1.3538787464488662</v>
      </c>
      <c r="F519" s="111" t="s">
        <v>1990</v>
      </c>
      <c r="G519" s="111" t="b">
        <v>0</v>
      </c>
      <c r="H519" s="111" t="b">
        <v>0</v>
      </c>
      <c r="I519" s="111" t="b">
        <v>0</v>
      </c>
      <c r="J519" s="111" t="b">
        <v>0</v>
      </c>
      <c r="K519" s="111" t="b">
        <v>0</v>
      </c>
      <c r="L519" s="111" t="b">
        <v>0</v>
      </c>
    </row>
    <row r="520" spans="1:12" ht="15">
      <c r="A520" s="113" t="s">
        <v>916</v>
      </c>
      <c r="B520" s="111" t="s">
        <v>881</v>
      </c>
      <c r="C520" s="111">
        <v>2</v>
      </c>
      <c r="D520" s="115">
        <v>0.000558811436626611</v>
      </c>
      <c r="E520" s="115">
        <v>1.8740346333937306</v>
      </c>
      <c r="F520" s="111" t="s">
        <v>1990</v>
      </c>
      <c r="G520" s="111" t="b">
        <v>0</v>
      </c>
      <c r="H520" s="111" t="b">
        <v>0</v>
      </c>
      <c r="I520" s="111" t="b">
        <v>0</v>
      </c>
      <c r="J520" s="111" t="b">
        <v>0</v>
      </c>
      <c r="K520" s="111" t="b">
        <v>0</v>
      </c>
      <c r="L520" s="111" t="b">
        <v>0</v>
      </c>
    </row>
    <row r="521" spans="1:12" ht="15">
      <c r="A521" s="113" t="s">
        <v>974</v>
      </c>
      <c r="B521" s="111" t="s">
        <v>1210</v>
      </c>
      <c r="C521" s="111">
        <v>2</v>
      </c>
      <c r="D521" s="115">
        <v>0.0004762469836194851</v>
      </c>
      <c r="E521" s="115">
        <v>2.652185883777374</v>
      </c>
      <c r="F521" s="111" t="s">
        <v>1990</v>
      </c>
      <c r="G521" s="111" t="b">
        <v>1</v>
      </c>
      <c r="H521" s="111" t="b">
        <v>0</v>
      </c>
      <c r="I521" s="111" t="b">
        <v>0</v>
      </c>
      <c r="J521" s="111" t="b">
        <v>0</v>
      </c>
      <c r="K521" s="111" t="b">
        <v>0</v>
      </c>
      <c r="L521" s="111" t="b">
        <v>0</v>
      </c>
    </row>
    <row r="522" spans="1:12" ht="15">
      <c r="A522" s="113" t="s">
        <v>1457</v>
      </c>
      <c r="B522" s="111" t="s">
        <v>1263</v>
      </c>
      <c r="C522" s="111">
        <v>2</v>
      </c>
      <c r="D522" s="115">
        <v>0.000558811436626611</v>
      </c>
      <c r="E522" s="115">
        <v>3.0781546160496553</v>
      </c>
      <c r="F522" s="111" t="s">
        <v>1990</v>
      </c>
      <c r="G522" s="111" t="b">
        <v>0</v>
      </c>
      <c r="H522" s="111" t="b">
        <v>0</v>
      </c>
      <c r="I522" s="111" t="b">
        <v>0</v>
      </c>
      <c r="J522" s="111" t="b">
        <v>0</v>
      </c>
      <c r="K522" s="111" t="b">
        <v>0</v>
      </c>
      <c r="L522" s="111" t="b">
        <v>0</v>
      </c>
    </row>
    <row r="523" spans="1:12" ht="15">
      <c r="A523" s="113" t="s">
        <v>1870</v>
      </c>
      <c r="B523" s="111" t="s">
        <v>977</v>
      </c>
      <c r="C523" s="111">
        <v>2</v>
      </c>
      <c r="D523" s="115">
        <v>0.0004762469836194851</v>
      </c>
      <c r="E523" s="115">
        <v>2.9532158794413554</v>
      </c>
      <c r="F523" s="111" t="s">
        <v>1990</v>
      </c>
      <c r="G523" s="111" t="b">
        <v>0</v>
      </c>
      <c r="H523" s="111" t="b">
        <v>0</v>
      </c>
      <c r="I523" s="111" t="b">
        <v>0</v>
      </c>
      <c r="J523" s="111" t="b">
        <v>0</v>
      </c>
      <c r="K523" s="111" t="b">
        <v>0</v>
      </c>
      <c r="L523" s="111" t="b">
        <v>0</v>
      </c>
    </row>
    <row r="524" spans="1:12" ht="15">
      <c r="A524" s="113" t="s">
        <v>977</v>
      </c>
      <c r="B524" s="111" t="s">
        <v>1264</v>
      </c>
      <c r="C524" s="111">
        <v>2</v>
      </c>
      <c r="D524" s="115">
        <v>0.0004762469836194851</v>
      </c>
      <c r="E524" s="115">
        <v>2.652185883777374</v>
      </c>
      <c r="F524" s="111" t="s">
        <v>1990</v>
      </c>
      <c r="G524" s="111" t="b">
        <v>0</v>
      </c>
      <c r="H524" s="111" t="b">
        <v>0</v>
      </c>
      <c r="I524" s="111" t="b">
        <v>0</v>
      </c>
      <c r="J524" s="111" t="b">
        <v>0</v>
      </c>
      <c r="K524" s="111" t="b">
        <v>0</v>
      </c>
      <c r="L524" s="111" t="b">
        <v>0</v>
      </c>
    </row>
    <row r="525" spans="1:12" ht="15">
      <c r="A525" s="113" t="s">
        <v>1264</v>
      </c>
      <c r="B525" s="111" t="s">
        <v>1264</v>
      </c>
      <c r="C525" s="111">
        <v>2</v>
      </c>
      <c r="D525" s="115">
        <v>0.0004762469836194851</v>
      </c>
      <c r="E525" s="115">
        <v>2.9532158794413554</v>
      </c>
      <c r="F525" s="111" t="s">
        <v>1990</v>
      </c>
      <c r="G525" s="111" t="b">
        <v>0</v>
      </c>
      <c r="H525" s="111" t="b">
        <v>0</v>
      </c>
      <c r="I525" s="111" t="b">
        <v>0</v>
      </c>
      <c r="J525" s="111" t="b">
        <v>0</v>
      </c>
      <c r="K525" s="111" t="b">
        <v>0</v>
      </c>
      <c r="L525" s="111" t="b">
        <v>0</v>
      </c>
    </row>
    <row r="526" spans="1:12" ht="15">
      <c r="A526" s="113" t="s">
        <v>1264</v>
      </c>
      <c r="B526" s="111" t="s">
        <v>1469</v>
      </c>
      <c r="C526" s="111">
        <v>2</v>
      </c>
      <c r="D526" s="115">
        <v>0.0004762469836194851</v>
      </c>
      <c r="E526" s="115">
        <v>3.0781546160496553</v>
      </c>
      <c r="F526" s="111" t="s">
        <v>1990</v>
      </c>
      <c r="G526" s="111" t="b">
        <v>0</v>
      </c>
      <c r="H526" s="111" t="b">
        <v>0</v>
      </c>
      <c r="I526" s="111" t="b">
        <v>0</v>
      </c>
      <c r="J526" s="111" t="b">
        <v>0</v>
      </c>
      <c r="K526" s="111" t="b">
        <v>0</v>
      </c>
      <c r="L526" s="111" t="b">
        <v>0</v>
      </c>
    </row>
    <row r="527" spans="1:12" ht="15">
      <c r="A527" s="113" t="s">
        <v>1469</v>
      </c>
      <c r="B527" s="111" t="s">
        <v>866</v>
      </c>
      <c r="C527" s="111">
        <v>2</v>
      </c>
      <c r="D527" s="115">
        <v>0.0004762469836194851</v>
      </c>
      <c r="E527" s="115">
        <v>2.3579953126436983</v>
      </c>
      <c r="F527" s="111" t="s">
        <v>1990</v>
      </c>
      <c r="G527" s="111" t="b">
        <v>0</v>
      </c>
      <c r="H527" s="111" t="b">
        <v>0</v>
      </c>
      <c r="I527" s="111" t="b">
        <v>0</v>
      </c>
      <c r="J527" s="111" t="b">
        <v>0</v>
      </c>
      <c r="K527" s="111" t="b">
        <v>0</v>
      </c>
      <c r="L527" s="111" t="b">
        <v>0</v>
      </c>
    </row>
    <row r="528" spans="1:12" ht="15">
      <c r="A528" s="113" t="s">
        <v>842</v>
      </c>
      <c r="B528" s="111" t="s">
        <v>1139</v>
      </c>
      <c r="C528" s="111">
        <v>2</v>
      </c>
      <c r="D528" s="115">
        <v>0.000558811436626611</v>
      </c>
      <c r="E528" s="115">
        <v>1.7340899881604723</v>
      </c>
      <c r="F528" s="111" t="s">
        <v>1990</v>
      </c>
      <c r="G528" s="111" t="b">
        <v>0</v>
      </c>
      <c r="H528" s="111" t="b">
        <v>0</v>
      </c>
      <c r="I528" s="111" t="b">
        <v>0</v>
      </c>
      <c r="J528" s="111" t="b">
        <v>0</v>
      </c>
      <c r="K528" s="111" t="b">
        <v>0</v>
      </c>
      <c r="L528" s="111" t="b">
        <v>0</v>
      </c>
    </row>
    <row r="529" spans="1:12" ht="15">
      <c r="A529" s="113" t="s">
        <v>1139</v>
      </c>
      <c r="B529" s="111" t="s">
        <v>940</v>
      </c>
      <c r="C529" s="111">
        <v>2</v>
      </c>
      <c r="D529" s="115">
        <v>0.000558811436626611</v>
      </c>
      <c r="E529" s="115">
        <v>2.4583658577612613</v>
      </c>
      <c r="F529" s="111" t="s">
        <v>1990</v>
      </c>
      <c r="G529" s="111" t="b">
        <v>0</v>
      </c>
      <c r="H529" s="111" t="b">
        <v>0</v>
      </c>
      <c r="I529" s="111" t="b">
        <v>0</v>
      </c>
      <c r="J529" s="111" t="b">
        <v>0</v>
      </c>
      <c r="K529" s="111" t="b">
        <v>0</v>
      </c>
      <c r="L529" s="111" t="b">
        <v>0</v>
      </c>
    </row>
    <row r="530" spans="1:12" ht="15">
      <c r="A530" s="113" t="s">
        <v>1147</v>
      </c>
      <c r="B530" s="111" t="s">
        <v>1239</v>
      </c>
      <c r="C530" s="111">
        <v>2</v>
      </c>
      <c r="D530" s="115">
        <v>0.000558811436626611</v>
      </c>
      <c r="E530" s="115">
        <v>2.8563058664332988</v>
      </c>
      <c r="F530" s="111" t="s">
        <v>1990</v>
      </c>
      <c r="G530" s="111" t="b">
        <v>0</v>
      </c>
      <c r="H530" s="111" t="b">
        <v>0</v>
      </c>
      <c r="I530" s="111" t="b">
        <v>0</v>
      </c>
      <c r="J530" s="111" t="b">
        <v>0</v>
      </c>
      <c r="K530" s="111" t="b">
        <v>0</v>
      </c>
      <c r="L530" s="111" t="b">
        <v>0</v>
      </c>
    </row>
    <row r="531" spans="1:12" ht="15">
      <c r="A531" s="113" t="s">
        <v>1239</v>
      </c>
      <c r="B531" s="111" t="s">
        <v>1877</v>
      </c>
      <c r="C531" s="111">
        <v>2</v>
      </c>
      <c r="D531" s="115">
        <v>0.000558811436626611</v>
      </c>
      <c r="E531" s="115">
        <v>3.2542458751053367</v>
      </c>
      <c r="F531" s="111" t="s">
        <v>1990</v>
      </c>
      <c r="G531" s="111" t="b">
        <v>0</v>
      </c>
      <c r="H531" s="111" t="b">
        <v>0</v>
      </c>
      <c r="I531" s="111" t="b">
        <v>0</v>
      </c>
      <c r="J531" s="111" t="b">
        <v>0</v>
      </c>
      <c r="K531" s="111" t="b">
        <v>0</v>
      </c>
      <c r="L531" s="111" t="b">
        <v>0</v>
      </c>
    </row>
    <row r="532" spans="1:12" ht="15">
      <c r="A532" s="113" t="s">
        <v>1877</v>
      </c>
      <c r="B532" s="111" t="s">
        <v>1473</v>
      </c>
      <c r="C532" s="111">
        <v>2</v>
      </c>
      <c r="D532" s="115">
        <v>0.000558811436626611</v>
      </c>
      <c r="E532" s="115">
        <v>3.3791846117136366</v>
      </c>
      <c r="F532" s="111" t="s">
        <v>1990</v>
      </c>
      <c r="G532" s="111" t="b">
        <v>0</v>
      </c>
      <c r="H532" s="111" t="b">
        <v>0</v>
      </c>
      <c r="I532" s="111" t="b">
        <v>0</v>
      </c>
      <c r="J532" s="111" t="b">
        <v>0</v>
      </c>
      <c r="K532" s="111" t="b">
        <v>0</v>
      </c>
      <c r="L532" s="111" t="b">
        <v>0</v>
      </c>
    </row>
    <row r="533" spans="1:12" ht="15">
      <c r="A533" s="113" t="s">
        <v>1266</v>
      </c>
      <c r="B533" s="111" t="s">
        <v>1878</v>
      </c>
      <c r="C533" s="111">
        <v>2</v>
      </c>
      <c r="D533" s="115">
        <v>0.000558811436626611</v>
      </c>
      <c r="E533" s="115">
        <v>3.2542458751053367</v>
      </c>
      <c r="F533" s="111" t="s">
        <v>1990</v>
      </c>
      <c r="G533" s="111" t="b">
        <v>0</v>
      </c>
      <c r="H533" s="111" t="b">
        <v>0</v>
      </c>
      <c r="I533" s="111" t="b">
        <v>0</v>
      </c>
      <c r="J533" s="111" t="b">
        <v>0</v>
      </c>
      <c r="K533" s="111" t="b">
        <v>0</v>
      </c>
      <c r="L533" s="111" t="b">
        <v>0</v>
      </c>
    </row>
    <row r="534" spans="1:12" ht="15">
      <c r="A534" s="113" t="s">
        <v>1878</v>
      </c>
      <c r="B534" s="111" t="s">
        <v>1879</v>
      </c>
      <c r="C534" s="111">
        <v>2</v>
      </c>
      <c r="D534" s="115">
        <v>0.000558811436626611</v>
      </c>
      <c r="E534" s="115">
        <v>3.555275870769318</v>
      </c>
      <c r="F534" s="111" t="s">
        <v>1990</v>
      </c>
      <c r="G534" s="111" t="b">
        <v>0</v>
      </c>
      <c r="H534" s="111" t="b">
        <v>0</v>
      </c>
      <c r="I534" s="111" t="b">
        <v>0</v>
      </c>
      <c r="J534" s="111" t="b">
        <v>0</v>
      </c>
      <c r="K534" s="111" t="b">
        <v>0</v>
      </c>
      <c r="L534" s="111" t="b">
        <v>0</v>
      </c>
    </row>
    <row r="535" spans="1:12" ht="15">
      <c r="A535" s="113" t="s">
        <v>980</v>
      </c>
      <c r="B535" s="111" t="s">
        <v>1880</v>
      </c>
      <c r="C535" s="111">
        <v>2</v>
      </c>
      <c r="D535" s="115">
        <v>0.000558811436626611</v>
      </c>
      <c r="E535" s="115">
        <v>2.9532158794413554</v>
      </c>
      <c r="F535" s="111" t="s">
        <v>1990</v>
      </c>
      <c r="G535" s="111" t="b">
        <v>0</v>
      </c>
      <c r="H535" s="111" t="b">
        <v>0</v>
      </c>
      <c r="I535" s="111" t="b">
        <v>0</v>
      </c>
      <c r="J535" s="111" t="b">
        <v>0</v>
      </c>
      <c r="K535" s="111" t="b">
        <v>0</v>
      </c>
      <c r="L535" s="111" t="b">
        <v>0</v>
      </c>
    </row>
    <row r="536" spans="1:12" ht="15">
      <c r="A536" s="113" t="s">
        <v>913</v>
      </c>
      <c r="B536" s="111" t="s">
        <v>1107</v>
      </c>
      <c r="C536" s="111">
        <v>2</v>
      </c>
      <c r="D536" s="115">
        <v>0.000558811436626611</v>
      </c>
      <c r="E536" s="115">
        <v>2.3791846117136366</v>
      </c>
      <c r="F536" s="111" t="s">
        <v>1990</v>
      </c>
      <c r="G536" s="111" t="b">
        <v>0</v>
      </c>
      <c r="H536" s="111" t="b">
        <v>0</v>
      </c>
      <c r="I536" s="111" t="b">
        <v>0</v>
      </c>
      <c r="J536" s="111" t="b">
        <v>0</v>
      </c>
      <c r="K536" s="111" t="b">
        <v>0</v>
      </c>
      <c r="L536" s="111" t="b">
        <v>0</v>
      </c>
    </row>
    <row r="537" spans="1:12" ht="15">
      <c r="A537" s="113" t="s">
        <v>1107</v>
      </c>
      <c r="B537" s="111" t="s">
        <v>858</v>
      </c>
      <c r="C537" s="111">
        <v>2</v>
      </c>
      <c r="D537" s="115">
        <v>0.000558811436626611</v>
      </c>
      <c r="E537" s="115">
        <v>2.0966380217436686</v>
      </c>
      <c r="F537" s="111" t="s">
        <v>1990</v>
      </c>
      <c r="G537" s="111" t="b">
        <v>0</v>
      </c>
      <c r="H537" s="111" t="b">
        <v>0</v>
      </c>
      <c r="I537" s="111" t="b">
        <v>0</v>
      </c>
      <c r="J537" s="111" t="b">
        <v>0</v>
      </c>
      <c r="K537" s="111" t="b">
        <v>0</v>
      </c>
      <c r="L537" s="111" t="b">
        <v>0</v>
      </c>
    </row>
    <row r="538" spans="1:12" ht="15">
      <c r="A538" s="113" t="s">
        <v>1893</v>
      </c>
      <c r="B538" s="111" t="s">
        <v>859</v>
      </c>
      <c r="C538" s="111">
        <v>2</v>
      </c>
      <c r="D538" s="115">
        <v>0.000558811436626611</v>
      </c>
      <c r="E538" s="115">
        <v>2.494578030415706</v>
      </c>
      <c r="F538" s="111" t="s">
        <v>1990</v>
      </c>
      <c r="G538" s="111" t="b">
        <v>0</v>
      </c>
      <c r="H538" s="111" t="b">
        <v>1</v>
      </c>
      <c r="I538" s="111" t="b">
        <v>0</v>
      </c>
      <c r="J538" s="111" t="b">
        <v>0</v>
      </c>
      <c r="K538" s="111" t="b">
        <v>0</v>
      </c>
      <c r="L538" s="111" t="b">
        <v>0</v>
      </c>
    </row>
    <row r="539" spans="1:12" ht="15">
      <c r="A539" s="113" t="s">
        <v>1894</v>
      </c>
      <c r="B539" s="111" t="s">
        <v>901</v>
      </c>
      <c r="C539" s="111">
        <v>2</v>
      </c>
      <c r="D539" s="115">
        <v>0.000558811436626611</v>
      </c>
      <c r="E539" s="115">
        <v>2.7423625141264623</v>
      </c>
      <c r="F539" s="111" t="s">
        <v>1990</v>
      </c>
      <c r="G539" s="111" t="b">
        <v>0</v>
      </c>
      <c r="H539" s="111" t="b">
        <v>0</v>
      </c>
      <c r="I539" s="111" t="b">
        <v>0</v>
      </c>
      <c r="J539" s="111" t="b">
        <v>0</v>
      </c>
      <c r="K539" s="111" t="b">
        <v>0</v>
      </c>
      <c r="L539" s="111" t="b">
        <v>0</v>
      </c>
    </row>
    <row r="540" spans="1:12" ht="15">
      <c r="A540" s="113" t="s">
        <v>859</v>
      </c>
      <c r="B540" s="111" t="s">
        <v>905</v>
      </c>
      <c r="C540" s="111">
        <v>2</v>
      </c>
      <c r="D540" s="115">
        <v>0.000558811436626611</v>
      </c>
      <c r="E540" s="115">
        <v>1.6816646737728504</v>
      </c>
      <c r="F540" s="111" t="s">
        <v>1990</v>
      </c>
      <c r="G540" s="111" t="b">
        <v>0</v>
      </c>
      <c r="H540" s="111" t="b">
        <v>0</v>
      </c>
      <c r="I540" s="111" t="b">
        <v>0</v>
      </c>
      <c r="J540" s="111" t="b">
        <v>0</v>
      </c>
      <c r="K540" s="111" t="b">
        <v>0</v>
      </c>
      <c r="L540" s="111" t="b">
        <v>0</v>
      </c>
    </row>
    <row r="541" spans="1:12" ht="15">
      <c r="A541" s="113" t="s">
        <v>858</v>
      </c>
      <c r="B541" s="111" t="s">
        <v>873</v>
      </c>
      <c r="C541" s="111">
        <v>2</v>
      </c>
      <c r="D541" s="115">
        <v>0.000558811436626611</v>
      </c>
      <c r="E541" s="115">
        <v>1.5914880434237626</v>
      </c>
      <c r="F541" s="111" t="s">
        <v>1990</v>
      </c>
      <c r="G541" s="111" t="b">
        <v>0</v>
      </c>
      <c r="H541" s="111" t="b">
        <v>0</v>
      </c>
      <c r="I541" s="111" t="b">
        <v>0</v>
      </c>
      <c r="J541" s="111" t="b">
        <v>0</v>
      </c>
      <c r="K541" s="111" t="b">
        <v>0</v>
      </c>
      <c r="L541" s="111" t="b">
        <v>0</v>
      </c>
    </row>
    <row r="542" spans="1:12" ht="15">
      <c r="A542" s="113" t="s">
        <v>873</v>
      </c>
      <c r="B542" s="111" t="s">
        <v>1477</v>
      </c>
      <c r="C542" s="111">
        <v>2</v>
      </c>
      <c r="D542" s="115">
        <v>0.000558811436626611</v>
      </c>
      <c r="E542" s="115">
        <v>2.4497656859993437</v>
      </c>
      <c r="F542" s="111" t="s">
        <v>1990</v>
      </c>
      <c r="G542" s="111" t="b">
        <v>0</v>
      </c>
      <c r="H542" s="111" t="b">
        <v>0</v>
      </c>
      <c r="I542" s="111" t="b">
        <v>0</v>
      </c>
      <c r="J542" s="111" t="b">
        <v>0</v>
      </c>
      <c r="K542" s="111" t="b">
        <v>0</v>
      </c>
      <c r="L542" s="111" t="b">
        <v>0</v>
      </c>
    </row>
    <row r="543" spans="1:12" ht="15">
      <c r="A543" s="113" t="s">
        <v>859</v>
      </c>
      <c r="B543" s="111" t="s">
        <v>1482</v>
      </c>
      <c r="C543" s="111">
        <v>2</v>
      </c>
      <c r="D543" s="115">
        <v>0.000558811436626611</v>
      </c>
      <c r="E543" s="115">
        <v>2.318486771360025</v>
      </c>
      <c r="F543" s="111" t="s">
        <v>1990</v>
      </c>
      <c r="G543" s="111" t="b">
        <v>0</v>
      </c>
      <c r="H543" s="111" t="b">
        <v>0</v>
      </c>
      <c r="I543" s="111" t="b">
        <v>0</v>
      </c>
      <c r="J543" s="111" t="b">
        <v>0</v>
      </c>
      <c r="K543" s="111" t="b">
        <v>0</v>
      </c>
      <c r="L543" s="111" t="b">
        <v>0</v>
      </c>
    </row>
    <row r="544" spans="1:12" ht="15">
      <c r="A544" s="113" t="s">
        <v>1271</v>
      </c>
      <c r="B544" s="111" t="s">
        <v>1070</v>
      </c>
      <c r="C544" s="111">
        <v>2</v>
      </c>
      <c r="D544" s="115">
        <v>0.000558811436626611</v>
      </c>
      <c r="E544" s="115">
        <v>2.777124620385674</v>
      </c>
      <c r="F544" s="111" t="s">
        <v>1990</v>
      </c>
      <c r="G544" s="111" t="b">
        <v>0</v>
      </c>
      <c r="H544" s="111" t="b">
        <v>1</v>
      </c>
      <c r="I544" s="111" t="b">
        <v>0</v>
      </c>
      <c r="J544" s="111" t="b">
        <v>0</v>
      </c>
      <c r="K544" s="111" t="b">
        <v>0</v>
      </c>
      <c r="L544" s="111" t="b">
        <v>0</v>
      </c>
    </row>
    <row r="545" spans="1:12" ht="15">
      <c r="A545" s="113" t="s">
        <v>1392</v>
      </c>
      <c r="B545" s="111" t="s">
        <v>1915</v>
      </c>
      <c r="C545" s="111">
        <v>2</v>
      </c>
      <c r="D545" s="115">
        <v>0.000558811436626611</v>
      </c>
      <c r="E545" s="115">
        <v>3.3791846117136366</v>
      </c>
      <c r="F545" s="111" t="s">
        <v>1990</v>
      </c>
      <c r="G545" s="111" t="b">
        <v>0</v>
      </c>
      <c r="H545" s="111" t="b">
        <v>0</v>
      </c>
      <c r="I545" s="111" t="b">
        <v>0</v>
      </c>
      <c r="J545" s="111" t="b">
        <v>0</v>
      </c>
      <c r="K545" s="111" t="b">
        <v>0</v>
      </c>
      <c r="L545" s="111" t="b">
        <v>0</v>
      </c>
    </row>
    <row r="546" spans="1:12" ht="15">
      <c r="A546" s="113" t="s">
        <v>1917</v>
      </c>
      <c r="B546" s="111" t="s">
        <v>1087</v>
      </c>
      <c r="C546" s="111">
        <v>2</v>
      </c>
      <c r="D546" s="115">
        <v>0.000558811436626611</v>
      </c>
      <c r="E546" s="115">
        <v>3.0781546160496553</v>
      </c>
      <c r="F546" s="111" t="s">
        <v>1990</v>
      </c>
      <c r="G546" s="111" t="b">
        <v>0</v>
      </c>
      <c r="H546" s="111" t="b">
        <v>0</v>
      </c>
      <c r="I546" s="111" t="b">
        <v>0</v>
      </c>
      <c r="J546" s="111" t="b">
        <v>0</v>
      </c>
      <c r="K546" s="111" t="b">
        <v>0</v>
      </c>
      <c r="L546" s="111" t="b">
        <v>0</v>
      </c>
    </row>
    <row r="547" spans="1:12" ht="15">
      <c r="A547" s="113" t="s">
        <v>958</v>
      </c>
      <c r="B547" s="111" t="s">
        <v>911</v>
      </c>
      <c r="C547" s="111">
        <v>2</v>
      </c>
      <c r="D547" s="115">
        <v>0.000558811436626611</v>
      </c>
      <c r="E547" s="115">
        <v>2.2128531899471113</v>
      </c>
      <c r="F547" s="111" t="s">
        <v>1990</v>
      </c>
      <c r="G547" s="111" t="b">
        <v>0</v>
      </c>
      <c r="H547" s="111" t="b">
        <v>0</v>
      </c>
      <c r="I547" s="111" t="b">
        <v>0</v>
      </c>
      <c r="J547" s="111" t="b">
        <v>1</v>
      </c>
      <c r="K547" s="111" t="b">
        <v>0</v>
      </c>
      <c r="L547" s="111" t="b">
        <v>0</v>
      </c>
    </row>
    <row r="548" spans="1:12" ht="15">
      <c r="A548" s="113" t="s">
        <v>938</v>
      </c>
      <c r="B548" s="111" t="s">
        <v>1918</v>
      </c>
      <c r="C548" s="111">
        <v>2</v>
      </c>
      <c r="D548" s="115">
        <v>0.000558811436626611</v>
      </c>
      <c r="E548" s="115">
        <v>2.8563058664332988</v>
      </c>
      <c r="F548" s="111" t="s">
        <v>1990</v>
      </c>
      <c r="G548" s="111" t="b">
        <v>0</v>
      </c>
      <c r="H548" s="111" t="b">
        <v>0</v>
      </c>
      <c r="I548" s="111" t="b">
        <v>0</v>
      </c>
      <c r="J548" s="111" t="b">
        <v>0</v>
      </c>
      <c r="K548" s="111" t="b">
        <v>0</v>
      </c>
      <c r="L548" s="111" t="b">
        <v>0</v>
      </c>
    </row>
    <row r="549" spans="1:12" ht="15">
      <c r="A549" s="113" t="s">
        <v>1918</v>
      </c>
      <c r="B549" s="111" t="s">
        <v>1485</v>
      </c>
      <c r="C549" s="111">
        <v>2</v>
      </c>
      <c r="D549" s="115">
        <v>0.000558811436626611</v>
      </c>
      <c r="E549" s="115">
        <v>3.3791846117136366</v>
      </c>
      <c r="F549" s="111" t="s">
        <v>1990</v>
      </c>
      <c r="G549" s="111" t="b">
        <v>0</v>
      </c>
      <c r="H549" s="111" t="b">
        <v>0</v>
      </c>
      <c r="I549" s="111" t="b">
        <v>0</v>
      </c>
      <c r="J549" s="111" t="b">
        <v>0</v>
      </c>
      <c r="K549" s="111" t="b">
        <v>0</v>
      </c>
      <c r="L549" s="111" t="b">
        <v>0</v>
      </c>
    </row>
    <row r="550" spans="1:12" ht="15">
      <c r="A550" s="113" t="s">
        <v>1043</v>
      </c>
      <c r="B550" s="111" t="s">
        <v>910</v>
      </c>
      <c r="C550" s="111">
        <v>2</v>
      </c>
      <c r="D550" s="115">
        <v>0.000558811436626611</v>
      </c>
      <c r="E550" s="115">
        <v>2.3000033656660115</v>
      </c>
      <c r="F550" s="111" t="s">
        <v>1990</v>
      </c>
      <c r="G550" s="111" t="b">
        <v>0</v>
      </c>
      <c r="H550" s="111" t="b">
        <v>0</v>
      </c>
      <c r="I550" s="111" t="b">
        <v>0</v>
      </c>
      <c r="J550" s="111" t="b">
        <v>1</v>
      </c>
      <c r="K550" s="111" t="b">
        <v>0</v>
      </c>
      <c r="L550" s="111" t="b">
        <v>0</v>
      </c>
    </row>
    <row r="551" spans="1:12" ht="15">
      <c r="A551" s="113" t="s">
        <v>1145</v>
      </c>
      <c r="B551" s="111" t="s">
        <v>1387</v>
      </c>
      <c r="C551" s="111">
        <v>2</v>
      </c>
      <c r="D551" s="115">
        <v>0.000558811436626611</v>
      </c>
      <c r="E551" s="115">
        <v>2.981244603041599</v>
      </c>
      <c r="F551" s="111" t="s">
        <v>1990</v>
      </c>
      <c r="G551" s="111" t="b">
        <v>0</v>
      </c>
      <c r="H551" s="111" t="b">
        <v>0</v>
      </c>
      <c r="I551" s="111" t="b">
        <v>0</v>
      </c>
      <c r="J551" s="111" t="b">
        <v>0</v>
      </c>
      <c r="K551" s="111" t="b">
        <v>0</v>
      </c>
      <c r="L551" s="111" t="b">
        <v>0</v>
      </c>
    </row>
    <row r="552" spans="1:12" ht="15">
      <c r="A552" s="113" t="s">
        <v>1018</v>
      </c>
      <c r="B552" s="111" t="s">
        <v>1922</v>
      </c>
      <c r="C552" s="111">
        <v>2</v>
      </c>
      <c r="D552" s="115">
        <v>0.0004762469836194851</v>
      </c>
      <c r="E552" s="115">
        <v>3.0112078264190423</v>
      </c>
      <c r="F552" s="111" t="s">
        <v>1990</v>
      </c>
      <c r="G552" s="111" t="b">
        <v>0</v>
      </c>
      <c r="H552" s="111" t="b">
        <v>0</v>
      </c>
      <c r="I552" s="111" t="b">
        <v>0</v>
      </c>
      <c r="J552" s="111" t="b">
        <v>0</v>
      </c>
      <c r="K552" s="111" t="b">
        <v>0</v>
      </c>
      <c r="L552" s="111" t="b">
        <v>0</v>
      </c>
    </row>
    <row r="553" spans="1:12" ht="15">
      <c r="A553" s="113" t="s">
        <v>1922</v>
      </c>
      <c r="B553" s="111" t="s">
        <v>996</v>
      </c>
      <c r="C553" s="111">
        <v>2</v>
      </c>
      <c r="D553" s="115">
        <v>0.0004762469836194851</v>
      </c>
      <c r="E553" s="115">
        <v>3.15733586209728</v>
      </c>
      <c r="F553" s="111" t="s">
        <v>1990</v>
      </c>
      <c r="G553" s="111" t="b">
        <v>0</v>
      </c>
      <c r="H553" s="111" t="b">
        <v>0</v>
      </c>
      <c r="I553" s="111" t="b">
        <v>0</v>
      </c>
      <c r="J553" s="111" t="b">
        <v>0</v>
      </c>
      <c r="K553" s="111" t="b">
        <v>0</v>
      </c>
      <c r="L553" s="111" t="b">
        <v>0</v>
      </c>
    </row>
    <row r="554" spans="1:12" ht="15">
      <c r="A554" s="113" t="s">
        <v>1073</v>
      </c>
      <c r="B554" s="111" t="s">
        <v>1923</v>
      </c>
      <c r="C554" s="111">
        <v>2</v>
      </c>
      <c r="D554" s="115">
        <v>0.0004762469836194851</v>
      </c>
      <c r="E554" s="115">
        <v>3.0781546160496553</v>
      </c>
      <c r="F554" s="111" t="s">
        <v>1990</v>
      </c>
      <c r="G554" s="111" t="b">
        <v>0</v>
      </c>
      <c r="H554" s="111" t="b">
        <v>0</v>
      </c>
      <c r="I554" s="111" t="b">
        <v>0</v>
      </c>
      <c r="J554" s="111" t="b">
        <v>0</v>
      </c>
      <c r="K554" s="111" t="b">
        <v>0</v>
      </c>
      <c r="L554" s="111" t="b">
        <v>0</v>
      </c>
    </row>
    <row r="555" spans="1:12" ht="15">
      <c r="A555" s="113" t="s">
        <v>1923</v>
      </c>
      <c r="B555" s="111" t="s">
        <v>1018</v>
      </c>
      <c r="C555" s="111">
        <v>2</v>
      </c>
      <c r="D555" s="115">
        <v>0.0004762469836194851</v>
      </c>
      <c r="E555" s="115">
        <v>3.0112078264190423</v>
      </c>
      <c r="F555" s="111" t="s">
        <v>1990</v>
      </c>
      <c r="G555" s="111" t="b">
        <v>0</v>
      </c>
      <c r="H555" s="111" t="b">
        <v>0</v>
      </c>
      <c r="I555" s="111" t="b">
        <v>0</v>
      </c>
      <c r="J555" s="111" t="b">
        <v>0</v>
      </c>
      <c r="K555" s="111" t="b">
        <v>0</v>
      </c>
      <c r="L555" s="111" t="b">
        <v>0</v>
      </c>
    </row>
    <row r="556" spans="1:12" ht="15">
      <c r="A556" s="113" t="s">
        <v>1018</v>
      </c>
      <c r="B556" s="111" t="s">
        <v>1088</v>
      </c>
      <c r="C556" s="111">
        <v>2</v>
      </c>
      <c r="D556" s="115">
        <v>0.0004762469836194851</v>
      </c>
      <c r="E556" s="115">
        <v>2.5340865716993797</v>
      </c>
      <c r="F556" s="111" t="s">
        <v>1990</v>
      </c>
      <c r="G556" s="111" t="b">
        <v>0</v>
      </c>
      <c r="H556" s="111" t="b">
        <v>0</v>
      </c>
      <c r="I556" s="111" t="b">
        <v>0</v>
      </c>
      <c r="J556" s="111" t="b">
        <v>0</v>
      </c>
      <c r="K556" s="111" t="b">
        <v>0</v>
      </c>
      <c r="L556" s="111" t="b">
        <v>0</v>
      </c>
    </row>
    <row r="557" spans="1:12" ht="15">
      <c r="A557" s="113" t="s">
        <v>1088</v>
      </c>
      <c r="B557" s="111" t="s">
        <v>1924</v>
      </c>
      <c r="C557" s="111">
        <v>2</v>
      </c>
      <c r="D557" s="115">
        <v>0.0004762469836194851</v>
      </c>
      <c r="E557" s="115">
        <v>3.0781546160496553</v>
      </c>
      <c r="F557" s="111" t="s">
        <v>1990</v>
      </c>
      <c r="G557" s="111" t="b">
        <v>0</v>
      </c>
      <c r="H557" s="111" t="b">
        <v>0</v>
      </c>
      <c r="I557" s="111" t="b">
        <v>0</v>
      </c>
      <c r="J557" s="111" t="b">
        <v>0</v>
      </c>
      <c r="K557" s="111" t="b">
        <v>0</v>
      </c>
      <c r="L557" s="111" t="b">
        <v>0</v>
      </c>
    </row>
    <row r="558" spans="1:12" ht="15">
      <c r="A558" s="113" t="s">
        <v>1924</v>
      </c>
      <c r="B558" s="111" t="s">
        <v>1925</v>
      </c>
      <c r="C558" s="111">
        <v>2</v>
      </c>
      <c r="D558" s="115">
        <v>0.0004762469836194851</v>
      </c>
      <c r="E558" s="115">
        <v>3.555275870769318</v>
      </c>
      <c r="F558" s="111" t="s">
        <v>1990</v>
      </c>
      <c r="G558" s="111" t="b">
        <v>0</v>
      </c>
      <c r="H558" s="111" t="b">
        <v>0</v>
      </c>
      <c r="I558" s="111" t="b">
        <v>0</v>
      </c>
      <c r="J558" s="111" t="b">
        <v>0</v>
      </c>
      <c r="K558" s="111" t="b">
        <v>0</v>
      </c>
      <c r="L558" s="111" t="b">
        <v>0</v>
      </c>
    </row>
    <row r="559" spans="1:12" ht="15">
      <c r="A559" s="113" t="s">
        <v>1925</v>
      </c>
      <c r="B559" s="111" t="s">
        <v>1926</v>
      </c>
      <c r="C559" s="111">
        <v>2</v>
      </c>
      <c r="D559" s="115">
        <v>0.0004762469836194851</v>
      </c>
      <c r="E559" s="115">
        <v>3.555275870769318</v>
      </c>
      <c r="F559" s="111" t="s">
        <v>1990</v>
      </c>
      <c r="G559" s="111" t="b">
        <v>0</v>
      </c>
      <c r="H559" s="111" t="b">
        <v>0</v>
      </c>
      <c r="I559" s="111" t="b">
        <v>0</v>
      </c>
      <c r="J559" s="111" t="b">
        <v>0</v>
      </c>
      <c r="K559" s="111" t="b">
        <v>0</v>
      </c>
      <c r="L559" s="111" t="b">
        <v>0</v>
      </c>
    </row>
    <row r="560" spans="1:12" ht="15">
      <c r="A560" s="113" t="s">
        <v>1926</v>
      </c>
      <c r="B560" s="111" t="s">
        <v>1927</v>
      </c>
      <c r="C560" s="111">
        <v>2</v>
      </c>
      <c r="D560" s="115">
        <v>0.0004762469836194851</v>
      </c>
      <c r="E560" s="115">
        <v>3.555275870769318</v>
      </c>
      <c r="F560" s="111" t="s">
        <v>1990</v>
      </c>
      <c r="G560" s="111" t="b">
        <v>0</v>
      </c>
      <c r="H560" s="111" t="b">
        <v>0</v>
      </c>
      <c r="I560" s="111" t="b">
        <v>0</v>
      </c>
      <c r="J560" s="111" t="b">
        <v>0</v>
      </c>
      <c r="K560" s="111" t="b">
        <v>0</v>
      </c>
      <c r="L560" s="111" t="b">
        <v>0</v>
      </c>
    </row>
    <row r="561" spans="1:12" ht="15">
      <c r="A561" s="113" t="s">
        <v>1927</v>
      </c>
      <c r="B561" s="111" t="s">
        <v>1203</v>
      </c>
      <c r="C561" s="111">
        <v>2</v>
      </c>
      <c r="D561" s="115">
        <v>0.0004762469836194851</v>
      </c>
      <c r="E561" s="115">
        <v>3.2542458751053367</v>
      </c>
      <c r="F561" s="111" t="s">
        <v>1990</v>
      </c>
      <c r="G561" s="111" t="b">
        <v>0</v>
      </c>
      <c r="H561" s="111" t="b">
        <v>0</v>
      </c>
      <c r="I561" s="111" t="b">
        <v>0</v>
      </c>
      <c r="J561" s="111" t="b">
        <v>0</v>
      </c>
      <c r="K561" s="111" t="b">
        <v>0</v>
      </c>
      <c r="L561" s="111" t="b">
        <v>0</v>
      </c>
    </row>
    <row r="562" spans="1:12" ht="15">
      <c r="A562" s="113" t="s">
        <v>1928</v>
      </c>
      <c r="B562" s="111" t="s">
        <v>957</v>
      </c>
      <c r="C562" s="111">
        <v>2</v>
      </c>
      <c r="D562" s="115">
        <v>0.000558811436626611</v>
      </c>
      <c r="E562" s="115">
        <v>2.9532158794413554</v>
      </c>
      <c r="F562" s="111" t="s">
        <v>1990</v>
      </c>
      <c r="G562" s="111" t="b">
        <v>0</v>
      </c>
      <c r="H562" s="111" t="b">
        <v>0</v>
      </c>
      <c r="I562" s="111" t="b">
        <v>0</v>
      </c>
      <c r="J562" s="111" t="b">
        <v>0</v>
      </c>
      <c r="K562" s="111" t="b">
        <v>0</v>
      </c>
      <c r="L562" s="111" t="b">
        <v>0</v>
      </c>
    </row>
    <row r="563" spans="1:12" ht="15">
      <c r="A563" s="113" t="s">
        <v>1929</v>
      </c>
      <c r="B563" s="111" t="s">
        <v>1489</v>
      </c>
      <c r="C563" s="111">
        <v>2</v>
      </c>
      <c r="D563" s="115">
        <v>0.000558811436626611</v>
      </c>
      <c r="E563" s="115">
        <v>3.3791846117136366</v>
      </c>
      <c r="F563" s="111" t="s">
        <v>1990</v>
      </c>
      <c r="G563" s="111" t="b">
        <v>0</v>
      </c>
      <c r="H563" s="111" t="b">
        <v>0</v>
      </c>
      <c r="I563" s="111" t="b">
        <v>0</v>
      </c>
      <c r="J563" s="111" t="b">
        <v>0</v>
      </c>
      <c r="K563" s="111" t="b">
        <v>0</v>
      </c>
      <c r="L563" s="111" t="b">
        <v>0</v>
      </c>
    </row>
    <row r="564" spans="1:12" ht="15">
      <c r="A564" s="113" t="s">
        <v>1489</v>
      </c>
      <c r="B564" s="111" t="s">
        <v>980</v>
      </c>
      <c r="C564" s="111">
        <v>2</v>
      </c>
      <c r="D564" s="115">
        <v>0.000558811436626611</v>
      </c>
      <c r="E564" s="115">
        <v>2.777124620385674</v>
      </c>
      <c r="F564" s="111" t="s">
        <v>1990</v>
      </c>
      <c r="G564" s="111" t="b">
        <v>0</v>
      </c>
      <c r="H564" s="111" t="b">
        <v>0</v>
      </c>
      <c r="I564" s="111" t="b">
        <v>0</v>
      </c>
      <c r="J564" s="111" t="b">
        <v>0</v>
      </c>
      <c r="K564" s="111" t="b">
        <v>0</v>
      </c>
      <c r="L564" s="111" t="b">
        <v>0</v>
      </c>
    </row>
    <row r="565" spans="1:12" ht="15">
      <c r="A565" s="113" t="s">
        <v>1451</v>
      </c>
      <c r="B565" s="111" t="s">
        <v>1492</v>
      </c>
      <c r="C565" s="111">
        <v>2</v>
      </c>
      <c r="D565" s="115">
        <v>0.0004762469836194851</v>
      </c>
      <c r="E565" s="115">
        <v>3.2030933526579553</v>
      </c>
      <c r="F565" s="111" t="s">
        <v>1990</v>
      </c>
      <c r="G565" s="111" t="b">
        <v>1</v>
      </c>
      <c r="H565" s="111" t="b">
        <v>0</v>
      </c>
      <c r="I565" s="111" t="b">
        <v>0</v>
      </c>
      <c r="J565" s="111" t="b">
        <v>0</v>
      </c>
      <c r="K565" s="111" t="b">
        <v>0</v>
      </c>
      <c r="L565" s="111" t="b">
        <v>0</v>
      </c>
    </row>
    <row r="566" spans="1:12" ht="15">
      <c r="A566" s="113" t="s">
        <v>990</v>
      </c>
      <c r="B566" s="111" t="s">
        <v>1494</v>
      </c>
      <c r="C566" s="111">
        <v>2</v>
      </c>
      <c r="D566" s="115">
        <v>0.0004762469836194851</v>
      </c>
      <c r="E566" s="115">
        <v>2.835116567363361</v>
      </c>
      <c r="F566" s="111" t="s">
        <v>1990</v>
      </c>
      <c r="G566" s="111" t="b">
        <v>0</v>
      </c>
      <c r="H566" s="111" t="b">
        <v>0</v>
      </c>
      <c r="I566" s="111" t="b">
        <v>0</v>
      </c>
      <c r="J566" s="111" t="b">
        <v>0</v>
      </c>
      <c r="K566" s="111" t="b">
        <v>0</v>
      </c>
      <c r="L566" s="111" t="b">
        <v>0</v>
      </c>
    </row>
    <row r="567" spans="1:12" ht="15">
      <c r="A567" s="113" t="s">
        <v>1084</v>
      </c>
      <c r="B567" s="111" t="s">
        <v>921</v>
      </c>
      <c r="C567" s="111">
        <v>2</v>
      </c>
      <c r="D567" s="115">
        <v>0.0004762469836194851</v>
      </c>
      <c r="E567" s="115">
        <v>2.3377919265554117</v>
      </c>
      <c r="F567" s="111" t="s">
        <v>1990</v>
      </c>
      <c r="G567" s="111" t="b">
        <v>0</v>
      </c>
      <c r="H567" s="111" t="b">
        <v>0</v>
      </c>
      <c r="I567" s="111" t="b">
        <v>0</v>
      </c>
      <c r="J567" s="111" t="b">
        <v>0</v>
      </c>
      <c r="K567" s="111" t="b">
        <v>0</v>
      </c>
      <c r="L567" s="111" t="b">
        <v>0</v>
      </c>
    </row>
    <row r="568" spans="1:12" ht="15">
      <c r="A568" s="113" t="s">
        <v>857</v>
      </c>
      <c r="B568" s="111" t="s">
        <v>1127</v>
      </c>
      <c r="C568" s="111">
        <v>2</v>
      </c>
      <c r="D568" s="115">
        <v>0.000558811436626611</v>
      </c>
      <c r="E568" s="115">
        <v>2.0966380217436686</v>
      </c>
      <c r="F568" s="111" t="s">
        <v>1990</v>
      </c>
      <c r="G568" s="111" t="b">
        <v>0</v>
      </c>
      <c r="H568" s="111" t="b">
        <v>0</v>
      </c>
      <c r="I568" s="111" t="b">
        <v>0</v>
      </c>
      <c r="J568" s="111" t="b">
        <v>0</v>
      </c>
      <c r="K568" s="111" t="b">
        <v>0</v>
      </c>
      <c r="L568" s="111" t="b">
        <v>0</v>
      </c>
    </row>
    <row r="569" spans="1:12" ht="15">
      <c r="A569" s="113" t="s">
        <v>933</v>
      </c>
      <c r="B569" s="111" t="s">
        <v>1497</v>
      </c>
      <c r="C569" s="111">
        <v>2</v>
      </c>
      <c r="D569" s="115">
        <v>0.000558811436626611</v>
      </c>
      <c r="E569" s="115">
        <v>2.680214607377618</v>
      </c>
      <c r="F569" s="111" t="s">
        <v>1990</v>
      </c>
      <c r="G569" s="111" t="b">
        <v>0</v>
      </c>
      <c r="H569" s="111" t="b">
        <v>0</v>
      </c>
      <c r="I569" s="111" t="b">
        <v>0</v>
      </c>
      <c r="J569" s="111" t="b">
        <v>0</v>
      </c>
      <c r="K569" s="111" t="b">
        <v>0</v>
      </c>
      <c r="L569" s="111" t="b">
        <v>0</v>
      </c>
    </row>
    <row r="570" spans="1:12" ht="15">
      <c r="A570" s="113" t="s">
        <v>905</v>
      </c>
      <c r="B570" s="111" t="s">
        <v>961</v>
      </c>
      <c r="C570" s="111">
        <v>2</v>
      </c>
      <c r="D570" s="115">
        <v>0.000558811436626611</v>
      </c>
      <c r="E570" s="115">
        <v>2.1403025227984998</v>
      </c>
      <c r="F570" s="111" t="s">
        <v>1990</v>
      </c>
      <c r="G570" s="111" t="b">
        <v>0</v>
      </c>
      <c r="H570" s="111" t="b">
        <v>0</v>
      </c>
      <c r="I570" s="111" t="b">
        <v>0</v>
      </c>
      <c r="J570" s="111" t="b">
        <v>0</v>
      </c>
      <c r="K570" s="111" t="b">
        <v>0</v>
      </c>
      <c r="L570" s="111" t="b">
        <v>0</v>
      </c>
    </row>
    <row r="571" spans="1:12" ht="15">
      <c r="A571" s="113" t="s">
        <v>1015</v>
      </c>
      <c r="B571" s="111" t="s">
        <v>1148</v>
      </c>
      <c r="C571" s="111">
        <v>2</v>
      </c>
      <c r="D571" s="115">
        <v>0.0004762469836194851</v>
      </c>
      <c r="E571" s="115">
        <v>2.613267817747005</v>
      </c>
      <c r="F571" s="111" t="s">
        <v>1990</v>
      </c>
      <c r="G571" s="111" t="b">
        <v>0</v>
      </c>
      <c r="H571" s="111" t="b">
        <v>0</v>
      </c>
      <c r="I571" s="111" t="b">
        <v>0</v>
      </c>
      <c r="J571" s="111" t="b">
        <v>0</v>
      </c>
      <c r="K571" s="111" t="b">
        <v>0</v>
      </c>
      <c r="L571" s="111" t="b">
        <v>0</v>
      </c>
    </row>
    <row r="572" spans="1:12" ht="15">
      <c r="A572" s="113" t="s">
        <v>857</v>
      </c>
      <c r="B572" s="111" t="s">
        <v>1940</v>
      </c>
      <c r="C572" s="111">
        <v>2</v>
      </c>
      <c r="D572" s="115">
        <v>0.000558811436626611</v>
      </c>
      <c r="E572" s="115">
        <v>2.494578030415706</v>
      </c>
      <c r="F572" s="111" t="s">
        <v>1990</v>
      </c>
      <c r="G572" s="111" t="b">
        <v>0</v>
      </c>
      <c r="H572" s="111" t="b">
        <v>0</v>
      </c>
      <c r="I572" s="111" t="b">
        <v>0</v>
      </c>
      <c r="J572" s="111" t="b">
        <v>0</v>
      </c>
      <c r="K572" s="111" t="b">
        <v>0</v>
      </c>
      <c r="L572" s="111" t="b">
        <v>0</v>
      </c>
    </row>
    <row r="573" spans="1:12" ht="15">
      <c r="A573" s="113" t="s">
        <v>1941</v>
      </c>
      <c r="B573" s="111" t="s">
        <v>925</v>
      </c>
      <c r="C573" s="111">
        <v>2</v>
      </c>
      <c r="D573" s="115">
        <v>0.0004762469836194851</v>
      </c>
      <c r="E573" s="115">
        <v>2.814913181275074</v>
      </c>
      <c r="F573" s="111" t="s">
        <v>1990</v>
      </c>
      <c r="G573" s="111" t="b">
        <v>0</v>
      </c>
      <c r="H573" s="111" t="b">
        <v>0</v>
      </c>
      <c r="I573" s="111" t="b">
        <v>0</v>
      </c>
      <c r="J573" s="111" t="b">
        <v>0</v>
      </c>
      <c r="K573" s="111" t="b">
        <v>0</v>
      </c>
      <c r="L573" s="111" t="b">
        <v>0</v>
      </c>
    </row>
    <row r="574" spans="1:12" ht="15">
      <c r="A574" s="113" t="s">
        <v>846</v>
      </c>
      <c r="B574" s="111" t="s">
        <v>869</v>
      </c>
      <c r="C574" s="111">
        <v>2</v>
      </c>
      <c r="D574" s="115">
        <v>0.0004762469836194851</v>
      </c>
      <c r="E574" s="115">
        <v>1.2542458751053365</v>
      </c>
      <c r="F574" s="111" t="s">
        <v>1990</v>
      </c>
      <c r="G574" s="111" t="b">
        <v>0</v>
      </c>
      <c r="H574" s="111" t="b">
        <v>0</v>
      </c>
      <c r="I574" s="111" t="b">
        <v>0</v>
      </c>
      <c r="J574" s="111" t="b">
        <v>0</v>
      </c>
      <c r="K574" s="111" t="b">
        <v>0</v>
      </c>
      <c r="L574" s="111" t="b">
        <v>0</v>
      </c>
    </row>
    <row r="575" spans="1:12" ht="15">
      <c r="A575" s="113" t="s">
        <v>1942</v>
      </c>
      <c r="B575" s="111" t="s">
        <v>1156</v>
      </c>
      <c r="C575" s="111">
        <v>2</v>
      </c>
      <c r="D575" s="115">
        <v>0.000558811436626611</v>
      </c>
      <c r="E575" s="115">
        <v>3.15733586209728</v>
      </c>
      <c r="F575" s="111" t="s">
        <v>1990</v>
      </c>
      <c r="G575" s="111" t="b">
        <v>0</v>
      </c>
      <c r="H575" s="111" t="b">
        <v>0</v>
      </c>
      <c r="I575" s="111" t="b">
        <v>0</v>
      </c>
      <c r="J575" s="111" t="b">
        <v>0</v>
      </c>
      <c r="K575" s="111" t="b">
        <v>0</v>
      </c>
      <c r="L575" s="111" t="b">
        <v>0</v>
      </c>
    </row>
    <row r="576" spans="1:12" ht="15">
      <c r="A576" s="113" t="s">
        <v>869</v>
      </c>
      <c r="B576" s="111" t="s">
        <v>1943</v>
      </c>
      <c r="C576" s="111">
        <v>2</v>
      </c>
      <c r="D576" s="115">
        <v>0.000558811436626611</v>
      </c>
      <c r="E576" s="115">
        <v>2.555275870769318</v>
      </c>
      <c r="F576" s="111" t="s">
        <v>1990</v>
      </c>
      <c r="G576" s="111" t="b">
        <v>0</v>
      </c>
      <c r="H576" s="111" t="b">
        <v>0</v>
      </c>
      <c r="I576" s="111" t="b">
        <v>0</v>
      </c>
      <c r="J576" s="111" t="b">
        <v>0</v>
      </c>
      <c r="K576" s="111" t="b">
        <v>0</v>
      </c>
      <c r="L576" s="111" t="b">
        <v>0</v>
      </c>
    </row>
    <row r="577" spans="1:12" ht="15">
      <c r="A577" s="113" t="s">
        <v>1013</v>
      </c>
      <c r="B577" s="111" t="s">
        <v>1034</v>
      </c>
      <c r="C577" s="111">
        <v>2</v>
      </c>
      <c r="D577" s="115">
        <v>0.000558811436626611</v>
      </c>
      <c r="E577" s="115">
        <v>2.5340865716993797</v>
      </c>
      <c r="F577" s="111" t="s">
        <v>1990</v>
      </c>
      <c r="G577" s="111" t="b">
        <v>0</v>
      </c>
      <c r="H577" s="111" t="b">
        <v>0</v>
      </c>
      <c r="I577" s="111" t="b">
        <v>0</v>
      </c>
      <c r="J577" s="111" t="b">
        <v>0</v>
      </c>
      <c r="K577" s="111" t="b">
        <v>0</v>
      </c>
      <c r="L577" s="111" t="b">
        <v>0</v>
      </c>
    </row>
    <row r="578" spans="1:12" ht="15">
      <c r="A578" s="113" t="s">
        <v>1034</v>
      </c>
      <c r="B578" s="111" t="s">
        <v>1247</v>
      </c>
      <c r="C578" s="111">
        <v>2</v>
      </c>
      <c r="D578" s="115">
        <v>0.000558811436626611</v>
      </c>
      <c r="E578" s="115">
        <v>2.777124620385674</v>
      </c>
      <c r="F578" s="111" t="s">
        <v>1990</v>
      </c>
      <c r="G578" s="111" t="b">
        <v>0</v>
      </c>
      <c r="H578" s="111" t="b">
        <v>0</v>
      </c>
      <c r="I578" s="111" t="b">
        <v>0</v>
      </c>
      <c r="J578" s="111" t="b">
        <v>0</v>
      </c>
      <c r="K578" s="111" t="b">
        <v>0</v>
      </c>
      <c r="L578" s="111" t="b">
        <v>0</v>
      </c>
    </row>
    <row r="579" spans="1:12" ht="15">
      <c r="A579" s="113" t="s">
        <v>1247</v>
      </c>
      <c r="B579" s="111" t="s">
        <v>931</v>
      </c>
      <c r="C579" s="111">
        <v>2</v>
      </c>
      <c r="D579" s="115">
        <v>0.000558811436626611</v>
      </c>
      <c r="E579" s="115">
        <v>2.555275870769318</v>
      </c>
      <c r="F579" s="111" t="s">
        <v>1990</v>
      </c>
      <c r="G579" s="111" t="b">
        <v>0</v>
      </c>
      <c r="H579" s="111" t="b">
        <v>0</v>
      </c>
      <c r="I579" s="111" t="b">
        <v>0</v>
      </c>
      <c r="J579" s="111" t="b">
        <v>0</v>
      </c>
      <c r="K579" s="111" t="b">
        <v>0</v>
      </c>
      <c r="L579" s="111" t="b">
        <v>0</v>
      </c>
    </row>
    <row r="580" spans="1:12" ht="15">
      <c r="A580" s="113" t="s">
        <v>783</v>
      </c>
      <c r="B580" s="111" t="s">
        <v>856</v>
      </c>
      <c r="C580" s="111">
        <v>2</v>
      </c>
      <c r="D580" s="115">
        <v>0.0004762469836194851</v>
      </c>
      <c r="E580" s="115">
        <v>2.555275870769318</v>
      </c>
      <c r="F580" s="111" t="s">
        <v>1990</v>
      </c>
      <c r="G580" s="111" t="b">
        <v>0</v>
      </c>
      <c r="H580" s="111" t="b">
        <v>0</v>
      </c>
      <c r="I580" s="111" t="b">
        <v>0</v>
      </c>
      <c r="J580" s="111" t="b">
        <v>0</v>
      </c>
      <c r="K580" s="111" t="b">
        <v>0</v>
      </c>
      <c r="L580" s="111" t="b">
        <v>0</v>
      </c>
    </row>
    <row r="581" spans="1:12" ht="15">
      <c r="A581" s="113" t="s">
        <v>1952</v>
      </c>
      <c r="B581" s="111" t="s">
        <v>847</v>
      </c>
      <c r="C581" s="111">
        <v>2</v>
      </c>
      <c r="D581" s="115">
        <v>0.000558811436626611</v>
      </c>
      <c r="E581" s="115">
        <v>2.2765222698164886</v>
      </c>
      <c r="F581" s="111" t="s">
        <v>1990</v>
      </c>
      <c r="G581" s="111" t="b">
        <v>0</v>
      </c>
      <c r="H581" s="111" t="b">
        <v>0</v>
      </c>
      <c r="I581" s="111" t="b">
        <v>0</v>
      </c>
      <c r="J581" s="111" t="b">
        <v>0</v>
      </c>
      <c r="K581" s="111" t="b">
        <v>0</v>
      </c>
      <c r="L581" s="111" t="b">
        <v>0</v>
      </c>
    </row>
    <row r="582" spans="1:12" ht="15">
      <c r="A582" s="113" t="s">
        <v>889</v>
      </c>
      <c r="B582" s="111" t="s">
        <v>1491</v>
      </c>
      <c r="C582" s="111">
        <v>2</v>
      </c>
      <c r="D582" s="115">
        <v>0.000558811436626611</v>
      </c>
      <c r="E582" s="115">
        <v>2.5340865716993797</v>
      </c>
      <c r="F582" s="111" t="s">
        <v>1990</v>
      </c>
      <c r="G582" s="111" t="b">
        <v>0</v>
      </c>
      <c r="H582" s="111" t="b">
        <v>0</v>
      </c>
      <c r="I582" s="111" t="b">
        <v>0</v>
      </c>
      <c r="J582" s="111" t="b">
        <v>0</v>
      </c>
      <c r="K582" s="111" t="b">
        <v>0</v>
      </c>
      <c r="L582" s="111" t="b">
        <v>0</v>
      </c>
    </row>
    <row r="583" spans="1:12" ht="15">
      <c r="A583" s="113" t="s">
        <v>1491</v>
      </c>
      <c r="B583" s="111" t="s">
        <v>868</v>
      </c>
      <c r="C583" s="111">
        <v>2</v>
      </c>
      <c r="D583" s="115">
        <v>0.000558811436626611</v>
      </c>
      <c r="E583" s="115">
        <v>2.3791846117136366</v>
      </c>
      <c r="F583" s="111" t="s">
        <v>1990</v>
      </c>
      <c r="G583" s="111" t="b">
        <v>0</v>
      </c>
      <c r="H583" s="111" t="b">
        <v>0</v>
      </c>
      <c r="I583" s="111" t="b">
        <v>0</v>
      </c>
      <c r="J583" s="111" t="b">
        <v>0</v>
      </c>
      <c r="K583" s="111" t="b">
        <v>0</v>
      </c>
      <c r="L583" s="111" t="b">
        <v>0</v>
      </c>
    </row>
    <row r="584" spans="1:12" ht="15">
      <c r="A584" s="113" t="s">
        <v>952</v>
      </c>
      <c r="B584" s="111" t="s">
        <v>998</v>
      </c>
      <c r="C584" s="111">
        <v>2</v>
      </c>
      <c r="D584" s="115">
        <v>0.000558811436626611</v>
      </c>
      <c r="E584" s="115">
        <v>2.4249421022743114</v>
      </c>
      <c r="F584" s="111" t="s">
        <v>1990</v>
      </c>
      <c r="G584" s="111" t="b">
        <v>0</v>
      </c>
      <c r="H584" s="111" t="b">
        <v>0</v>
      </c>
      <c r="I584" s="111" t="b">
        <v>0</v>
      </c>
      <c r="J584" s="111" t="b">
        <v>0</v>
      </c>
      <c r="K584" s="111" t="b">
        <v>0</v>
      </c>
      <c r="L584" s="111" t="b">
        <v>0</v>
      </c>
    </row>
    <row r="585" spans="1:12" ht="15">
      <c r="A585" s="113" t="s">
        <v>1351</v>
      </c>
      <c r="B585" s="111" t="s">
        <v>1954</v>
      </c>
      <c r="C585" s="111">
        <v>2</v>
      </c>
      <c r="D585" s="115">
        <v>0.0004762469836194851</v>
      </c>
      <c r="E585" s="115">
        <v>3.3791846117136366</v>
      </c>
      <c r="F585" s="111" t="s">
        <v>1990</v>
      </c>
      <c r="G585" s="111" t="b">
        <v>0</v>
      </c>
      <c r="H585" s="111" t="b">
        <v>0</v>
      </c>
      <c r="I585" s="111" t="b">
        <v>0</v>
      </c>
      <c r="J585" s="111" t="b">
        <v>0</v>
      </c>
      <c r="K585" s="111" t="b">
        <v>0</v>
      </c>
      <c r="L585" s="111" t="b">
        <v>0</v>
      </c>
    </row>
    <row r="586" spans="1:12" ht="15">
      <c r="A586" s="113" t="s">
        <v>967</v>
      </c>
      <c r="B586" s="111" t="s">
        <v>844</v>
      </c>
      <c r="C586" s="111">
        <v>2</v>
      </c>
      <c r="D586" s="115">
        <v>0.0004762469836194851</v>
      </c>
      <c r="E586" s="115">
        <v>1.6860441510383415</v>
      </c>
      <c r="F586" s="111" t="s">
        <v>1990</v>
      </c>
      <c r="G586" s="111" t="b">
        <v>0</v>
      </c>
      <c r="H586" s="111" t="b">
        <v>0</v>
      </c>
      <c r="I586" s="111" t="b">
        <v>0</v>
      </c>
      <c r="J586" s="111" t="b">
        <v>0</v>
      </c>
      <c r="K586" s="111" t="b">
        <v>0</v>
      </c>
      <c r="L586" s="111" t="b">
        <v>0</v>
      </c>
    </row>
    <row r="587" spans="1:12" ht="15">
      <c r="A587" s="113" t="s">
        <v>844</v>
      </c>
      <c r="B587" s="111" t="s">
        <v>844</v>
      </c>
      <c r="C587" s="111">
        <v>2</v>
      </c>
      <c r="D587" s="115">
        <v>0.0004762469836194851</v>
      </c>
      <c r="E587" s="115">
        <v>0.9763502813105496</v>
      </c>
      <c r="F587" s="111" t="s">
        <v>1990</v>
      </c>
      <c r="G587" s="111" t="b">
        <v>0</v>
      </c>
      <c r="H587" s="111" t="b">
        <v>0</v>
      </c>
      <c r="I587" s="111" t="b">
        <v>0</v>
      </c>
      <c r="J587" s="111" t="b">
        <v>0</v>
      </c>
      <c r="K587" s="111" t="b">
        <v>0</v>
      </c>
      <c r="L587" s="111" t="b">
        <v>0</v>
      </c>
    </row>
    <row r="588" spans="1:12" ht="15">
      <c r="A588" s="113" t="s">
        <v>1360</v>
      </c>
      <c r="B588" s="111" t="s">
        <v>841</v>
      </c>
      <c r="C588" s="111">
        <v>2</v>
      </c>
      <c r="D588" s="115">
        <v>0.000558811436626611</v>
      </c>
      <c r="E588" s="115">
        <v>1.707086753777919</v>
      </c>
      <c r="F588" s="111" t="s">
        <v>1990</v>
      </c>
      <c r="G588" s="111" t="b">
        <v>0</v>
      </c>
      <c r="H588" s="111" t="b">
        <v>1</v>
      </c>
      <c r="I588" s="111" t="b">
        <v>0</v>
      </c>
      <c r="J588" s="111" t="b">
        <v>0</v>
      </c>
      <c r="K588" s="111" t="b">
        <v>0</v>
      </c>
      <c r="L588" s="111" t="b">
        <v>0</v>
      </c>
    </row>
    <row r="589" spans="1:12" ht="15">
      <c r="A589" s="113" t="s">
        <v>892</v>
      </c>
      <c r="B589" s="111" t="s">
        <v>844</v>
      </c>
      <c r="C589" s="111">
        <v>2</v>
      </c>
      <c r="D589" s="115">
        <v>0.000558811436626611</v>
      </c>
      <c r="E589" s="115">
        <v>1.443006102352047</v>
      </c>
      <c r="F589" s="111" t="s">
        <v>1990</v>
      </c>
      <c r="G589" s="111" t="b">
        <v>0</v>
      </c>
      <c r="H589" s="111" t="b">
        <v>0</v>
      </c>
      <c r="I589" s="111" t="b">
        <v>0</v>
      </c>
      <c r="J589" s="111" t="b">
        <v>0</v>
      </c>
      <c r="K589" s="111" t="b">
        <v>0</v>
      </c>
      <c r="L589" s="111" t="b">
        <v>0</v>
      </c>
    </row>
    <row r="590" spans="1:12" ht="15">
      <c r="A590" s="113" t="s">
        <v>841</v>
      </c>
      <c r="B590" s="111" t="s">
        <v>1086</v>
      </c>
      <c r="C590" s="111">
        <v>2</v>
      </c>
      <c r="D590" s="115">
        <v>0.000558811436626611</v>
      </c>
      <c r="E590" s="115">
        <v>1.420143219392543</v>
      </c>
      <c r="F590" s="111" t="s">
        <v>1990</v>
      </c>
      <c r="G590" s="111" t="b">
        <v>0</v>
      </c>
      <c r="H590" s="111" t="b">
        <v>0</v>
      </c>
      <c r="I590" s="111" t="b">
        <v>0</v>
      </c>
      <c r="J590" s="111" t="b">
        <v>0</v>
      </c>
      <c r="K590" s="111" t="b">
        <v>0</v>
      </c>
      <c r="L590" s="111" t="b">
        <v>0</v>
      </c>
    </row>
    <row r="591" spans="1:12" ht="15">
      <c r="A591" s="113" t="s">
        <v>1957</v>
      </c>
      <c r="B591" s="111" t="s">
        <v>1501</v>
      </c>
      <c r="C591" s="111">
        <v>2</v>
      </c>
      <c r="D591" s="115">
        <v>0.000558811436626611</v>
      </c>
      <c r="E591" s="115">
        <v>3.3791846117136366</v>
      </c>
      <c r="F591" s="111" t="s">
        <v>1990</v>
      </c>
      <c r="G591" s="111" t="b">
        <v>0</v>
      </c>
      <c r="H591" s="111" t="b">
        <v>0</v>
      </c>
      <c r="I591" s="111" t="b">
        <v>0</v>
      </c>
      <c r="J591" s="111" t="b">
        <v>0</v>
      </c>
      <c r="K591" s="111" t="b">
        <v>0</v>
      </c>
      <c r="L591" s="111" t="b">
        <v>0</v>
      </c>
    </row>
    <row r="592" spans="1:12" ht="15">
      <c r="A592" s="113" t="s">
        <v>1269</v>
      </c>
      <c r="B592" s="111" t="s">
        <v>1256</v>
      </c>
      <c r="C592" s="111">
        <v>2</v>
      </c>
      <c r="D592" s="115">
        <v>0.000558811436626611</v>
      </c>
      <c r="E592" s="115">
        <v>2.9532158794413554</v>
      </c>
      <c r="F592" s="111" t="s">
        <v>1990</v>
      </c>
      <c r="G592" s="111" t="b">
        <v>0</v>
      </c>
      <c r="H592" s="111" t="b">
        <v>0</v>
      </c>
      <c r="I592" s="111" t="b">
        <v>0</v>
      </c>
      <c r="J592" s="111" t="b">
        <v>0</v>
      </c>
      <c r="K592" s="111" t="b">
        <v>0</v>
      </c>
      <c r="L592" s="111" t="b">
        <v>0</v>
      </c>
    </row>
    <row r="593" spans="1:12" ht="15">
      <c r="A593" s="113" t="s">
        <v>1151</v>
      </c>
      <c r="B593" s="111" t="s">
        <v>840</v>
      </c>
      <c r="C593" s="111">
        <v>2</v>
      </c>
      <c r="D593" s="115">
        <v>0.000558811436626611</v>
      </c>
      <c r="E593" s="115">
        <v>1.3791846117136366</v>
      </c>
      <c r="F593" s="111" t="s">
        <v>1990</v>
      </c>
      <c r="G593" s="111" t="b">
        <v>0</v>
      </c>
      <c r="H593" s="111" t="b">
        <v>0</v>
      </c>
      <c r="I593" s="111" t="b">
        <v>0</v>
      </c>
      <c r="J593" s="111" t="b">
        <v>0</v>
      </c>
      <c r="K593" s="111" t="b">
        <v>0</v>
      </c>
      <c r="L593" s="111" t="b">
        <v>0</v>
      </c>
    </row>
    <row r="594" spans="1:12" ht="15">
      <c r="A594" s="113" t="s">
        <v>1009</v>
      </c>
      <c r="B594" s="111" t="s">
        <v>883</v>
      </c>
      <c r="C594" s="111">
        <v>2</v>
      </c>
      <c r="D594" s="115">
        <v>0.000558811436626611</v>
      </c>
      <c r="E594" s="115">
        <v>2.136146563027342</v>
      </c>
      <c r="F594" s="111" t="s">
        <v>1990</v>
      </c>
      <c r="G594" s="111" t="b">
        <v>0</v>
      </c>
      <c r="H594" s="111" t="b">
        <v>0</v>
      </c>
      <c r="I594" s="111" t="b">
        <v>0</v>
      </c>
      <c r="J594" s="111" t="b">
        <v>0</v>
      </c>
      <c r="K594" s="111" t="b">
        <v>0</v>
      </c>
      <c r="L594" s="111" t="b">
        <v>0</v>
      </c>
    </row>
    <row r="595" spans="1:12" ht="15">
      <c r="A595" s="113" t="s">
        <v>883</v>
      </c>
      <c r="B595" s="111" t="s">
        <v>1276</v>
      </c>
      <c r="C595" s="111">
        <v>2</v>
      </c>
      <c r="D595" s="115">
        <v>0.000558811436626611</v>
      </c>
      <c r="E595" s="115">
        <v>2.3791846117136366</v>
      </c>
      <c r="F595" s="111" t="s">
        <v>1990</v>
      </c>
      <c r="G595" s="111" t="b">
        <v>0</v>
      </c>
      <c r="H595" s="111" t="b">
        <v>0</v>
      </c>
      <c r="I595" s="111" t="b">
        <v>0</v>
      </c>
      <c r="J595" s="111" t="b">
        <v>0</v>
      </c>
      <c r="K595" s="111" t="b">
        <v>0</v>
      </c>
      <c r="L595" s="111" t="b">
        <v>0</v>
      </c>
    </row>
    <row r="596" spans="1:12" ht="15">
      <c r="A596" s="113" t="s">
        <v>1276</v>
      </c>
      <c r="B596" s="111" t="s">
        <v>1263</v>
      </c>
      <c r="C596" s="111">
        <v>2</v>
      </c>
      <c r="D596" s="115">
        <v>0.000558811436626611</v>
      </c>
      <c r="E596" s="115">
        <v>2.9532158794413554</v>
      </c>
      <c r="F596" s="111" t="s">
        <v>1990</v>
      </c>
      <c r="G596" s="111" t="b">
        <v>0</v>
      </c>
      <c r="H596" s="111" t="b">
        <v>0</v>
      </c>
      <c r="I596" s="111" t="b">
        <v>0</v>
      </c>
      <c r="J596" s="111" t="b">
        <v>0</v>
      </c>
      <c r="K596" s="111" t="b">
        <v>0</v>
      </c>
      <c r="L596" s="111" t="b">
        <v>0</v>
      </c>
    </row>
    <row r="597" spans="1:12" ht="15">
      <c r="A597" s="113" t="s">
        <v>862</v>
      </c>
      <c r="B597" s="111" t="s">
        <v>875</v>
      </c>
      <c r="C597" s="111">
        <v>2</v>
      </c>
      <c r="D597" s="115">
        <v>0.0004762469836194851</v>
      </c>
      <c r="E597" s="115">
        <v>1.6309965847074361</v>
      </c>
      <c r="F597" s="111" t="s">
        <v>1990</v>
      </c>
      <c r="G597" s="111" t="b">
        <v>0</v>
      </c>
      <c r="H597" s="111" t="b">
        <v>0</v>
      </c>
      <c r="I597" s="111" t="b">
        <v>0</v>
      </c>
      <c r="J597" s="111" t="b">
        <v>0</v>
      </c>
      <c r="K597" s="111" t="b">
        <v>1</v>
      </c>
      <c r="L597" s="111" t="b">
        <v>0</v>
      </c>
    </row>
    <row r="598" spans="1:12" ht="15">
      <c r="A598" s="113" t="s">
        <v>845</v>
      </c>
      <c r="B598" s="111" t="s">
        <v>1471</v>
      </c>
      <c r="C598" s="111">
        <v>2</v>
      </c>
      <c r="D598" s="115">
        <v>0.0004762469836194851</v>
      </c>
      <c r="E598" s="115">
        <v>2.0674307506578824</v>
      </c>
      <c r="F598" s="111" t="s">
        <v>1990</v>
      </c>
      <c r="G598" s="111" t="b">
        <v>0</v>
      </c>
      <c r="H598" s="111" t="b">
        <v>0</v>
      </c>
      <c r="I598" s="111" t="b">
        <v>0</v>
      </c>
      <c r="J598" s="111" t="b">
        <v>0</v>
      </c>
      <c r="K598" s="111" t="b">
        <v>0</v>
      </c>
      <c r="L598" s="111" t="b">
        <v>0</v>
      </c>
    </row>
    <row r="599" spans="1:12" ht="15">
      <c r="A599" s="113" t="s">
        <v>1965</v>
      </c>
      <c r="B599" s="111" t="s">
        <v>1966</v>
      </c>
      <c r="C599" s="111">
        <v>2</v>
      </c>
      <c r="D599" s="115">
        <v>0.000558811436626611</v>
      </c>
      <c r="E599" s="115">
        <v>3.555275870769318</v>
      </c>
      <c r="F599" s="111" t="s">
        <v>1990</v>
      </c>
      <c r="G599" s="111" t="b">
        <v>0</v>
      </c>
      <c r="H599" s="111" t="b">
        <v>0</v>
      </c>
      <c r="I599" s="111" t="b">
        <v>0</v>
      </c>
      <c r="J599" s="111" t="b">
        <v>0</v>
      </c>
      <c r="K599" s="111" t="b">
        <v>0</v>
      </c>
      <c r="L599" s="111" t="b">
        <v>0</v>
      </c>
    </row>
    <row r="600" spans="1:12" ht="15">
      <c r="A600" s="113" t="s">
        <v>1968</v>
      </c>
      <c r="B600" s="111" t="s">
        <v>1277</v>
      </c>
      <c r="C600" s="111">
        <v>2</v>
      </c>
      <c r="D600" s="115">
        <v>0.000558811436626611</v>
      </c>
      <c r="E600" s="115">
        <v>3.2542458751053367</v>
      </c>
      <c r="F600" s="111" t="s">
        <v>1990</v>
      </c>
      <c r="G600" s="111" t="b">
        <v>0</v>
      </c>
      <c r="H600" s="111" t="b">
        <v>0</v>
      </c>
      <c r="I600" s="111" t="b">
        <v>0</v>
      </c>
      <c r="J600" s="111" t="b">
        <v>0</v>
      </c>
      <c r="K600" s="111" t="b">
        <v>0</v>
      </c>
      <c r="L600" s="111" t="b">
        <v>0</v>
      </c>
    </row>
    <row r="601" spans="1:12" ht="15">
      <c r="A601" s="113" t="s">
        <v>1277</v>
      </c>
      <c r="B601" s="111" t="s">
        <v>1503</v>
      </c>
      <c r="C601" s="111">
        <v>2</v>
      </c>
      <c r="D601" s="115">
        <v>0.000558811436626611</v>
      </c>
      <c r="E601" s="115">
        <v>3.0781546160496553</v>
      </c>
      <c r="F601" s="111" t="s">
        <v>1990</v>
      </c>
      <c r="G601" s="111" t="b">
        <v>0</v>
      </c>
      <c r="H601" s="111" t="b">
        <v>0</v>
      </c>
      <c r="I601" s="111" t="b">
        <v>0</v>
      </c>
      <c r="J601" s="111" t="b">
        <v>0</v>
      </c>
      <c r="K601" s="111" t="b">
        <v>0</v>
      </c>
      <c r="L601" s="111" t="b">
        <v>0</v>
      </c>
    </row>
    <row r="602" spans="1:12" ht="15">
      <c r="A602" s="113" t="s">
        <v>906</v>
      </c>
      <c r="B602" s="111" t="s">
        <v>955</v>
      </c>
      <c r="C602" s="111">
        <v>2</v>
      </c>
      <c r="D602" s="115">
        <v>0.000558811436626611</v>
      </c>
      <c r="E602" s="115">
        <v>2.0891500003511183</v>
      </c>
      <c r="F602" s="111" t="s">
        <v>1990</v>
      </c>
      <c r="G602" s="111" t="b">
        <v>0</v>
      </c>
      <c r="H602" s="111" t="b">
        <v>0</v>
      </c>
      <c r="I602" s="111" t="b">
        <v>0</v>
      </c>
      <c r="J602" s="111" t="b">
        <v>0</v>
      </c>
      <c r="K602" s="111" t="b">
        <v>0</v>
      </c>
      <c r="L602" s="111" t="b">
        <v>0</v>
      </c>
    </row>
    <row r="603" spans="1:12" ht="15">
      <c r="A603" s="113" t="s">
        <v>955</v>
      </c>
      <c r="B603" s="111" t="s">
        <v>1020</v>
      </c>
      <c r="C603" s="111">
        <v>2</v>
      </c>
      <c r="D603" s="115">
        <v>0.000558811436626611</v>
      </c>
      <c r="E603" s="115">
        <v>2.3579953126436983</v>
      </c>
      <c r="F603" s="111" t="s">
        <v>1990</v>
      </c>
      <c r="G603" s="111" t="b">
        <v>0</v>
      </c>
      <c r="H603" s="111" t="b">
        <v>0</v>
      </c>
      <c r="I603" s="111" t="b">
        <v>0</v>
      </c>
      <c r="J603" s="111" t="b">
        <v>0</v>
      </c>
      <c r="K603" s="111" t="b">
        <v>0</v>
      </c>
      <c r="L603" s="111" t="b">
        <v>0</v>
      </c>
    </row>
    <row r="604" spans="1:12" ht="15">
      <c r="A604" s="113" t="s">
        <v>1279</v>
      </c>
      <c r="B604" s="111" t="s">
        <v>983</v>
      </c>
      <c r="C604" s="111">
        <v>2</v>
      </c>
      <c r="D604" s="115">
        <v>0.000558811436626611</v>
      </c>
      <c r="E604" s="115">
        <v>2.652185883777374</v>
      </c>
      <c r="F604" s="111" t="s">
        <v>1990</v>
      </c>
      <c r="G604" s="111" t="b">
        <v>0</v>
      </c>
      <c r="H604" s="111" t="b">
        <v>0</v>
      </c>
      <c r="I604" s="111" t="b">
        <v>0</v>
      </c>
      <c r="J604" s="111" t="b">
        <v>0</v>
      </c>
      <c r="K604" s="111" t="b">
        <v>0</v>
      </c>
      <c r="L604" s="111" t="b">
        <v>0</v>
      </c>
    </row>
    <row r="605" spans="1:12" ht="15">
      <c r="A605" s="113" t="s">
        <v>906</v>
      </c>
      <c r="B605" s="111" t="s">
        <v>1973</v>
      </c>
      <c r="C605" s="111">
        <v>2</v>
      </c>
      <c r="D605" s="115">
        <v>0.000558811436626611</v>
      </c>
      <c r="E605" s="115">
        <v>2.7423625141264623</v>
      </c>
      <c r="F605" s="111" t="s">
        <v>1990</v>
      </c>
      <c r="G605" s="111" t="b">
        <v>0</v>
      </c>
      <c r="H605" s="111" t="b">
        <v>0</v>
      </c>
      <c r="I605" s="111" t="b">
        <v>0</v>
      </c>
      <c r="J605" s="111" t="b">
        <v>0</v>
      </c>
      <c r="K605" s="111" t="b">
        <v>0</v>
      </c>
      <c r="L605" s="111" t="b">
        <v>0</v>
      </c>
    </row>
    <row r="606" spans="1:12" ht="15">
      <c r="A606" s="113" t="s">
        <v>896</v>
      </c>
      <c r="B606" s="111" t="s">
        <v>1252</v>
      </c>
      <c r="C606" s="111">
        <v>2</v>
      </c>
      <c r="D606" s="115">
        <v>0.000558811436626611</v>
      </c>
      <c r="E606" s="115">
        <v>2.4091478350910798</v>
      </c>
      <c r="F606" s="111" t="s">
        <v>1990</v>
      </c>
      <c r="G606" s="111" t="b">
        <v>0</v>
      </c>
      <c r="H606" s="111" t="b">
        <v>0</v>
      </c>
      <c r="I606" s="111" t="b">
        <v>0</v>
      </c>
      <c r="J606" s="111" t="b">
        <v>0</v>
      </c>
      <c r="K606" s="111" t="b">
        <v>0</v>
      </c>
      <c r="L606" s="111" t="b">
        <v>0</v>
      </c>
    </row>
    <row r="607" spans="1:12" ht="15">
      <c r="A607" s="113" t="s">
        <v>954</v>
      </c>
      <c r="B607" s="111" t="s">
        <v>1181</v>
      </c>
      <c r="C607" s="111">
        <v>2</v>
      </c>
      <c r="D607" s="115">
        <v>0.000558811436626611</v>
      </c>
      <c r="E607" s="115">
        <v>2.6010333613299927</v>
      </c>
      <c r="F607" s="111" t="s">
        <v>1990</v>
      </c>
      <c r="G607" s="111" t="b">
        <v>0</v>
      </c>
      <c r="H607" s="111" t="b">
        <v>0</v>
      </c>
      <c r="I607" s="111" t="b">
        <v>0</v>
      </c>
      <c r="J607" s="111" t="b">
        <v>0</v>
      </c>
      <c r="K607" s="111" t="b">
        <v>0</v>
      </c>
      <c r="L607" s="111" t="b">
        <v>0</v>
      </c>
    </row>
    <row r="608" spans="1:12" ht="15">
      <c r="A608" s="113" t="s">
        <v>897</v>
      </c>
      <c r="B608" s="111" t="s">
        <v>1080</v>
      </c>
      <c r="C608" s="111">
        <v>2</v>
      </c>
      <c r="D608" s="115">
        <v>0.000558811436626611</v>
      </c>
      <c r="E608" s="115">
        <v>2.2330565760353984</v>
      </c>
      <c r="F608" s="111" t="s">
        <v>1990</v>
      </c>
      <c r="G608" s="111" t="b">
        <v>0</v>
      </c>
      <c r="H608" s="111" t="b">
        <v>0</v>
      </c>
      <c r="I608" s="111" t="b">
        <v>0</v>
      </c>
      <c r="J608" s="111" t="b">
        <v>0</v>
      </c>
      <c r="K608" s="111" t="b">
        <v>0</v>
      </c>
      <c r="L608" s="111" t="b">
        <v>0</v>
      </c>
    </row>
    <row r="609" spans="1:12" ht="15">
      <c r="A609" s="113" t="s">
        <v>1080</v>
      </c>
      <c r="B609" s="111" t="s">
        <v>1114</v>
      </c>
      <c r="C609" s="111">
        <v>2</v>
      </c>
      <c r="D609" s="115">
        <v>0.000558811436626611</v>
      </c>
      <c r="E609" s="115">
        <v>2.680214607377618</v>
      </c>
      <c r="F609" s="111" t="s">
        <v>1990</v>
      </c>
      <c r="G609" s="111" t="b">
        <v>0</v>
      </c>
      <c r="H609" s="111" t="b">
        <v>0</v>
      </c>
      <c r="I609" s="111" t="b">
        <v>0</v>
      </c>
      <c r="J609" s="111" t="b">
        <v>1</v>
      </c>
      <c r="K609" s="111" t="b">
        <v>0</v>
      </c>
      <c r="L609" s="111" t="b">
        <v>0</v>
      </c>
    </row>
    <row r="610" spans="1:12" ht="15">
      <c r="A610" s="113" t="s">
        <v>1114</v>
      </c>
      <c r="B610" s="111" t="s">
        <v>916</v>
      </c>
      <c r="C610" s="111">
        <v>2</v>
      </c>
      <c r="D610" s="115">
        <v>0.000558811436626611</v>
      </c>
      <c r="E610" s="115">
        <v>2.3791846117136366</v>
      </c>
      <c r="F610" s="111" t="s">
        <v>1990</v>
      </c>
      <c r="G610" s="111" t="b">
        <v>1</v>
      </c>
      <c r="H610" s="111" t="b">
        <v>0</v>
      </c>
      <c r="I610" s="111" t="b">
        <v>0</v>
      </c>
      <c r="J610" s="111" t="b">
        <v>0</v>
      </c>
      <c r="K610" s="111" t="b">
        <v>0</v>
      </c>
      <c r="L610" s="111" t="b">
        <v>0</v>
      </c>
    </row>
    <row r="611" spans="1:12" ht="15">
      <c r="A611" s="113" t="s">
        <v>916</v>
      </c>
      <c r="B611" s="111" t="s">
        <v>1976</v>
      </c>
      <c r="C611" s="111">
        <v>2</v>
      </c>
      <c r="D611" s="115">
        <v>0.000558811436626611</v>
      </c>
      <c r="E611" s="115">
        <v>2.777124620385674</v>
      </c>
      <c r="F611" s="111" t="s">
        <v>1990</v>
      </c>
      <c r="G611" s="111" t="b">
        <v>0</v>
      </c>
      <c r="H611" s="111" t="b">
        <v>0</v>
      </c>
      <c r="I611" s="111" t="b">
        <v>0</v>
      </c>
      <c r="J611" s="111" t="b">
        <v>0</v>
      </c>
      <c r="K611" s="111" t="b">
        <v>0</v>
      </c>
      <c r="L611" s="111" t="b">
        <v>0</v>
      </c>
    </row>
    <row r="612" spans="1:12" ht="15">
      <c r="A612" s="113" t="s">
        <v>1979</v>
      </c>
      <c r="B612" s="111" t="s">
        <v>1980</v>
      </c>
      <c r="C612" s="111">
        <v>2</v>
      </c>
      <c r="D612" s="115">
        <v>0.000558811436626611</v>
      </c>
      <c r="E612" s="115">
        <v>3.555275870769318</v>
      </c>
      <c r="F612" s="111" t="s">
        <v>1990</v>
      </c>
      <c r="G612" s="111" t="b">
        <v>0</v>
      </c>
      <c r="H612" s="111" t="b">
        <v>0</v>
      </c>
      <c r="I612" s="111" t="b">
        <v>0</v>
      </c>
      <c r="J612" s="111" t="b">
        <v>0</v>
      </c>
      <c r="K612" s="111" t="b">
        <v>0</v>
      </c>
      <c r="L612" s="111" t="b">
        <v>0</v>
      </c>
    </row>
    <row r="613" spans="1:12" ht="15">
      <c r="A613" s="113" t="s">
        <v>1980</v>
      </c>
      <c r="B613" s="111" t="s">
        <v>1981</v>
      </c>
      <c r="C613" s="111">
        <v>2</v>
      </c>
      <c r="D613" s="115">
        <v>0.000558811436626611</v>
      </c>
      <c r="E613" s="115">
        <v>3.555275870769318</v>
      </c>
      <c r="F613" s="111" t="s">
        <v>1990</v>
      </c>
      <c r="G613" s="111" t="b">
        <v>0</v>
      </c>
      <c r="H613" s="111" t="b">
        <v>0</v>
      </c>
      <c r="I613" s="111" t="b">
        <v>0</v>
      </c>
      <c r="J613" s="111" t="b">
        <v>0</v>
      </c>
      <c r="K613" s="111" t="b">
        <v>0</v>
      </c>
      <c r="L613" s="111" t="b">
        <v>0</v>
      </c>
    </row>
    <row r="614" spans="1:12" ht="15">
      <c r="A614" s="113" t="s">
        <v>1981</v>
      </c>
      <c r="B614" s="111" t="s">
        <v>1982</v>
      </c>
      <c r="C614" s="111">
        <v>2</v>
      </c>
      <c r="D614" s="115">
        <v>0.000558811436626611</v>
      </c>
      <c r="E614" s="115">
        <v>3.555275870769318</v>
      </c>
      <c r="F614" s="111" t="s">
        <v>1990</v>
      </c>
      <c r="G614" s="111" t="b">
        <v>0</v>
      </c>
      <c r="H614" s="111" t="b">
        <v>0</v>
      </c>
      <c r="I614" s="111" t="b">
        <v>0</v>
      </c>
      <c r="J614" s="111" t="b">
        <v>0</v>
      </c>
      <c r="K614" s="111" t="b">
        <v>0</v>
      </c>
      <c r="L614" s="111" t="b">
        <v>0</v>
      </c>
    </row>
    <row r="615" spans="1:12" ht="15">
      <c r="A615" s="113" t="s">
        <v>1982</v>
      </c>
      <c r="B615" s="111" t="s">
        <v>1983</v>
      </c>
      <c r="C615" s="111">
        <v>2</v>
      </c>
      <c r="D615" s="115">
        <v>0.000558811436626611</v>
      </c>
      <c r="E615" s="115">
        <v>3.555275870769318</v>
      </c>
      <c r="F615" s="111" t="s">
        <v>1990</v>
      </c>
      <c r="G615" s="111" t="b">
        <v>0</v>
      </c>
      <c r="H615" s="111" t="b">
        <v>0</v>
      </c>
      <c r="I615" s="111" t="b">
        <v>0</v>
      </c>
      <c r="J615" s="111" t="b">
        <v>0</v>
      </c>
      <c r="K615" s="111" t="b">
        <v>0</v>
      </c>
      <c r="L615" s="111" t="b">
        <v>0</v>
      </c>
    </row>
    <row r="616" spans="1:12" ht="15">
      <c r="A616" s="113" t="s">
        <v>886</v>
      </c>
      <c r="B616" s="111" t="s">
        <v>861</v>
      </c>
      <c r="C616" s="111">
        <v>15</v>
      </c>
      <c r="D616" s="115">
        <v>0.01015730949620635</v>
      </c>
      <c r="E616" s="115">
        <v>2.098370441393627</v>
      </c>
      <c r="F616" s="111" t="s">
        <v>820</v>
      </c>
      <c r="G616" s="111" t="b">
        <v>0</v>
      </c>
      <c r="H616" s="111" t="b">
        <v>0</v>
      </c>
      <c r="I616" s="111" t="b">
        <v>0</v>
      </c>
      <c r="J616" s="111" t="b">
        <v>0</v>
      </c>
      <c r="K616" s="111" t="b">
        <v>0</v>
      </c>
      <c r="L616" s="111" t="b">
        <v>0</v>
      </c>
    </row>
    <row r="617" spans="1:12" ht="15">
      <c r="A617" s="113" t="s">
        <v>861</v>
      </c>
      <c r="B617" s="111" t="s">
        <v>850</v>
      </c>
      <c r="C617" s="111">
        <v>15</v>
      </c>
      <c r="D617" s="115">
        <v>0.01015730949620635</v>
      </c>
      <c r="E617" s="115">
        <v>1.9734317047853271</v>
      </c>
      <c r="F617" s="111" t="s">
        <v>820</v>
      </c>
      <c r="G617" s="111" t="b">
        <v>0</v>
      </c>
      <c r="H617" s="111" t="b">
        <v>0</v>
      </c>
      <c r="I617" s="111" t="b">
        <v>0</v>
      </c>
      <c r="J617" s="111" t="b">
        <v>0</v>
      </c>
      <c r="K617" s="111" t="b">
        <v>0</v>
      </c>
      <c r="L617" s="111" t="b">
        <v>0</v>
      </c>
    </row>
    <row r="618" spans="1:12" ht="15">
      <c r="A618" s="113" t="s">
        <v>850</v>
      </c>
      <c r="B618" s="111" t="s">
        <v>887</v>
      </c>
      <c r="C618" s="111">
        <v>15</v>
      </c>
      <c r="D618" s="115">
        <v>0.01015730949620635</v>
      </c>
      <c r="E618" s="115">
        <v>2.076094046682475</v>
      </c>
      <c r="F618" s="111" t="s">
        <v>820</v>
      </c>
      <c r="G618" s="111" t="b">
        <v>0</v>
      </c>
      <c r="H618" s="111" t="b">
        <v>0</v>
      </c>
      <c r="I618" s="111" t="b">
        <v>0</v>
      </c>
      <c r="J618" s="111" t="b">
        <v>0</v>
      </c>
      <c r="K618" s="111" t="b">
        <v>0</v>
      </c>
      <c r="L618" s="111" t="b">
        <v>0</v>
      </c>
    </row>
    <row r="619" spans="1:12" ht="15">
      <c r="A619" s="113" t="s">
        <v>887</v>
      </c>
      <c r="B619" s="111" t="s">
        <v>879</v>
      </c>
      <c r="C619" s="111">
        <v>15</v>
      </c>
      <c r="D619" s="115">
        <v>0.01015730949620635</v>
      </c>
      <c r="E619" s="115">
        <v>2.1730040596905313</v>
      </c>
      <c r="F619" s="111" t="s">
        <v>820</v>
      </c>
      <c r="G619" s="111" t="b">
        <v>0</v>
      </c>
      <c r="H619" s="111" t="b">
        <v>0</v>
      </c>
      <c r="I619" s="111" t="b">
        <v>0</v>
      </c>
      <c r="J619" s="111" t="b">
        <v>0</v>
      </c>
      <c r="K619" s="111" t="b">
        <v>0</v>
      </c>
      <c r="L619" s="111" t="b">
        <v>0</v>
      </c>
    </row>
    <row r="620" spans="1:12" ht="15">
      <c r="A620" s="113" t="s">
        <v>854</v>
      </c>
      <c r="B620" s="111" t="s">
        <v>866</v>
      </c>
      <c r="C620" s="111">
        <v>15</v>
      </c>
      <c r="D620" s="115">
        <v>0.008296802724488295</v>
      </c>
      <c r="E620" s="115">
        <v>2.0217363843598823</v>
      </c>
      <c r="F620" s="111" t="s">
        <v>820</v>
      </c>
      <c r="G620" s="111" t="b">
        <v>0</v>
      </c>
      <c r="H620" s="111" t="b">
        <v>0</v>
      </c>
      <c r="I620" s="111" t="b">
        <v>0</v>
      </c>
      <c r="J620" s="111" t="b">
        <v>0</v>
      </c>
      <c r="K620" s="111" t="b">
        <v>0</v>
      </c>
      <c r="L620" s="111" t="b">
        <v>0</v>
      </c>
    </row>
    <row r="621" spans="1:12" ht="15">
      <c r="A621" s="113" t="s">
        <v>866</v>
      </c>
      <c r="B621" s="111" t="s">
        <v>886</v>
      </c>
      <c r="C621" s="111">
        <v>14</v>
      </c>
      <c r="D621" s="115">
        <v>0.009480155529792592</v>
      </c>
      <c r="E621" s="115">
        <v>2.116711897590739</v>
      </c>
      <c r="F621" s="111" t="s">
        <v>820</v>
      </c>
      <c r="G621" s="111" t="b">
        <v>0</v>
      </c>
      <c r="H621" s="111" t="b">
        <v>0</v>
      </c>
      <c r="I621" s="111" t="b">
        <v>0</v>
      </c>
      <c r="J621" s="111" t="b">
        <v>0</v>
      </c>
      <c r="K621" s="111" t="b">
        <v>0</v>
      </c>
      <c r="L621" s="111" t="b">
        <v>0</v>
      </c>
    </row>
    <row r="622" spans="1:12" ht="15">
      <c r="A622" s="113" t="s">
        <v>882</v>
      </c>
      <c r="B622" s="111" t="s">
        <v>841</v>
      </c>
      <c r="C622" s="111">
        <v>13</v>
      </c>
      <c r="D622" s="115">
        <v>0.003446594476440229</v>
      </c>
      <c r="E622" s="115">
        <v>1.6373691828771184</v>
      </c>
      <c r="F622" s="111" t="s">
        <v>820</v>
      </c>
      <c r="G622" s="111" t="b">
        <v>0</v>
      </c>
      <c r="H622" s="111" t="b">
        <v>0</v>
      </c>
      <c r="I622" s="111" t="b">
        <v>0</v>
      </c>
      <c r="J622" s="111" t="b">
        <v>0</v>
      </c>
      <c r="K622" s="111" t="b">
        <v>0</v>
      </c>
      <c r="L622" s="111" t="b">
        <v>0</v>
      </c>
    </row>
    <row r="623" spans="1:12" ht="15">
      <c r="A623" s="113" t="s">
        <v>844</v>
      </c>
      <c r="B623" s="111" t="s">
        <v>841</v>
      </c>
      <c r="C623" s="111">
        <v>11</v>
      </c>
      <c r="D623" s="115">
        <v>0.0033555787327716044</v>
      </c>
      <c r="E623" s="115">
        <v>1.5648185157285068</v>
      </c>
      <c r="F623" s="111" t="s">
        <v>820</v>
      </c>
      <c r="G623" s="111" t="b">
        <v>0</v>
      </c>
      <c r="H623" s="111" t="b">
        <v>0</v>
      </c>
      <c r="I623" s="111" t="b">
        <v>0</v>
      </c>
      <c r="J623" s="111" t="b">
        <v>0</v>
      </c>
      <c r="K623" s="111" t="b">
        <v>0</v>
      </c>
      <c r="L623" s="111" t="b">
        <v>0</v>
      </c>
    </row>
    <row r="624" spans="1:12" ht="15">
      <c r="A624" s="113" t="s">
        <v>877</v>
      </c>
      <c r="B624" s="111" t="s">
        <v>878</v>
      </c>
      <c r="C624" s="111">
        <v>10</v>
      </c>
      <c r="D624" s="115">
        <v>0.004290863968513495</v>
      </c>
      <c r="E624" s="115">
        <v>2.294338672030006</v>
      </c>
      <c r="F624" s="111" t="s">
        <v>820</v>
      </c>
      <c r="G624" s="111" t="b">
        <v>0</v>
      </c>
      <c r="H624" s="111" t="b">
        <v>1</v>
      </c>
      <c r="I624" s="111" t="b">
        <v>0</v>
      </c>
      <c r="J624" s="111" t="b">
        <v>0</v>
      </c>
      <c r="K624" s="111" t="b">
        <v>0</v>
      </c>
      <c r="L624" s="111" t="b">
        <v>0</v>
      </c>
    </row>
    <row r="625" spans="1:12" ht="15">
      <c r="A625" s="113" t="s">
        <v>841</v>
      </c>
      <c r="B625" s="111" t="s">
        <v>843</v>
      </c>
      <c r="C625" s="111">
        <v>6</v>
      </c>
      <c r="D625" s="115">
        <v>0.002139187703590961</v>
      </c>
      <c r="E625" s="115">
        <v>0.9465652728236986</v>
      </c>
      <c r="F625" s="111" t="s">
        <v>820</v>
      </c>
      <c r="G625" s="111" t="b">
        <v>0</v>
      </c>
      <c r="H625" s="111" t="b">
        <v>0</v>
      </c>
      <c r="I625" s="111" t="b">
        <v>0</v>
      </c>
      <c r="J625" s="111" t="b">
        <v>0</v>
      </c>
      <c r="K625" s="111" t="b">
        <v>0</v>
      </c>
      <c r="L625" s="111" t="b">
        <v>0</v>
      </c>
    </row>
    <row r="626" spans="1:12" ht="15">
      <c r="A626" s="113" t="s">
        <v>907</v>
      </c>
      <c r="B626" s="111" t="s">
        <v>855</v>
      </c>
      <c r="C626" s="111">
        <v>6</v>
      </c>
      <c r="D626" s="115">
        <v>0.00406292379848254</v>
      </c>
      <c r="E626" s="115">
        <v>2.5320260023321994</v>
      </c>
      <c r="F626" s="111" t="s">
        <v>820</v>
      </c>
      <c r="G626" s="111" t="b">
        <v>0</v>
      </c>
      <c r="H626" s="111" t="b">
        <v>0</v>
      </c>
      <c r="I626" s="111" t="b">
        <v>0</v>
      </c>
      <c r="J626" s="111" t="b">
        <v>0</v>
      </c>
      <c r="K626" s="111" t="b">
        <v>0</v>
      </c>
      <c r="L626" s="111" t="b">
        <v>0</v>
      </c>
    </row>
    <row r="627" spans="1:12" ht="15">
      <c r="A627" s="113" t="s">
        <v>943</v>
      </c>
      <c r="B627" s="111" t="s">
        <v>841</v>
      </c>
      <c r="C627" s="111">
        <v>6</v>
      </c>
      <c r="D627" s="115">
        <v>0.002883390412278183</v>
      </c>
      <c r="E627" s="115">
        <v>1.6695538662485196</v>
      </c>
      <c r="F627" s="111" t="s">
        <v>820</v>
      </c>
      <c r="G627" s="111" t="b">
        <v>0</v>
      </c>
      <c r="H627" s="111" t="b">
        <v>0</v>
      </c>
      <c r="I627" s="111" t="b">
        <v>0</v>
      </c>
      <c r="J627" s="111" t="b">
        <v>0</v>
      </c>
      <c r="K627" s="111" t="b">
        <v>0</v>
      </c>
      <c r="L627" s="111" t="b">
        <v>0</v>
      </c>
    </row>
    <row r="628" spans="1:12" ht="15">
      <c r="A628" s="113" t="s">
        <v>852</v>
      </c>
      <c r="B628" s="111" t="s">
        <v>1003</v>
      </c>
      <c r="C628" s="111">
        <v>6</v>
      </c>
      <c r="D628" s="115">
        <v>0.0033187210897953176</v>
      </c>
      <c r="E628" s="115">
        <v>2.1730040596905313</v>
      </c>
      <c r="F628" s="111" t="s">
        <v>820</v>
      </c>
      <c r="G628" s="111" t="b">
        <v>0</v>
      </c>
      <c r="H628" s="111" t="b">
        <v>0</v>
      </c>
      <c r="I628" s="111" t="b">
        <v>0</v>
      </c>
      <c r="J628" s="111" t="b">
        <v>0</v>
      </c>
      <c r="K628" s="111" t="b">
        <v>0</v>
      </c>
      <c r="L628" s="111" t="b">
        <v>0</v>
      </c>
    </row>
    <row r="629" spans="1:12" ht="15">
      <c r="A629" s="113" t="s">
        <v>851</v>
      </c>
      <c r="B629" s="111" t="s">
        <v>1123</v>
      </c>
      <c r="C629" s="111">
        <v>5</v>
      </c>
      <c r="D629" s="115">
        <v>0.0033857698320687835</v>
      </c>
      <c r="E629" s="115">
        <v>2.2979427962988312</v>
      </c>
      <c r="F629" s="111" t="s">
        <v>820</v>
      </c>
      <c r="G629" s="111" t="b">
        <v>0</v>
      </c>
      <c r="H629" s="111" t="b">
        <v>0</v>
      </c>
      <c r="I629" s="111" t="b">
        <v>0</v>
      </c>
      <c r="J629" s="111" t="b">
        <v>0</v>
      </c>
      <c r="K629" s="111" t="b">
        <v>0</v>
      </c>
      <c r="L629" s="111" t="b">
        <v>0</v>
      </c>
    </row>
    <row r="630" spans="1:12" ht="15">
      <c r="A630" s="113" t="s">
        <v>875</v>
      </c>
      <c r="B630" s="111" t="s">
        <v>862</v>
      </c>
      <c r="C630" s="111">
        <v>5</v>
      </c>
      <c r="D630" s="115">
        <v>0.0019457821840753373</v>
      </c>
      <c r="E630" s="115">
        <v>2.2187615502512066</v>
      </c>
      <c r="F630" s="111" t="s">
        <v>820</v>
      </c>
      <c r="G630" s="111" t="b">
        <v>0</v>
      </c>
      <c r="H630" s="111" t="b">
        <v>1</v>
      </c>
      <c r="I630" s="111" t="b">
        <v>0</v>
      </c>
      <c r="J630" s="111" t="b">
        <v>0</v>
      </c>
      <c r="K630" s="111" t="b">
        <v>0</v>
      </c>
      <c r="L630" s="111" t="b">
        <v>0</v>
      </c>
    </row>
    <row r="631" spans="1:12" ht="15">
      <c r="A631" s="113" t="s">
        <v>939</v>
      </c>
      <c r="B631" s="111" t="s">
        <v>1059</v>
      </c>
      <c r="C631" s="111">
        <v>5</v>
      </c>
      <c r="D631" s="115">
        <v>0.0033857698320687835</v>
      </c>
      <c r="E631" s="115">
        <v>2.3948528093068875</v>
      </c>
      <c r="F631" s="111" t="s">
        <v>820</v>
      </c>
      <c r="G631" s="111" t="b">
        <v>0</v>
      </c>
      <c r="H631" s="111" t="b">
        <v>0</v>
      </c>
      <c r="I631" s="111" t="b">
        <v>0</v>
      </c>
      <c r="J631" s="111" t="b">
        <v>0</v>
      </c>
      <c r="K631" s="111" t="b">
        <v>0</v>
      </c>
      <c r="L631" s="111" t="b">
        <v>0</v>
      </c>
    </row>
    <row r="632" spans="1:12" ht="15">
      <c r="A632" s="113" t="s">
        <v>895</v>
      </c>
      <c r="B632" s="111" t="s">
        <v>1072</v>
      </c>
      <c r="C632" s="111">
        <v>5</v>
      </c>
      <c r="D632" s="115">
        <v>0.0033857698320687835</v>
      </c>
      <c r="E632" s="115">
        <v>2.151814760620593</v>
      </c>
      <c r="F632" s="111" t="s">
        <v>820</v>
      </c>
      <c r="G632" s="111" t="b">
        <v>0</v>
      </c>
      <c r="H632" s="111" t="b">
        <v>0</v>
      </c>
      <c r="I632" s="111" t="b">
        <v>0</v>
      </c>
      <c r="J632" s="111" t="b">
        <v>0</v>
      </c>
      <c r="K632" s="111" t="b">
        <v>0</v>
      </c>
      <c r="L632" s="111" t="b">
        <v>0</v>
      </c>
    </row>
    <row r="633" spans="1:12" ht="15">
      <c r="A633" s="113" t="s">
        <v>863</v>
      </c>
      <c r="B633" s="111" t="s">
        <v>841</v>
      </c>
      <c r="C633" s="111">
        <v>5</v>
      </c>
      <c r="D633" s="115">
        <v>0.002765600908162765</v>
      </c>
      <c r="E633" s="115">
        <v>1.2223958349063004</v>
      </c>
      <c r="F633" s="111" t="s">
        <v>820</v>
      </c>
      <c r="G633" s="111" t="b">
        <v>0</v>
      </c>
      <c r="H633" s="111" t="b">
        <v>1</v>
      </c>
      <c r="I633" s="111" t="b">
        <v>0</v>
      </c>
      <c r="J633" s="111" t="b">
        <v>0</v>
      </c>
      <c r="K633" s="111" t="b">
        <v>0</v>
      </c>
      <c r="L633" s="111" t="b">
        <v>0</v>
      </c>
    </row>
    <row r="634" spans="1:12" ht="15">
      <c r="A634" s="113" t="s">
        <v>964</v>
      </c>
      <c r="B634" s="111" t="s">
        <v>912</v>
      </c>
      <c r="C634" s="111">
        <v>4</v>
      </c>
      <c r="D634" s="115">
        <v>0.002212480726530212</v>
      </c>
      <c r="E634" s="115">
        <v>2.678154038010437</v>
      </c>
      <c r="F634" s="111" t="s">
        <v>820</v>
      </c>
      <c r="G634" s="111" t="b">
        <v>1</v>
      </c>
      <c r="H634" s="111" t="b">
        <v>0</v>
      </c>
      <c r="I634" s="111" t="b">
        <v>0</v>
      </c>
      <c r="J634" s="111" t="b">
        <v>0</v>
      </c>
      <c r="K634" s="111" t="b">
        <v>0</v>
      </c>
      <c r="L634" s="111" t="b">
        <v>0</v>
      </c>
    </row>
    <row r="635" spans="1:12" ht="15">
      <c r="A635" s="113" t="s">
        <v>863</v>
      </c>
      <c r="B635" s="111" t="s">
        <v>845</v>
      </c>
      <c r="C635" s="111">
        <v>4</v>
      </c>
      <c r="D635" s="115">
        <v>0.001922260274852122</v>
      </c>
      <c r="E635" s="115">
        <v>1.5543023970433516</v>
      </c>
      <c r="F635" s="111" t="s">
        <v>820</v>
      </c>
      <c r="G635" s="111" t="b">
        <v>0</v>
      </c>
      <c r="H635" s="111" t="b">
        <v>1</v>
      </c>
      <c r="I635" s="111" t="b">
        <v>0</v>
      </c>
      <c r="J635" s="111" t="b">
        <v>0</v>
      </c>
      <c r="K635" s="111" t="b">
        <v>0</v>
      </c>
      <c r="L635" s="111" t="b">
        <v>0</v>
      </c>
    </row>
    <row r="636" spans="1:12" ht="15">
      <c r="A636" s="113" t="s">
        <v>849</v>
      </c>
      <c r="B636" s="111" t="s">
        <v>840</v>
      </c>
      <c r="C636" s="111">
        <v>4</v>
      </c>
      <c r="D636" s="115">
        <v>0.001922260274852122</v>
      </c>
      <c r="E636" s="115">
        <v>1.4740340553545126</v>
      </c>
      <c r="F636" s="111" t="s">
        <v>820</v>
      </c>
      <c r="G636" s="111" t="b">
        <v>0</v>
      </c>
      <c r="H636" s="111" t="b">
        <v>0</v>
      </c>
      <c r="I636" s="111" t="b">
        <v>0</v>
      </c>
      <c r="J636" s="111" t="b">
        <v>0</v>
      </c>
      <c r="K636" s="111" t="b">
        <v>0</v>
      </c>
      <c r="L636" s="111" t="b">
        <v>0</v>
      </c>
    </row>
    <row r="637" spans="1:12" ht="15">
      <c r="A637" s="113" t="s">
        <v>1071</v>
      </c>
      <c r="B637" s="111" t="s">
        <v>1224</v>
      </c>
      <c r="C637" s="111">
        <v>4</v>
      </c>
      <c r="D637" s="115">
        <v>0.0027086158656550265</v>
      </c>
      <c r="E637" s="115">
        <v>2.5989727919628125</v>
      </c>
      <c r="F637" s="111" t="s">
        <v>820</v>
      </c>
      <c r="G637" s="111" t="b">
        <v>0</v>
      </c>
      <c r="H637" s="111" t="b">
        <v>0</v>
      </c>
      <c r="I637" s="111" t="b">
        <v>0</v>
      </c>
      <c r="J637" s="111" t="b">
        <v>0</v>
      </c>
      <c r="K637" s="111" t="b">
        <v>0</v>
      </c>
      <c r="L637" s="111" t="b">
        <v>0</v>
      </c>
    </row>
    <row r="638" spans="1:12" ht="15">
      <c r="A638" s="113" t="s">
        <v>930</v>
      </c>
      <c r="B638" s="111" t="s">
        <v>1037</v>
      </c>
      <c r="C638" s="111">
        <v>4</v>
      </c>
      <c r="D638" s="115">
        <v>0.002212480726530212</v>
      </c>
      <c r="E638" s="115">
        <v>2.5989727919628125</v>
      </c>
      <c r="F638" s="111" t="s">
        <v>820</v>
      </c>
      <c r="G638" s="111" t="b">
        <v>0</v>
      </c>
      <c r="H638" s="111" t="b">
        <v>0</v>
      </c>
      <c r="I638" s="111" t="b">
        <v>0</v>
      </c>
      <c r="J638" s="111" t="b">
        <v>0</v>
      </c>
      <c r="K638" s="111" t="b">
        <v>0</v>
      </c>
      <c r="L638" s="111" t="b">
        <v>0</v>
      </c>
    </row>
    <row r="639" spans="1:12" ht="15">
      <c r="A639" s="113" t="s">
        <v>844</v>
      </c>
      <c r="B639" s="111" t="s">
        <v>845</v>
      </c>
      <c r="C639" s="111">
        <v>3</v>
      </c>
      <c r="D639" s="115">
        <v>0.0016593605448976588</v>
      </c>
      <c r="E639" s="115">
        <v>1.4293636604350515</v>
      </c>
      <c r="F639" s="111" t="s">
        <v>820</v>
      </c>
      <c r="G639" s="111" t="b">
        <v>0</v>
      </c>
      <c r="H639" s="111" t="b">
        <v>0</v>
      </c>
      <c r="I639" s="111" t="b">
        <v>0</v>
      </c>
      <c r="J639" s="111" t="b">
        <v>0</v>
      </c>
      <c r="K639" s="111" t="b">
        <v>0</v>
      </c>
      <c r="L639" s="111" t="b">
        <v>0</v>
      </c>
    </row>
    <row r="640" spans="1:12" ht="15">
      <c r="A640" s="113" t="s">
        <v>1123</v>
      </c>
      <c r="B640" s="111" t="s">
        <v>1366</v>
      </c>
      <c r="C640" s="111">
        <v>3</v>
      </c>
      <c r="D640" s="115">
        <v>0.00203146189924127</v>
      </c>
      <c r="E640" s="115">
        <v>2.678154038010437</v>
      </c>
      <c r="F640" s="111" t="s">
        <v>820</v>
      </c>
      <c r="G640" s="111" t="b">
        <v>0</v>
      </c>
      <c r="H640" s="111" t="b">
        <v>0</v>
      </c>
      <c r="I640" s="111" t="b">
        <v>0</v>
      </c>
      <c r="J640" s="111" t="b">
        <v>0</v>
      </c>
      <c r="K640" s="111" t="b">
        <v>0</v>
      </c>
      <c r="L640" s="111" t="b">
        <v>0</v>
      </c>
    </row>
    <row r="641" spans="1:12" ht="15">
      <c r="A641" s="113" t="s">
        <v>841</v>
      </c>
      <c r="B641" s="111" t="s">
        <v>875</v>
      </c>
      <c r="C641" s="111">
        <v>3</v>
      </c>
      <c r="D641" s="115">
        <v>0.0014416952061390915</v>
      </c>
      <c r="E641" s="115">
        <v>1.3858979666539613</v>
      </c>
      <c r="F641" s="111" t="s">
        <v>820</v>
      </c>
      <c r="G641" s="111" t="b">
        <v>0</v>
      </c>
      <c r="H641" s="111" t="b">
        <v>0</v>
      </c>
      <c r="I641" s="111" t="b">
        <v>0</v>
      </c>
      <c r="J641" s="111" t="b">
        <v>0</v>
      </c>
      <c r="K641" s="111" t="b">
        <v>1</v>
      </c>
      <c r="L641" s="111" t="b">
        <v>0</v>
      </c>
    </row>
    <row r="642" spans="1:12" ht="15">
      <c r="A642" s="113" t="s">
        <v>1044</v>
      </c>
      <c r="B642" s="111" t="s">
        <v>1174</v>
      </c>
      <c r="C642" s="111">
        <v>3</v>
      </c>
      <c r="D642" s="115">
        <v>0.00203146189924127</v>
      </c>
      <c r="E642" s="115">
        <v>2.678154038010437</v>
      </c>
      <c r="F642" s="111" t="s">
        <v>820</v>
      </c>
      <c r="G642" s="111" t="b">
        <v>0</v>
      </c>
      <c r="H642" s="111" t="b">
        <v>0</v>
      </c>
      <c r="I642" s="111" t="b">
        <v>0</v>
      </c>
      <c r="J642" s="111" t="b">
        <v>0</v>
      </c>
      <c r="K642" s="111" t="b">
        <v>0</v>
      </c>
      <c r="L642" s="111" t="b">
        <v>0</v>
      </c>
    </row>
    <row r="643" spans="1:12" ht="15">
      <c r="A643" s="113" t="s">
        <v>934</v>
      </c>
      <c r="B643" s="111" t="s">
        <v>841</v>
      </c>
      <c r="C643" s="111">
        <v>3</v>
      </c>
      <c r="D643" s="115">
        <v>0.0014416952061390915</v>
      </c>
      <c r="E643" s="115">
        <v>1.3685238705845384</v>
      </c>
      <c r="F643" s="111" t="s">
        <v>820</v>
      </c>
      <c r="G643" s="111" t="b">
        <v>0</v>
      </c>
      <c r="H643" s="111" t="b">
        <v>0</v>
      </c>
      <c r="I643" s="111" t="b">
        <v>0</v>
      </c>
      <c r="J643" s="111" t="b">
        <v>0</v>
      </c>
      <c r="K643" s="111" t="b">
        <v>0</v>
      </c>
      <c r="L643" s="111" t="b">
        <v>0</v>
      </c>
    </row>
    <row r="644" spans="1:12" ht="15">
      <c r="A644" s="113" t="s">
        <v>863</v>
      </c>
      <c r="B644" s="111" t="s">
        <v>1045</v>
      </c>
      <c r="C644" s="111">
        <v>3</v>
      </c>
      <c r="D644" s="115">
        <v>0.0014416952061390915</v>
      </c>
      <c r="E644" s="115">
        <v>2.1060572700599183</v>
      </c>
      <c r="F644" s="111" t="s">
        <v>820</v>
      </c>
      <c r="G644" s="111" t="b">
        <v>0</v>
      </c>
      <c r="H644" s="111" t="b">
        <v>1</v>
      </c>
      <c r="I644" s="111" t="b">
        <v>0</v>
      </c>
      <c r="J644" s="111" t="b">
        <v>0</v>
      </c>
      <c r="K644" s="111" t="b">
        <v>0</v>
      </c>
      <c r="L644" s="111" t="b">
        <v>0</v>
      </c>
    </row>
    <row r="645" spans="1:12" ht="15">
      <c r="A645" s="113" t="s">
        <v>1045</v>
      </c>
      <c r="B645" s="111" t="s">
        <v>841</v>
      </c>
      <c r="C645" s="111">
        <v>3</v>
      </c>
      <c r="D645" s="115">
        <v>0.0014416952061390915</v>
      </c>
      <c r="E645" s="115">
        <v>1.5446151296402197</v>
      </c>
      <c r="F645" s="111" t="s">
        <v>820</v>
      </c>
      <c r="G645" s="111" t="b">
        <v>0</v>
      </c>
      <c r="H645" s="111" t="b">
        <v>0</v>
      </c>
      <c r="I645" s="111" t="b">
        <v>0</v>
      </c>
      <c r="J645" s="111" t="b">
        <v>0</v>
      </c>
      <c r="K645" s="111" t="b">
        <v>0</v>
      </c>
      <c r="L645" s="111" t="b">
        <v>0</v>
      </c>
    </row>
    <row r="646" spans="1:12" ht="15">
      <c r="A646" s="113" t="s">
        <v>922</v>
      </c>
      <c r="B646" s="111" t="s">
        <v>923</v>
      </c>
      <c r="C646" s="111">
        <v>3</v>
      </c>
      <c r="D646" s="115">
        <v>0.0014416952061390915</v>
      </c>
      <c r="E646" s="115">
        <v>2.4740340553545126</v>
      </c>
      <c r="F646" s="111" t="s">
        <v>820</v>
      </c>
      <c r="G646" s="111" t="b">
        <v>1</v>
      </c>
      <c r="H646" s="111" t="b">
        <v>0</v>
      </c>
      <c r="I646" s="111" t="b">
        <v>0</v>
      </c>
      <c r="J646" s="111" t="b">
        <v>0</v>
      </c>
      <c r="K646" s="111" t="b">
        <v>0</v>
      </c>
      <c r="L646" s="111" t="b">
        <v>0</v>
      </c>
    </row>
    <row r="647" spans="1:12" ht="15">
      <c r="A647" s="113" t="s">
        <v>967</v>
      </c>
      <c r="B647" s="111" t="s">
        <v>933</v>
      </c>
      <c r="C647" s="111">
        <v>3</v>
      </c>
      <c r="D647" s="115">
        <v>0.0014416952061390915</v>
      </c>
      <c r="E647" s="115">
        <v>2.310177252715843</v>
      </c>
      <c r="F647" s="111" t="s">
        <v>820</v>
      </c>
      <c r="G647" s="111" t="b">
        <v>0</v>
      </c>
      <c r="H647" s="111" t="b">
        <v>0</v>
      </c>
      <c r="I647" s="111" t="b">
        <v>0</v>
      </c>
      <c r="J647" s="111" t="b">
        <v>0</v>
      </c>
      <c r="K647" s="111" t="b">
        <v>0</v>
      </c>
      <c r="L647" s="111" t="b">
        <v>0</v>
      </c>
    </row>
    <row r="648" spans="1:12" ht="15">
      <c r="A648" s="113" t="s">
        <v>890</v>
      </c>
      <c r="B648" s="111" t="s">
        <v>845</v>
      </c>
      <c r="C648" s="111">
        <v>3</v>
      </c>
      <c r="D648" s="115">
        <v>0.0014416952061390915</v>
      </c>
      <c r="E648" s="115">
        <v>1.797340445729646</v>
      </c>
      <c r="F648" s="111" t="s">
        <v>820</v>
      </c>
      <c r="G648" s="111" t="b">
        <v>0</v>
      </c>
      <c r="H648" s="111" t="b">
        <v>0</v>
      </c>
      <c r="I648" s="111" t="b">
        <v>0</v>
      </c>
      <c r="J648" s="111" t="b">
        <v>0</v>
      </c>
      <c r="K648" s="111" t="b">
        <v>0</v>
      </c>
      <c r="L648" s="111" t="b">
        <v>0</v>
      </c>
    </row>
    <row r="649" spans="1:12" ht="15">
      <c r="A649" s="113" t="s">
        <v>906</v>
      </c>
      <c r="B649" s="111" t="s">
        <v>906</v>
      </c>
      <c r="C649" s="111">
        <v>3</v>
      </c>
      <c r="D649" s="115">
        <v>0.00203146189924127</v>
      </c>
      <c r="E649" s="115">
        <v>1.626358592452445</v>
      </c>
      <c r="F649" s="111" t="s">
        <v>820</v>
      </c>
      <c r="G649" s="111" t="b">
        <v>0</v>
      </c>
      <c r="H649" s="111" t="b">
        <v>0</v>
      </c>
      <c r="I649" s="111" t="b">
        <v>0</v>
      </c>
      <c r="J649" s="111" t="b">
        <v>0</v>
      </c>
      <c r="K649" s="111" t="b">
        <v>0</v>
      </c>
      <c r="L649" s="111" t="b">
        <v>0</v>
      </c>
    </row>
    <row r="650" spans="1:12" ht="15">
      <c r="A650" s="113" t="s">
        <v>927</v>
      </c>
      <c r="B650" s="111" t="s">
        <v>854</v>
      </c>
      <c r="C650" s="111">
        <v>3</v>
      </c>
      <c r="D650" s="115">
        <v>0.00203146189924127</v>
      </c>
      <c r="E650" s="115">
        <v>1.5118226162439123</v>
      </c>
      <c r="F650" s="111" t="s">
        <v>820</v>
      </c>
      <c r="G650" s="111" t="b">
        <v>0</v>
      </c>
      <c r="H650" s="111" t="b">
        <v>0</v>
      </c>
      <c r="I650" s="111" t="b">
        <v>0</v>
      </c>
      <c r="J650" s="111" t="b">
        <v>0</v>
      </c>
      <c r="K650" s="111" t="b">
        <v>0</v>
      </c>
      <c r="L650" s="111" t="b">
        <v>0</v>
      </c>
    </row>
    <row r="651" spans="1:12" ht="15">
      <c r="A651" s="113" t="s">
        <v>931</v>
      </c>
      <c r="B651" s="111" t="s">
        <v>895</v>
      </c>
      <c r="C651" s="111">
        <v>3</v>
      </c>
      <c r="D651" s="115">
        <v>0.00203146189924127</v>
      </c>
      <c r="E651" s="115">
        <v>1.929966011004237</v>
      </c>
      <c r="F651" s="111" t="s">
        <v>820</v>
      </c>
      <c r="G651" s="111" t="b">
        <v>0</v>
      </c>
      <c r="H651" s="111" t="b">
        <v>0</v>
      </c>
      <c r="I651" s="111" t="b">
        <v>0</v>
      </c>
      <c r="J651" s="111" t="b">
        <v>0</v>
      </c>
      <c r="K651" s="111" t="b">
        <v>0</v>
      </c>
      <c r="L651" s="111" t="b">
        <v>0</v>
      </c>
    </row>
    <row r="652" spans="1:12" ht="15">
      <c r="A652" s="113" t="s">
        <v>847</v>
      </c>
      <c r="B652" s="111" t="s">
        <v>872</v>
      </c>
      <c r="C652" s="111">
        <v>3</v>
      </c>
      <c r="D652" s="115">
        <v>0.00203146189924127</v>
      </c>
      <c r="E652" s="115">
        <v>2.0347013615242497</v>
      </c>
      <c r="F652" s="111" t="s">
        <v>820</v>
      </c>
      <c r="G652" s="111" t="b">
        <v>0</v>
      </c>
      <c r="H652" s="111" t="b">
        <v>0</v>
      </c>
      <c r="I652" s="111" t="b">
        <v>0</v>
      </c>
      <c r="J652" s="111" t="b">
        <v>0</v>
      </c>
      <c r="K652" s="111" t="b">
        <v>0</v>
      </c>
      <c r="L652" s="111" t="b">
        <v>0</v>
      </c>
    </row>
    <row r="653" spans="1:12" ht="15">
      <c r="A653" s="113" t="s">
        <v>986</v>
      </c>
      <c r="B653" s="111" t="s">
        <v>1024</v>
      </c>
      <c r="C653" s="111">
        <v>3</v>
      </c>
      <c r="D653" s="115">
        <v>0.0014416952061390915</v>
      </c>
      <c r="E653" s="115">
        <v>2.9000027876267938</v>
      </c>
      <c r="F653" s="111" t="s">
        <v>820</v>
      </c>
      <c r="G653" s="111" t="b">
        <v>0</v>
      </c>
      <c r="H653" s="111" t="b">
        <v>0</v>
      </c>
      <c r="I653" s="111" t="b">
        <v>0</v>
      </c>
      <c r="J653" s="111" t="b">
        <v>0</v>
      </c>
      <c r="K653" s="111" t="b">
        <v>0</v>
      </c>
      <c r="L653" s="111" t="b">
        <v>0</v>
      </c>
    </row>
    <row r="654" spans="1:12" ht="15">
      <c r="A654" s="113" t="s">
        <v>1027</v>
      </c>
      <c r="B654" s="111" t="s">
        <v>1028</v>
      </c>
      <c r="C654" s="111">
        <v>3</v>
      </c>
      <c r="D654" s="115">
        <v>0.00203146189924127</v>
      </c>
      <c r="E654" s="115">
        <v>2.9000027876267938</v>
      </c>
      <c r="F654" s="111" t="s">
        <v>820</v>
      </c>
      <c r="G654" s="111" t="b">
        <v>0</v>
      </c>
      <c r="H654" s="111" t="b">
        <v>0</v>
      </c>
      <c r="I654" s="111" t="b">
        <v>0</v>
      </c>
      <c r="J654" s="111" t="b">
        <v>0</v>
      </c>
      <c r="K654" s="111" t="b">
        <v>0</v>
      </c>
      <c r="L654" s="111" t="b">
        <v>0</v>
      </c>
    </row>
    <row r="655" spans="1:12" ht="15">
      <c r="A655" s="113" t="s">
        <v>1445</v>
      </c>
      <c r="B655" s="111" t="s">
        <v>1446</v>
      </c>
      <c r="C655" s="111">
        <v>3</v>
      </c>
      <c r="D655" s="115">
        <v>0.00203146189924127</v>
      </c>
      <c r="E655" s="115">
        <v>2.9000027876267938</v>
      </c>
      <c r="F655" s="111" t="s">
        <v>820</v>
      </c>
      <c r="G655" s="111" t="b">
        <v>0</v>
      </c>
      <c r="H655" s="111" t="b">
        <v>0</v>
      </c>
      <c r="I655" s="111" t="b">
        <v>0</v>
      </c>
      <c r="J655" s="111" t="b">
        <v>0</v>
      </c>
      <c r="K655" s="111" t="b">
        <v>0</v>
      </c>
      <c r="L655" s="111" t="b">
        <v>0</v>
      </c>
    </row>
    <row r="656" spans="1:12" ht="15">
      <c r="A656" s="113" t="s">
        <v>1257</v>
      </c>
      <c r="B656" s="111" t="s">
        <v>998</v>
      </c>
      <c r="C656" s="111">
        <v>3</v>
      </c>
      <c r="D656" s="115">
        <v>0.00203146189924127</v>
      </c>
      <c r="E656" s="115">
        <v>2.4740340553545126</v>
      </c>
      <c r="F656" s="111" t="s">
        <v>820</v>
      </c>
      <c r="G656" s="111" t="b">
        <v>0</v>
      </c>
      <c r="H656" s="111" t="b">
        <v>0</v>
      </c>
      <c r="I656" s="111" t="b">
        <v>0</v>
      </c>
      <c r="J656" s="111" t="b">
        <v>0</v>
      </c>
      <c r="K656" s="111" t="b">
        <v>0</v>
      </c>
      <c r="L656" s="111" t="b">
        <v>0</v>
      </c>
    </row>
    <row r="657" spans="1:12" ht="15">
      <c r="A657" s="113" t="s">
        <v>1377</v>
      </c>
      <c r="B657" s="111" t="s">
        <v>1378</v>
      </c>
      <c r="C657" s="111">
        <v>3</v>
      </c>
      <c r="D657" s="115">
        <v>0.00203146189924127</v>
      </c>
      <c r="E657" s="115">
        <v>2.9000027876267938</v>
      </c>
      <c r="F657" s="111" t="s">
        <v>820</v>
      </c>
      <c r="G657" s="111" t="b">
        <v>0</v>
      </c>
      <c r="H657" s="111" t="b">
        <v>0</v>
      </c>
      <c r="I657" s="111" t="b">
        <v>0</v>
      </c>
      <c r="J657" s="111" t="b">
        <v>0</v>
      </c>
      <c r="K657" s="111" t="b">
        <v>0</v>
      </c>
      <c r="L657" s="111" t="b">
        <v>0</v>
      </c>
    </row>
    <row r="658" spans="1:12" ht="15">
      <c r="A658" s="113" t="s">
        <v>841</v>
      </c>
      <c r="B658" s="111" t="s">
        <v>876</v>
      </c>
      <c r="C658" s="111">
        <v>2</v>
      </c>
      <c r="D658" s="115">
        <v>0.001106240363265106</v>
      </c>
      <c r="E658" s="115">
        <v>1.2889879536459048</v>
      </c>
      <c r="F658" s="111" t="s">
        <v>820</v>
      </c>
      <c r="G658" s="111" t="b">
        <v>0</v>
      </c>
      <c r="H658" s="111" t="b">
        <v>0</v>
      </c>
      <c r="I658" s="111" t="b">
        <v>0</v>
      </c>
      <c r="J658" s="111" t="b">
        <v>0</v>
      </c>
      <c r="K658" s="111" t="b">
        <v>0</v>
      </c>
      <c r="L658" s="111" t="b">
        <v>0</v>
      </c>
    </row>
    <row r="659" spans="1:12" ht="15">
      <c r="A659" s="113" t="s">
        <v>1366</v>
      </c>
      <c r="B659" s="111" t="s">
        <v>847</v>
      </c>
      <c r="C659" s="111">
        <v>2</v>
      </c>
      <c r="D659" s="115">
        <v>0.0013543079328275133</v>
      </c>
      <c r="E659" s="115">
        <v>2.1596400981325496</v>
      </c>
      <c r="F659" s="111" t="s">
        <v>820</v>
      </c>
      <c r="G659" s="111" t="b">
        <v>0</v>
      </c>
      <c r="H659" s="111" t="b">
        <v>0</v>
      </c>
      <c r="I659" s="111" t="b">
        <v>0</v>
      </c>
      <c r="J659" s="111" t="b">
        <v>0</v>
      </c>
      <c r="K659" s="111" t="b">
        <v>0</v>
      </c>
      <c r="L659" s="111" t="b">
        <v>0</v>
      </c>
    </row>
    <row r="660" spans="1:12" ht="15">
      <c r="A660" s="113" t="s">
        <v>871</v>
      </c>
      <c r="B660" s="111" t="s">
        <v>870</v>
      </c>
      <c r="C660" s="111">
        <v>2</v>
      </c>
      <c r="D660" s="115">
        <v>0.001106240363265106</v>
      </c>
      <c r="E660" s="115">
        <v>1.7336713658602687</v>
      </c>
      <c r="F660" s="111" t="s">
        <v>820</v>
      </c>
      <c r="G660" s="111" t="b">
        <v>0</v>
      </c>
      <c r="H660" s="111" t="b">
        <v>0</v>
      </c>
      <c r="I660" s="111" t="b">
        <v>0</v>
      </c>
      <c r="J660" s="111" t="b">
        <v>0</v>
      </c>
      <c r="K660" s="111" t="b">
        <v>0</v>
      </c>
      <c r="L660" s="111" t="b">
        <v>0</v>
      </c>
    </row>
    <row r="661" spans="1:12" ht="15">
      <c r="A661" s="113" t="s">
        <v>862</v>
      </c>
      <c r="B661" s="111" t="s">
        <v>934</v>
      </c>
      <c r="C661" s="111">
        <v>2</v>
      </c>
      <c r="D661" s="115">
        <v>0.001106240363265106</v>
      </c>
      <c r="E661" s="115">
        <v>1.8208215415791689</v>
      </c>
      <c r="F661" s="111" t="s">
        <v>820</v>
      </c>
      <c r="G661" s="111" t="b">
        <v>0</v>
      </c>
      <c r="H661" s="111" t="b">
        <v>0</v>
      </c>
      <c r="I661" s="111" t="b">
        <v>0</v>
      </c>
      <c r="J661" s="111" t="b">
        <v>0</v>
      </c>
      <c r="K661" s="111" t="b">
        <v>0</v>
      </c>
      <c r="L661" s="111" t="b">
        <v>0</v>
      </c>
    </row>
    <row r="662" spans="1:12" ht="15">
      <c r="A662" s="113" t="s">
        <v>864</v>
      </c>
      <c r="B662" s="111" t="s">
        <v>1044</v>
      </c>
      <c r="C662" s="111">
        <v>2</v>
      </c>
      <c r="D662" s="115">
        <v>0.0013543079328275133</v>
      </c>
      <c r="E662" s="115">
        <v>1.9000027876267938</v>
      </c>
      <c r="F662" s="111" t="s">
        <v>820</v>
      </c>
      <c r="G662" s="111" t="b">
        <v>0</v>
      </c>
      <c r="H662" s="111" t="b">
        <v>0</v>
      </c>
      <c r="I662" s="111" t="b">
        <v>0</v>
      </c>
      <c r="J662" s="111" t="b">
        <v>0</v>
      </c>
      <c r="K662" s="111" t="b">
        <v>0</v>
      </c>
      <c r="L662" s="111" t="b">
        <v>0</v>
      </c>
    </row>
    <row r="663" spans="1:12" ht="15">
      <c r="A663" s="113" t="s">
        <v>848</v>
      </c>
      <c r="B663" s="111" t="s">
        <v>1095</v>
      </c>
      <c r="C663" s="111">
        <v>2</v>
      </c>
      <c r="D663" s="115">
        <v>0.0013543079328275133</v>
      </c>
      <c r="E663" s="115">
        <v>2.1596400981325496</v>
      </c>
      <c r="F663" s="111" t="s">
        <v>820</v>
      </c>
      <c r="G663" s="111" t="b">
        <v>0</v>
      </c>
      <c r="H663" s="111" t="b">
        <v>0</v>
      </c>
      <c r="I663" s="111" t="b">
        <v>0</v>
      </c>
      <c r="J663" s="111" t="b">
        <v>0</v>
      </c>
      <c r="K663" s="111" t="b">
        <v>1</v>
      </c>
      <c r="L663" s="111" t="b">
        <v>0</v>
      </c>
    </row>
    <row r="664" spans="1:12" ht="15">
      <c r="A664" s="113" t="s">
        <v>960</v>
      </c>
      <c r="B664" s="111" t="s">
        <v>848</v>
      </c>
      <c r="C664" s="111">
        <v>2</v>
      </c>
      <c r="D664" s="115">
        <v>0.001106240363265106</v>
      </c>
      <c r="E664" s="115">
        <v>2.0347013615242497</v>
      </c>
      <c r="F664" s="111" t="s">
        <v>820</v>
      </c>
      <c r="G664" s="111" t="b">
        <v>0</v>
      </c>
      <c r="H664" s="111" t="b">
        <v>0</v>
      </c>
      <c r="I664" s="111" t="b">
        <v>0</v>
      </c>
      <c r="J664" s="111" t="b">
        <v>0</v>
      </c>
      <c r="K664" s="111" t="b">
        <v>0</v>
      </c>
      <c r="L664" s="111" t="b">
        <v>0</v>
      </c>
    </row>
    <row r="665" spans="1:12" ht="15">
      <c r="A665" s="113" t="s">
        <v>843</v>
      </c>
      <c r="B665" s="111" t="s">
        <v>934</v>
      </c>
      <c r="C665" s="111">
        <v>2</v>
      </c>
      <c r="D665" s="115">
        <v>0.001106240363265106</v>
      </c>
      <c r="E665" s="115">
        <v>1.4228815329071314</v>
      </c>
      <c r="F665" s="111" t="s">
        <v>820</v>
      </c>
      <c r="G665" s="111" t="b">
        <v>0</v>
      </c>
      <c r="H665" s="111" t="b">
        <v>0</v>
      </c>
      <c r="I665" s="111" t="b">
        <v>0</v>
      </c>
      <c r="J665" s="111" t="b">
        <v>0</v>
      </c>
      <c r="K665" s="111" t="b">
        <v>0</v>
      </c>
      <c r="L665" s="111" t="b">
        <v>0</v>
      </c>
    </row>
    <row r="666" spans="1:12" ht="15">
      <c r="A666" s="113" t="s">
        <v>862</v>
      </c>
      <c r="B666" s="111" t="s">
        <v>863</v>
      </c>
      <c r="C666" s="111">
        <v>2</v>
      </c>
      <c r="D666" s="115">
        <v>0.001106240363265106</v>
      </c>
      <c r="E666" s="115">
        <v>1.4528447562845743</v>
      </c>
      <c r="F666" s="111" t="s">
        <v>820</v>
      </c>
      <c r="G666" s="111" t="b">
        <v>0</v>
      </c>
      <c r="H666" s="111" t="b">
        <v>0</v>
      </c>
      <c r="I666" s="111" t="b">
        <v>0</v>
      </c>
      <c r="J666" s="111" t="b">
        <v>0</v>
      </c>
      <c r="K666" s="111" t="b">
        <v>1</v>
      </c>
      <c r="L666" s="111" t="b">
        <v>0</v>
      </c>
    </row>
    <row r="667" spans="1:12" ht="15">
      <c r="A667" s="113" t="s">
        <v>962</v>
      </c>
      <c r="B667" s="111" t="s">
        <v>1178</v>
      </c>
      <c r="C667" s="111">
        <v>2</v>
      </c>
      <c r="D667" s="115">
        <v>0.001106240363265106</v>
      </c>
      <c r="E667" s="115">
        <v>2.5020627789547563</v>
      </c>
      <c r="F667" s="111" t="s">
        <v>820</v>
      </c>
      <c r="G667" s="111" t="b">
        <v>0</v>
      </c>
      <c r="H667" s="111" t="b">
        <v>0</v>
      </c>
      <c r="I667" s="111" t="b">
        <v>0</v>
      </c>
      <c r="J667" s="111" t="b">
        <v>0</v>
      </c>
      <c r="K667" s="111" t="b">
        <v>0</v>
      </c>
      <c r="L667" s="111" t="b">
        <v>0</v>
      </c>
    </row>
    <row r="668" spans="1:12" ht="15">
      <c r="A668" s="113" t="s">
        <v>1300</v>
      </c>
      <c r="B668" s="111" t="s">
        <v>1048</v>
      </c>
      <c r="C668" s="111">
        <v>2</v>
      </c>
      <c r="D668" s="115">
        <v>0.001106240363265106</v>
      </c>
      <c r="E668" s="115">
        <v>2.678154038010437</v>
      </c>
      <c r="F668" s="111" t="s">
        <v>820</v>
      </c>
      <c r="G668" s="111" t="b">
        <v>0</v>
      </c>
      <c r="H668" s="111" t="b">
        <v>0</v>
      </c>
      <c r="I668" s="111" t="b">
        <v>0</v>
      </c>
      <c r="J668" s="111" t="b">
        <v>1</v>
      </c>
      <c r="K668" s="111" t="b">
        <v>0</v>
      </c>
      <c r="L668" s="111" t="b">
        <v>0</v>
      </c>
    </row>
    <row r="669" spans="1:12" ht="15">
      <c r="A669" s="113" t="s">
        <v>1048</v>
      </c>
      <c r="B669" s="111" t="s">
        <v>1049</v>
      </c>
      <c r="C669" s="111">
        <v>2</v>
      </c>
      <c r="D669" s="115">
        <v>0.001106240363265106</v>
      </c>
      <c r="E669" s="115">
        <v>2.377124042346456</v>
      </c>
      <c r="F669" s="111" t="s">
        <v>820</v>
      </c>
      <c r="G669" s="111" t="b">
        <v>1</v>
      </c>
      <c r="H669" s="111" t="b">
        <v>0</v>
      </c>
      <c r="I669" s="111" t="b">
        <v>0</v>
      </c>
      <c r="J669" s="111" t="b">
        <v>0</v>
      </c>
      <c r="K669" s="111" t="b">
        <v>0</v>
      </c>
      <c r="L669" s="111" t="b">
        <v>0</v>
      </c>
    </row>
    <row r="670" spans="1:12" ht="15">
      <c r="A670" s="113" t="s">
        <v>840</v>
      </c>
      <c r="B670" s="111" t="s">
        <v>1054</v>
      </c>
      <c r="C670" s="111">
        <v>2</v>
      </c>
      <c r="D670" s="115">
        <v>0.001106240363265106</v>
      </c>
      <c r="E670" s="115">
        <v>1.5882489265710393</v>
      </c>
      <c r="F670" s="111" t="s">
        <v>820</v>
      </c>
      <c r="G670" s="111" t="b">
        <v>0</v>
      </c>
      <c r="H670" s="111" t="b">
        <v>0</v>
      </c>
      <c r="I670" s="111" t="b">
        <v>0</v>
      </c>
      <c r="J670" s="111" t="b">
        <v>0</v>
      </c>
      <c r="K670" s="111" t="b">
        <v>0</v>
      </c>
      <c r="L670" s="111" t="b">
        <v>0</v>
      </c>
    </row>
    <row r="671" spans="1:12" ht="15">
      <c r="A671" s="113" t="s">
        <v>1319</v>
      </c>
      <c r="B671" s="111" t="s">
        <v>1055</v>
      </c>
      <c r="C671" s="111">
        <v>2</v>
      </c>
      <c r="D671" s="115">
        <v>0.001106240363265106</v>
      </c>
      <c r="E671" s="115">
        <v>2.775064051018494</v>
      </c>
      <c r="F671" s="111" t="s">
        <v>820</v>
      </c>
      <c r="G671" s="111" t="b">
        <v>0</v>
      </c>
      <c r="H671" s="111" t="b">
        <v>0</v>
      </c>
      <c r="I671" s="111" t="b">
        <v>0</v>
      </c>
      <c r="J671" s="111" t="b">
        <v>0</v>
      </c>
      <c r="K671" s="111" t="b">
        <v>0</v>
      </c>
      <c r="L671" s="111" t="b">
        <v>0</v>
      </c>
    </row>
    <row r="672" spans="1:12" ht="15">
      <c r="A672" s="113" t="s">
        <v>924</v>
      </c>
      <c r="B672" s="111" t="s">
        <v>1193</v>
      </c>
      <c r="C672" s="111">
        <v>2</v>
      </c>
      <c r="D672" s="115">
        <v>0.0013543079328275133</v>
      </c>
      <c r="E672" s="115">
        <v>2.377124042346456</v>
      </c>
      <c r="F672" s="111" t="s">
        <v>820</v>
      </c>
      <c r="G672" s="111" t="b">
        <v>0</v>
      </c>
      <c r="H672" s="111" t="b">
        <v>0</v>
      </c>
      <c r="I672" s="111" t="b">
        <v>0</v>
      </c>
      <c r="J672" s="111" t="b">
        <v>0</v>
      </c>
      <c r="K672" s="111" t="b">
        <v>0</v>
      </c>
      <c r="L672" s="111" t="b">
        <v>0</v>
      </c>
    </row>
    <row r="673" spans="1:12" ht="15">
      <c r="A673" s="113" t="s">
        <v>846</v>
      </c>
      <c r="B673" s="111" t="s">
        <v>840</v>
      </c>
      <c r="C673" s="111">
        <v>2</v>
      </c>
      <c r="D673" s="115">
        <v>0.001106240363265106</v>
      </c>
      <c r="E673" s="115">
        <v>0.9000027876267936</v>
      </c>
      <c r="F673" s="111" t="s">
        <v>820</v>
      </c>
      <c r="G673" s="111" t="b">
        <v>0</v>
      </c>
      <c r="H673" s="111" t="b">
        <v>0</v>
      </c>
      <c r="I673" s="111" t="b">
        <v>0</v>
      </c>
      <c r="J673" s="111" t="b">
        <v>0</v>
      </c>
      <c r="K673" s="111" t="b">
        <v>0</v>
      </c>
      <c r="L673" s="111" t="b">
        <v>0</v>
      </c>
    </row>
    <row r="674" spans="1:12" ht="15">
      <c r="A674" s="113" t="s">
        <v>841</v>
      </c>
      <c r="B674" s="111" t="s">
        <v>1112</v>
      </c>
      <c r="C674" s="111">
        <v>2</v>
      </c>
      <c r="D674" s="115">
        <v>0.001106240363265106</v>
      </c>
      <c r="E674" s="115">
        <v>1.6869279623179425</v>
      </c>
      <c r="F674" s="111" t="s">
        <v>820</v>
      </c>
      <c r="G674" s="111" t="b">
        <v>0</v>
      </c>
      <c r="H674" s="111" t="b">
        <v>0</v>
      </c>
      <c r="I674" s="111" t="b">
        <v>0</v>
      </c>
      <c r="J674" s="111" t="b">
        <v>0</v>
      </c>
      <c r="K674" s="111" t="b">
        <v>0</v>
      </c>
      <c r="L674" s="111" t="b">
        <v>0</v>
      </c>
    </row>
    <row r="675" spans="1:12" ht="15">
      <c r="A675" s="113" t="s">
        <v>1096</v>
      </c>
      <c r="B675" s="111" t="s">
        <v>1550</v>
      </c>
      <c r="C675" s="111">
        <v>2</v>
      </c>
      <c r="D675" s="115">
        <v>0.001106240363265106</v>
      </c>
      <c r="E675" s="115">
        <v>2.9000027876267938</v>
      </c>
      <c r="F675" s="111" t="s">
        <v>820</v>
      </c>
      <c r="G675" s="111" t="b">
        <v>0</v>
      </c>
      <c r="H675" s="111" t="b">
        <v>0</v>
      </c>
      <c r="I675" s="111" t="b">
        <v>0</v>
      </c>
      <c r="J675" s="111" t="b">
        <v>0</v>
      </c>
      <c r="K675" s="111" t="b">
        <v>0</v>
      </c>
      <c r="L675" s="111" t="b">
        <v>0</v>
      </c>
    </row>
    <row r="676" spans="1:12" ht="15">
      <c r="A676" s="113" t="s">
        <v>1550</v>
      </c>
      <c r="B676" s="111" t="s">
        <v>1306</v>
      </c>
      <c r="C676" s="111">
        <v>2</v>
      </c>
      <c r="D676" s="115">
        <v>0.001106240363265106</v>
      </c>
      <c r="E676" s="115">
        <v>3.076094046682475</v>
      </c>
      <c r="F676" s="111" t="s">
        <v>820</v>
      </c>
      <c r="G676" s="111" t="b">
        <v>0</v>
      </c>
      <c r="H676" s="111" t="b">
        <v>0</v>
      </c>
      <c r="I676" s="111" t="b">
        <v>0</v>
      </c>
      <c r="J676" s="111" t="b">
        <v>0</v>
      </c>
      <c r="K676" s="111" t="b">
        <v>0</v>
      </c>
      <c r="L676" s="111" t="b">
        <v>0</v>
      </c>
    </row>
    <row r="677" spans="1:12" ht="15">
      <c r="A677" s="113" t="s">
        <v>1306</v>
      </c>
      <c r="B677" s="111" t="s">
        <v>1551</v>
      </c>
      <c r="C677" s="111">
        <v>2</v>
      </c>
      <c r="D677" s="115">
        <v>0.001106240363265106</v>
      </c>
      <c r="E677" s="115">
        <v>3.076094046682475</v>
      </c>
      <c r="F677" s="111" t="s">
        <v>820</v>
      </c>
      <c r="G677" s="111" t="b">
        <v>0</v>
      </c>
      <c r="H677" s="111" t="b">
        <v>0</v>
      </c>
      <c r="I677" s="111" t="b">
        <v>0</v>
      </c>
      <c r="J677" s="111" t="b">
        <v>0</v>
      </c>
      <c r="K677" s="111" t="b">
        <v>0</v>
      </c>
      <c r="L677" s="111" t="b">
        <v>0</v>
      </c>
    </row>
    <row r="678" spans="1:12" ht="15">
      <c r="A678" s="113" t="s">
        <v>846</v>
      </c>
      <c r="B678" s="111" t="s">
        <v>936</v>
      </c>
      <c r="C678" s="111">
        <v>2</v>
      </c>
      <c r="D678" s="115">
        <v>0.001106240363265106</v>
      </c>
      <c r="E678" s="115">
        <v>1.7239115285711124</v>
      </c>
      <c r="F678" s="111" t="s">
        <v>820</v>
      </c>
      <c r="G678" s="111" t="b">
        <v>0</v>
      </c>
      <c r="H678" s="111" t="b">
        <v>0</v>
      </c>
      <c r="I678" s="111" t="b">
        <v>0</v>
      </c>
      <c r="J678" s="111" t="b">
        <v>0</v>
      </c>
      <c r="K678" s="111" t="b">
        <v>0</v>
      </c>
      <c r="L678" s="111" t="b">
        <v>0</v>
      </c>
    </row>
    <row r="679" spans="1:12" ht="15">
      <c r="A679" s="113" t="s">
        <v>936</v>
      </c>
      <c r="B679" s="111" t="s">
        <v>843</v>
      </c>
      <c r="C679" s="111">
        <v>2</v>
      </c>
      <c r="D679" s="115">
        <v>0.001106240363265106</v>
      </c>
      <c r="E679" s="115">
        <v>1.3814888477489062</v>
      </c>
      <c r="F679" s="111" t="s">
        <v>820</v>
      </c>
      <c r="G679" s="111" t="b">
        <v>0</v>
      </c>
      <c r="H679" s="111" t="b">
        <v>0</v>
      </c>
      <c r="I679" s="111" t="b">
        <v>0</v>
      </c>
      <c r="J679" s="111" t="b">
        <v>0</v>
      </c>
      <c r="K679" s="111" t="b">
        <v>0</v>
      </c>
      <c r="L679" s="111" t="b">
        <v>0</v>
      </c>
    </row>
    <row r="680" spans="1:12" ht="15">
      <c r="A680" s="113" t="s">
        <v>1173</v>
      </c>
      <c r="B680" s="111" t="s">
        <v>840</v>
      </c>
      <c r="C680" s="111">
        <v>2</v>
      </c>
      <c r="D680" s="115">
        <v>0.001106240363265106</v>
      </c>
      <c r="E680" s="115">
        <v>1.4740340553545126</v>
      </c>
      <c r="F680" s="111" t="s">
        <v>820</v>
      </c>
      <c r="G680" s="111" t="b">
        <v>0</v>
      </c>
      <c r="H680" s="111" t="b">
        <v>0</v>
      </c>
      <c r="I680" s="111" t="b">
        <v>0</v>
      </c>
      <c r="J680" s="111" t="b">
        <v>0</v>
      </c>
      <c r="K680" s="111" t="b">
        <v>0</v>
      </c>
      <c r="L680" s="111" t="b">
        <v>0</v>
      </c>
    </row>
    <row r="681" spans="1:12" ht="15">
      <c r="A681" s="113" t="s">
        <v>912</v>
      </c>
      <c r="B681" s="111" t="s">
        <v>1555</v>
      </c>
      <c r="C681" s="111">
        <v>2</v>
      </c>
      <c r="D681" s="115">
        <v>0.001106240363265106</v>
      </c>
      <c r="E681" s="115">
        <v>2.678154038010437</v>
      </c>
      <c r="F681" s="111" t="s">
        <v>820</v>
      </c>
      <c r="G681" s="111" t="b">
        <v>0</v>
      </c>
      <c r="H681" s="111" t="b">
        <v>0</v>
      </c>
      <c r="I681" s="111" t="b">
        <v>0</v>
      </c>
      <c r="J681" s="111" t="b">
        <v>0</v>
      </c>
      <c r="K681" s="111" t="b">
        <v>0</v>
      </c>
      <c r="L681" s="111" t="b">
        <v>0</v>
      </c>
    </row>
    <row r="682" spans="1:12" ht="15">
      <c r="A682" s="113" t="s">
        <v>1555</v>
      </c>
      <c r="B682" s="111" t="s">
        <v>1556</v>
      </c>
      <c r="C682" s="111">
        <v>2</v>
      </c>
      <c r="D682" s="115">
        <v>0.001106240363265106</v>
      </c>
      <c r="E682" s="115">
        <v>3.076094046682475</v>
      </c>
      <c r="F682" s="111" t="s">
        <v>820</v>
      </c>
      <c r="G682" s="111" t="b">
        <v>0</v>
      </c>
      <c r="H682" s="111" t="b">
        <v>0</v>
      </c>
      <c r="I682" s="111" t="b">
        <v>0</v>
      </c>
      <c r="J682" s="111" t="b">
        <v>0</v>
      </c>
      <c r="K682" s="111" t="b">
        <v>0</v>
      </c>
      <c r="L682" s="111" t="b">
        <v>0</v>
      </c>
    </row>
    <row r="683" spans="1:12" ht="15">
      <c r="A683" s="113" t="s">
        <v>841</v>
      </c>
      <c r="B683" s="111" t="s">
        <v>1305</v>
      </c>
      <c r="C683" s="111">
        <v>2</v>
      </c>
      <c r="D683" s="115">
        <v>0.001106240363265106</v>
      </c>
      <c r="E683" s="115">
        <v>1.5108367032622612</v>
      </c>
      <c r="F683" s="111" t="s">
        <v>820</v>
      </c>
      <c r="G683" s="111" t="b">
        <v>0</v>
      </c>
      <c r="H683" s="111" t="b">
        <v>0</v>
      </c>
      <c r="I683" s="111" t="b">
        <v>0</v>
      </c>
      <c r="J683" s="111" t="b">
        <v>0</v>
      </c>
      <c r="K683" s="111" t="b">
        <v>0</v>
      </c>
      <c r="L683" s="111" t="b">
        <v>0</v>
      </c>
    </row>
    <row r="684" spans="1:12" ht="15">
      <c r="A684" s="113" t="s">
        <v>1040</v>
      </c>
      <c r="B684" s="111" t="s">
        <v>841</v>
      </c>
      <c r="C684" s="111">
        <v>2</v>
      </c>
      <c r="D684" s="115">
        <v>0.001106240363265106</v>
      </c>
      <c r="E684" s="115">
        <v>1.3685238705845386</v>
      </c>
      <c r="F684" s="111" t="s">
        <v>820</v>
      </c>
      <c r="G684" s="111" t="b">
        <v>0</v>
      </c>
      <c r="H684" s="111" t="b">
        <v>0</v>
      </c>
      <c r="I684" s="111" t="b">
        <v>0</v>
      </c>
      <c r="J684" s="111" t="b">
        <v>0</v>
      </c>
      <c r="K684" s="111" t="b">
        <v>0</v>
      </c>
      <c r="L684" s="111" t="b">
        <v>0</v>
      </c>
    </row>
    <row r="685" spans="1:12" ht="15">
      <c r="A685" s="113" t="s">
        <v>1337</v>
      </c>
      <c r="B685" s="111" t="s">
        <v>1340</v>
      </c>
      <c r="C685" s="111">
        <v>2</v>
      </c>
      <c r="D685" s="115">
        <v>0.0013543079328275133</v>
      </c>
      <c r="E685" s="115">
        <v>2.9000027876267938</v>
      </c>
      <c r="F685" s="111" t="s">
        <v>820</v>
      </c>
      <c r="G685" s="111" t="b">
        <v>0</v>
      </c>
      <c r="H685" s="111" t="b">
        <v>0</v>
      </c>
      <c r="I685" s="111" t="b">
        <v>0</v>
      </c>
      <c r="J685" s="111" t="b">
        <v>0</v>
      </c>
      <c r="K685" s="111" t="b">
        <v>0</v>
      </c>
      <c r="L685" s="111" t="b">
        <v>0</v>
      </c>
    </row>
    <row r="686" spans="1:12" ht="15">
      <c r="A686" s="113" t="s">
        <v>1340</v>
      </c>
      <c r="B686" s="111" t="s">
        <v>843</v>
      </c>
      <c r="C686" s="111">
        <v>2</v>
      </c>
      <c r="D686" s="115">
        <v>0.0013543079328275133</v>
      </c>
      <c r="E686" s="115">
        <v>1.8586101024685686</v>
      </c>
      <c r="F686" s="111" t="s">
        <v>820</v>
      </c>
      <c r="G686" s="111" t="b">
        <v>0</v>
      </c>
      <c r="H686" s="111" t="b">
        <v>0</v>
      </c>
      <c r="I686" s="111" t="b">
        <v>0</v>
      </c>
      <c r="J686" s="111" t="b">
        <v>0</v>
      </c>
      <c r="K686" s="111" t="b">
        <v>0</v>
      </c>
      <c r="L686" s="111" t="b">
        <v>0</v>
      </c>
    </row>
    <row r="687" spans="1:12" ht="15">
      <c r="A687" s="113" t="s">
        <v>852</v>
      </c>
      <c r="B687" s="111" t="s">
        <v>1557</v>
      </c>
      <c r="C687" s="111">
        <v>2</v>
      </c>
      <c r="D687" s="115">
        <v>0.001106240363265106</v>
      </c>
      <c r="E687" s="115">
        <v>2.1730040596905313</v>
      </c>
      <c r="F687" s="111" t="s">
        <v>820</v>
      </c>
      <c r="G687" s="111" t="b">
        <v>0</v>
      </c>
      <c r="H687" s="111" t="b">
        <v>0</v>
      </c>
      <c r="I687" s="111" t="b">
        <v>0</v>
      </c>
      <c r="J687" s="111" t="b">
        <v>0</v>
      </c>
      <c r="K687" s="111" t="b">
        <v>0</v>
      </c>
      <c r="L687" s="111" t="b">
        <v>0</v>
      </c>
    </row>
    <row r="688" spans="1:12" ht="15">
      <c r="A688" s="113" t="s">
        <v>1965</v>
      </c>
      <c r="B688" s="111" t="s">
        <v>1966</v>
      </c>
      <c r="C688" s="111">
        <v>2</v>
      </c>
      <c r="D688" s="115">
        <v>0.0013543079328275133</v>
      </c>
      <c r="E688" s="115">
        <v>3.076094046682475</v>
      </c>
      <c r="F688" s="111" t="s">
        <v>820</v>
      </c>
      <c r="G688" s="111" t="b">
        <v>0</v>
      </c>
      <c r="H688" s="111" t="b">
        <v>0</v>
      </c>
      <c r="I688" s="111" t="b">
        <v>0</v>
      </c>
      <c r="J688" s="111" t="b">
        <v>0</v>
      </c>
      <c r="K688" s="111" t="b">
        <v>0</v>
      </c>
      <c r="L688" s="111" t="b">
        <v>0</v>
      </c>
    </row>
    <row r="689" spans="1:12" ht="15">
      <c r="A689" s="113" t="s">
        <v>1968</v>
      </c>
      <c r="B689" s="111" t="s">
        <v>1277</v>
      </c>
      <c r="C689" s="111">
        <v>2</v>
      </c>
      <c r="D689" s="115">
        <v>0.0013543079328275133</v>
      </c>
      <c r="E689" s="115">
        <v>2.775064051018494</v>
      </c>
      <c r="F689" s="111" t="s">
        <v>820</v>
      </c>
      <c r="G689" s="111" t="b">
        <v>0</v>
      </c>
      <c r="H689" s="111" t="b">
        <v>0</v>
      </c>
      <c r="I689" s="111" t="b">
        <v>0</v>
      </c>
      <c r="J689" s="111" t="b">
        <v>0</v>
      </c>
      <c r="K689" s="111" t="b">
        <v>0</v>
      </c>
      <c r="L689" s="111" t="b">
        <v>0</v>
      </c>
    </row>
    <row r="690" spans="1:12" ht="15">
      <c r="A690" s="113" t="s">
        <v>1277</v>
      </c>
      <c r="B690" s="111" t="s">
        <v>1503</v>
      </c>
      <c r="C690" s="111">
        <v>2</v>
      </c>
      <c r="D690" s="115">
        <v>0.0013543079328275133</v>
      </c>
      <c r="E690" s="115">
        <v>2.5989727919628125</v>
      </c>
      <c r="F690" s="111" t="s">
        <v>820</v>
      </c>
      <c r="G690" s="111" t="b">
        <v>0</v>
      </c>
      <c r="H690" s="111" t="b">
        <v>0</v>
      </c>
      <c r="I690" s="111" t="b">
        <v>0</v>
      </c>
      <c r="J690" s="111" t="b">
        <v>0</v>
      </c>
      <c r="K690" s="111" t="b">
        <v>0</v>
      </c>
      <c r="L690" s="111" t="b">
        <v>0</v>
      </c>
    </row>
    <row r="691" spans="1:12" ht="15">
      <c r="A691" s="113" t="s">
        <v>906</v>
      </c>
      <c r="B691" s="111" t="s">
        <v>955</v>
      </c>
      <c r="C691" s="111">
        <v>2</v>
      </c>
      <c r="D691" s="115">
        <v>0.0013543079328275133</v>
      </c>
      <c r="E691" s="115">
        <v>1.6099681762642757</v>
      </c>
      <c r="F691" s="111" t="s">
        <v>820</v>
      </c>
      <c r="G691" s="111" t="b">
        <v>0</v>
      </c>
      <c r="H691" s="111" t="b">
        <v>0</v>
      </c>
      <c r="I691" s="111" t="b">
        <v>0</v>
      </c>
      <c r="J691" s="111" t="b">
        <v>0</v>
      </c>
      <c r="K691" s="111" t="b">
        <v>0</v>
      </c>
      <c r="L691" s="111" t="b">
        <v>0</v>
      </c>
    </row>
    <row r="692" spans="1:12" ht="15">
      <c r="A692" s="113" t="s">
        <v>955</v>
      </c>
      <c r="B692" s="111" t="s">
        <v>1020</v>
      </c>
      <c r="C692" s="111">
        <v>2</v>
      </c>
      <c r="D692" s="115">
        <v>0.0013543079328275133</v>
      </c>
      <c r="E692" s="115">
        <v>1.8788134885568555</v>
      </c>
      <c r="F692" s="111" t="s">
        <v>820</v>
      </c>
      <c r="G692" s="111" t="b">
        <v>0</v>
      </c>
      <c r="H692" s="111" t="b">
        <v>0</v>
      </c>
      <c r="I692" s="111" t="b">
        <v>0</v>
      </c>
      <c r="J692" s="111" t="b">
        <v>0</v>
      </c>
      <c r="K692" s="111" t="b">
        <v>0</v>
      </c>
      <c r="L692" s="111" t="b">
        <v>0</v>
      </c>
    </row>
    <row r="693" spans="1:12" ht="15">
      <c r="A693" s="113" t="s">
        <v>1279</v>
      </c>
      <c r="B693" s="111" t="s">
        <v>983</v>
      </c>
      <c r="C693" s="111">
        <v>2</v>
      </c>
      <c r="D693" s="115">
        <v>0.0013543079328275133</v>
      </c>
      <c r="E693" s="115">
        <v>2.1730040596905313</v>
      </c>
      <c r="F693" s="111" t="s">
        <v>820</v>
      </c>
      <c r="G693" s="111" t="b">
        <v>0</v>
      </c>
      <c r="H693" s="111" t="b">
        <v>0</v>
      </c>
      <c r="I693" s="111" t="b">
        <v>0</v>
      </c>
      <c r="J693" s="111" t="b">
        <v>0</v>
      </c>
      <c r="K693" s="111" t="b">
        <v>0</v>
      </c>
      <c r="L693" s="111" t="b">
        <v>0</v>
      </c>
    </row>
    <row r="694" spans="1:12" ht="15">
      <c r="A694" s="113" t="s">
        <v>906</v>
      </c>
      <c r="B694" s="111" t="s">
        <v>1973</v>
      </c>
      <c r="C694" s="111">
        <v>2</v>
      </c>
      <c r="D694" s="115">
        <v>0.0013543079328275133</v>
      </c>
      <c r="E694" s="115">
        <v>2.2631806900396194</v>
      </c>
      <c r="F694" s="111" t="s">
        <v>820</v>
      </c>
      <c r="G694" s="111" t="b">
        <v>0</v>
      </c>
      <c r="H694" s="111" t="b">
        <v>0</v>
      </c>
      <c r="I694" s="111" t="b">
        <v>0</v>
      </c>
      <c r="J694" s="111" t="b">
        <v>0</v>
      </c>
      <c r="K694" s="111" t="b">
        <v>0</v>
      </c>
      <c r="L694" s="111" t="b">
        <v>0</v>
      </c>
    </row>
    <row r="695" spans="1:12" ht="15">
      <c r="A695" s="113" t="s">
        <v>885</v>
      </c>
      <c r="B695" s="111" t="s">
        <v>894</v>
      </c>
      <c r="C695" s="111">
        <v>2</v>
      </c>
      <c r="D695" s="115">
        <v>0.001106240363265106</v>
      </c>
      <c r="E695" s="115">
        <v>2.5020627789547563</v>
      </c>
      <c r="F695" s="111" t="s">
        <v>820</v>
      </c>
      <c r="G695" s="111" t="b">
        <v>0</v>
      </c>
      <c r="H695" s="111" t="b">
        <v>0</v>
      </c>
      <c r="I695" s="111" t="b">
        <v>0</v>
      </c>
      <c r="J695" s="111" t="b">
        <v>0</v>
      </c>
      <c r="K695" s="111" t="b">
        <v>0</v>
      </c>
      <c r="L695" s="111" t="b">
        <v>0</v>
      </c>
    </row>
    <row r="696" spans="1:12" ht="15">
      <c r="A696" s="113" t="s">
        <v>1639</v>
      </c>
      <c r="B696" s="111" t="s">
        <v>1640</v>
      </c>
      <c r="C696" s="111">
        <v>2</v>
      </c>
      <c r="D696" s="115">
        <v>0.0013543079328275133</v>
      </c>
      <c r="E696" s="115">
        <v>3.076094046682475</v>
      </c>
      <c r="F696" s="111" t="s">
        <v>820</v>
      </c>
      <c r="G696" s="111" t="b">
        <v>0</v>
      </c>
      <c r="H696" s="111" t="b">
        <v>0</v>
      </c>
      <c r="I696" s="111" t="b">
        <v>0</v>
      </c>
      <c r="J696" s="111" t="b">
        <v>0</v>
      </c>
      <c r="K696" s="111" t="b">
        <v>0</v>
      </c>
      <c r="L696" s="111" t="b">
        <v>0</v>
      </c>
    </row>
    <row r="697" spans="1:12" ht="15">
      <c r="A697" s="113" t="s">
        <v>879</v>
      </c>
      <c r="B697" s="111" t="s">
        <v>1071</v>
      </c>
      <c r="C697" s="111">
        <v>2</v>
      </c>
      <c r="D697" s="115">
        <v>0.0013543079328275133</v>
      </c>
      <c r="E697" s="115">
        <v>1.695882804970869</v>
      </c>
      <c r="F697" s="111" t="s">
        <v>820</v>
      </c>
      <c r="G697" s="111" t="b">
        <v>0</v>
      </c>
      <c r="H697" s="111" t="b">
        <v>0</v>
      </c>
      <c r="I697" s="111" t="b">
        <v>0</v>
      </c>
      <c r="J697" s="111" t="b">
        <v>0</v>
      </c>
      <c r="K697" s="111" t="b">
        <v>0</v>
      </c>
      <c r="L697" s="111" t="b">
        <v>0</v>
      </c>
    </row>
    <row r="698" spans="1:12" ht="15">
      <c r="A698" s="113" t="s">
        <v>1219</v>
      </c>
      <c r="B698" s="111" t="s">
        <v>854</v>
      </c>
      <c r="C698" s="111">
        <v>2</v>
      </c>
      <c r="D698" s="115">
        <v>0.001106240363265106</v>
      </c>
      <c r="E698" s="115">
        <v>1.9000027876267938</v>
      </c>
      <c r="F698" s="111" t="s">
        <v>820</v>
      </c>
      <c r="G698" s="111" t="b">
        <v>0</v>
      </c>
      <c r="H698" s="111" t="b">
        <v>0</v>
      </c>
      <c r="I698" s="111" t="b">
        <v>0</v>
      </c>
      <c r="J698" s="111" t="b">
        <v>0</v>
      </c>
      <c r="K698" s="111" t="b">
        <v>0</v>
      </c>
      <c r="L698" s="111" t="b">
        <v>0</v>
      </c>
    </row>
    <row r="699" spans="1:12" ht="15">
      <c r="A699" s="113" t="s">
        <v>879</v>
      </c>
      <c r="B699" s="111" t="s">
        <v>895</v>
      </c>
      <c r="C699" s="111">
        <v>2</v>
      </c>
      <c r="D699" s="115">
        <v>0.0013543079328275133</v>
      </c>
      <c r="E699" s="115">
        <v>1.3279060196762744</v>
      </c>
      <c r="F699" s="111" t="s">
        <v>820</v>
      </c>
      <c r="G699" s="111" t="b">
        <v>0</v>
      </c>
      <c r="H699" s="111" t="b">
        <v>0</v>
      </c>
      <c r="I699" s="111" t="b">
        <v>0</v>
      </c>
      <c r="J699" s="111" t="b">
        <v>0</v>
      </c>
      <c r="K699" s="111" t="b">
        <v>0</v>
      </c>
      <c r="L699" s="111" t="b">
        <v>0</v>
      </c>
    </row>
    <row r="700" spans="1:12" ht="15">
      <c r="A700" s="113" t="s">
        <v>895</v>
      </c>
      <c r="B700" s="111" t="s">
        <v>1646</v>
      </c>
      <c r="C700" s="111">
        <v>2</v>
      </c>
      <c r="D700" s="115">
        <v>0.0013543079328275133</v>
      </c>
      <c r="E700" s="115">
        <v>2.230996006668218</v>
      </c>
      <c r="F700" s="111" t="s">
        <v>820</v>
      </c>
      <c r="G700" s="111" t="b">
        <v>0</v>
      </c>
      <c r="H700" s="111" t="b">
        <v>0</v>
      </c>
      <c r="I700" s="111" t="b">
        <v>0</v>
      </c>
      <c r="J700" s="111" t="b">
        <v>0</v>
      </c>
      <c r="K700" s="111" t="b">
        <v>0</v>
      </c>
      <c r="L700" s="111" t="b">
        <v>0</v>
      </c>
    </row>
    <row r="701" spans="1:12" ht="15">
      <c r="A701" s="113" t="s">
        <v>1197</v>
      </c>
      <c r="B701" s="111" t="s">
        <v>1650</v>
      </c>
      <c r="C701" s="111">
        <v>2</v>
      </c>
      <c r="D701" s="115">
        <v>0.0013543079328275133</v>
      </c>
      <c r="E701" s="115">
        <v>2.775064051018494</v>
      </c>
      <c r="F701" s="111" t="s">
        <v>820</v>
      </c>
      <c r="G701" s="111" t="b">
        <v>0</v>
      </c>
      <c r="H701" s="111" t="b">
        <v>0</v>
      </c>
      <c r="I701" s="111" t="b">
        <v>0</v>
      </c>
      <c r="J701" s="111" t="b">
        <v>0</v>
      </c>
      <c r="K701" s="111" t="b">
        <v>0</v>
      </c>
      <c r="L701" s="111" t="b">
        <v>0</v>
      </c>
    </row>
    <row r="702" spans="1:12" ht="15">
      <c r="A702" s="113" t="s">
        <v>1160</v>
      </c>
      <c r="B702" s="111" t="s">
        <v>914</v>
      </c>
      <c r="C702" s="111">
        <v>2</v>
      </c>
      <c r="D702" s="115">
        <v>0.0013543079328275133</v>
      </c>
      <c r="E702" s="115">
        <v>2.7239115285711124</v>
      </c>
      <c r="F702" s="111" t="s">
        <v>820</v>
      </c>
      <c r="G702" s="111" t="b">
        <v>0</v>
      </c>
      <c r="H702" s="111" t="b">
        <v>0</v>
      </c>
      <c r="I702" s="111" t="b">
        <v>0</v>
      </c>
      <c r="J702" s="111" t="b">
        <v>0</v>
      </c>
      <c r="K702" s="111" t="b">
        <v>0</v>
      </c>
      <c r="L702" s="111" t="b">
        <v>0</v>
      </c>
    </row>
    <row r="703" spans="1:12" ht="15">
      <c r="A703" s="113" t="s">
        <v>927</v>
      </c>
      <c r="B703" s="111" t="s">
        <v>1221</v>
      </c>
      <c r="C703" s="111">
        <v>2</v>
      </c>
      <c r="D703" s="115">
        <v>0.0013543079328275133</v>
      </c>
      <c r="E703" s="115">
        <v>2.0347013615242497</v>
      </c>
      <c r="F703" s="111" t="s">
        <v>820</v>
      </c>
      <c r="G703" s="111" t="b">
        <v>0</v>
      </c>
      <c r="H703" s="111" t="b">
        <v>0</v>
      </c>
      <c r="I703" s="111" t="b">
        <v>0</v>
      </c>
      <c r="J703" s="111" t="b">
        <v>0</v>
      </c>
      <c r="K703" s="111" t="b">
        <v>0</v>
      </c>
      <c r="L703" s="111" t="b">
        <v>0</v>
      </c>
    </row>
    <row r="704" spans="1:12" ht="15">
      <c r="A704" s="113" t="s">
        <v>1654</v>
      </c>
      <c r="B704" s="111" t="s">
        <v>927</v>
      </c>
      <c r="C704" s="111">
        <v>2</v>
      </c>
      <c r="D704" s="115">
        <v>0.0013543079328275133</v>
      </c>
      <c r="E704" s="115">
        <v>2.335731357188231</v>
      </c>
      <c r="F704" s="111" t="s">
        <v>820</v>
      </c>
      <c r="G704" s="111" t="b">
        <v>0</v>
      </c>
      <c r="H704" s="111" t="b">
        <v>0</v>
      </c>
      <c r="I704" s="111" t="b">
        <v>0</v>
      </c>
      <c r="J704" s="111" t="b">
        <v>0</v>
      </c>
      <c r="K704" s="111" t="b">
        <v>0</v>
      </c>
      <c r="L704" s="111" t="b">
        <v>0</v>
      </c>
    </row>
    <row r="705" spans="1:12" ht="15">
      <c r="A705" s="113" t="s">
        <v>849</v>
      </c>
      <c r="B705" s="111" t="s">
        <v>931</v>
      </c>
      <c r="C705" s="111">
        <v>2</v>
      </c>
      <c r="D705" s="115">
        <v>0.0013543079328275133</v>
      </c>
      <c r="E705" s="115">
        <v>1.9969128006348502</v>
      </c>
      <c r="F705" s="111" t="s">
        <v>820</v>
      </c>
      <c r="G705" s="111" t="b">
        <v>0</v>
      </c>
      <c r="H705" s="111" t="b">
        <v>0</v>
      </c>
      <c r="I705" s="111" t="b">
        <v>0</v>
      </c>
      <c r="J705" s="111" t="b">
        <v>0</v>
      </c>
      <c r="K705" s="111" t="b">
        <v>0</v>
      </c>
      <c r="L705" s="111" t="b">
        <v>0</v>
      </c>
    </row>
    <row r="706" spans="1:12" ht="15">
      <c r="A706" s="113" t="s">
        <v>1218</v>
      </c>
      <c r="B706" s="111" t="s">
        <v>1664</v>
      </c>
      <c r="C706" s="111">
        <v>2</v>
      </c>
      <c r="D706" s="115">
        <v>0.0013543079328275133</v>
      </c>
      <c r="E706" s="115">
        <v>2.775064051018494</v>
      </c>
      <c r="F706" s="111" t="s">
        <v>820</v>
      </c>
      <c r="G706" s="111" t="b">
        <v>0</v>
      </c>
      <c r="H706" s="111" t="b">
        <v>0</v>
      </c>
      <c r="I706" s="111" t="b">
        <v>0</v>
      </c>
      <c r="J706" s="111" t="b">
        <v>0</v>
      </c>
      <c r="K706" s="111" t="b">
        <v>0</v>
      </c>
      <c r="L706" s="111" t="b">
        <v>0</v>
      </c>
    </row>
    <row r="707" spans="1:12" ht="15">
      <c r="A707" s="113" t="s">
        <v>1111</v>
      </c>
      <c r="B707" s="111" t="s">
        <v>1210</v>
      </c>
      <c r="C707" s="111">
        <v>2</v>
      </c>
      <c r="D707" s="115">
        <v>0.0013543079328275133</v>
      </c>
      <c r="E707" s="115">
        <v>2.9000027876267938</v>
      </c>
      <c r="F707" s="111" t="s">
        <v>820</v>
      </c>
      <c r="G707" s="111" t="b">
        <v>1</v>
      </c>
      <c r="H707" s="111" t="b">
        <v>0</v>
      </c>
      <c r="I707" s="111" t="b">
        <v>0</v>
      </c>
      <c r="J707" s="111" t="b">
        <v>0</v>
      </c>
      <c r="K707" s="111" t="b">
        <v>0</v>
      </c>
      <c r="L707" s="111" t="b">
        <v>0</v>
      </c>
    </row>
    <row r="708" spans="1:12" ht="15">
      <c r="A708" s="113" t="s">
        <v>1159</v>
      </c>
      <c r="B708" s="111" t="s">
        <v>1021</v>
      </c>
      <c r="C708" s="111">
        <v>2</v>
      </c>
      <c r="D708" s="115">
        <v>0.0013543079328275133</v>
      </c>
      <c r="E708" s="115">
        <v>2.775064051018494</v>
      </c>
      <c r="F708" s="111" t="s">
        <v>820</v>
      </c>
      <c r="G708" s="111" t="b">
        <v>0</v>
      </c>
      <c r="H708" s="111" t="b">
        <v>0</v>
      </c>
      <c r="I708" s="111" t="b">
        <v>0</v>
      </c>
      <c r="J708" s="111" t="b">
        <v>0</v>
      </c>
      <c r="K708" s="111" t="b">
        <v>0</v>
      </c>
      <c r="L708" s="111" t="b">
        <v>0</v>
      </c>
    </row>
    <row r="709" spans="1:12" ht="15">
      <c r="A709" s="113" t="s">
        <v>956</v>
      </c>
      <c r="B709" s="111" t="s">
        <v>847</v>
      </c>
      <c r="C709" s="111">
        <v>2</v>
      </c>
      <c r="D709" s="115">
        <v>0.0013543079328275133</v>
      </c>
      <c r="E709" s="115">
        <v>2.335731357188231</v>
      </c>
      <c r="F709" s="111" t="s">
        <v>820</v>
      </c>
      <c r="G709" s="111" t="b">
        <v>0</v>
      </c>
      <c r="H709" s="111" t="b">
        <v>0</v>
      </c>
      <c r="I709" s="111" t="b">
        <v>0</v>
      </c>
      <c r="J709" s="111" t="b">
        <v>0</v>
      </c>
      <c r="K709" s="111" t="b">
        <v>0</v>
      </c>
      <c r="L709" s="111" t="b">
        <v>0</v>
      </c>
    </row>
    <row r="710" spans="1:12" ht="15">
      <c r="A710" s="113" t="s">
        <v>1028</v>
      </c>
      <c r="B710" s="111" t="s">
        <v>907</v>
      </c>
      <c r="C710" s="111">
        <v>2</v>
      </c>
      <c r="D710" s="115">
        <v>0.0013543079328275133</v>
      </c>
      <c r="E710" s="115">
        <v>2.422881532907131</v>
      </c>
      <c r="F710" s="111" t="s">
        <v>820</v>
      </c>
      <c r="G710" s="111" t="b">
        <v>0</v>
      </c>
      <c r="H710" s="111" t="b">
        <v>0</v>
      </c>
      <c r="I710" s="111" t="b">
        <v>0</v>
      </c>
      <c r="J710" s="111" t="b">
        <v>0</v>
      </c>
      <c r="K710" s="111" t="b">
        <v>0</v>
      </c>
      <c r="L710" s="111" t="b">
        <v>0</v>
      </c>
    </row>
    <row r="711" spans="1:12" ht="15">
      <c r="A711" s="113" t="s">
        <v>930</v>
      </c>
      <c r="B711" s="111" t="s">
        <v>1091</v>
      </c>
      <c r="C711" s="111">
        <v>2</v>
      </c>
      <c r="D711" s="115">
        <v>0.001106240363265106</v>
      </c>
      <c r="E711" s="115">
        <v>2.2979427962988312</v>
      </c>
      <c r="F711" s="111" t="s">
        <v>820</v>
      </c>
      <c r="G711" s="111" t="b">
        <v>0</v>
      </c>
      <c r="H711" s="111" t="b">
        <v>0</v>
      </c>
      <c r="I711" s="111" t="b">
        <v>0</v>
      </c>
      <c r="J711" s="111" t="b">
        <v>0</v>
      </c>
      <c r="K711" s="111" t="b">
        <v>0</v>
      </c>
      <c r="L711" s="111" t="b">
        <v>0</v>
      </c>
    </row>
    <row r="712" spans="1:12" ht="15">
      <c r="A712" s="113" t="s">
        <v>1952</v>
      </c>
      <c r="B712" s="111" t="s">
        <v>847</v>
      </c>
      <c r="C712" s="111">
        <v>2</v>
      </c>
      <c r="D712" s="115">
        <v>0.0013543079328275133</v>
      </c>
      <c r="E712" s="115">
        <v>2.335731357188231</v>
      </c>
      <c r="F712" s="111" t="s">
        <v>820</v>
      </c>
      <c r="G712" s="111" t="b">
        <v>0</v>
      </c>
      <c r="H712" s="111" t="b">
        <v>0</v>
      </c>
      <c r="I712" s="111" t="b">
        <v>0</v>
      </c>
      <c r="J712" s="111" t="b">
        <v>0</v>
      </c>
      <c r="K712" s="111" t="b">
        <v>0</v>
      </c>
      <c r="L712" s="111" t="b">
        <v>0</v>
      </c>
    </row>
    <row r="713" spans="1:12" ht="15">
      <c r="A713" s="113" t="s">
        <v>847</v>
      </c>
      <c r="B713" s="111" t="s">
        <v>889</v>
      </c>
      <c r="C713" s="111">
        <v>2</v>
      </c>
      <c r="D713" s="115">
        <v>0.0013543079328275133</v>
      </c>
      <c r="E713" s="115">
        <v>2.0347013615242497</v>
      </c>
      <c r="F713" s="111" t="s">
        <v>820</v>
      </c>
      <c r="G713" s="111" t="b">
        <v>0</v>
      </c>
      <c r="H713" s="111" t="b">
        <v>0</v>
      </c>
      <c r="I713" s="111" t="b">
        <v>0</v>
      </c>
      <c r="J713" s="111" t="b">
        <v>0</v>
      </c>
      <c r="K713" s="111" t="b">
        <v>0</v>
      </c>
      <c r="L713" s="111" t="b">
        <v>0</v>
      </c>
    </row>
    <row r="714" spans="1:12" ht="15">
      <c r="A714" s="113" t="s">
        <v>889</v>
      </c>
      <c r="B714" s="111" t="s">
        <v>1491</v>
      </c>
      <c r="C714" s="111">
        <v>2</v>
      </c>
      <c r="D714" s="115">
        <v>0.0013543079328275133</v>
      </c>
      <c r="E714" s="115">
        <v>2.775064051018494</v>
      </c>
      <c r="F714" s="111" t="s">
        <v>820</v>
      </c>
      <c r="G714" s="111" t="b">
        <v>0</v>
      </c>
      <c r="H714" s="111" t="b">
        <v>0</v>
      </c>
      <c r="I714" s="111" t="b">
        <v>0</v>
      </c>
      <c r="J714" s="111" t="b">
        <v>0</v>
      </c>
      <c r="K714" s="111" t="b">
        <v>0</v>
      </c>
      <c r="L714" s="111" t="b">
        <v>0</v>
      </c>
    </row>
    <row r="715" spans="1:12" ht="15">
      <c r="A715" s="113" t="s">
        <v>1491</v>
      </c>
      <c r="B715" s="111" t="s">
        <v>868</v>
      </c>
      <c r="C715" s="111">
        <v>2</v>
      </c>
      <c r="D715" s="115">
        <v>0.0013543079328275133</v>
      </c>
      <c r="E715" s="115">
        <v>2.775064051018494</v>
      </c>
      <c r="F715" s="111" t="s">
        <v>820</v>
      </c>
      <c r="G715" s="111" t="b">
        <v>0</v>
      </c>
      <c r="H715" s="111" t="b">
        <v>0</v>
      </c>
      <c r="I715" s="111" t="b">
        <v>0</v>
      </c>
      <c r="J715" s="111" t="b">
        <v>0</v>
      </c>
      <c r="K715" s="111" t="b">
        <v>0</v>
      </c>
      <c r="L715" s="111" t="b">
        <v>0</v>
      </c>
    </row>
    <row r="716" spans="1:12" ht="15">
      <c r="A716" s="113" t="s">
        <v>952</v>
      </c>
      <c r="B716" s="111" t="s">
        <v>998</v>
      </c>
      <c r="C716" s="111">
        <v>2</v>
      </c>
      <c r="D716" s="115">
        <v>0.0013543079328275133</v>
      </c>
      <c r="E716" s="115">
        <v>1.9969128006348502</v>
      </c>
      <c r="F716" s="111" t="s">
        <v>820</v>
      </c>
      <c r="G716" s="111" t="b">
        <v>0</v>
      </c>
      <c r="H716" s="111" t="b">
        <v>0</v>
      </c>
      <c r="I716" s="111" t="b">
        <v>0</v>
      </c>
      <c r="J716" s="111" t="b">
        <v>0</v>
      </c>
      <c r="K716" s="111" t="b">
        <v>0</v>
      </c>
      <c r="L716" s="111" t="b">
        <v>0</v>
      </c>
    </row>
    <row r="717" spans="1:12" ht="15">
      <c r="A717" s="113" t="s">
        <v>878</v>
      </c>
      <c r="B717" s="111" t="s">
        <v>843</v>
      </c>
      <c r="C717" s="111">
        <v>2</v>
      </c>
      <c r="D717" s="115">
        <v>0.001106240363265106</v>
      </c>
      <c r="E717" s="115">
        <v>1.1596400981325499</v>
      </c>
      <c r="F717" s="111" t="s">
        <v>820</v>
      </c>
      <c r="G717" s="111" t="b">
        <v>0</v>
      </c>
      <c r="H717" s="111" t="b">
        <v>0</v>
      </c>
      <c r="I717" s="111" t="b">
        <v>0</v>
      </c>
      <c r="J717" s="111" t="b">
        <v>0</v>
      </c>
      <c r="K717" s="111" t="b">
        <v>0</v>
      </c>
      <c r="L717" s="111" t="b">
        <v>0</v>
      </c>
    </row>
    <row r="718" spans="1:12" ht="15">
      <c r="A718" s="113" t="s">
        <v>1823</v>
      </c>
      <c r="B718" s="111" t="s">
        <v>1824</v>
      </c>
      <c r="C718" s="111">
        <v>2</v>
      </c>
      <c r="D718" s="115">
        <v>0.0013543079328275133</v>
      </c>
      <c r="E718" s="115">
        <v>3.076094046682475</v>
      </c>
      <c r="F718" s="111" t="s">
        <v>820</v>
      </c>
      <c r="G718" s="111" t="b">
        <v>0</v>
      </c>
      <c r="H718" s="111" t="b">
        <v>0</v>
      </c>
      <c r="I718" s="111" t="b">
        <v>0</v>
      </c>
      <c r="J718" s="111" t="b">
        <v>0</v>
      </c>
      <c r="K718" s="111" t="b">
        <v>0</v>
      </c>
      <c r="L718" s="111" t="b">
        <v>0</v>
      </c>
    </row>
    <row r="719" spans="1:12" ht="15">
      <c r="A719" s="113" t="s">
        <v>1825</v>
      </c>
      <c r="B719" s="111" t="s">
        <v>1002</v>
      </c>
      <c r="C719" s="111">
        <v>2</v>
      </c>
      <c r="D719" s="115">
        <v>0.0013543079328275133</v>
      </c>
      <c r="E719" s="115">
        <v>2.775064051018494</v>
      </c>
      <c r="F719" s="111" t="s">
        <v>820</v>
      </c>
      <c r="G719" s="111" t="b">
        <v>0</v>
      </c>
      <c r="H719" s="111" t="b">
        <v>0</v>
      </c>
      <c r="I719" s="111" t="b">
        <v>0</v>
      </c>
      <c r="J719" s="111" t="b">
        <v>0</v>
      </c>
      <c r="K719" s="111" t="b">
        <v>0</v>
      </c>
      <c r="L719" s="111" t="b">
        <v>0</v>
      </c>
    </row>
    <row r="720" spans="1:12" ht="15">
      <c r="A720" s="113" t="s">
        <v>1828</v>
      </c>
      <c r="B720" s="111" t="s">
        <v>1450</v>
      </c>
      <c r="C720" s="111">
        <v>2</v>
      </c>
      <c r="D720" s="115">
        <v>0.0013543079328275133</v>
      </c>
      <c r="E720" s="115">
        <v>2.9000027876267938</v>
      </c>
      <c r="F720" s="111" t="s">
        <v>820</v>
      </c>
      <c r="G720" s="111" t="b">
        <v>0</v>
      </c>
      <c r="H720" s="111" t="b">
        <v>0</v>
      </c>
      <c r="I720" s="111" t="b">
        <v>0</v>
      </c>
      <c r="J720" s="111" t="b">
        <v>0</v>
      </c>
      <c r="K720" s="111" t="b">
        <v>0</v>
      </c>
      <c r="L720" s="111" t="b">
        <v>0</v>
      </c>
    </row>
    <row r="721" spans="1:12" ht="15">
      <c r="A721" s="113" t="s">
        <v>1831</v>
      </c>
      <c r="B721" s="111" t="s">
        <v>871</v>
      </c>
      <c r="C721" s="111">
        <v>2</v>
      </c>
      <c r="D721" s="115">
        <v>0.0013543079328275133</v>
      </c>
      <c r="E721" s="115">
        <v>2.335731357188231</v>
      </c>
      <c r="F721" s="111" t="s">
        <v>820</v>
      </c>
      <c r="G721" s="111" t="b">
        <v>0</v>
      </c>
      <c r="H721" s="111" t="b">
        <v>0</v>
      </c>
      <c r="I721" s="111" t="b">
        <v>0</v>
      </c>
      <c r="J721" s="111" t="b">
        <v>0</v>
      </c>
      <c r="K721" s="111" t="b">
        <v>0</v>
      </c>
      <c r="L721" s="111" t="b">
        <v>0</v>
      </c>
    </row>
    <row r="722" spans="1:12" ht="15">
      <c r="A722" s="113" t="s">
        <v>871</v>
      </c>
      <c r="B722" s="111" t="s">
        <v>1419</v>
      </c>
      <c r="C722" s="111">
        <v>2</v>
      </c>
      <c r="D722" s="115">
        <v>0.0013543079328275133</v>
      </c>
      <c r="E722" s="115">
        <v>2.335731357188231</v>
      </c>
      <c r="F722" s="111" t="s">
        <v>820</v>
      </c>
      <c r="G722" s="111" t="b">
        <v>0</v>
      </c>
      <c r="H722" s="111" t="b">
        <v>0</v>
      </c>
      <c r="I722" s="111" t="b">
        <v>0</v>
      </c>
      <c r="J722" s="111" t="b">
        <v>0</v>
      </c>
      <c r="K722" s="111" t="b">
        <v>0</v>
      </c>
      <c r="L722" s="111" t="b">
        <v>0</v>
      </c>
    </row>
    <row r="723" spans="1:12" ht="15">
      <c r="A723" s="113" t="s">
        <v>1036</v>
      </c>
      <c r="B723" s="111" t="s">
        <v>943</v>
      </c>
      <c r="C723" s="111">
        <v>2</v>
      </c>
      <c r="D723" s="115">
        <v>0.001106240363265106</v>
      </c>
      <c r="E723" s="115">
        <v>2.2979427962988312</v>
      </c>
      <c r="F723" s="111" t="s">
        <v>820</v>
      </c>
      <c r="G723" s="111" t="b">
        <v>0</v>
      </c>
      <c r="H723" s="111" t="b">
        <v>0</v>
      </c>
      <c r="I723" s="111" t="b">
        <v>0</v>
      </c>
      <c r="J723" s="111" t="b">
        <v>0</v>
      </c>
      <c r="K723" s="111" t="b">
        <v>0</v>
      </c>
      <c r="L723" s="111" t="b">
        <v>0</v>
      </c>
    </row>
    <row r="724" spans="1:12" ht="15">
      <c r="A724" s="113" t="s">
        <v>1026</v>
      </c>
      <c r="B724" s="111" t="s">
        <v>1624</v>
      </c>
      <c r="C724" s="111">
        <v>2</v>
      </c>
      <c r="D724" s="115">
        <v>0.001106240363265106</v>
      </c>
      <c r="E724" s="115">
        <v>2.9000027876267938</v>
      </c>
      <c r="F724" s="111" t="s">
        <v>820</v>
      </c>
      <c r="G724" s="111" t="b">
        <v>0</v>
      </c>
      <c r="H724" s="111" t="b">
        <v>0</v>
      </c>
      <c r="I724" s="111" t="b">
        <v>0</v>
      </c>
      <c r="J724" s="111" t="b">
        <v>0</v>
      </c>
      <c r="K724" s="111" t="b">
        <v>0</v>
      </c>
      <c r="L724" s="111" t="b">
        <v>0</v>
      </c>
    </row>
    <row r="725" spans="1:12" ht="15">
      <c r="A725" s="113" t="s">
        <v>1624</v>
      </c>
      <c r="B725" s="111" t="s">
        <v>1625</v>
      </c>
      <c r="C725" s="111">
        <v>2</v>
      </c>
      <c r="D725" s="115">
        <v>0.001106240363265106</v>
      </c>
      <c r="E725" s="115">
        <v>3.076094046682475</v>
      </c>
      <c r="F725" s="111" t="s">
        <v>820</v>
      </c>
      <c r="G725" s="111" t="b">
        <v>0</v>
      </c>
      <c r="H725" s="111" t="b">
        <v>0</v>
      </c>
      <c r="I725" s="111" t="b">
        <v>0</v>
      </c>
      <c r="J725" s="111" t="b">
        <v>0</v>
      </c>
      <c r="K725" s="111" t="b">
        <v>0</v>
      </c>
      <c r="L725" s="111" t="b">
        <v>0</v>
      </c>
    </row>
    <row r="726" spans="1:12" ht="15">
      <c r="A726" s="113" t="s">
        <v>1625</v>
      </c>
      <c r="B726" s="111" t="s">
        <v>1626</v>
      </c>
      <c r="C726" s="111">
        <v>2</v>
      </c>
      <c r="D726" s="115">
        <v>0.001106240363265106</v>
      </c>
      <c r="E726" s="115">
        <v>3.076094046682475</v>
      </c>
      <c r="F726" s="111" t="s">
        <v>820</v>
      </c>
      <c r="G726" s="111" t="b">
        <v>0</v>
      </c>
      <c r="H726" s="111" t="b">
        <v>0</v>
      </c>
      <c r="I726" s="111" t="b">
        <v>0</v>
      </c>
      <c r="J726" s="111" t="b">
        <v>0</v>
      </c>
      <c r="K726" s="111" t="b">
        <v>0</v>
      </c>
      <c r="L726" s="111" t="b">
        <v>0</v>
      </c>
    </row>
    <row r="727" spans="1:12" ht="15">
      <c r="A727" s="113" t="s">
        <v>1626</v>
      </c>
      <c r="B727" s="111" t="s">
        <v>1294</v>
      </c>
      <c r="C727" s="111">
        <v>2</v>
      </c>
      <c r="D727" s="115">
        <v>0.001106240363265106</v>
      </c>
      <c r="E727" s="115">
        <v>2.9000027876267938</v>
      </c>
      <c r="F727" s="111" t="s">
        <v>820</v>
      </c>
      <c r="G727" s="111" t="b">
        <v>0</v>
      </c>
      <c r="H727" s="111" t="b">
        <v>0</v>
      </c>
      <c r="I727" s="111" t="b">
        <v>0</v>
      </c>
      <c r="J727" s="111" t="b">
        <v>0</v>
      </c>
      <c r="K727" s="111" t="b">
        <v>0</v>
      </c>
      <c r="L727" s="111" t="b">
        <v>0</v>
      </c>
    </row>
    <row r="728" spans="1:12" ht="15">
      <c r="A728" s="113" t="s">
        <v>1294</v>
      </c>
      <c r="B728" s="111" t="s">
        <v>1347</v>
      </c>
      <c r="C728" s="111">
        <v>2</v>
      </c>
      <c r="D728" s="115">
        <v>0.001106240363265106</v>
      </c>
      <c r="E728" s="115">
        <v>2.7239115285711124</v>
      </c>
      <c r="F728" s="111" t="s">
        <v>820</v>
      </c>
      <c r="G728" s="111" t="b">
        <v>0</v>
      </c>
      <c r="H728" s="111" t="b">
        <v>0</v>
      </c>
      <c r="I728" s="111" t="b">
        <v>0</v>
      </c>
      <c r="J728" s="111" t="b">
        <v>0</v>
      </c>
      <c r="K728" s="111" t="b">
        <v>0</v>
      </c>
      <c r="L728" s="111" t="b">
        <v>0</v>
      </c>
    </row>
    <row r="729" spans="1:12" ht="15">
      <c r="A729" s="113" t="s">
        <v>1347</v>
      </c>
      <c r="B729" s="111" t="s">
        <v>852</v>
      </c>
      <c r="C729" s="111">
        <v>2</v>
      </c>
      <c r="D729" s="115">
        <v>0.001106240363265106</v>
      </c>
      <c r="E729" s="115">
        <v>1.9969128006348502</v>
      </c>
      <c r="F729" s="111" t="s">
        <v>820</v>
      </c>
      <c r="G729" s="111" t="b">
        <v>0</v>
      </c>
      <c r="H729" s="111" t="b">
        <v>0</v>
      </c>
      <c r="I729" s="111" t="b">
        <v>0</v>
      </c>
      <c r="J729" s="111" t="b">
        <v>0</v>
      </c>
      <c r="K729" s="111" t="b">
        <v>0</v>
      </c>
      <c r="L729" s="111" t="b">
        <v>0</v>
      </c>
    </row>
    <row r="730" spans="1:12" ht="15">
      <c r="A730" s="113" t="s">
        <v>1094</v>
      </c>
      <c r="B730" s="111" t="s">
        <v>975</v>
      </c>
      <c r="C730" s="111">
        <v>2</v>
      </c>
      <c r="D730" s="115">
        <v>0.001106240363265106</v>
      </c>
      <c r="E730" s="115">
        <v>2.5989727919628125</v>
      </c>
      <c r="F730" s="111" t="s">
        <v>820</v>
      </c>
      <c r="G730" s="111" t="b">
        <v>0</v>
      </c>
      <c r="H730" s="111" t="b">
        <v>0</v>
      </c>
      <c r="I730" s="111" t="b">
        <v>0</v>
      </c>
      <c r="J730" s="111" t="b">
        <v>0</v>
      </c>
      <c r="K730" s="111" t="b">
        <v>0</v>
      </c>
      <c r="L730" s="111" t="b">
        <v>0</v>
      </c>
    </row>
    <row r="731" spans="1:12" ht="15">
      <c r="A731" s="113" t="s">
        <v>975</v>
      </c>
      <c r="B731" s="111" t="s">
        <v>1023</v>
      </c>
      <c r="C731" s="111">
        <v>2</v>
      </c>
      <c r="D731" s="115">
        <v>0.001106240363265106</v>
      </c>
      <c r="E731" s="115">
        <v>2.5020627789547563</v>
      </c>
      <c r="F731" s="111" t="s">
        <v>820</v>
      </c>
      <c r="G731" s="111" t="b">
        <v>0</v>
      </c>
      <c r="H731" s="111" t="b">
        <v>0</v>
      </c>
      <c r="I731" s="111" t="b">
        <v>0</v>
      </c>
      <c r="J731" s="111" t="b">
        <v>0</v>
      </c>
      <c r="K731" s="111" t="b">
        <v>0</v>
      </c>
      <c r="L731" s="111" t="b">
        <v>0</v>
      </c>
    </row>
    <row r="732" spans="1:12" ht="15">
      <c r="A732" s="113" t="s">
        <v>1023</v>
      </c>
      <c r="B732" s="111" t="s">
        <v>1627</v>
      </c>
      <c r="C732" s="111">
        <v>2</v>
      </c>
      <c r="D732" s="115">
        <v>0.001106240363265106</v>
      </c>
      <c r="E732" s="115">
        <v>2.9000027876267938</v>
      </c>
      <c r="F732" s="111" t="s">
        <v>820</v>
      </c>
      <c r="G732" s="111" t="b">
        <v>0</v>
      </c>
      <c r="H732" s="111" t="b">
        <v>0</v>
      </c>
      <c r="I732" s="111" t="b">
        <v>0</v>
      </c>
      <c r="J732" s="111" t="b">
        <v>0</v>
      </c>
      <c r="K732" s="111" t="b">
        <v>0</v>
      </c>
      <c r="L732" s="111" t="b">
        <v>0</v>
      </c>
    </row>
    <row r="733" spans="1:12" ht="15">
      <c r="A733" s="113" t="s">
        <v>1627</v>
      </c>
      <c r="B733" s="111" t="s">
        <v>1628</v>
      </c>
      <c r="C733" s="111">
        <v>2</v>
      </c>
      <c r="D733" s="115">
        <v>0.001106240363265106</v>
      </c>
      <c r="E733" s="115">
        <v>3.076094046682475</v>
      </c>
      <c r="F733" s="111" t="s">
        <v>820</v>
      </c>
      <c r="G733" s="111" t="b">
        <v>0</v>
      </c>
      <c r="H733" s="111" t="b">
        <v>0</v>
      </c>
      <c r="I733" s="111" t="b">
        <v>0</v>
      </c>
      <c r="J733" s="111" t="b">
        <v>0</v>
      </c>
      <c r="K733" s="111" t="b">
        <v>0</v>
      </c>
      <c r="L733" s="111" t="b">
        <v>0</v>
      </c>
    </row>
    <row r="734" spans="1:12" ht="15">
      <c r="A734" s="113" t="s">
        <v>1628</v>
      </c>
      <c r="B734" s="111" t="s">
        <v>1629</v>
      </c>
      <c r="C734" s="111">
        <v>2</v>
      </c>
      <c r="D734" s="115">
        <v>0.001106240363265106</v>
      </c>
      <c r="E734" s="115">
        <v>3.076094046682475</v>
      </c>
      <c r="F734" s="111" t="s">
        <v>820</v>
      </c>
      <c r="G734" s="111" t="b">
        <v>0</v>
      </c>
      <c r="H734" s="111" t="b">
        <v>0</v>
      </c>
      <c r="I734" s="111" t="b">
        <v>0</v>
      </c>
      <c r="J734" s="111" t="b">
        <v>0</v>
      </c>
      <c r="K734" s="111" t="b">
        <v>0</v>
      </c>
      <c r="L734" s="111" t="b">
        <v>0</v>
      </c>
    </row>
    <row r="735" spans="1:12" ht="15">
      <c r="A735" s="113" t="s">
        <v>1629</v>
      </c>
      <c r="B735" s="111" t="s">
        <v>852</v>
      </c>
      <c r="C735" s="111">
        <v>2</v>
      </c>
      <c r="D735" s="115">
        <v>0.001106240363265106</v>
      </c>
      <c r="E735" s="115">
        <v>2.1730040596905313</v>
      </c>
      <c r="F735" s="111" t="s">
        <v>820</v>
      </c>
      <c r="G735" s="111" t="b">
        <v>0</v>
      </c>
      <c r="H735" s="111" t="b">
        <v>0</v>
      </c>
      <c r="I735" s="111" t="b">
        <v>0</v>
      </c>
      <c r="J735" s="111" t="b">
        <v>0</v>
      </c>
      <c r="K735" s="111" t="b">
        <v>0</v>
      </c>
      <c r="L735" s="111" t="b">
        <v>0</v>
      </c>
    </row>
    <row r="736" spans="1:12" ht="15">
      <c r="A736" s="113" t="s">
        <v>1003</v>
      </c>
      <c r="B736" s="111" t="s">
        <v>986</v>
      </c>
      <c r="C736" s="111">
        <v>2</v>
      </c>
      <c r="D736" s="115">
        <v>0.001106240363265106</v>
      </c>
      <c r="E736" s="115">
        <v>2.5989727919628125</v>
      </c>
      <c r="F736" s="111" t="s">
        <v>820</v>
      </c>
      <c r="G736" s="111" t="b">
        <v>0</v>
      </c>
      <c r="H736" s="111" t="b">
        <v>0</v>
      </c>
      <c r="I736" s="111" t="b">
        <v>0</v>
      </c>
      <c r="J736" s="111" t="b">
        <v>0</v>
      </c>
      <c r="K736" s="111" t="b">
        <v>0</v>
      </c>
      <c r="L736" s="111" t="b">
        <v>0</v>
      </c>
    </row>
    <row r="737" spans="1:12" ht="15">
      <c r="A737" s="113" t="s">
        <v>1024</v>
      </c>
      <c r="B737" s="111" t="s">
        <v>872</v>
      </c>
      <c r="C737" s="111">
        <v>2</v>
      </c>
      <c r="D737" s="115">
        <v>0.001106240363265106</v>
      </c>
      <c r="E737" s="115">
        <v>2.422881532907131</v>
      </c>
      <c r="F737" s="111" t="s">
        <v>820</v>
      </c>
      <c r="G737" s="111" t="b">
        <v>0</v>
      </c>
      <c r="H737" s="111" t="b">
        <v>0</v>
      </c>
      <c r="I737" s="111" t="b">
        <v>0</v>
      </c>
      <c r="J737" s="111" t="b">
        <v>0</v>
      </c>
      <c r="K737" s="111" t="b">
        <v>0</v>
      </c>
      <c r="L737" s="111" t="b">
        <v>0</v>
      </c>
    </row>
    <row r="738" spans="1:12" ht="15">
      <c r="A738" s="113" t="s">
        <v>872</v>
      </c>
      <c r="B738" s="111" t="s">
        <v>1113</v>
      </c>
      <c r="C738" s="111">
        <v>2</v>
      </c>
      <c r="D738" s="115">
        <v>0.001106240363265106</v>
      </c>
      <c r="E738" s="115">
        <v>2.422881532907131</v>
      </c>
      <c r="F738" s="111" t="s">
        <v>820</v>
      </c>
      <c r="G738" s="111" t="b">
        <v>0</v>
      </c>
      <c r="H738" s="111" t="b">
        <v>0</v>
      </c>
      <c r="I738" s="111" t="b">
        <v>0</v>
      </c>
      <c r="J738" s="111" t="b">
        <v>0</v>
      </c>
      <c r="K738" s="111" t="b">
        <v>0</v>
      </c>
      <c r="L738" s="111" t="b">
        <v>0</v>
      </c>
    </row>
    <row r="739" spans="1:12" ht="15">
      <c r="A739" s="113" t="s">
        <v>1113</v>
      </c>
      <c r="B739" s="111" t="s">
        <v>1214</v>
      </c>
      <c r="C739" s="111">
        <v>2</v>
      </c>
      <c r="D739" s="115">
        <v>0.001106240363265106</v>
      </c>
      <c r="E739" s="115">
        <v>2.9000027876267938</v>
      </c>
      <c r="F739" s="111" t="s">
        <v>820</v>
      </c>
      <c r="G739" s="111" t="b">
        <v>0</v>
      </c>
      <c r="H739" s="111" t="b">
        <v>0</v>
      </c>
      <c r="I739" s="111" t="b">
        <v>0</v>
      </c>
      <c r="J739" s="111" t="b">
        <v>0</v>
      </c>
      <c r="K739" s="111" t="b">
        <v>0</v>
      </c>
      <c r="L739" s="111" t="b">
        <v>0</v>
      </c>
    </row>
    <row r="740" spans="1:12" ht="15">
      <c r="A740" s="113" t="s">
        <v>1214</v>
      </c>
      <c r="B740" s="111" t="s">
        <v>1119</v>
      </c>
      <c r="C740" s="111">
        <v>2</v>
      </c>
      <c r="D740" s="115">
        <v>0.001106240363265106</v>
      </c>
      <c r="E740" s="115">
        <v>3.076094046682475</v>
      </c>
      <c r="F740" s="111" t="s">
        <v>820</v>
      </c>
      <c r="G740" s="111" t="b">
        <v>0</v>
      </c>
      <c r="H740" s="111" t="b">
        <v>0</v>
      </c>
      <c r="I740" s="111" t="b">
        <v>0</v>
      </c>
      <c r="J740" s="111" t="b">
        <v>0</v>
      </c>
      <c r="K740" s="111" t="b">
        <v>0</v>
      </c>
      <c r="L740" s="111" t="b">
        <v>0</v>
      </c>
    </row>
    <row r="741" spans="1:12" ht="15">
      <c r="A741" s="113" t="s">
        <v>1119</v>
      </c>
      <c r="B741" s="111" t="s">
        <v>1630</v>
      </c>
      <c r="C741" s="111">
        <v>2</v>
      </c>
      <c r="D741" s="115">
        <v>0.001106240363265106</v>
      </c>
      <c r="E741" s="115">
        <v>3.076094046682475</v>
      </c>
      <c r="F741" s="111" t="s">
        <v>820</v>
      </c>
      <c r="G741" s="111" t="b">
        <v>0</v>
      </c>
      <c r="H741" s="111" t="b">
        <v>0</v>
      </c>
      <c r="I741" s="111" t="b">
        <v>0</v>
      </c>
      <c r="J741" s="111" t="b">
        <v>0</v>
      </c>
      <c r="K741" s="111" t="b">
        <v>0</v>
      </c>
      <c r="L741" s="111" t="b">
        <v>0</v>
      </c>
    </row>
    <row r="742" spans="1:12" ht="15">
      <c r="A742" s="113" t="s">
        <v>1630</v>
      </c>
      <c r="B742" s="111" t="s">
        <v>1631</v>
      </c>
      <c r="C742" s="111">
        <v>2</v>
      </c>
      <c r="D742" s="115">
        <v>0.001106240363265106</v>
      </c>
      <c r="E742" s="115">
        <v>3.076094046682475</v>
      </c>
      <c r="F742" s="111" t="s">
        <v>820</v>
      </c>
      <c r="G742" s="111" t="b">
        <v>0</v>
      </c>
      <c r="H742" s="111" t="b">
        <v>0</v>
      </c>
      <c r="I742" s="111" t="b">
        <v>0</v>
      </c>
      <c r="J742" s="111" t="b">
        <v>0</v>
      </c>
      <c r="K742" s="111" t="b">
        <v>0</v>
      </c>
      <c r="L742" s="111" t="b">
        <v>0</v>
      </c>
    </row>
    <row r="743" spans="1:12" ht="15">
      <c r="A743" s="113" t="s">
        <v>1631</v>
      </c>
      <c r="B743" s="111" t="s">
        <v>852</v>
      </c>
      <c r="C743" s="111">
        <v>2</v>
      </c>
      <c r="D743" s="115">
        <v>0.001106240363265106</v>
      </c>
      <c r="E743" s="115">
        <v>2.1730040596905313</v>
      </c>
      <c r="F743" s="111" t="s">
        <v>820</v>
      </c>
      <c r="G743" s="111" t="b">
        <v>0</v>
      </c>
      <c r="H743" s="111" t="b">
        <v>0</v>
      </c>
      <c r="I743" s="111" t="b">
        <v>0</v>
      </c>
      <c r="J743" s="111" t="b">
        <v>0</v>
      </c>
      <c r="K743" s="111" t="b">
        <v>0</v>
      </c>
      <c r="L743" s="111" t="b">
        <v>0</v>
      </c>
    </row>
    <row r="744" spans="1:12" ht="15">
      <c r="A744" s="113" t="s">
        <v>1003</v>
      </c>
      <c r="B744" s="111" t="s">
        <v>1348</v>
      </c>
      <c r="C744" s="111">
        <v>2</v>
      </c>
      <c r="D744" s="115">
        <v>0.001106240363265106</v>
      </c>
      <c r="E744" s="115">
        <v>2.775064051018494</v>
      </c>
      <c r="F744" s="111" t="s">
        <v>820</v>
      </c>
      <c r="G744" s="111" t="b">
        <v>0</v>
      </c>
      <c r="H744" s="111" t="b">
        <v>0</v>
      </c>
      <c r="I744" s="111" t="b">
        <v>0</v>
      </c>
      <c r="J744" s="111" t="b">
        <v>1</v>
      </c>
      <c r="K744" s="111" t="b">
        <v>0</v>
      </c>
      <c r="L744" s="111" t="b">
        <v>0</v>
      </c>
    </row>
    <row r="745" spans="1:12" ht="15">
      <c r="A745" s="113" t="s">
        <v>1348</v>
      </c>
      <c r="B745" s="111" t="s">
        <v>939</v>
      </c>
      <c r="C745" s="111">
        <v>2</v>
      </c>
      <c r="D745" s="115">
        <v>0.001106240363265106</v>
      </c>
      <c r="E745" s="115">
        <v>2.4740340553545126</v>
      </c>
      <c r="F745" s="111" t="s">
        <v>820</v>
      </c>
      <c r="G745" s="111" t="b">
        <v>1</v>
      </c>
      <c r="H745" s="111" t="b">
        <v>0</v>
      </c>
      <c r="I745" s="111" t="b">
        <v>0</v>
      </c>
      <c r="J745" s="111" t="b">
        <v>0</v>
      </c>
      <c r="K745" s="111" t="b">
        <v>0</v>
      </c>
      <c r="L745" s="111" t="b">
        <v>0</v>
      </c>
    </row>
    <row r="746" spans="1:12" ht="15">
      <c r="A746" s="113" t="s">
        <v>939</v>
      </c>
      <c r="B746" s="111" t="s">
        <v>1120</v>
      </c>
      <c r="C746" s="111">
        <v>2</v>
      </c>
      <c r="D746" s="115">
        <v>0.001106240363265106</v>
      </c>
      <c r="E746" s="115">
        <v>2.1730040596905313</v>
      </c>
      <c r="F746" s="111" t="s">
        <v>820</v>
      </c>
      <c r="G746" s="111" t="b">
        <v>0</v>
      </c>
      <c r="H746" s="111" t="b">
        <v>0</v>
      </c>
      <c r="I746" s="111" t="b">
        <v>0</v>
      </c>
      <c r="J746" s="111" t="b">
        <v>0</v>
      </c>
      <c r="K746" s="111" t="b">
        <v>0</v>
      </c>
      <c r="L746" s="111" t="b">
        <v>0</v>
      </c>
    </row>
    <row r="747" spans="1:12" ht="15">
      <c r="A747" s="113" t="s">
        <v>1120</v>
      </c>
      <c r="B747" s="111" t="s">
        <v>1349</v>
      </c>
      <c r="C747" s="111">
        <v>2</v>
      </c>
      <c r="D747" s="115">
        <v>0.001106240363265106</v>
      </c>
      <c r="E747" s="115">
        <v>2.5989727919628125</v>
      </c>
      <c r="F747" s="111" t="s">
        <v>820</v>
      </c>
      <c r="G747" s="111" t="b">
        <v>0</v>
      </c>
      <c r="H747" s="111" t="b">
        <v>0</v>
      </c>
      <c r="I747" s="111" t="b">
        <v>0</v>
      </c>
      <c r="J747" s="111" t="b">
        <v>0</v>
      </c>
      <c r="K747" s="111" t="b">
        <v>0</v>
      </c>
      <c r="L747" s="111" t="b">
        <v>0</v>
      </c>
    </row>
    <row r="748" spans="1:12" ht="15">
      <c r="A748" s="113" t="s">
        <v>1349</v>
      </c>
      <c r="B748" s="111" t="s">
        <v>1632</v>
      </c>
      <c r="C748" s="111">
        <v>2</v>
      </c>
      <c r="D748" s="115">
        <v>0.001106240363265106</v>
      </c>
      <c r="E748" s="115">
        <v>2.9000027876267938</v>
      </c>
      <c r="F748" s="111" t="s">
        <v>820</v>
      </c>
      <c r="G748" s="111" t="b">
        <v>0</v>
      </c>
      <c r="H748" s="111" t="b">
        <v>0</v>
      </c>
      <c r="I748" s="111" t="b">
        <v>0</v>
      </c>
      <c r="J748" s="111" t="b">
        <v>0</v>
      </c>
      <c r="K748" s="111" t="b">
        <v>0</v>
      </c>
      <c r="L748" s="111" t="b">
        <v>0</v>
      </c>
    </row>
    <row r="749" spans="1:12" ht="15">
      <c r="A749" s="113" t="s">
        <v>1632</v>
      </c>
      <c r="B749" s="111" t="s">
        <v>1633</v>
      </c>
      <c r="C749" s="111">
        <v>2</v>
      </c>
      <c r="D749" s="115">
        <v>0.001106240363265106</v>
      </c>
      <c r="E749" s="115">
        <v>3.076094046682475</v>
      </c>
      <c r="F749" s="111" t="s">
        <v>820</v>
      </c>
      <c r="G749" s="111" t="b">
        <v>0</v>
      </c>
      <c r="H749" s="111" t="b">
        <v>0</v>
      </c>
      <c r="I749" s="111" t="b">
        <v>0</v>
      </c>
      <c r="J749" s="111" t="b">
        <v>0</v>
      </c>
      <c r="K749" s="111" t="b">
        <v>1</v>
      </c>
      <c r="L749" s="111" t="b">
        <v>0</v>
      </c>
    </row>
    <row r="750" spans="1:12" ht="15">
      <c r="A750" s="113" t="s">
        <v>1633</v>
      </c>
      <c r="B750" s="111" t="s">
        <v>1350</v>
      </c>
      <c r="C750" s="111">
        <v>2</v>
      </c>
      <c r="D750" s="115">
        <v>0.001106240363265106</v>
      </c>
      <c r="E750" s="115">
        <v>3.076094046682475</v>
      </c>
      <c r="F750" s="111" t="s">
        <v>820</v>
      </c>
      <c r="G750" s="111" t="b">
        <v>0</v>
      </c>
      <c r="H750" s="111" t="b">
        <v>1</v>
      </c>
      <c r="I750" s="111" t="b">
        <v>0</v>
      </c>
      <c r="J750" s="111" t="b">
        <v>0</v>
      </c>
      <c r="K750" s="111" t="b">
        <v>0</v>
      </c>
      <c r="L750" s="111" t="b">
        <v>0</v>
      </c>
    </row>
    <row r="751" spans="1:12" ht="15">
      <c r="A751" s="113" t="s">
        <v>1350</v>
      </c>
      <c r="B751" s="111" t="s">
        <v>1215</v>
      </c>
      <c r="C751" s="111">
        <v>2</v>
      </c>
      <c r="D751" s="115">
        <v>0.001106240363265106</v>
      </c>
      <c r="E751" s="115">
        <v>3.076094046682475</v>
      </c>
      <c r="F751" s="111" t="s">
        <v>820</v>
      </c>
      <c r="G751" s="111" t="b">
        <v>0</v>
      </c>
      <c r="H751" s="111" t="b">
        <v>0</v>
      </c>
      <c r="I751" s="111" t="b">
        <v>0</v>
      </c>
      <c r="J751" s="111" t="b">
        <v>0</v>
      </c>
      <c r="K751" s="111" t="b">
        <v>1</v>
      </c>
      <c r="L751" s="111" t="b">
        <v>0</v>
      </c>
    </row>
    <row r="752" spans="1:12" ht="15">
      <c r="A752" s="113" t="s">
        <v>1215</v>
      </c>
      <c r="B752" s="111" t="s">
        <v>1634</v>
      </c>
      <c r="C752" s="111">
        <v>2</v>
      </c>
      <c r="D752" s="115">
        <v>0.001106240363265106</v>
      </c>
      <c r="E752" s="115">
        <v>3.076094046682475</v>
      </c>
      <c r="F752" s="111" t="s">
        <v>820</v>
      </c>
      <c r="G752" s="111" t="b">
        <v>0</v>
      </c>
      <c r="H752" s="111" t="b">
        <v>1</v>
      </c>
      <c r="I752" s="111" t="b">
        <v>0</v>
      </c>
      <c r="J752" s="111" t="b">
        <v>0</v>
      </c>
      <c r="K752" s="111" t="b">
        <v>1</v>
      </c>
      <c r="L752" s="111" t="b">
        <v>0</v>
      </c>
    </row>
    <row r="753" spans="1:12" ht="15">
      <c r="A753" s="113" t="s">
        <v>1634</v>
      </c>
      <c r="B753" s="111" t="s">
        <v>1312</v>
      </c>
      <c r="C753" s="111">
        <v>2</v>
      </c>
      <c r="D753" s="115">
        <v>0.001106240363265106</v>
      </c>
      <c r="E753" s="115">
        <v>2.9000027876267938</v>
      </c>
      <c r="F753" s="111" t="s">
        <v>820</v>
      </c>
      <c r="G753" s="111" t="b">
        <v>0</v>
      </c>
      <c r="H753" s="111" t="b">
        <v>1</v>
      </c>
      <c r="I753" s="111" t="b">
        <v>0</v>
      </c>
      <c r="J753" s="111" t="b">
        <v>0</v>
      </c>
      <c r="K753" s="111" t="b">
        <v>0</v>
      </c>
      <c r="L753" s="111" t="b">
        <v>0</v>
      </c>
    </row>
    <row r="754" spans="1:12" ht="15">
      <c r="A754" s="113" t="s">
        <v>1312</v>
      </c>
      <c r="B754" s="111" t="s">
        <v>1635</v>
      </c>
      <c r="C754" s="111">
        <v>2</v>
      </c>
      <c r="D754" s="115">
        <v>0.001106240363265106</v>
      </c>
      <c r="E754" s="115">
        <v>2.9000027876267938</v>
      </c>
      <c r="F754" s="111" t="s">
        <v>820</v>
      </c>
      <c r="G754" s="111" t="b">
        <v>0</v>
      </c>
      <c r="H754" s="111" t="b">
        <v>0</v>
      </c>
      <c r="I754" s="111" t="b">
        <v>0</v>
      </c>
      <c r="J754" s="111" t="b">
        <v>0</v>
      </c>
      <c r="K754" s="111" t="b">
        <v>0</v>
      </c>
      <c r="L754" s="111" t="b">
        <v>0</v>
      </c>
    </row>
    <row r="755" spans="1:12" ht="15">
      <c r="A755" s="113" t="s">
        <v>1635</v>
      </c>
      <c r="B755" s="111" t="s">
        <v>1636</v>
      </c>
      <c r="C755" s="111">
        <v>2</v>
      </c>
      <c r="D755" s="115">
        <v>0.001106240363265106</v>
      </c>
      <c r="E755" s="115">
        <v>3.076094046682475</v>
      </c>
      <c r="F755" s="111" t="s">
        <v>820</v>
      </c>
      <c r="G755" s="111" t="b">
        <v>0</v>
      </c>
      <c r="H755" s="111" t="b">
        <v>0</v>
      </c>
      <c r="I755" s="111" t="b">
        <v>0</v>
      </c>
      <c r="J755" s="111" t="b">
        <v>0</v>
      </c>
      <c r="K755" s="111" t="b">
        <v>0</v>
      </c>
      <c r="L755" s="111" t="b">
        <v>0</v>
      </c>
    </row>
    <row r="756" spans="1:12" ht="15">
      <c r="A756" s="113" t="s">
        <v>1636</v>
      </c>
      <c r="B756" s="111" t="s">
        <v>1637</v>
      </c>
      <c r="C756" s="111">
        <v>2</v>
      </c>
      <c r="D756" s="115">
        <v>0.001106240363265106</v>
      </c>
      <c r="E756" s="115">
        <v>3.076094046682475</v>
      </c>
      <c r="F756" s="111" t="s">
        <v>820</v>
      </c>
      <c r="G756" s="111" t="b">
        <v>0</v>
      </c>
      <c r="H756" s="111" t="b">
        <v>0</v>
      </c>
      <c r="I756" s="111" t="b">
        <v>0</v>
      </c>
      <c r="J756" s="111" t="b">
        <v>0</v>
      </c>
      <c r="K756" s="111" t="b">
        <v>0</v>
      </c>
      <c r="L756" s="111" t="b">
        <v>0</v>
      </c>
    </row>
    <row r="757" spans="1:12" ht="15">
      <c r="A757" s="113" t="s">
        <v>1637</v>
      </c>
      <c r="B757" s="111" t="s">
        <v>1638</v>
      </c>
      <c r="C757" s="111">
        <v>2</v>
      </c>
      <c r="D757" s="115">
        <v>0.001106240363265106</v>
      </c>
      <c r="E757" s="115">
        <v>3.076094046682475</v>
      </c>
      <c r="F757" s="111" t="s">
        <v>820</v>
      </c>
      <c r="G757" s="111" t="b">
        <v>0</v>
      </c>
      <c r="H757" s="111" t="b">
        <v>0</v>
      </c>
      <c r="I757" s="111" t="b">
        <v>0</v>
      </c>
      <c r="J757" s="111" t="b">
        <v>0</v>
      </c>
      <c r="K757" s="111" t="b">
        <v>0</v>
      </c>
      <c r="L757" s="111" t="b">
        <v>0</v>
      </c>
    </row>
    <row r="758" spans="1:12" ht="15">
      <c r="A758" s="113" t="s">
        <v>1638</v>
      </c>
      <c r="B758" s="111" t="s">
        <v>852</v>
      </c>
      <c r="C758" s="111">
        <v>2</v>
      </c>
      <c r="D758" s="115">
        <v>0.001106240363265106</v>
      </c>
      <c r="E758" s="115">
        <v>2.1730040596905313</v>
      </c>
      <c r="F758" s="111" t="s">
        <v>820</v>
      </c>
      <c r="G758" s="111" t="b">
        <v>0</v>
      </c>
      <c r="H758" s="111" t="b">
        <v>0</v>
      </c>
      <c r="I758" s="111" t="b">
        <v>0</v>
      </c>
      <c r="J758" s="111" t="b">
        <v>0</v>
      </c>
      <c r="K758" s="111" t="b">
        <v>0</v>
      </c>
      <c r="L758" s="111" t="b">
        <v>0</v>
      </c>
    </row>
    <row r="759" spans="1:12" ht="15">
      <c r="A759" s="113" t="s">
        <v>873</v>
      </c>
      <c r="B759" s="111" t="s">
        <v>1443</v>
      </c>
      <c r="C759" s="111">
        <v>2</v>
      </c>
      <c r="D759" s="115">
        <v>0.0013543079328275133</v>
      </c>
      <c r="E759" s="115">
        <v>2.775064051018494</v>
      </c>
      <c r="F759" s="111" t="s">
        <v>820</v>
      </c>
      <c r="G759" s="111" t="b">
        <v>0</v>
      </c>
      <c r="H759" s="111" t="b">
        <v>0</v>
      </c>
      <c r="I759" s="111" t="b">
        <v>0</v>
      </c>
      <c r="J759" s="111" t="b">
        <v>0</v>
      </c>
      <c r="K759" s="111" t="b">
        <v>0</v>
      </c>
      <c r="L759" s="111" t="b">
        <v>0</v>
      </c>
    </row>
    <row r="760" spans="1:12" ht="15">
      <c r="A760" s="113" t="s">
        <v>1443</v>
      </c>
      <c r="B760" s="111" t="s">
        <v>840</v>
      </c>
      <c r="C760" s="111">
        <v>2</v>
      </c>
      <c r="D760" s="115">
        <v>0.0013543079328275133</v>
      </c>
      <c r="E760" s="115">
        <v>1.7750640510184936</v>
      </c>
      <c r="F760" s="111" t="s">
        <v>820</v>
      </c>
      <c r="G760" s="111" t="b">
        <v>0</v>
      </c>
      <c r="H760" s="111" t="b">
        <v>0</v>
      </c>
      <c r="I760" s="111" t="b">
        <v>0</v>
      </c>
      <c r="J760" s="111" t="b">
        <v>0</v>
      </c>
      <c r="K760" s="111" t="b">
        <v>0</v>
      </c>
      <c r="L760" s="111" t="b">
        <v>0</v>
      </c>
    </row>
    <row r="761" spans="1:12" ht="15">
      <c r="A761" s="113" t="s">
        <v>934</v>
      </c>
      <c r="B761" s="111" t="s">
        <v>845</v>
      </c>
      <c r="C761" s="111">
        <v>2</v>
      </c>
      <c r="D761" s="115">
        <v>0.001106240363265106</v>
      </c>
      <c r="E761" s="115">
        <v>1.621249186673965</v>
      </c>
      <c r="F761" s="111" t="s">
        <v>820</v>
      </c>
      <c r="G761" s="111" t="b">
        <v>0</v>
      </c>
      <c r="H761" s="111" t="b">
        <v>0</v>
      </c>
      <c r="I761" s="111" t="b">
        <v>0</v>
      </c>
      <c r="J761" s="111" t="b">
        <v>0</v>
      </c>
      <c r="K761" s="111" t="b">
        <v>0</v>
      </c>
      <c r="L761" s="111" t="b">
        <v>0</v>
      </c>
    </row>
    <row r="762" spans="1:12" ht="15">
      <c r="A762" s="113" t="s">
        <v>840</v>
      </c>
      <c r="B762" s="111" t="s">
        <v>1058</v>
      </c>
      <c r="C762" s="111">
        <v>2</v>
      </c>
      <c r="D762" s="115">
        <v>0.001106240363265106</v>
      </c>
      <c r="E762" s="115">
        <v>1.7643401856267207</v>
      </c>
      <c r="F762" s="111" t="s">
        <v>820</v>
      </c>
      <c r="G762" s="111" t="b">
        <v>0</v>
      </c>
      <c r="H762" s="111" t="b">
        <v>0</v>
      </c>
      <c r="I762" s="111" t="b">
        <v>0</v>
      </c>
      <c r="J762" s="111" t="b">
        <v>0</v>
      </c>
      <c r="K762" s="111" t="b">
        <v>0</v>
      </c>
      <c r="L762" s="111" t="b">
        <v>0</v>
      </c>
    </row>
    <row r="763" spans="1:12" ht="15">
      <c r="A763" s="113" t="s">
        <v>959</v>
      </c>
      <c r="B763" s="111" t="s">
        <v>853</v>
      </c>
      <c r="C763" s="111">
        <v>2</v>
      </c>
      <c r="D763" s="115">
        <v>0.001106240363265106</v>
      </c>
      <c r="E763" s="115">
        <v>2.422881532907131</v>
      </c>
      <c r="F763" s="111" t="s">
        <v>820</v>
      </c>
      <c r="G763" s="111" t="b">
        <v>0</v>
      </c>
      <c r="H763" s="111" t="b">
        <v>0</v>
      </c>
      <c r="I763" s="111" t="b">
        <v>0</v>
      </c>
      <c r="J763" s="111" t="b">
        <v>0</v>
      </c>
      <c r="K763" s="111" t="b">
        <v>0</v>
      </c>
      <c r="L763" s="111" t="b">
        <v>0</v>
      </c>
    </row>
    <row r="764" spans="1:12" ht="15">
      <c r="A764" s="113" t="s">
        <v>896</v>
      </c>
      <c r="B764" s="111" t="s">
        <v>840</v>
      </c>
      <c r="C764" s="111">
        <v>2</v>
      </c>
      <c r="D764" s="115">
        <v>0.0013543079328275133</v>
      </c>
      <c r="E764" s="115">
        <v>1.7750640510184936</v>
      </c>
      <c r="F764" s="111" t="s">
        <v>820</v>
      </c>
      <c r="G764" s="111" t="b">
        <v>0</v>
      </c>
      <c r="H764" s="111" t="b">
        <v>0</v>
      </c>
      <c r="I764" s="111" t="b">
        <v>0</v>
      </c>
      <c r="J764" s="111" t="b">
        <v>0</v>
      </c>
      <c r="K764" s="111" t="b">
        <v>0</v>
      </c>
      <c r="L764" s="111" t="b">
        <v>0</v>
      </c>
    </row>
    <row r="765" spans="1:12" ht="15">
      <c r="A765" s="113" t="s">
        <v>846</v>
      </c>
      <c r="B765" s="111" t="s">
        <v>1692</v>
      </c>
      <c r="C765" s="111">
        <v>2</v>
      </c>
      <c r="D765" s="115">
        <v>0.001106240363265106</v>
      </c>
      <c r="E765" s="115">
        <v>2.201032783290775</v>
      </c>
      <c r="F765" s="111" t="s">
        <v>820</v>
      </c>
      <c r="G765" s="111" t="b">
        <v>0</v>
      </c>
      <c r="H765" s="111" t="b">
        <v>0</v>
      </c>
      <c r="I765" s="111" t="b">
        <v>0</v>
      </c>
      <c r="J765" s="111" t="b">
        <v>0</v>
      </c>
      <c r="K765" s="111" t="b">
        <v>0</v>
      </c>
      <c r="L765" s="111" t="b">
        <v>0</v>
      </c>
    </row>
    <row r="766" spans="1:12" ht="15">
      <c r="A766" s="113" t="s">
        <v>1378</v>
      </c>
      <c r="B766" s="111" t="s">
        <v>1379</v>
      </c>
      <c r="C766" s="111">
        <v>2</v>
      </c>
      <c r="D766" s="115">
        <v>0.0013543079328275133</v>
      </c>
      <c r="E766" s="115">
        <v>2.7239115285711124</v>
      </c>
      <c r="F766" s="111" t="s">
        <v>820</v>
      </c>
      <c r="G766" s="111" t="b">
        <v>0</v>
      </c>
      <c r="H766" s="111" t="b">
        <v>0</v>
      </c>
      <c r="I766" s="111" t="b">
        <v>0</v>
      </c>
      <c r="J766" s="111" t="b">
        <v>0</v>
      </c>
      <c r="K766" s="111" t="b">
        <v>0</v>
      </c>
      <c r="L766" s="111" t="b">
        <v>0</v>
      </c>
    </row>
    <row r="767" spans="1:12" ht="15">
      <c r="A767" s="113" t="s">
        <v>860</v>
      </c>
      <c r="B767" s="111" t="s">
        <v>890</v>
      </c>
      <c r="C767" s="111">
        <v>2</v>
      </c>
      <c r="D767" s="115">
        <v>0.001106240363265106</v>
      </c>
      <c r="E767" s="115">
        <v>2.201032783290775</v>
      </c>
      <c r="F767" s="111" t="s">
        <v>820</v>
      </c>
      <c r="G767" s="111" t="b">
        <v>1</v>
      </c>
      <c r="H767" s="111" t="b">
        <v>0</v>
      </c>
      <c r="I767" s="111" t="b">
        <v>0</v>
      </c>
      <c r="J767" s="111" t="b">
        <v>0</v>
      </c>
      <c r="K767" s="111" t="b">
        <v>0</v>
      </c>
      <c r="L767" s="111" t="b">
        <v>0</v>
      </c>
    </row>
    <row r="768" spans="1:12" ht="15">
      <c r="A768" s="113" t="s">
        <v>890</v>
      </c>
      <c r="B768" s="111" t="s">
        <v>1040</v>
      </c>
      <c r="C768" s="111">
        <v>2</v>
      </c>
      <c r="D768" s="115">
        <v>0.001106240363265106</v>
      </c>
      <c r="E768" s="115">
        <v>2.2979427962988312</v>
      </c>
      <c r="F768" s="111" t="s">
        <v>820</v>
      </c>
      <c r="G768" s="111" t="b">
        <v>0</v>
      </c>
      <c r="H768" s="111" t="b">
        <v>0</v>
      </c>
      <c r="I768" s="111" t="b">
        <v>0</v>
      </c>
      <c r="J768" s="111" t="b">
        <v>0</v>
      </c>
      <c r="K768" s="111" t="b">
        <v>0</v>
      </c>
      <c r="L768" s="111" t="b">
        <v>0</v>
      </c>
    </row>
    <row r="769" spans="1:12" ht="15">
      <c r="A769" s="113" t="s">
        <v>1040</v>
      </c>
      <c r="B769" s="111" t="s">
        <v>845</v>
      </c>
      <c r="C769" s="111">
        <v>2</v>
      </c>
      <c r="D769" s="115">
        <v>0.001106240363265106</v>
      </c>
      <c r="E769" s="115">
        <v>1.797340445729646</v>
      </c>
      <c r="F769" s="111" t="s">
        <v>820</v>
      </c>
      <c r="G769" s="111" t="b">
        <v>0</v>
      </c>
      <c r="H769" s="111" t="b">
        <v>0</v>
      </c>
      <c r="I769" s="111" t="b">
        <v>0</v>
      </c>
      <c r="J769" s="111" t="b">
        <v>0</v>
      </c>
      <c r="K769" s="111" t="b">
        <v>0</v>
      </c>
      <c r="L769" s="111" t="b">
        <v>0</v>
      </c>
    </row>
    <row r="770" spans="1:12" ht="15">
      <c r="A770" s="113" t="s">
        <v>845</v>
      </c>
      <c r="B770" s="111" t="s">
        <v>875</v>
      </c>
      <c r="C770" s="111">
        <v>2</v>
      </c>
      <c r="D770" s="115">
        <v>0.001106240363265106</v>
      </c>
      <c r="E770" s="115">
        <v>1.621249186673965</v>
      </c>
      <c r="F770" s="111" t="s">
        <v>820</v>
      </c>
      <c r="G770" s="111" t="b">
        <v>0</v>
      </c>
      <c r="H770" s="111" t="b">
        <v>0</v>
      </c>
      <c r="I770" s="111" t="b">
        <v>0</v>
      </c>
      <c r="J770" s="111" t="b">
        <v>0</v>
      </c>
      <c r="K770" s="111" t="b">
        <v>1</v>
      </c>
      <c r="L770" s="111" t="b">
        <v>0</v>
      </c>
    </row>
    <row r="771" spans="1:12" ht="15">
      <c r="A771" s="113" t="s">
        <v>1308</v>
      </c>
      <c r="B771" s="111" t="s">
        <v>1309</v>
      </c>
      <c r="C771" s="111">
        <v>2</v>
      </c>
      <c r="D771" s="115">
        <v>0.0013543079328275133</v>
      </c>
      <c r="E771" s="115">
        <v>3.076094046682475</v>
      </c>
      <c r="F771" s="111" t="s">
        <v>820</v>
      </c>
      <c r="G771" s="111" t="b">
        <v>0</v>
      </c>
      <c r="H771" s="111" t="b">
        <v>0</v>
      </c>
      <c r="I771" s="111" t="b">
        <v>0</v>
      </c>
      <c r="J771" s="111" t="b">
        <v>0</v>
      </c>
      <c r="K771" s="111" t="b">
        <v>0</v>
      </c>
      <c r="L771" s="111" t="b">
        <v>0</v>
      </c>
    </row>
    <row r="772" spans="1:12" ht="15">
      <c r="A772" s="113" t="s">
        <v>841</v>
      </c>
      <c r="B772" s="111" t="s">
        <v>852</v>
      </c>
      <c r="C772" s="111">
        <v>2</v>
      </c>
      <c r="D772" s="115">
        <v>0.001106240363265106</v>
      </c>
      <c r="E772" s="115">
        <v>0.7838379753259989</v>
      </c>
      <c r="F772" s="111" t="s">
        <v>820</v>
      </c>
      <c r="G772" s="111" t="b">
        <v>0</v>
      </c>
      <c r="H772" s="111" t="b">
        <v>0</v>
      </c>
      <c r="I772" s="111" t="b">
        <v>0</v>
      </c>
      <c r="J772" s="111" t="b">
        <v>0</v>
      </c>
      <c r="K772" s="111" t="b">
        <v>0</v>
      </c>
      <c r="L772" s="111" t="b">
        <v>0</v>
      </c>
    </row>
    <row r="773" spans="1:12" ht="15">
      <c r="A773" s="113" t="s">
        <v>1690</v>
      </c>
      <c r="B773" s="111" t="s">
        <v>1053</v>
      </c>
      <c r="C773" s="111">
        <v>2</v>
      </c>
      <c r="D773" s="115">
        <v>0.0013543079328275133</v>
      </c>
      <c r="E773" s="115">
        <v>2.678154038010437</v>
      </c>
      <c r="F773" s="111" t="s">
        <v>820</v>
      </c>
      <c r="G773" s="111" t="b">
        <v>0</v>
      </c>
      <c r="H773" s="111" t="b">
        <v>0</v>
      </c>
      <c r="I773" s="111" t="b">
        <v>0</v>
      </c>
      <c r="J773" s="111" t="b">
        <v>0</v>
      </c>
      <c r="K773" s="111" t="b">
        <v>0</v>
      </c>
      <c r="L773" s="111" t="b">
        <v>0</v>
      </c>
    </row>
    <row r="774" spans="1:12" ht="15">
      <c r="A774" s="113" t="s">
        <v>841</v>
      </c>
      <c r="B774" s="111" t="s">
        <v>943</v>
      </c>
      <c r="C774" s="111">
        <v>2</v>
      </c>
      <c r="D774" s="115">
        <v>0.0013543079328275133</v>
      </c>
      <c r="E774" s="115">
        <v>1.20980670759828</v>
      </c>
      <c r="F774" s="111" t="s">
        <v>820</v>
      </c>
      <c r="G774" s="111" t="b">
        <v>0</v>
      </c>
      <c r="H774" s="111" t="b">
        <v>0</v>
      </c>
      <c r="I774" s="111" t="b">
        <v>0</v>
      </c>
      <c r="J774" s="111" t="b">
        <v>0</v>
      </c>
      <c r="K774" s="111" t="b">
        <v>0</v>
      </c>
      <c r="L774" s="111" t="b">
        <v>0</v>
      </c>
    </row>
    <row r="775" spans="1:12" ht="15">
      <c r="A775" s="113" t="s">
        <v>992</v>
      </c>
      <c r="B775" s="111" t="s">
        <v>845</v>
      </c>
      <c r="C775" s="111">
        <v>2</v>
      </c>
      <c r="D775" s="115">
        <v>0.0013543079328275133</v>
      </c>
      <c r="E775" s="115">
        <v>1.621249186673965</v>
      </c>
      <c r="F775" s="111" t="s">
        <v>820</v>
      </c>
      <c r="G775" s="111" t="b">
        <v>0</v>
      </c>
      <c r="H775" s="111" t="b">
        <v>1</v>
      </c>
      <c r="I775" s="111" t="b">
        <v>0</v>
      </c>
      <c r="J775" s="111" t="b">
        <v>0</v>
      </c>
      <c r="K775" s="111" t="b">
        <v>0</v>
      </c>
      <c r="L775" s="111" t="b">
        <v>0</v>
      </c>
    </row>
    <row r="776" spans="1:12" ht="15">
      <c r="A776" s="113" t="s">
        <v>878</v>
      </c>
      <c r="B776" s="111" t="s">
        <v>1318</v>
      </c>
      <c r="C776" s="111">
        <v>2</v>
      </c>
      <c r="D776" s="115">
        <v>0.0013543079328275133</v>
      </c>
      <c r="E776" s="115">
        <v>2.377124042346456</v>
      </c>
      <c r="F776" s="111" t="s">
        <v>820</v>
      </c>
      <c r="G776" s="111" t="b">
        <v>0</v>
      </c>
      <c r="H776" s="111" t="b">
        <v>0</v>
      </c>
      <c r="I776" s="111" t="b">
        <v>0</v>
      </c>
      <c r="J776" s="111" t="b">
        <v>0</v>
      </c>
      <c r="K776" s="111" t="b">
        <v>0</v>
      </c>
      <c r="L776" s="111" t="b">
        <v>0</v>
      </c>
    </row>
    <row r="777" spans="1:12" ht="15">
      <c r="A777" s="113" t="s">
        <v>1318</v>
      </c>
      <c r="B777" s="111" t="s">
        <v>877</v>
      </c>
      <c r="C777" s="111">
        <v>2</v>
      </c>
      <c r="D777" s="115">
        <v>0.0013543079328275133</v>
      </c>
      <c r="E777" s="115">
        <v>2.335731357188231</v>
      </c>
      <c r="F777" s="111" t="s">
        <v>820</v>
      </c>
      <c r="G777" s="111" t="b">
        <v>0</v>
      </c>
      <c r="H777" s="111" t="b">
        <v>0</v>
      </c>
      <c r="I777" s="111" t="b">
        <v>0</v>
      </c>
      <c r="J777" s="111" t="b">
        <v>0</v>
      </c>
      <c r="K777" s="111" t="b">
        <v>1</v>
      </c>
      <c r="L777" s="111" t="b">
        <v>0</v>
      </c>
    </row>
    <row r="778" spans="1:12" ht="15">
      <c r="A778" s="113" t="s">
        <v>844</v>
      </c>
      <c r="B778" s="111" t="s">
        <v>841</v>
      </c>
      <c r="C778" s="111">
        <v>24</v>
      </c>
      <c r="D778" s="115">
        <v>0.0032689401779919186</v>
      </c>
      <c r="E778" s="115">
        <v>1.7815739041204512</v>
      </c>
      <c r="F778" s="111" t="s">
        <v>821</v>
      </c>
      <c r="G778" s="111" t="b">
        <v>0</v>
      </c>
      <c r="H778" s="111" t="b">
        <v>0</v>
      </c>
      <c r="I778" s="111" t="b">
        <v>0</v>
      </c>
      <c r="J778" s="111" t="b">
        <v>0</v>
      </c>
      <c r="K778" s="111" t="b">
        <v>0</v>
      </c>
      <c r="L778" s="111" t="b">
        <v>0</v>
      </c>
    </row>
    <row r="779" spans="1:12" ht="15">
      <c r="A779" s="113" t="s">
        <v>841</v>
      </c>
      <c r="B779" s="111" t="s">
        <v>843</v>
      </c>
      <c r="C779" s="111">
        <v>7</v>
      </c>
      <c r="D779" s="115">
        <v>0.0018609387188599892</v>
      </c>
      <c r="E779" s="115">
        <v>1.5600798253951038</v>
      </c>
      <c r="F779" s="111" t="s">
        <v>821</v>
      </c>
      <c r="G779" s="111" t="b">
        <v>0</v>
      </c>
      <c r="H779" s="111" t="b">
        <v>0</v>
      </c>
      <c r="I779" s="111" t="b">
        <v>0</v>
      </c>
      <c r="J779" s="111" t="b">
        <v>0</v>
      </c>
      <c r="K779" s="111" t="b">
        <v>0</v>
      </c>
      <c r="L779" s="111" t="b">
        <v>0</v>
      </c>
    </row>
    <row r="780" spans="1:12" ht="15">
      <c r="A780" s="113" t="s">
        <v>846</v>
      </c>
      <c r="B780" s="111" t="s">
        <v>840</v>
      </c>
      <c r="C780" s="111">
        <v>6</v>
      </c>
      <c r="D780" s="115">
        <v>0.0025459347368973996</v>
      </c>
      <c r="E780" s="115">
        <v>1.406161545290614</v>
      </c>
      <c r="F780" s="111" t="s">
        <v>821</v>
      </c>
      <c r="G780" s="111" t="b">
        <v>0</v>
      </c>
      <c r="H780" s="111" t="b">
        <v>0</v>
      </c>
      <c r="I780" s="111" t="b">
        <v>0</v>
      </c>
      <c r="J780" s="111" t="b">
        <v>0</v>
      </c>
      <c r="K780" s="111" t="b">
        <v>0</v>
      </c>
      <c r="L780" s="111" t="b">
        <v>0</v>
      </c>
    </row>
    <row r="781" spans="1:12" ht="15">
      <c r="A781" s="113" t="s">
        <v>855</v>
      </c>
      <c r="B781" s="111" t="s">
        <v>847</v>
      </c>
      <c r="C781" s="111">
        <v>6</v>
      </c>
      <c r="D781" s="115">
        <v>0.002223095624214454</v>
      </c>
      <c r="E781" s="115">
        <v>1.7136736684825156</v>
      </c>
      <c r="F781" s="111" t="s">
        <v>821</v>
      </c>
      <c r="G781" s="111" t="b">
        <v>0</v>
      </c>
      <c r="H781" s="111" t="b">
        <v>0</v>
      </c>
      <c r="I781" s="111" t="b">
        <v>0</v>
      </c>
      <c r="J781" s="111" t="b">
        <v>0</v>
      </c>
      <c r="K781" s="111" t="b">
        <v>0</v>
      </c>
      <c r="L781" s="111" t="b">
        <v>0</v>
      </c>
    </row>
    <row r="782" spans="1:12" ht="15">
      <c r="A782" s="113" t="s">
        <v>907</v>
      </c>
      <c r="B782" s="111" t="s">
        <v>855</v>
      </c>
      <c r="C782" s="111">
        <v>6</v>
      </c>
      <c r="D782" s="115">
        <v>0.0037788061961213336</v>
      </c>
      <c r="E782" s="115">
        <v>2.214276019051701</v>
      </c>
      <c r="F782" s="111" t="s">
        <v>821</v>
      </c>
      <c r="G782" s="111" t="b">
        <v>0</v>
      </c>
      <c r="H782" s="111" t="b">
        <v>0</v>
      </c>
      <c r="I782" s="111" t="b">
        <v>0</v>
      </c>
      <c r="J782" s="111" t="b">
        <v>0</v>
      </c>
      <c r="K782" s="111" t="b">
        <v>0</v>
      </c>
      <c r="L782" s="111" t="b">
        <v>0</v>
      </c>
    </row>
    <row r="783" spans="1:12" ht="15">
      <c r="A783" s="113" t="s">
        <v>847</v>
      </c>
      <c r="B783" s="111" t="s">
        <v>889</v>
      </c>
      <c r="C783" s="111">
        <v>5</v>
      </c>
      <c r="D783" s="115">
        <v>0.0018525796868453783</v>
      </c>
      <c r="E783" s="115">
        <v>1.877530471121185</v>
      </c>
      <c r="F783" s="111" t="s">
        <v>821</v>
      </c>
      <c r="G783" s="111" t="b">
        <v>0</v>
      </c>
      <c r="H783" s="111" t="b">
        <v>0</v>
      </c>
      <c r="I783" s="111" t="b">
        <v>0</v>
      </c>
      <c r="J783" s="111" t="b">
        <v>0</v>
      </c>
      <c r="K783" s="111" t="b">
        <v>0</v>
      </c>
      <c r="L783" s="111" t="b">
        <v>0</v>
      </c>
    </row>
    <row r="784" spans="1:12" ht="15">
      <c r="A784" s="113" t="s">
        <v>885</v>
      </c>
      <c r="B784" s="111" t="s">
        <v>915</v>
      </c>
      <c r="C784" s="111">
        <v>5</v>
      </c>
      <c r="D784" s="115">
        <v>0.001643901794924499</v>
      </c>
      <c r="E784" s="115">
        <v>2.260033509612376</v>
      </c>
      <c r="F784" s="111" t="s">
        <v>821</v>
      </c>
      <c r="G784" s="111" t="b">
        <v>0</v>
      </c>
      <c r="H784" s="111" t="b">
        <v>0</v>
      </c>
      <c r="I784" s="111" t="b">
        <v>0</v>
      </c>
      <c r="J784" s="111" t="b">
        <v>0</v>
      </c>
      <c r="K784" s="111" t="b">
        <v>0</v>
      </c>
      <c r="L784" s="111" t="b">
        <v>0</v>
      </c>
    </row>
    <row r="785" spans="1:12" ht="15">
      <c r="A785" s="113" t="s">
        <v>890</v>
      </c>
      <c r="B785" s="111" t="s">
        <v>845</v>
      </c>
      <c r="C785" s="111">
        <v>4</v>
      </c>
      <c r="D785" s="115">
        <v>0.0014820637494763027</v>
      </c>
      <c r="E785" s="115">
        <v>2.0381847599960197</v>
      </c>
      <c r="F785" s="111" t="s">
        <v>821</v>
      </c>
      <c r="G785" s="111" t="b">
        <v>0</v>
      </c>
      <c r="H785" s="111" t="b">
        <v>0</v>
      </c>
      <c r="I785" s="111" t="b">
        <v>0</v>
      </c>
      <c r="J785" s="111" t="b">
        <v>0</v>
      </c>
      <c r="K785" s="111" t="b">
        <v>0</v>
      </c>
      <c r="L785" s="111" t="b">
        <v>0</v>
      </c>
    </row>
    <row r="786" spans="1:12" ht="15">
      <c r="A786" s="113" t="s">
        <v>1203</v>
      </c>
      <c r="B786" s="111" t="s">
        <v>926</v>
      </c>
      <c r="C786" s="111">
        <v>4</v>
      </c>
      <c r="D786" s="115">
        <v>0.0014820637494763027</v>
      </c>
      <c r="E786" s="115">
        <v>2.5822528043462953</v>
      </c>
      <c r="F786" s="111" t="s">
        <v>821</v>
      </c>
      <c r="G786" s="111" t="b">
        <v>0</v>
      </c>
      <c r="H786" s="111" t="b">
        <v>0</v>
      </c>
      <c r="I786" s="111" t="b">
        <v>0</v>
      </c>
      <c r="J786" s="111" t="b">
        <v>0</v>
      </c>
      <c r="K786" s="111" t="b">
        <v>0</v>
      </c>
      <c r="L786" s="111" t="b">
        <v>0</v>
      </c>
    </row>
    <row r="787" spans="1:12" ht="15">
      <c r="A787" s="113" t="s">
        <v>926</v>
      </c>
      <c r="B787" s="111" t="s">
        <v>1042</v>
      </c>
      <c r="C787" s="111">
        <v>4</v>
      </c>
      <c r="D787" s="115">
        <v>0.0014820637494763027</v>
      </c>
      <c r="E787" s="115">
        <v>2.5822528043462953</v>
      </c>
      <c r="F787" s="111" t="s">
        <v>821</v>
      </c>
      <c r="G787" s="111" t="b">
        <v>0</v>
      </c>
      <c r="H787" s="111" t="b">
        <v>0</v>
      </c>
      <c r="I787" s="111" t="b">
        <v>0</v>
      </c>
      <c r="J787" s="111" t="b">
        <v>0</v>
      </c>
      <c r="K787" s="111" t="b">
        <v>0</v>
      </c>
      <c r="L787" s="111" t="b">
        <v>0</v>
      </c>
    </row>
    <row r="788" spans="1:12" ht="15">
      <c r="A788" s="113" t="s">
        <v>1042</v>
      </c>
      <c r="B788" s="111" t="s">
        <v>1204</v>
      </c>
      <c r="C788" s="111">
        <v>4</v>
      </c>
      <c r="D788" s="115">
        <v>0.0014820637494763027</v>
      </c>
      <c r="E788" s="115">
        <v>2.7583440634019762</v>
      </c>
      <c r="F788" s="111" t="s">
        <v>821</v>
      </c>
      <c r="G788" s="111" t="b">
        <v>0</v>
      </c>
      <c r="H788" s="111" t="b">
        <v>0</v>
      </c>
      <c r="I788" s="111" t="b">
        <v>0</v>
      </c>
      <c r="J788" s="111" t="b">
        <v>0</v>
      </c>
      <c r="K788" s="111" t="b">
        <v>0</v>
      </c>
      <c r="L788" s="111" t="b">
        <v>0</v>
      </c>
    </row>
    <row r="789" spans="1:12" ht="15">
      <c r="A789" s="113" t="s">
        <v>1204</v>
      </c>
      <c r="B789" s="111" t="s">
        <v>1205</v>
      </c>
      <c r="C789" s="111">
        <v>4</v>
      </c>
      <c r="D789" s="115">
        <v>0.0014820637494763027</v>
      </c>
      <c r="E789" s="115">
        <v>2.7583440634019762</v>
      </c>
      <c r="F789" s="111" t="s">
        <v>821</v>
      </c>
      <c r="G789" s="111" t="b">
        <v>0</v>
      </c>
      <c r="H789" s="111" t="b">
        <v>0</v>
      </c>
      <c r="I789" s="111" t="b">
        <v>0</v>
      </c>
      <c r="J789" s="111" t="b">
        <v>0</v>
      </c>
      <c r="K789" s="111" t="b">
        <v>0</v>
      </c>
      <c r="L789" s="111" t="b">
        <v>0</v>
      </c>
    </row>
    <row r="790" spans="1:12" ht="15">
      <c r="A790" s="113" t="s">
        <v>1205</v>
      </c>
      <c r="B790" s="111" t="s">
        <v>847</v>
      </c>
      <c r="C790" s="111">
        <v>4</v>
      </c>
      <c r="D790" s="115">
        <v>0.0014820637494763027</v>
      </c>
      <c r="E790" s="115">
        <v>2.08165045377711</v>
      </c>
      <c r="F790" s="111" t="s">
        <v>821</v>
      </c>
      <c r="G790" s="111" t="b">
        <v>0</v>
      </c>
      <c r="H790" s="111" t="b">
        <v>0</v>
      </c>
      <c r="I790" s="111" t="b">
        <v>0</v>
      </c>
      <c r="J790" s="111" t="b">
        <v>0</v>
      </c>
      <c r="K790" s="111" t="b">
        <v>0</v>
      </c>
      <c r="L790" s="111" t="b">
        <v>0</v>
      </c>
    </row>
    <row r="791" spans="1:12" ht="15">
      <c r="A791" s="113" t="s">
        <v>847</v>
      </c>
      <c r="B791" s="111" t="s">
        <v>867</v>
      </c>
      <c r="C791" s="111">
        <v>4</v>
      </c>
      <c r="D791" s="115">
        <v>0.0014820637494763027</v>
      </c>
      <c r="E791" s="115">
        <v>1.6045291990574475</v>
      </c>
      <c r="F791" s="111" t="s">
        <v>821</v>
      </c>
      <c r="G791" s="111" t="b">
        <v>0</v>
      </c>
      <c r="H791" s="111" t="b">
        <v>0</v>
      </c>
      <c r="I791" s="111" t="b">
        <v>0</v>
      </c>
      <c r="J791" s="111" t="b">
        <v>0</v>
      </c>
      <c r="K791" s="111" t="b">
        <v>0</v>
      </c>
      <c r="L791" s="111" t="b">
        <v>0</v>
      </c>
    </row>
    <row r="792" spans="1:12" ht="15">
      <c r="A792" s="113" t="s">
        <v>867</v>
      </c>
      <c r="B792" s="111" t="s">
        <v>965</v>
      </c>
      <c r="C792" s="111">
        <v>4</v>
      </c>
      <c r="D792" s="115">
        <v>0.0014820637494763027</v>
      </c>
      <c r="E792" s="115">
        <v>2.281222808682314</v>
      </c>
      <c r="F792" s="111" t="s">
        <v>821</v>
      </c>
      <c r="G792" s="111" t="b">
        <v>0</v>
      </c>
      <c r="H792" s="111" t="b">
        <v>0</v>
      </c>
      <c r="I792" s="111" t="b">
        <v>0</v>
      </c>
      <c r="J792" s="111" t="b">
        <v>0</v>
      </c>
      <c r="K792" s="111" t="b">
        <v>0</v>
      </c>
      <c r="L792" s="111" t="b">
        <v>0</v>
      </c>
    </row>
    <row r="793" spans="1:12" ht="15">
      <c r="A793" s="113" t="s">
        <v>965</v>
      </c>
      <c r="B793" s="111" t="s">
        <v>1064</v>
      </c>
      <c r="C793" s="111">
        <v>4</v>
      </c>
      <c r="D793" s="115">
        <v>0.0014820637494763027</v>
      </c>
      <c r="E793" s="115">
        <v>2.7583440634019762</v>
      </c>
      <c r="F793" s="111" t="s">
        <v>821</v>
      </c>
      <c r="G793" s="111" t="b">
        <v>0</v>
      </c>
      <c r="H793" s="111" t="b">
        <v>0</v>
      </c>
      <c r="I793" s="111" t="b">
        <v>0</v>
      </c>
      <c r="J793" s="111" t="b">
        <v>0</v>
      </c>
      <c r="K793" s="111" t="b">
        <v>0</v>
      </c>
      <c r="L793" s="111" t="b">
        <v>0</v>
      </c>
    </row>
    <row r="794" spans="1:12" ht="15">
      <c r="A794" s="113" t="s">
        <v>1064</v>
      </c>
      <c r="B794" s="111" t="s">
        <v>1067</v>
      </c>
      <c r="C794" s="111">
        <v>4</v>
      </c>
      <c r="D794" s="115">
        <v>0.0014820637494763027</v>
      </c>
      <c r="E794" s="115">
        <v>2.66143405039392</v>
      </c>
      <c r="F794" s="111" t="s">
        <v>821</v>
      </c>
      <c r="G794" s="111" t="b">
        <v>0</v>
      </c>
      <c r="H794" s="111" t="b">
        <v>0</v>
      </c>
      <c r="I794" s="111" t="b">
        <v>0</v>
      </c>
      <c r="J794" s="111" t="b">
        <v>0</v>
      </c>
      <c r="K794" s="111" t="b">
        <v>0</v>
      </c>
      <c r="L794" s="111" t="b">
        <v>0</v>
      </c>
    </row>
    <row r="795" spans="1:12" ht="15">
      <c r="A795" s="113" t="s">
        <v>1067</v>
      </c>
      <c r="B795" s="111" t="s">
        <v>840</v>
      </c>
      <c r="C795" s="111">
        <v>4</v>
      </c>
      <c r="D795" s="115">
        <v>0.0014820637494763027</v>
      </c>
      <c r="E795" s="115">
        <v>1.7071915409545952</v>
      </c>
      <c r="F795" s="111" t="s">
        <v>821</v>
      </c>
      <c r="G795" s="111" t="b">
        <v>0</v>
      </c>
      <c r="H795" s="111" t="b">
        <v>0</v>
      </c>
      <c r="I795" s="111" t="b">
        <v>0</v>
      </c>
      <c r="J795" s="111" t="b">
        <v>0</v>
      </c>
      <c r="K795" s="111" t="b">
        <v>0</v>
      </c>
      <c r="L795" s="111" t="b">
        <v>0</v>
      </c>
    </row>
    <row r="796" spans="1:12" ht="15">
      <c r="A796" s="113" t="s">
        <v>840</v>
      </c>
      <c r="B796" s="111" t="s">
        <v>865</v>
      </c>
      <c r="C796" s="111">
        <v>4</v>
      </c>
      <c r="D796" s="115">
        <v>0.0014820637494763027</v>
      </c>
      <c r="E796" s="115">
        <v>1.515306014715682</v>
      </c>
      <c r="F796" s="111" t="s">
        <v>821</v>
      </c>
      <c r="G796" s="111" t="b">
        <v>0</v>
      </c>
      <c r="H796" s="111" t="b">
        <v>0</v>
      </c>
      <c r="I796" s="111" t="b">
        <v>0</v>
      </c>
      <c r="J796" s="111" t="b">
        <v>0</v>
      </c>
      <c r="K796" s="111" t="b">
        <v>0</v>
      </c>
      <c r="L796" s="111" t="b">
        <v>0</v>
      </c>
    </row>
    <row r="797" spans="1:12" ht="15">
      <c r="A797" s="113" t="s">
        <v>865</v>
      </c>
      <c r="B797" s="111" t="s">
        <v>1206</v>
      </c>
      <c r="C797" s="111">
        <v>4</v>
      </c>
      <c r="D797" s="115">
        <v>0.0014820637494763027</v>
      </c>
      <c r="E797" s="115">
        <v>2.4573140677379954</v>
      </c>
      <c r="F797" s="111" t="s">
        <v>821</v>
      </c>
      <c r="G797" s="111" t="b">
        <v>0</v>
      </c>
      <c r="H797" s="111" t="b">
        <v>0</v>
      </c>
      <c r="I797" s="111" t="b">
        <v>0</v>
      </c>
      <c r="J797" s="111" t="b">
        <v>0</v>
      </c>
      <c r="K797" s="111" t="b">
        <v>0</v>
      </c>
      <c r="L797" s="111" t="b">
        <v>0</v>
      </c>
    </row>
    <row r="798" spans="1:12" ht="15">
      <c r="A798" s="113" t="s">
        <v>1206</v>
      </c>
      <c r="B798" s="111" t="s">
        <v>1207</v>
      </c>
      <c r="C798" s="111">
        <v>4</v>
      </c>
      <c r="D798" s="115">
        <v>0.0014820637494763027</v>
      </c>
      <c r="E798" s="115">
        <v>2.7583440634019762</v>
      </c>
      <c r="F798" s="111" t="s">
        <v>821</v>
      </c>
      <c r="G798" s="111" t="b">
        <v>0</v>
      </c>
      <c r="H798" s="111" t="b">
        <v>0</v>
      </c>
      <c r="I798" s="111" t="b">
        <v>0</v>
      </c>
      <c r="J798" s="111" t="b">
        <v>1</v>
      </c>
      <c r="K798" s="111" t="b">
        <v>0</v>
      </c>
      <c r="L798" s="111" t="b">
        <v>0</v>
      </c>
    </row>
    <row r="799" spans="1:12" ht="15">
      <c r="A799" s="113" t="s">
        <v>1207</v>
      </c>
      <c r="B799" s="111" t="s">
        <v>893</v>
      </c>
      <c r="C799" s="111">
        <v>4</v>
      </c>
      <c r="D799" s="115">
        <v>0.0014820637494763027</v>
      </c>
      <c r="E799" s="115">
        <v>2.7583440634019762</v>
      </c>
      <c r="F799" s="111" t="s">
        <v>821</v>
      </c>
      <c r="G799" s="111" t="b">
        <v>1</v>
      </c>
      <c r="H799" s="111" t="b">
        <v>0</v>
      </c>
      <c r="I799" s="111" t="b">
        <v>0</v>
      </c>
      <c r="J799" s="111" t="b">
        <v>0</v>
      </c>
      <c r="K799" s="111" t="b">
        <v>0</v>
      </c>
      <c r="L799" s="111" t="b">
        <v>0</v>
      </c>
    </row>
    <row r="800" spans="1:12" ht="15">
      <c r="A800" s="113" t="s">
        <v>893</v>
      </c>
      <c r="B800" s="111" t="s">
        <v>855</v>
      </c>
      <c r="C800" s="111">
        <v>4</v>
      </c>
      <c r="D800" s="115">
        <v>0.0014820637494763027</v>
      </c>
      <c r="E800" s="115">
        <v>2.214276019051701</v>
      </c>
      <c r="F800" s="111" t="s">
        <v>821</v>
      </c>
      <c r="G800" s="111" t="b">
        <v>0</v>
      </c>
      <c r="H800" s="111" t="b">
        <v>0</v>
      </c>
      <c r="I800" s="111" t="b">
        <v>0</v>
      </c>
      <c r="J800" s="111" t="b">
        <v>0</v>
      </c>
      <c r="K800" s="111" t="b">
        <v>0</v>
      </c>
      <c r="L800" s="111" t="b">
        <v>0</v>
      </c>
    </row>
    <row r="801" spans="1:12" ht="15">
      <c r="A801" s="113" t="s">
        <v>889</v>
      </c>
      <c r="B801" s="111" t="s">
        <v>1068</v>
      </c>
      <c r="C801" s="111">
        <v>4</v>
      </c>
      <c r="D801" s="115">
        <v>0.0014820637494763027</v>
      </c>
      <c r="E801" s="115">
        <v>2.4573140677379954</v>
      </c>
      <c r="F801" s="111" t="s">
        <v>821</v>
      </c>
      <c r="G801" s="111" t="b">
        <v>0</v>
      </c>
      <c r="H801" s="111" t="b">
        <v>0</v>
      </c>
      <c r="I801" s="111" t="b">
        <v>0</v>
      </c>
      <c r="J801" s="111" t="b">
        <v>0</v>
      </c>
      <c r="K801" s="111" t="b">
        <v>0</v>
      </c>
      <c r="L801" s="111" t="b">
        <v>0</v>
      </c>
    </row>
    <row r="802" spans="1:12" ht="15">
      <c r="A802" s="113" t="s">
        <v>1068</v>
      </c>
      <c r="B802" s="111" t="s">
        <v>884</v>
      </c>
      <c r="C802" s="111">
        <v>4</v>
      </c>
      <c r="D802" s="115">
        <v>0.0014820637494763027</v>
      </c>
      <c r="E802" s="115">
        <v>2.515306014715682</v>
      </c>
      <c r="F802" s="111" t="s">
        <v>821</v>
      </c>
      <c r="G802" s="111" t="b">
        <v>0</v>
      </c>
      <c r="H802" s="111" t="b">
        <v>0</v>
      </c>
      <c r="I802" s="111" t="b">
        <v>0</v>
      </c>
      <c r="J802" s="111" t="b">
        <v>0</v>
      </c>
      <c r="K802" s="111" t="b">
        <v>0</v>
      </c>
      <c r="L802" s="111" t="b">
        <v>0</v>
      </c>
    </row>
    <row r="803" spans="1:12" ht="15">
      <c r="A803" s="113" t="s">
        <v>884</v>
      </c>
      <c r="B803" s="111" t="s">
        <v>894</v>
      </c>
      <c r="C803" s="111">
        <v>4</v>
      </c>
      <c r="D803" s="115">
        <v>0.0014820637494763027</v>
      </c>
      <c r="E803" s="115">
        <v>2.1173660060436443</v>
      </c>
      <c r="F803" s="111" t="s">
        <v>821</v>
      </c>
      <c r="G803" s="111" t="b">
        <v>0</v>
      </c>
      <c r="H803" s="111" t="b">
        <v>0</v>
      </c>
      <c r="I803" s="111" t="b">
        <v>0</v>
      </c>
      <c r="J803" s="111" t="b">
        <v>0</v>
      </c>
      <c r="K803" s="111" t="b">
        <v>0</v>
      </c>
      <c r="L803" s="111" t="b">
        <v>0</v>
      </c>
    </row>
    <row r="804" spans="1:12" ht="15">
      <c r="A804" s="113" t="s">
        <v>894</v>
      </c>
      <c r="B804" s="111" t="s">
        <v>885</v>
      </c>
      <c r="C804" s="111">
        <v>4</v>
      </c>
      <c r="D804" s="115">
        <v>0.0014820637494763027</v>
      </c>
      <c r="E804" s="115">
        <v>2.0593740590659575</v>
      </c>
      <c r="F804" s="111" t="s">
        <v>821</v>
      </c>
      <c r="G804" s="111" t="b">
        <v>0</v>
      </c>
      <c r="H804" s="111" t="b">
        <v>0</v>
      </c>
      <c r="I804" s="111" t="b">
        <v>0</v>
      </c>
      <c r="J804" s="111" t="b">
        <v>0</v>
      </c>
      <c r="K804" s="111" t="b">
        <v>0</v>
      </c>
      <c r="L804" s="111" t="b">
        <v>0</v>
      </c>
    </row>
    <row r="805" spans="1:12" ht="15">
      <c r="A805" s="113" t="s">
        <v>847</v>
      </c>
      <c r="B805" s="111" t="s">
        <v>872</v>
      </c>
      <c r="C805" s="111">
        <v>4</v>
      </c>
      <c r="D805" s="115">
        <v>0.002000633940111929</v>
      </c>
      <c r="E805" s="115">
        <v>1.9055591947214285</v>
      </c>
      <c r="F805" s="111" t="s">
        <v>821</v>
      </c>
      <c r="G805" s="111" t="b">
        <v>0</v>
      </c>
      <c r="H805" s="111" t="b">
        <v>0</v>
      </c>
      <c r="I805" s="111" t="b">
        <v>0</v>
      </c>
      <c r="J805" s="111" t="b">
        <v>0</v>
      </c>
      <c r="K805" s="111" t="b">
        <v>0</v>
      </c>
      <c r="L805" s="111" t="b">
        <v>0</v>
      </c>
    </row>
    <row r="806" spans="1:12" ht="15">
      <c r="A806" s="113" t="s">
        <v>857</v>
      </c>
      <c r="B806" s="111" t="s">
        <v>1273</v>
      </c>
      <c r="C806" s="111">
        <v>4</v>
      </c>
      <c r="D806" s="115">
        <v>0.0025192041307475557</v>
      </c>
      <c r="E806" s="115">
        <v>2.129955133351665</v>
      </c>
      <c r="F806" s="111" t="s">
        <v>821</v>
      </c>
      <c r="G806" s="111" t="b">
        <v>0</v>
      </c>
      <c r="H806" s="111" t="b">
        <v>0</v>
      </c>
      <c r="I806" s="111" t="b">
        <v>0</v>
      </c>
      <c r="J806" s="111" t="b">
        <v>0</v>
      </c>
      <c r="K806" s="111" t="b">
        <v>0</v>
      </c>
      <c r="L806" s="111" t="b">
        <v>0</v>
      </c>
    </row>
    <row r="807" spans="1:12" ht="15">
      <c r="A807" s="113" t="s">
        <v>840</v>
      </c>
      <c r="B807" s="111" t="s">
        <v>1009</v>
      </c>
      <c r="C807" s="111">
        <v>3</v>
      </c>
      <c r="D807" s="115">
        <v>0.001500475455083947</v>
      </c>
      <c r="E807" s="115">
        <v>1.4483592250850688</v>
      </c>
      <c r="F807" s="111" t="s">
        <v>821</v>
      </c>
      <c r="G807" s="111" t="b">
        <v>0</v>
      </c>
      <c r="H807" s="111" t="b">
        <v>0</v>
      </c>
      <c r="I807" s="111" t="b">
        <v>0</v>
      </c>
      <c r="J807" s="111" t="b">
        <v>0</v>
      </c>
      <c r="K807" s="111" t="b">
        <v>0</v>
      </c>
      <c r="L807" s="111" t="b">
        <v>0</v>
      </c>
    </row>
    <row r="808" spans="1:12" ht="15">
      <c r="A808" s="113" t="s">
        <v>941</v>
      </c>
      <c r="B808" s="111" t="s">
        <v>1129</v>
      </c>
      <c r="C808" s="111">
        <v>3</v>
      </c>
      <c r="D808" s="115">
        <v>0.0012729673684486998</v>
      </c>
      <c r="E808" s="115">
        <v>2.390367278107382</v>
      </c>
      <c r="F808" s="111" t="s">
        <v>821</v>
      </c>
      <c r="G808" s="111" t="b">
        <v>0</v>
      </c>
      <c r="H808" s="111" t="b">
        <v>0</v>
      </c>
      <c r="I808" s="111" t="b">
        <v>0</v>
      </c>
      <c r="J808" s="111" t="b">
        <v>0</v>
      </c>
      <c r="K808" s="111" t="b">
        <v>0</v>
      </c>
      <c r="L808" s="111" t="b">
        <v>0</v>
      </c>
    </row>
    <row r="809" spans="1:12" ht="15">
      <c r="A809" s="113" t="s">
        <v>1129</v>
      </c>
      <c r="B809" s="111" t="s">
        <v>953</v>
      </c>
      <c r="C809" s="111">
        <v>3</v>
      </c>
      <c r="D809" s="115">
        <v>0.0012729673684486998</v>
      </c>
      <c r="E809" s="115">
        <v>2.4573140677379954</v>
      </c>
      <c r="F809" s="111" t="s">
        <v>821</v>
      </c>
      <c r="G809" s="111" t="b">
        <v>0</v>
      </c>
      <c r="H809" s="111" t="b">
        <v>0</v>
      </c>
      <c r="I809" s="111" t="b">
        <v>0</v>
      </c>
      <c r="J809" s="111" t="b">
        <v>0</v>
      </c>
      <c r="K809" s="111" t="b">
        <v>0</v>
      </c>
      <c r="L809" s="111" t="b">
        <v>0</v>
      </c>
    </row>
    <row r="810" spans="1:12" ht="15">
      <c r="A810" s="113" t="s">
        <v>953</v>
      </c>
      <c r="B810" s="111" t="s">
        <v>1232</v>
      </c>
      <c r="C810" s="111">
        <v>3</v>
      </c>
      <c r="D810" s="115">
        <v>0.0012729673684486998</v>
      </c>
      <c r="E810" s="115">
        <v>2.5822528043462953</v>
      </c>
      <c r="F810" s="111" t="s">
        <v>821</v>
      </c>
      <c r="G810" s="111" t="b">
        <v>0</v>
      </c>
      <c r="H810" s="111" t="b">
        <v>0</v>
      </c>
      <c r="I810" s="111" t="b">
        <v>0</v>
      </c>
      <c r="J810" s="111" t="b">
        <v>0</v>
      </c>
      <c r="K810" s="111" t="b">
        <v>0</v>
      </c>
      <c r="L810" s="111" t="b">
        <v>0</v>
      </c>
    </row>
    <row r="811" spans="1:12" ht="15">
      <c r="A811" s="113" t="s">
        <v>1232</v>
      </c>
      <c r="B811" s="111" t="s">
        <v>936</v>
      </c>
      <c r="C811" s="111">
        <v>3</v>
      </c>
      <c r="D811" s="115">
        <v>0.0012729673684486998</v>
      </c>
      <c r="E811" s="115">
        <v>2.7583440634019762</v>
      </c>
      <c r="F811" s="111" t="s">
        <v>821</v>
      </c>
      <c r="G811" s="111" t="b">
        <v>0</v>
      </c>
      <c r="H811" s="111" t="b">
        <v>0</v>
      </c>
      <c r="I811" s="111" t="b">
        <v>0</v>
      </c>
      <c r="J811" s="111" t="b">
        <v>0</v>
      </c>
      <c r="K811" s="111" t="b">
        <v>0</v>
      </c>
      <c r="L811" s="111" t="b">
        <v>0</v>
      </c>
    </row>
    <row r="812" spans="1:12" ht="15">
      <c r="A812" s="113" t="s">
        <v>936</v>
      </c>
      <c r="B812" s="111" t="s">
        <v>1233</v>
      </c>
      <c r="C812" s="111">
        <v>3</v>
      </c>
      <c r="D812" s="115">
        <v>0.0012729673684486998</v>
      </c>
      <c r="E812" s="115">
        <v>2.7583440634019762</v>
      </c>
      <c r="F812" s="111" t="s">
        <v>821</v>
      </c>
      <c r="G812" s="111" t="b">
        <v>0</v>
      </c>
      <c r="H812" s="111" t="b">
        <v>0</v>
      </c>
      <c r="I812" s="111" t="b">
        <v>0</v>
      </c>
      <c r="J812" s="111" t="b">
        <v>0</v>
      </c>
      <c r="K812" s="111" t="b">
        <v>0</v>
      </c>
      <c r="L812" s="111" t="b">
        <v>0</v>
      </c>
    </row>
    <row r="813" spans="1:12" ht="15">
      <c r="A813" s="113" t="s">
        <v>1233</v>
      </c>
      <c r="B813" s="111" t="s">
        <v>1234</v>
      </c>
      <c r="C813" s="111">
        <v>3</v>
      </c>
      <c r="D813" s="115">
        <v>0.0012729673684486998</v>
      </c>
      <c r="E813" s="115">
        <v>2.8832828000102766</v>
      </c>
      <c r="F813" s="111" t="s">
        <v>821</v>
      </c>
      <c r="G813" s="111" t="b">
        <v>0</v>
      </c>
      <c r="H813" s="111" t="b">
        <v>0</v>
      </c>
      <c r="I813" s="111" t="b">
        <v>0</v>
      </c>
      <c r="J813" s="111" t="b">
        <v>0</v>
      </c>
      <c r="K813" s="111" t="b">
        <v>0</v>
      </c>
      <c r="L813" s="111" t="b">
        <v>0</v>
      </c>
    </row>
    <row r="814" spans="1:12" ht="15">
      <c r="A814" s="113" t="s">
        <v>1234</v>
      </c>
      <c r="B814" s="111" t="s">
        <v>1130</v>
      </c>
      <c r="C814" s="111">
        <v>3</v>
      </c>
      <c r="D814" s="115">
        <v>0.0012729673684486998</v>
      </c>
      <c r="E814" s="115">
        <v>2.8832828000102766</v>
      </c>
      <c r="F814" s="111" t="s">
        <v>821</v>
      </c>
      <c r="G814" s="111" t="b">
        <v>0</v>
      </c>
      <c r="H814" s="111" t="b">
        <v>0</v>
      </c>
      <c r="I814" s="111" t="b">
        <v>0</v>
      </c>
      <c r="J814" s="111" t="b">
        <v>0</v>
      </c>
      <c r="K814" s="111" t="b">
        <v>0</v>
      </c>
      <c r="L814" s="111" t="b">
        <v>0</v>
      </c>
    </row>
    <row r="815" spans="1:12" ht="15">
      <c r="A815" s="113" t="s">
        <v>1130</v>
      </c>
      <c r="B815" s="111" t="s">
        <v>1007</v>
      </c>
      <c r="C815" s="111">
        <v>3</v>
      </c>
      <c r="D815" s="115">
        <v>0.0012729673684486998</v>
      </c>
      <c r="E815" s="115">
        <v>2.8832828000102766</v>
      </c>
      <c r="F815" s="111" t="s">
        <v>821</v>
      </c>
      <c r="G815" s="111" t="b">
        <v>0</v>
      </c>
      <c r="H815" s="111" t="b">
        <v>0</v>
      </c>
      <c r="I815" s="111" t="b">
        <v>0</v>
      </c>
      <c r="J815" s="111" t="b">
        <v>0</v>
      </c>
      <c r="K815" s="111" t="b">
        <v>0</v>
      </c>
      <c r="L815" s="111" t="b">
        <v>0</v>
      </c>
    </row>
    <row r="816" spans="1:12" ht="15">
      <c r="A816" s="113" t="s">
        <v>1007</v>
      </c>
      <c r="B816" s="111" t="s">
        <v>871</v>
      </c>
      <c r="C816" s="111">
        <v>3</v>
      </c>
      <c r="D816" s="115">
        <v>0.0012729673684486998</v>
      </c>
      <c r="E816" s="115">
        <v>2.7583440634019762</v>
      </c>
      <c r="F816" s="111" t="s">
        <v>821</v>
      </c>
      <c r="G816" s="111" t="b">
        <v>0</v>
      </c>
      <c r="H816" s="111" t="b">
        <v>0</v>
      </c>
      <c r="I816" s="111" t="b">
        <v>0</v>
      </c>
      <c r="J816" s="111" t="b">
        <v>0</v>
      </c>
      <c r="K816" s="111" t="b">
        <v>0</v>
      </c>
      <c r="L816" s="111" t="b">
        <v>0</v>
      </c>
    </row>
    <row r="817" spans="1:12" ht="15">
      <c r="A817" s="113" t="s">
        <v>871</v>
      </c>
      <c r="B817" s="111" t="s">
        <v>870</v>
      </c>
      <c r="C817" s="111">
        <v>3</v>
      </c>
      <c r="D817" s="115">
        <v>0.0012729673684486998</v>
      </c>
      <c r="E817" s="115">
        <v>2.4573140677379954</v>
      </c>
      <c r="F817" s="111" t="s">
        <v>821</v>
      </c>
      <c r="G817" s="111" t="b">
        <v>0</v>
      </c>
      <c r="H817" s="111" t="b">
        <v>0</v>
      </c>
      <c r="I817" s="111" t="b">
        <v>0</v>
      </c>
      <c r="J817" s="111" t="b">
        <v>0</v>
      </c>
      <c r="K817" s="111" t="b">
        <v>0</v>
      </c>
      <c r="L817" s="111" t="b">
        <v>0</v>
      </c>
    </row>
    <row r="818" spans="1:12" ht="15">
      <c r="A818" s="113" t="s">
        <v>877</v>
      </c>
      <c r="B818" s="111" t="s">
        <v>878</v>
      </c>
      <c r="C818" s="111">
        <v>3</v>
      </c>
      <c r="D818" s="115">
        <v>0.001500475455083947</v>
      </c>
      <c r="E818" s="115">
        <v>2.7583440634019762</v>
      </c>
      <c r="F818" s="111" t="s">
        <v>821</v>
      </c>
      <c r="G818" s="111" t="b">
        <v>0</v>
      </c>
      <c r="H818" s="111" t="b">
        <v>1</v>
      </c>
      <c r="I818" s="111" t="b">
        <v>0</v>
      </c>
      <c r="J818" s="111" t="b">
        <v>0</v>
      </c>
      <c r="K818" s="111" t="b">
        <v>0</v>
      </c>
      <c r="L818" s="111" t="b">
        <v>0</v>
      </c>
    </row>
    <row r="819" spans="1:12" ht="15">
      <c r="A819" s="113" t="s">
        <v>869</v>
      </c>
      <c r="B819" s="111" t="s">
        <v>1499</v>
      </c>
      <c r="C819" s="111">
        <v>3</v>
      </c>
      <c r="D819" s="115">
        <v>0.0018894030980606668</v>
      </c>
      <c r="E819" s="115">
        <v>2.2464607024231023</v>
      </c>
      <c r="F819" s="111" t="s">
        <v>821</v>
      </c>
      <c r="G819" s="111" t="b">
        <v>0</v>
      </c>
      <c r="H819" s="111" t="b">
        <v>0</v>
      </c>
      <c r="I819" s="111" t="b">
        <v>0</v>
      </c>
      <c r="J819" s="111" t="b">
        <v>0</v>
      </c>
      <c r="K819" s="111" t="b">
        <v>0</v>
      </c>
      <c r="L819" s="111" t="b">
        <v>0</v>
      </c>
    </row>
    <row r="820" spans="1:12" ht="15">
      <c r="A820" s="113" t="s">
        <v>849</v>
      </c>
      <c r="B820" s="111" t="s">
        <v>869</v>
      </c>
      <c r="C820" s="111">
        <v>3</v>
      </c>
      <c r="D820" s="115">
        <v>0.0018894030980606668</v>
      </c>
      <c r="E820" s="115">
        <v>1.6821892719845395</v>
      </c>
      <c r="F820" s="111" t="s">
        <v>821</v>
      </c>
      <c r="G820" s="111" t="b">
        <v>0</v>
      </c>
      <c r="H820" s="111" t="b">
        <v>0</v>
      </c>
      <c r="I820" s="111" t="b">
        <v>0</v>
      </c>
      <c r="J820" s="111" t="b">
        <v>0</v>
      </c>
      <c r="K820" s="111" t="b">
        <v>0</v>
      </c>
      <c r="L820" s="111" t="b">
        <v>0</v>
      </c>
    </row>
    <row r="821" spans="1:12" ht="15">
      <c r="A821" s="113" t="s">
        <v>972</v>
      </c>
      <c r="B821" s="111" t="s">
        <v>905</v>
      </c>
      <c r="C821" s="111">
        <v>3</v>
      </c>
      <c r="D821" s="115">
        <v>0.0018894030980606668</v>
      </c>
      <c r="E821" s="115">
        <v>2.0246119528067457</v>
      </c>
      <c r="F821" s="111" t="s">
        <v>821</v>
      </c>
      <c r="G821" s="111" t="b">
        <v>0</v>
      </c>
      <c r="H821" s="111" t="b">
        <v>0</v>
      </c>
      <c r="I821" s="111" t="b">
        <v>0</v>
      </c>
      <c r="J821" s="111" t="b">
        <v>0</v>
      </c>
      <c r="K821" s="111" t="b">
        <v>0</v>
      </c>
      <c r="L821" s="111" t="b">
        <v>0</v>
      </c>
    </row>
    <row r="822" spans="1:12" ht="15">
      <c r="A822" s="113" t="s">
        <v>1495</v>
      </c>
      <c r="B822" s="111" t="s">
        <v>1496</v>
      </c>
      <c r="C822" s="111">
        <v>3</v>
      </c>
      <c r="D822" s="115">
        <v>0.0018894030980606668</v>
      </c>
      <c r="E822" s="115">
        <v>2.8832828000102766</v>
      </c>
      <c r="F822" s="111" t="s">
        <v>821</v>
      </c>
      <c r="G822" s="111" t="b">
        <v>0</v>
      </c>
      <c r="H822" s="111" t="b">
        <v>0</v>
      </c>
      <c r="I822" s="111" t="b">
        <v>0</v>
      </c>
      <c r="J822" s="111" t="b">
        <v>0</v>
      </c>
      <c r="K822" s="111" t="b">
        <v>0</v>
      </c>
      <c r="L822" s="111" t="b">
        <v>0</v>
      </c>
    </row>
    <row r="823" spans="1:12" ht="15">
      <c r="A823" s="113" t="s">
        <v>982</v>
      </c>
      <c r="B823" s="111" t="s">
        <v>858</v>
      </c>
      <c r="C823" s="111">
        <v>3</v>
      </c>
      <c r="D823" s="115">
        <v>0.0018894030980606668</v>
      </c>
      <c r="E823" s="115">
        <v>1.572707486440065</v>
      </c>
      <c r="F823" s="111" t="s">
        <v>821</v>
      </c>
      <c r="G823" s="111" t="b">
        <v>0</v>
      </c>
      <c r="H823" s="111" t="b">
        <v>0</v>
      </c>
      <c r="I823" s="111" t="b">
        <v>0</v>
      </c>
      <c r="J823" s="111" t="b">
        <v>0</v>
      </c>
      <c r="K823" s="111" t="b">
        <v>0</v>
      </c>
      <c r="L823" s="111" t="b">
        <v>0</v>
      </c>
    </row>
    <row r="824" spans="1:12" ht="15">
      <c r="A824" s="113" t="s">
        <v>1484</v>
      </c>
      <c r="B824" s="111" t="s">
        <v>1270</v>
      </c>
      <c r="C824" s="111">
        <v>3</v>
      </c>
      <c r="D824" s="115">
        <v>0.0018894030980606668</v>
      </c>
      <c r="E824" s="115">
        <v>2.7583440634019762</v>
      </c>
      <c r="F824" s="111" t="s">
        <v>821</v>
      </c>
      <c r="G824" s="111" t="b">
        <v>0</v>
      </c>
      <c r="H824" s="111" t="b">
        <v>0</v>
      </c>
      <c r="I824" s="111" t="b">
        <v>0</v>
      </c>
      <c r="J824" s="111" t="b">
        <v>0</v>
      </c>
      <c r="K824" s="111" t="b">
        <v>1</v>
      </c>
      <c r="L824" s="111" t="b">
        <v>0</v>
      </c>
    </row>
    <row r="825" spans="1:12" ht="15">
      <c r="A825" s="113" t="s">
        <v>1235</v>
      </c>
      <c r="B825" s="111" t="s">
        <v>1009</v>
      </c>
      <c r="C825" s="111">
        <v>3</v>
      </c>
      <c r="D825" s="115">
        <v>0.0018894030980606668</v>
      </c>
      <c r="E825" s="115">
        <v>2.515306014715682</v>
      </c>
      <c r="F825" s="111" t="s">
        <v>821</v>
      </c>
      <c r="G825" s="111" t="b">
        <v>0</v>
      </c>
      <c r="H825" s="111" t="b">
        <v>0</v>
      </c>
      <c r="I825" s="111" t="b">
        <v>0</v>
      </c>
      <c r="J825" s="111" t="b">
        <v>0</v>
      </c>
      <c r="K825" s="111" t="b">
        <v>0</v>
      </c>
      <c r="L825" s="111" t="b">
        <v>0</v>
      </c>
    </row>
    <row r="826" spans="1:12" ht="15">
      <c r="A826" s="113" t="s">
        <v>1371</v>
      </c>
      <c r="B826" s="111" t="s">
        <v>1372</v>
      </c>
      <c r="C826" s="111">
        <v>3</v>
      </c>
      <c r="D826" s="115">
        <v>0.0018894030980606668</v>
      </c>
      <c r="E826" s="115">
        <v>2.8832828000102766</v>
      </c>
      <c r="F826" s="111" t="s">
        <v>821</v>
      </c>
      <c r="G826" s="111" t="b">
        <v>0</v>
      </c>
      <c r="H826" s="111" t="b">
        <v>0</v>
      </c>
      <c r="I826" s="111" t="b">
        <v>0</v>
      </c>
      <c r="J826" s="111" t="b">
        <v>0</v>
      </c>
      <c r="K826" s="111" t="b">
        <v>0</v>
      </c>
      <c r="L826" s="111" t="b">
        <v>0</v>
      </c>
    </row>
    <row r="827" spans="1:12" ht="15">
      <c r="A827" s="113" t="s">
        <v>1027</v>
      </c>
      <c r="B827" s="111" t="s">
        <v>1028</v>
      </c>
      <c r="C827" s="111">
        <v>3</v>
      </c>
      <c r="D827" s="115">
        <v>0.0018894030980606668</v>
      </c>
      <c r="E827" s="115">
        <v>2.8832828000102766</v>
      </c>
      <c r="F827" s="111" t="s">
        <v>821</v>
      </c>
      <c r="G827" s="111" t="b">
        <v>0</v>
      </c>
      <c r="H827" s="111" t="b">
        <v>0</v>
      </c>
      <c r="I827" s="111" t="b">
        <v>0</v>
      </c>
      <c r="J827" s="111" t="b">
        <v>0</v>
      </c>
      <c r="K827" s="111" t="b">
        <v>0</v>
      </c>
      <c r="L827" s="111" t="b">
        <v>0</v>
      </c>
    </row>
    <row r="828" spans="1:12" ht="15">
      <c r="A828" s="113" t="s">
        <v>896</v>
      </c>
      <c r="B828" s="111" t="s">
        <v>1252</v>
      </c>
      <c r="C828" s="111">
        <v>2</v>
      </c>
      <c r="D828" s="115">
        <v>0.0012596020653737779</v>
      </c>
      <c r="E828" s="115">
        <v>2.7583440634019762</v>
      </c>
      <c r="F828" s="111" t="s">
        <v>821</v>
      </c>
      <c r="G828" s="111" t="b">
        <v>0</v>
      </c>
      <c r="H828" s="111" t="b">
        <v>0</v>
      </c>
      <c r="I828" s="111" t="b">
        <v>0</v>
      </c>
      <c r="J828" s="111" t="b">
        <v>0</v>
      </c>
      <c r="K828" s="111" t="b">
        <v>0</v>
      </c>
      <c r="L828" s="111" t="b">
        <v>0</v>
      </c>
    </row>
    <row r="829" spans="1:12" ht="15">
      <c r="A829" s="113" t="s">
        <v>1252</v>
      </c>
      <c r="B829" s="111" t="s">
        <v>1084</v>
      </c>
      <c r="C829" s="111">
        <v>2</v>
      </c>
      <c r="D829" s="115">
        <v>0.0012596020653737779</v>
      </c>
      <c r="E829" s="115">
        <v>2.8832828000102766</v>
      </c>
      <c r="F829" s="111" t="s">
        <v>821</v>
      </c>
      <c r="G829" s="111" t="b">
        <v>0</v>
      </c>
      <c r="H829" s="111" t="b">
        <v>0</v>
      </c>
      <c r="I829" s="111" t="b">
        <v>0</v>
      </c>
      <c r="J829" s="111" t="b">
        <v>0</v>
      </c>
      <c r="K829" s="111" t="b">
        <v>0</v>
      </c>
      <c r="L829" s="111" t="b">
        <v>0</v>
      </c>
    </row>
    <row r="830" spans="1:12" ht="15">
      <c r="A830" s="113" t="s">
        <v>1941</v>
      </c>
      <c r="B830" s="111" t="s">
        <v>925</v>
      </c>
      <c r="C830" s="111">
        <v>2</v>
      </c>
      <c r="D830" s="115">
        <v>0.0010003169700559646</v>
      </c>
      <c r="E830" s="115">
        <v>2.5822528043462953</v>
      </c>
      <c r="F830" s="111" t="s">
        <v>821</v>
      </c>
      <c r="G830" s="111" t="b">
        <v>0</v>
      </c>
      <c r="H830" s="111" t="b">
        <v>0</v>
      </c>
      <c r="I830" s="111" t="b">
        <v>0</v>
      </c>
      <c r="J830" s="111" t="b">
        <v>0</v>
      </c>
      <c r="K830" s="111" t="b">
        <v>0</v>
      </c>
      <c r="L830" s="111" t="b">
        <v>0</v>
      </c>
    </row>
    <row r="831" spans="1:12" ht="15">
      <c r="A831" s="113" t="s">
        <v>925</v>
      </c>
      <c r="B831" s="111" t="s">
        <v>949</v>
      </c>
      <c r="C831" s="111">
        <v>2</v>
      </c>
      <c r="D831" s="115">
        <v>0.0010003169700559646</v>
      </c>
      <c r="E831" s="115">
        <v>2.5822528043462953</v>
      </c>
      <c r="F831" s="111" t="s">
        <v>821</v>
      </c>
      <c r="G831" s="111" t="b">
        <v>0</v>
      </c>
      <c r="H831" s="111" t="b">
        <v>0</v>
      </c>
      <c r="I831" s="111" t="b">
        <v>0</v>
      </c>
      <c r="J831" s="111" t="b">
        <v>0</v>
      </c>
      <c r="K831" s="111" t="b">
        <v>0</v>
      </c>
      <c r="L831" s="111" t="b">
        <v>0</v>
      </c>
    </row>
    <row r="832" spans="1:12" ht="15">
      <c r="A832" s="113" t="s">
        <v>843</v>
      </c>
      <c r="B832" s="111" t="s">
        <v>890</v>
      </c>
      <c r="C832" s="111">
        <v>2</v>
      </c>
      <c r="D832" s="115">
        <v>0.0010003169700559646</v>
      </c>
      <c r="E832" s="115">
        <v>1.7023926580728266</v>
      </c>
      <c r="F832" s="111" t="s">
        <v>821</v>
      </c>
      <c r="G832" s="111" t="b">
        <v>0</v>
      </c>
      <c r="H832" s="111" t="b">
        <v>0</v>
      </c>
      <c r="I832" s="111" t="b">
        <v>0</v>
      </c>
      <c r="J832" s="111" t="b">
        <v>0</v>
      </c>
      <c r="K832" s="111" t="b">
        <v>0</v>
      </c>
      <c r="L832" s="111" t="b">
        <v>0</v>
      </c>
    </row>
    <row r="833" spans="1:12" ht="15">
      <c r="A833" s="113" t="s">
        <v>845</v>
      </c>
      <c r="B833" s="111" t="s">
        <v>875</v>
      </c>
      <c r="C833" s="111">
        <v>2</v>
      </c>
      <c r="D833" s="115">
        <v>0.0010003169700559646</v>
      </c>
      <c r="E833" s="115">
        <v>1.8832828000102764</v>
      </c>
      <c r="F833" s="111" t="s">
        <v>821</v>
      </c>
      <c r="G833" s="111" t="b">
        <v>0</v>
      </c>
      <c r="H833" s="111" t="b">
        <v>0</v>
      </c>
      <c r="I833" s="111" t="b">
        <v>0</v>
      </c>
      <c r="J833" s="111" t="b">
        <v>0</v>
      </c>
      <c r="K833" s="111" t="b">
        <v>1</v>
      </c>
      <c r="L833" s="111" t="b">
        <v>0</v>
      </c>
    </row>
    <row r="834" spans="1:12" ht="15">
      <c r="A834" s="113" t="s">
        <v>875</v>
      </c>
      <c r="B834" s="111" t="s">
        <v>862</v>
      </c>
      <c r="C834" s="111">
        <v>2</v>
      </c>
      <c r="D834" s="115">
        <v>0.0010003169700559646</v>
      </c>
      <c r="E834" s="115">
        <v>2.1173660060436443</v>
      </c>
      <c r="F834" s="111" t="s">
        <v>821</v>
      </c>
      <c r="G834" s="111" t="b">
        <v>0</v>
      </c>
      <c r="H834" s="111" t="b">
        <v>1</v>
      </c>
      <c r="I834" s="111" t="b">
        <v>0</v>
      </c>
      <c r="J834" s="111" t="b">
        <v>0</v>
      </c>
      <c r="K834" s="111" t="b">
        <v>0</v>
      </c>
      <c r="L834" s="111" t="b">
        <v>0</v>
      </c>
    </row>
    <row r="835" spans="1:12" ht="15">
      <c r="A835" s="113" t="s">
        <v>930</v>
      </c>
      <c r="B835" s="111" t="s">
        <v>1037</v>
      </c>
      <c r="C835" s="111">
        <v>2</v>
      </c>
      <c r="D835" s="115">
        <v>0.0010003169700559646</v>
      </c>
      <c r="E835" s="115">
        <v>2.8832828000102766</v>
      </c>
      <c r="F835" s="111" t="s">
        <v>821</v>
      </c>
      <c r="G835" s="111" t="b">
        <v>0</v>
      </c>
      <c r="H835" s="111" t="b">
        <v>0</v>
      </c>
      <c r="I835" s="111" t="b">
        <v>0</v>
      </c>
      <c r="J835" s="111" t="b">
        <v>0</v>
      </c>
      <c r="K835" s="111" t="b">
        <v>0</v>
      </c>
      <c r="L835" s="111" t="b">
        <v>0</v>
      </c>
    </row>
    <row r="836" spans="1:12" ht="15">
      <c r="A836" s="113" t="s">
        <v>954</v>
      </c>
      <c r="B836" s="111" t="s">
        <v>1181</v>
      </c>
      <c r="C836" s="111">
        <v>2</v>
      </c>
      <c r="D836" s="115">
        <v>0.0012596020653737779</v>
      </c>
      <c r="E836" s="115">
        <v>2.8832828000102766</v>
      </c>
      <c r="F836" s="111" t="s">
        <v>821</v>
      </c>
      <c r="G836" s="111" t="b">
        <v>0</v>
      </c>
      <c r="H836" s="111" t="b">
        <v>0</v>
      </c>
      <c r="I836" s="111" t="b">
        <v>0</v>
      </c>
      <c r="J836" s="111" t="b">
        <v>0</v>
      </c>
      <c r="K836" s="111" t="b">
        <v>0</v>
      </c>
      <c r="L836" s="111" t="b">
        <v>0</v>
      </c>
    </row>
    <row r="837" spans="1:12" ht="15">
      <c r="A837" s="113" t="s">
        <v>1015</v>
      </c>
      <c r="B837" s="111" t="s">
        <v>1148</v>
      </c>
      <c r="C837" s="111">
        <v>2</v>
      </c>
      <c r="D837" s="115">
        <v>0.0010003169700559646</v>
      </c>
      <c r="E837" s="115">
        <v>2.5822528043462953</v>
      </c>
      <c r="F837" s="111" t="s">
        <v>821</v>
      </c>
      <c r="G837" s="111" t="b">
        <v>0</v>
      </c>
      <c r="H837" s="111" t="b">
        <v>0</v>
      </c>
      <c r="I837" s="111" t="b">
        <v>0</v>
      </c>
      <c r="J837" s="111" t="b">
        <v>0</v>
      </c>
      <c r="K837" s="111" t="b">
        <v>0</v>
      </c>
      <c r="L837" s="111" t="b">
        <v>0</v>
      </c>
    </row>
    <row r="838" spans="1:12" ht="15">
      <c r="A838" s="113" t="s">
        <v>897</v>
      </c>
      <c r="B838" s="111" t="s">
        <v>1080</v>
      </c>
      <c r="C838" s="111">
        <v>2</v>
      </c>
      <c r="D838" s="115">
        <v>0.0012596020653737779</v>
      </c>
      <c r="E838" s="115">
        <v>2.406161545290614</v>
      </c>
      <c r="F838" s="111" t="s">
        <v>821</v>
      </c>
      <c r="G838" s="111" t="b">
        <v>0</v>
      </c>
      <c r="H838" s="111" t="b">
        <v>0</v>
      </c>
      <c r="I838" s="111" t="b">
        <v>0</v>
      </c>
      <c r="J838" s="111" t="b">
        <v>0</v>
      </c>
      <c r="K838" s="111" t="b">
        <v>0</v>
      </c>
      <c r="L838" s="111" t="b">
        <v>0</v>
      </c>
    </row>
    <row r="839" spans="1:12" ht="15">
      <c r="A839" s="113" t="s">
        <v>1080</v>
      </c>
      <c r="B839" s="111" t="s">
        <v>1114</v>
      </c>
      <c r="C839" s="111">
        <v>2</v>
      </c>
      <c r="D839" s="115">
        <v>0.0012596020653737779</v>
      </c>
      <c r="E839" s="115">
        <v>2.8832828000102766</v>
      </c>
      <c r="F839" s="111" t="s">
        <v>821</v>
      </c>
      <c r="G839" s="111" t="b">
        <v>0</v>
      </c>
      <c r="H839" s="111" t="b">
        <v>0</v>
      </c>
      <c r="I839" s="111" t="b">
        <v>0</v>
      </c>
      <c r="J839" s="111" t="b">
        <v>1</v>
      </c>
      <c r="K839" s="111" t="b">
        <v>0</v>
      </c>
      <c r="L839" s="111" t="b">
        <v>0</v>
      </c>
    </row>
    <row r="840" spans="1:12" ht="15">
      <c r="A840" s="113" t="s">
        <v>1114</v>
      </c>
      <c r="B840" s="111" t="s">
        <v>916</v>
      </c>
      <c r="C840" s="111">
        <v>2</v>
      </c>
      <c r="D840" s="115">
        <v>0.0012596020653737779</v>
      </c>
      <c r="E840" s="115">
        <v>3.0593740590659575</v>
      </c>
      <c r="F840" s="111" t="s">
        <v>821</v>
      </c>
      <c r="G840" s="111" t="b">
        <v>1</v>
      </c>
      <c r="H840" s="111" t="b">
        <v>0</v>
      </c>
      <c r="I840" s="111" t="b">
        <v>0</v>
      </c>
      <c r="J840" s="111" t="b">
        <v>0</v>
      </c>
      <c r="K840" s="111" t="b">
        <v>0</v>
      </c>
      <c r="L840" s="111" t="b">
        <v>0</v>
      </c>
    </row>
    <row r="841" spans="1:12" ht="15">
      <c r="A841" s="113" t="s">
        <v>916</v>
      </c>
      <c r="B841" s="111" t="s">
        <v>1976</v>
      </c>
      <c r="C841" s="111">
        <v>2</v>
      </c>
      <c r="D841" s="115">
        <v>0.0012596020653737779</v>
      </c>
      <c r="E841" s="115">
        <v>3.0593740590659575</v>
      </c>
      <c r="F841" s="111" t="s">
        <v>821</v>
      </c>
      <c r="G841" s="111" t="b">
        <v>0</v>
      </c>
      <c r="H841" s="111" t="b">
        <v>0</v>
      </c>
      <c r="I841" s="111" t="b">
        <v>0</v>
      </c>
      <c r="J841" s="111" t="b">
        <v>0</v>
      </c>
      <c r="K841" s="111" t="b">
        <v>0</v>
      </c>
      <c r="L841" s="111" t="b">
        <v>0</v>
      </c>
    </row>
    <row r="842" spans="1:12" ht="15">
      <c r="A842" s="113" t="s">
        <v>1084</v>
      </c>
      <c r="B842" s="111" t="s">
        <v>921</v>
      </c>
      <c r="C842" s="111">
        <v>2</v>
      </c>
      <c r="D842" s="115">
        <v>0.0010003169700559646</v>
      </c>
      <c r="E842" s="115">
        <v>2.7071915409545952</v>
      </c>
      <c r="F842" s="111" t="s">
        <v>821</v>
      </c>
      <c r="G842" s="111" t="b">
        <v>0</v>
      </c>
      <c r="H842" s="111" t="b">
        <v>0</v>
      </c>
      <c r="I842" s="111" t="b">
        <v>0</v>
      </c>
      <c r="J842" s="111" t="b">
        <v>0</v>
      </c>
      <c r="K842" s="111" t="b">
        <v>0</v>
      </c>
      <c r="L842" s="111" t="b">
        <v>0</v>
      </c>
    </row>
    <row r="843" spans="1:12" ht="15">
      <c r="A843" s="113" t="s">
        <v>990</v>
      </c>
      <c r="B843" s="111" t="s">
        <v>1494</v>
      </c>
      <c r="C843" s="111">
        <v>2</v>
      </c>
      <c r="D843" s="115">
        <v>0.0010003169700559646</v>
      </c>
      <c r="E843" s="115">
        <v>2.5822528043462953</v>
      </c>
      <c r="F843" s="111" t="s">
        <v>821</v>
      </c>
      <c r="G843" s="111" t="b">
        <v>0</v>
      </c>
      <c r="H843" s="111" t="b">
        <v>0</v>
      </c>
      <c r="I843" s="111" t="b">
        <v>0</v>
      </c>
      <c r="J843" s="111" t="b">
        <v>0</v>
      </c>
      <c r="K843" s="111" t="b">
        <v>0</v>
      </c>
      <c r="L843" s="111" t="b">
        <v>0</v>
      </c>
    </row>
    <row r="844" spans="1:12" ht="15">
      <c r="A844" s="113" t="s">
        <v>843</v>
      </c>
      <c r="B844" s="111" t="s">
        <v>860</v>
      </c>
      <c r="C844" s="111">
        <v>2</v>
      </c>
      <c r="D844" s="115">
        <v>0.0010003169700559646</v>
      </c>
      <c r="E844" s="115">
        <v>1.4013626624088453</v>
      </c>
      <c r="F844" s="111" t="s">
        <v>821</v>
      </c>
      <c r="G844" s="111" t="b">
        <v>0</v>
      </c>
      <c r="H844" s="111" t="b">
        <v>0</v>
      </c>
      <c r="I844" s="111" t="b">
        <v>0</v>
      </c>
      <c r="J844" s="111" t="b">
        <v>1</v>
      </c>
      <c r="K844" s="111" t="b">
        <v>0</v>
      </c>
      <c r="L844" s="111" t="b">
        <v>0</v>
      </c>
    </row>
    <row r="845" spans="1:12" ht="15">
      <c r="A845" s="113" t="s">
        <v>862</v>
      </c>
      <c r="B845" s="111" t="s">
        <v>875</v>
      </c>
      <c r="C845" s="111">
        <v>2</v>
      </c>
      <c r="D845" s="115">
        <v>0.0010003169700559646</v>
      </c>
      <c r="E845" s="115">
        <v>2.1173660060436443</v>
      </c>
      <c r="F845" s="111" t="s">
        <v>821</v>
      </c>
      <c r="G845" s="111" t="b">
        <v>0</v>
      </c>
      <c r="H845" s="111" t="b">
        <v>0</v>
      </c>
      <c r="I845" s="111" t="b">
        <v>0</v>
      </c>
      <c r="J845" s="111" t="b">
        <v>0</v>
      </c>
      <c r="K845" s="111" t="b">
        <v>1</v>
      </c>
      <c r="L845" s="111" t="b">
        <v>0</v>
      </c>
    </row>
    <row r="846" spans="1:12" ht="15">
      <c r="A846" s="113" t="s">
        <v>856</v>
      </c>
      <c r="B846" s="111" t="s">
        <v>840</v>
      </c>
      <c r="C846" s="111">
        <v>2</v>
      </c>
      <c r="D846" s="115">
        <v>0.0012596020653737779</v>
      </c>
      <c r="E846" s="115">
        <v>1.5030715582986705</v>
      </c>
      <c r="F846" s="111" t="s">
        <v>821</v>
      </c>
      <c r="G846" s="111" t="b">
        <v>0</v>
      </c>
      <c r="H846" s="111" t="b">
        <v>0</v>
      </c>
      <c r="I846" s="111" t="b">
        <v>0</v>
      </c>
      <c r="J846" s="111" t="b">
        <v>0</v>
      </c>
      <c r="K846" s="111" t="b">
        <v>0</v>
      </c>
      <c r="L846" s="111" t="b">
        <v>0</v>
      </c>
    </row>
    <row r="847" spans="1:12" ht="15">
      <c r="A847" s="113" t="s">
        <v>840</v>
      </c>
      <c r="B847" s="111" t="s">
        <v>1088</v>
      </c>
      <c r="C847" s="111">
        <v>2</v>
      </c>
      <c r="D847" s="115">
        <v>0.0012596020653737779</v>
      </c>
      <c r="E847" s="115">
        <v>1.4183960017076256</v>
      </c>
      <c r="F847" s="111" t="s">
        <v>821</v>
      </c>
      <c r="G847" s="111" t="b">
        <v>0</v>
      </c>
      <c r="H847" s="111" t="b">
        <v>0</v>
      </c>
      <c r="I847" s="111" t="b">
        <v>0</v>
      </c>
      <c r="J847" s="111" t="b">
        <v>0</v>
      </c>
      <c r="K847" s="111" t="b">
        <v>0</v>
      </c>
      <c r="L847" s="111" t="b">
        <v>0</v>
      </c>
    </row>
    <row r="848" spans="1:12" ht="15">
      <c r="A848" s="113" t="s">
        <v>856</v>
      </c>
      <c r="B848" s="111" t="s">
        <v>848</v>
      </c>
      <c r="C848" s="111">
        <v>2</v>
      </c>
      <c r="D848" s="115">
        <v>0.0012596020653737779</v>
      </c>
      <c r="E848" s="115">
        <v>1.9801928130183328</v>
      </c>
      <c r="F848" s="111" t="s">
        <v>821</v>
      </c>
      <c r="G848" s="111" t="b">
        <v>0</v>
      </c>
      <c r="H848" s="111" t="b">
        <v>0</v>
      </c>
      <c r="I848" s="111" t="b">
        <v>0</v>
      </c>
      <c r="J848" s="111" t="b">
        <v>0</v>
      </c>
      <c r="K848" s="111" t="b">
        <v>0</v>
      </c>
      <c r="L848" s="111" t="b">
        <v>0</v>
      </c>
    </row>
    <row r="849" spans="1:12" ht="15">
      <c r="A849" s="113" t="s">
        <v>1451</v>
      </c>
      <c r="B849" s="111" t="s">
        <v>1492</v>
      </c>
      <c r="C849" s="111">
        <v>2</v>
      </c>
      <c r="D849" s="115">
        <v>0.0010003169700559646</v>
      </c>
      <c r="E849" s="115">
        <v>2.8832828000102766</v>
      </c>
      <c r="F849" s="111" t="s">
        <v>821</v>
      </c>
      <c r="G849" s="111" t="b">
        <v>1</v>
      </c>
      <c r="H849" s="111" t="b">
        <v>0</v>
      </c>
      <c r="I849" s="111" t="b">
        <v>0</v>
      </c>
      <c r="J849" s="111" t="b">
        <v>0</v>
      </c>
      <c r="K849" s="111" t="b">
        <v>0</v>
      </c>
      <c r="L849" s="111" t="b">
        <v>0</v>
      </c>
    </row>
    <row r="850" spans="1:12" ht="15">
      <c r="A850" s="113" t="s">
        <v>848</v>
      </c>
      <c r="B850" s="111" t="s">
        <v>849</v>
      </c>
      <c r="C850" s="111">
        <v>2</v>
      </c>
      <c r="D850" s="115">
        <v>0.0010003169700559646</v>
      </c>
      <c r="E850" s="115">
        <v>1.5030715582986705</v>
      </c>
      <c r="F850" s="111" t="s">
        <v>821</v>
      </c>
      <c r="G850" s="111" t="b">
        <v>0</v>
      </c>
      <c r="H850" s="111" t="b">
        <v>0</v>
      </c>
      <c r="I850" s="111" t="b">
        <v>0</v>
      </c>
      <c r="J850" s="111" t="b">
        <v>0</v>
      </c>
      <c r="K850" s="111" t="b">
        <v>0</v>
      </c>
      <c r="L850" s="111" t="b">
        <v>0</v>
      </c>
    </row>
    <row r="851" spans="1:12" ht="15">
      <c r="A851" s="113" t="s">
        <v>1979</v>
      </c>
      <c r="B851" s="111" t="s">
        <v>1980</v>
      </c>
      <c r="C851" s="111">
        <v>2</v>
      </c>
      <c r="D851" s="115">
        <v>0.0012596020653737779</v>
      </c>
      <c r="E851" s="115">
        <v>3.0593740590659575</v>
      </c>
      <c r="F851" s="111" t="s">
        <v>821</v>
      </c>
      <c r="G851" s="111" t="b">
        <v>0</v>
      </c>
      <c r="H851" s="111" t="b">
        <v>0</v>
      </c>
      <c r="I851" s="111" t="b">
        <v>0</v>
      </c>
      <c r="J851" s="111" t="b">
        <v>0</v>
      </c>
      <c r="K851" s="111" t="b">
        <v>0</v>
      </c>
      <c r="L851" s="111" t="b">
        <v>0</v>
      </c>
    </row>
    <row r="852" spans="1:12" ht="15">
      <c r="A852" s="113" t="s">
        <v>1980</v>
      </c>
      <c r="B852" s="111" t="s">
        <v>1981</v>
      </c>
      <c r="C852" s="111">
        <v>2</v>
      </c>
      <c r="D852" s="115">
        <v>0.0012596020653737779</v>
      </c>
      <c r="E852" s="115">
        <v>3.0593740590659575</v>
      </c>
      <c r="F852" s="111" t="s">
        <v>821</v>
      </c>
      <c r="G852" s="111" t="b">
        <v>0</v>
      </c>
      <c r="H852" s="111" t="b">
        <v>0</v>
      </c>
      <c r="I852" s="111" t="b">
        <v>0</v>
      </c>
      <c r="J852" s="111" t="b">
        <v>0</v>
      </c>
      <c r="K852" s="111" t="b">
        <v>0</v>
      </c>
      <c r="L852" s="111" t="b">
        <v>0</v>
      </c>
    </row>
    <row r="853" spans="1:12" ht="15">
      <c r="A853" s="113" t="s">
        <v>1981</v>
      </c>
      <c r="B853" s="111" t="s">
        <v>1982</v>
      </c>
      <c r="C853" s="111">
        <v>2</v>
      </c>
      <c r="D853" s="115">
        <v>0.0012596020653737779</v>
      </c>
      <c r="E853" s="115">
        <v>3.0593740590659575</v>
      </c>
      <c r="F853" s="111" t="s">
        <v>821</v>
      </c>
      <c r="G853" s="111" t="b">
        <v>0</v>
      </c>
      <c r="H853" s="111" t="b">
        <v>0</v>
      </c>
      <c r="I853" s="111" t="b">
        <v>0</v>
      </c>
      <c r="J853" s="111" t="b">
        <v>0</v>
      </c>
      <c r="K853" s="111" t="b">
        <v>0</v>
      </c>
      <c r="L853" s="111" t="b">
        <v>0</v>
      </c>
    </row>
    <row r="854" spans="1:12" ht="15">
      <c r="A854" s="113" t="s">
        <v>1982</v>
      </c>
      <c r="B854" s="111" t="s">
        <v>1983</v>
      </c>
      <c r="C854" s="111">
        <v>2</v>
      </c>
      <c r="D854" s="115">
        <v>0.0012596020653737779</v>
      </c>
      <c r="E854" s="115">
        <v>3.0593740590659575</v>
      </c>
      <c r="F854" s="111" t="s">
        <v>821</v>
      </c>
      <c r="G854" s="111" t="b">
        <v>0</v>
      </c>
      <c r="H854" s="111" t="b">
        <v>0</v>
      </c>
      <c r="I854" s="111" t="b">
        <v>0</v>
      </c>
      <c r="J854" s="111" t="b">
        <v>0</v>
      </c>
      <c r="K854" s="111" t="b">
        <v>0</v>
      </c>
      <c r="L854" s="111" t="b">
        <v>0</v>
      </c>
    </row>
    <row r="855" spans="1:12" ht="15">
      <c r="A855" s="113" t="s">
        <v>855</v>
      </c>
      <c r="B855" s="111" t="s">
        <v>889</v>
      </c>
      <c r="C855" s="111">
        <v>2</v>
      </c>
      <c r="D855" s="115">
        <v>0.0010003169700559646</v>
      </c>
      <c r="E855" s="115">
        <v>1.6122160277237385</v>
      </c>
      <c r="F855" s="111" t="s">
        <v>821</v>
      </c>
      <c r="G855" s="111" t="b">
        <v>0</v>
      </c>
      <c r="H855" s="111" t="b">
        <v>0</v>
      </c>
      <c r="I855" s="111" t="b">
        <v>0</v>
      </c>
      <c r="J855" s="111" t="b">
        <v>0</v>
      </c>
      <c r="K855" s="111" t="b">
        <v>0</v>
      </c>
      <c r="L855" s="111" t="b">
        <v>0</v>
      </c>
    </row>
    <row r="856" spans="1:12" ht="15">
      <c r="A856" s="113" t="s">
        <v>1065</v>
      </c>
      <c r="B856" s="111" t="s">
        <v>840</v>
      </c>
      <c r="C856" s="111">
        <v>2</v>
      </c>
      <c r="D856" s="115">
        <v>0.0012596020653737779</v>
      </c>
      <c r="E856" s="115">
        <v>1.5030715582986705</v>
      </c>
      <c r="F856" s="111" t="s">
        <v>821</v>
      </c>
      <c r="G856" s="111" t="b">
        <v>1</v>
      </c>
      <c r="H856" s="111" t="b">
        <v>0</v>
      </c>
      <c r="I856" s="111" t="b">
        <v>0</v>
      </c>
      <c r="J856" s="111" t="b">
        <v>0</v>
      </c>
      <c r="K856" s="111" t="b">
        <v>0</v>
      </c>
      <c r="L856" s="111" t="b">
        <v>0</v>
      </c>
    </row>
    <row r="857" spans="1:12" ht="15">
      <c r="A857" s="113" t="s">
        <v>1151</v>
      </c>
      <c r="B857" s="111" t="s">
        <v>840</v>
      </c>
      <c r="C857" s="111">
        <v>2</v>
      </c>
      <c r="D857" s="115">
        <v>0.0012596020653737779</v>
      </c>
      <c r="E857" s="115">
        <v>1.8041015539626515</v>
      </c>
      <c r="F857" s="111" t="s">
        <v>821</v>
      </c>
      <c r="G857" s="111" t="b">
        <v>0</v>
      </c>
      <c r="H857" s="111" t="b">
        <v>0</v>
      </c>
      <c r="I857" s="111" t="b">
        <v>0</v>
      </c>
      <c r="J857" s="111" t="b">
        <v>0</v>
      </c>
      <c r="K857" s="111" t="b">
        <v>0</v>
      </c>
      <c r="L857" s="111" t="b">
        <v>0</v>
      </c>
    </row>
    <row r="858" spans="1:12" ht="15">
      <c r="A858" s="113" t="s">
        <v>1009</v>
      </c>
      <c r="B858" s="111" t="s">
        <v>883</v>
      </c>
      <c r="C858" s="111">
        <v>2</v>
      </c>
      <c r="D858" s="115">
        <v>0.0012596020653737779</v>
      </c>
      <c r="E858" s="115">
        <v>2.1173660060436443</v>
      </c>
      <c r="F858" s="111" t="s">
        <v>821</v>
      </c>
      <c r="G858" s="111" t="b">
        <v>0</v>
      </c>
      <c r="H858" s="111" t="b">
        <v>0</v>
      </c>
      <c r="I858" s="111" t="b">
        <v>0</v>
      </c>
      <c r="J858" s="111" t="b">
        <v>0</v>
      </c>
      <c r="K858" s="111" t="b">
        <v>0</v>
      </c>
      <c r="L858" s="111" t="b">
        <v>0</v>
      </c>
    </row>
    <row r="859" spans="1:12" ht="15">
      <c r="A859" s="113" t="s">
        <v>883</v>
      </c>
      <c r="B859" s="111" t="s">
        <v>1276</v>
      </c>
      <c r="C859" s="111">
        <v>2</v>
      </c>
      <c r="D859" s="115">
        <v>0.0012596020653737779</v>
      </c>
      <c r="E859" s="115">
        <v>2.3604040547299387</v>
      </c>
      <c r="F859" s="111" t="s">
        <v>821</v>
      </c>
      <c r="G859" s="111" t="b">
        <v>0</v>
      </c>
      <c r="H859" s="111" t="b">
        <v>0</v>
      </c>
      <c r="I859" s="111" t="b">
        <v>0</v>
      </c>
      <c r="J859" s="111" t="b">
        <v>0</v>
      </c>
      <c r="K859" s="111" t="b">
        <v>0</v>
      </c>
      <c r="L859" s="111" t="b">
        <v>0</v>
      </c>
    </row>
    <row r="860" spans="1:12" ht="15">
      <c r="A860" s="113" t="s">
        <v>1276</v>
      </c>
      <c r="B860" s="111" t="s">
        <v>1263</v>
      </c>
      <c r="C860" s="111">
        <v>2</v>
      </c>
      <c r="D860" s="115">
        <v>0.0012596020653737779</v>
      </c>
      <c r="E860" s="115">
        <v>2.7583440634019762</v>
      </c>
      <c r="F860" s="111" t="s">
        <v>821</v>
      </c>
      <c r="G860" s="111" t="b">
        <v>0</v>
      </c>
      <c r="H860" s="111" t="b">
        <v>0</v>
      </c>
      <c r="I860" s="111" t="b">
        <v>0</v>
      </c>
      <c r="J860" s="111" t="b">
        <v>0</v>
      </c>
      <c r="K860" s="111" t="b">
        <v>0</v>
      </c>
      <c r="L860" s="111" t="b">
        <v>0</v>
      </c>
    </row>
    <row r="861" spans="1:12" ht="15">
      <c r="A861" s="113" t="s">
        <v>967</v>
      </c>
      <c r="B861" s="111" t="s">
        <v>844</v>
      </c>
      <c r="C861" s="111">
        <v>2</v>
      </c>
      <c r="D861" s="115">
        <v>0.0010003169700559646</v>
      </c>
      <c r="E861" s="115">
        <v>1.8225849596566648</v>
      </c>
      <c r="F861" s="111" t="s">
        <v>821</v>
      </c>
      <c r="G861" s="111" t="b">
        <v>0</v>
      </c>
      <c r="H861" s="111" t="b">
        <v>0</v>
      </c>
      <c r="I861" s="111" t="b">
        <v>0</v>
      </c>
      <c r="J861" s="111" t="b">
        <v>0</v>
      </c>
      <c r="K861" s="111" t="b">
        <v>0</v>
      </c>
      <c r="L861" s="111" t="b">
        <v>0</v>
      </c>
    </row>
    <row r="862" spans="1:12" ht="15">
      <c r="A862" s="113" t="s">
        <v>844</v>
      </c>
      <c r="B862" s="111" t="s">
        <v>844</v>
      </c>
      <c r="C862" s="111">
        <v>2</v>
      </c>
      <c r="D862" s="115">
        <v>0.0010003169700559646</v>
      </c>
      <c r="E862" s="115">
        <v>0.8847328664055092</v>
      </c>
      <c r="F862" s="111" t="s">
        <v>821</v>
      </c>
      <c r="G862" s="111" t="b">
        <v>0</v>
      </c>
      <c r="H862" s="111" t="b">
        <v>0</v>
      </c>
      <c r="I862" s="111" t="b">
        <v>0</v>
      </c>
      <c r="J862" s="111" t="b">
        <v>0</v>
      </c>
      <c r="K862" s="111" t="b">
        <v>0</v>
      </c>
      <c r="L862" s="111" t="b">
        <v>0</v>
      </c>
    </row>
    <row r="863" spans="1:12" ht="15">
      <c r="A863" s="113" t="s">
        <v>1957</v>
      </c>
      <c r="B863" s="111" t="s">
        <v>1501</v>
      </c>
      <c r="C863" s="111">
        <v>2</v>
      </c>
      <c r="D863" s="115">
        <v>0.0012596020653737779</v>
      </c>
      <c r="E863" s="115">
        <v>2.8832828000102766</v>
      </c>
      <c r="F863" s="111" t="s">
        <v>821</v>
      </c>
      <c r="G863" s="111" t="b">
        <v>0</v>
      </c>
      <c r="H863" s="111" t="b">
        <v>0</v>
      </c>
      <c r="I863" s="111" t="b">
        <v>0</v>
      </c>
      <c r="J863" s="111" t="b">
        <v>0</v>
      </c>
      <c r="K863" s="111" t="b">
        <v>0</v>
      </c>
      <c r="L863" s="111" t="b">
        <v>0</v>
      </c>
    </row>
    <row r="864" spans="1:12" ht="15">
      <c r="A864" s="113" t="s">
        <v>1269</v>
      </c>
      <c r="B864" s="111" t="s">
        <v>1256</v>
      </c>
      <c r="C864" s="111">
        <v>2</v>
      </c>
      <c r="D864" s="115">
        <v>0.0012596020653737779</v>
      </c>
      <c r="E864" s="115">
        <v>2.7583440634019762</v>
      </c>
      <c r="F864" s="111" t="s">
        <v>821</v>
      </c>
      <c r="G864" s="111" t="b">
        <v>0</v>
      </c>
      <c r="H864" s="111" t="b">
        <v>0</v>
      </c>
      <c r="I864" s="111" t="b">
        <v>0</v>
      </c>
      <c r="J864" s="111" t="b">
        <v>0</v>
      </c>
      <c r="K864" s="111" t="b">
        <v>0</v>
      </c>
      <c r="L864" s="111" t="b">
        <v>0</v>
      </c>
    </row>
    <row r="865" spans="1:12" ht="15">
      <c r="A865" s="113" t="s">
        <v>878</v>
      </c>
      <c r="B865" s="111" t="s">
        <v>844</v>
      </c>
      <c r="C865" s="111">
        <v>2</v>
      </c>
      <c r="D865" s="115">
        <v>0.0010003169700559646</v>
      </c>
      <c r="E865" s="115">
        <v>1.6976462230483649</v>
      </c>
      <c r="F865" s="111" t="s">
        <v>821</v>
      </c>
      <c r="G865" s="111" t="b">
        <v>0</v>
      </c>
      <c r="H865" s="111" t="b">
        <v>0</v>
      </c>
      <c r="I865" s="111" t="b">
        <v>0</v>
      </c>
      <c r="J865" s="111" t="b">
        <v>0</v>
      </c>
      <c r="K865" s="111" t="b">
        <v>0</v>
      </c>
      <c r="L865" s="111" t="b">
        <v>0</v>
      </c>
    </row>
    <row r="866" spans="1:12" ht="15">
      <c r="A866" s="113" t="s">
        <v>1360</v>
      </c>
      <c r="B866" s="111" t="s">
        <v>841</v>
      </c>
      <c r="C866" s="111">
        <v>2</v>
      </c>
      <c r="D866" s="115">
        <v>0.0012596020653737779</v>
      </c>
      <c r="E866" s="115">
        <v>1.8163360103796633</v>
      </c>
      <c r="F866" s="111" t="s">
        <v>821</v>
      </c>
      <c r="G866" s="111" t="b">
        <v>0</v>
      </c>
      <c r="H866" s="111" t="b">
        <v>1</v>
      </c>
      <c r="I866" s="111" t="b">
        <v>0</v>
      </c>
      <c r="J866" s="111" t="b">
        <v>0</v>
      </c>
      <c r="K866" s="111" t="b">
        <v>0</v>
      </c>
      <c r="L866" s="111" t="b">
        <v>0</v>
      </c>
    </row>
    <row r="867" spans="1:12" ht="15">
      <c r="A867" s="113" t="s">
        <v>892</v>
      </c>
      <c r="B867" s="111" t="s">
        <v>844</v>
      </c>
      <c r="C867" s="111">
        <v>2</v>
      </c>
      <c r="D867" s="115">
        <v>0.0012596020653737779</v>
      </c>
      <c r="E867" s="115">
        <v>1.5215549639926835</v>
      </c>
      <c r="F867" s="111" t="s">
        <v>821</v>
      </c>
      <c r="G867" s="111" t="b">
        <v>0</v>
      </c>
      <c r="H867" s="111" t="b">
        <v>0</v>
      </c>
      <c r="I867" s="111" t="b">
        <v>0</v>
      </c>
      <c r="J867" s="111" t="b">
        <v>0</v>
      </c>
      <c r="K867" s="111" t="b">
        <v>0</v>
      </c>
      <c r="L867" s="111" t="b">
        <v>0</v>
      </c>
    </row>
    <row r="868" spans="1:12" ht="15">
      <c r="A868" s="113" t="s">
        <v>841</v>
      </c>
      <c r="B868" s="111" t="s">
        <v>1086</v>
      </c>
      <c r="C868" s="111">
        <v>2</v>
      </c>
      <c r="D868" s="115">
        <v>0.0012596020653737779</v>
      </c>
      <c r="E868" s="115">
        <v>1.4309851290156461</v>
      </c>
      <c r="F868" s="111" t="s">
        <v>821</v>
      </c>
      <c r="G868" s="111" t="b">
        <v>0</v>
      </c>
      <c r="H868" s="111" t="b">
        <v>0</v>
      </c>
      <c r="I868" s="111" t="b">
        <v>0</v>
      </c>
      <c r="J868" s="111" t="b">
        <v>0</v>
      </c>
      <c r="K868" s="111" t="b">
        <v>0</v>
      </c>
      <c r="L868" s="111" t="b">
        <v>0</v>
      </c>
    </row>
    <row r="869" spans="1:12" ht="15">
      <c r="A869" s="113" t="s">
        <v>1942</v>
      </c>
      <c r="B869" s="111" t="s">
        <v>1156</v>
      </c>
      <c r="C869" s="111">
        <v>2</v>
      </c>
      <c r="D869" s="115">
        <v>0.0012596020653737779</v>
      </c>
      <c r="E869" s="115">
        <v>2.66143405039392</v>
      </c>
      <c r="F869" s="111" t="s">
        <v>821</v>
      </c>
      <c r="G869" s="111" t="b">
        <v>0</v>
      </c>
      <c r="H869" s="111" t="b">
        <v>0</v>
      </c>
      <c r="I869" s="111" t="b">
        <v>0</v>
      </c>
      <c r="J869" s="111" t="b">
        <v>0</v>
      </c>
      <c r="K869" s="111" t="b">
        <v>0</v>
      </c>
      <c r="L869" s="111" t="b">
        <v>0</v>
      </c>
    </row>
    <row r="870" spans="1:12" ht="15">
      <c r="A870" s="113" t="s">
        <v>846</v>
      </c>
      <c r="B870" s="111" t="s">
        <v>869</v>
      </c>
      <c r="C870" s="111">
        <v>2</v>
      </c>
      <c r="D870" s="115">
        <v>0.0010003169700559646</v>
      </c>
      <c r="E870" s="115">
        <v>1.3713994390314022</v>
      </c>
      <c r="F870" s="111" t="s">
        <v>821</v>
      </c>
      <c r="G870" s="111" t="b">
        <v>0</v>
      </c>
      <c r="H870" s="111" t="b">
        <v>0</v>
      </c>
      <c r="I870" s="111" t="b">
        <v>0</v>
      </c>
      <c r="J870" s="111" t="b">
        <v>0</v>
      </c>
      <c r="K870" s="111" t="b">
        <v>0</v>
      </c>
      <c r="L870" s="111" t="b">
        <v>0</v>
      </c>
    </row>
    <row r="871" spans="1:12" ht="15">
      <c r="A871" s="113" t="s">
        <v>1022</v>
      </c>
      <c r="B871" s="111" t="s">
        <v>850</v>
      </c>
      <c r="C871" s="111">
        <v>2</v>
      </c>
      <c r="D871" s="115">
        <v>0.0010003169700559646</v>
      </c>
      <c r="E871" s="115">
        <v>2.406161545290614</v>
      </c>
      <c r="F871" s="111" t="s">
        <v>821</v>
      </c>
      <c r="G871" s="111" t="b">
        <v>0</v>
      </c>
      <c r="H871" s="111" t="b">
        <v>0</v>
      </c>
      <c r="I871" s="111" t="b">
        <v>0</v>
      </c>
      <c r="J871" s="111" t="b">
        <v>0</v>
      </c>
      <c r="K871" s="111" t="b">
        <v>0</v>
      </c>
      <c r="L871" s="111" t="b">
        <v>0</v>
      </c>
    </row>
    <row r="872" spans="1:12" ht="15">
      <c r="A872" s="113" t="s">
        <v>869</v>
      </c>
      <c r="B872" s="111" t="s">
        <v>1943</v>
      </c>
      <c r="C872" s="111">
        <v>2</v>
      </c>
      <c r="D872" s="115">
        <v>0.0012596020653737779</v>
      </c>
      <c r="E872" s="115">
        <v>2.2464607024231023</v>
      </c>
      <c r="F872" s="111" t="s">
        <v>821</v>
      </c>
      <c r="G872" s="111" t="b">
        <v>0</v>
      </c>
      <c r="H872" s="111" t="b">
        <v>0</v>
      </c>
      <c r="I872" s="111" t="b">
        <v>0</v>
      </c>
      <c r="J872" s="111" t="b">
        <v>0</v>
      </c>
      <c r="K872" s="111" t="b">
        <v>0</v>
      </c>
      <c r="L872" s="111" t="b">
        <v>0</v>
      </c>
    </row>
    <row r="873" spans="1:12" ht="15">
      <c r="A873" s="113" t="s">
        <v>1013</v>
      </c>
      <c r="B873" s="111" t="s">
        <v>1034</v>
      </c>
      <c r="C873" s="111">
        <v>2</v>
      </c>
      <c r="D873" s="115">
        <v>0.0012596020653737779</v>
      </c>
      <c r="E873" s="115">
        <v>2.3604040547299387</v>
      </c>
      <c r="F873" s="111" t="s">
        <v>821</v>
      </c>
      <c r="G873" s="111" t="b">
        <v>0</v>
      </c>
      <c r="H873" s="111" t="b">
        <v>0</v>
      </c>
      <c r="I873" s="111" t="b">
        <v>0</v>
      </c>
      <c r="J873" s="111" t="b">
        <v>0</v>
      </c>
      <c r="K873" s="111" t="b">
        <v>0</v>
      </c>
      <c r="L873" s="111" t="b">
        <v>0</v>
      </c>
    </row>
    <row r="874" spans="1:12" ht="15">
      <c r="A874" s="113" t="s">
        <v>1034</v>
      </c>
      <c r="B874" s="111" t="s">
        <v>1247</v>
      </c>
      <c r="C874" s="111">
        <v>2</v>
      </c>
      <c r="D874" s="115">
        <v>0.0012596020653737779</v>
      </c>
      <c r="E874" s="115">
        <v>2.66143405039392</v>
      </c>
      <c r="F874" s="111" t="s">
        <v>821</v>
      </c>
      <c r="G874" s="111" t="b">
        <v>0</v>
      </c>
      <c r="H874" s="111" t="b">
        <v>0</v>
      </c>
      <c r="I874" s="111" t="b">
        <v>0</v>
      </c>
      <c r="J874" s="111" t="b">
        <v>0</v>
      </c>
      <c r="K874" s="111" t="b">
        <v>0</v>
      </c>
      <c r="L874" s="111" t="b">
        <v>0</v>
      </c>
    </row>
    <row r="875" spans="1:12" ht="15">
      <c r="A875" s="113" t="s">
        <v>1247</v>
      </c>
      <c r="B875" s="111" t="s">
        <v>931</v>
      </c>
      <c r="C875" s="111">
        <v>2</v>
      </c>
      <c r="D875" s="115">
        <v>0.0012596020653737779</v>
      </c>
      <c r="E875" s="115">
        <v>2.7583440634019762</v>
      </c>
      <c r="F875" s="111" t="s">
        <v>821</v>
      </c>
      <c r="G875" s="111" t="b">
        <v>0</v>
      </c>
      <c r="H875" s="111" t="b">
        <v>0</v>
      </c>
      <c r="I875" s="111" t="b">
        <v>0</v>
      </c>
      <c r="J875" s="111" t="b">
        <v>0</v>
      </c>
      <c r="K875" s="111" t="b">
        <v>0</v>
      </c>
      <c r="L875" s="111" t="b">
        <v>0</v>
      </c>
    </row>
    <row r="876" spans="1:12" ht="15">
      <c r="A876" s="113" t="s">
        <v>905</v>
      </c>
      <c r="B876" s="111" t="s">
        <v>961</v>
      </c>
      <c r="C876" s="111">
        <v>2</v>
      </c>
      <c r="D876" s="115">
        <v>0.0012596020653737779</v>
      </c>
      <c r="E876" s="115">
        <v>2.070369443367421</v>
      </c>
      <c r="F876" s="111" t="s">
        <v>821</v>
      </c>
      <c r="G876" s="111" t="b">
        <v>0</v>
      </c>
      <c r="H876" s="111" t="b">
        <v>0</v>
      </c>
      <c r="I876" s="111" t="b">
        <v>0</v>
      </c>
      <c r="J876" s="111" t="b">
        <v>0</v>
      </c>
      <c r="K876" s="111" t="b">
        <v>0</v>
      </c>
      <c r="L876" s="111" t="b">
        <v>0</v>
      </c>
    </row>
    <row r="877" spans="1:12" ht="15">
      <c r="A877" s="113" t="s">
        <v>857</v>
      </c>
      <c r="B877" s="111" t="s">
        <v>1940</v>
      </c>
      <c r="C877" s="111">
        <v>2</v>
      </c>
      <c r="D877" s="115">
        <v>0.0012596020653737779</v>
      </c>
      <c r="E877" s="115">
        <v>2.129955133351665</v>
      </c>
      <c r="F877" s="111" t="s">
        <v>821</v>
      </c>
      <c r="G877" s="111" t="b">
        <v>0</v>
      </c>
      <c r="H877" s="111" t="b">
        <v>0</v>
      </c>
      <c r="I877" s="111" t="b">
        <v>0</v>
      </c>
      <c r="J877" s="111" t="b">
        <v>0</v>
      </c>
      <c r="K877" s="111" t="b">
        <v>0</v>
      </c>
      <c r="L877" s="111" t="b">
        <v>0</v>
      </c>
    </row>
    <row r="878" spans="1:12" ht="15">
      <c r="A878" s="113" t="s">
        <v>857</v>
      </c>
      <c r="B878" s="111" t="s">
        <v>1127</v>
      </c>
      <c r="C878" s="111">
        <v>2</v>
      </c>
      <c r="D878" s="115">
        <v>0.0012596020653737779</v>
      </c>
      <c r="E878" s="115">
        <v>2.129955133351665</v>
      </c>
      <c r="F878" s="111" t="s">
        <v>821</v>
      </c>
      <c r="G878" s="111" t="b">
        <v>0</v>
      </c>
      <c r="H878" s="111" t="b">
        <v>0</v>
      </c>
      <c r="I878" s="111" t="b">
        <v>0</v>
      </c>
      <c r="J878" s="111" t="b">
        <v>0</v>
      </c>
      <c r="K878" s="111" t="b">
        <v>0</v>
      </c>
      <c r="L878" s="111" t="b">
        <v>0</v>
      </c>
    </row>
    <row r="879" spans="1:12" ht="15">
      <c r="A879" s="113" t="s">
        <v>933</v>
      </c>
      <c r="B879" s="111" t="s">
        <v>1497</v>
      </c>
      <c r="C879" s="111">
        <v>2</v>
      </c>
      <c r="D879" s="115">
        <v>0.0012596020653737779</v>
      </c>
      <c r="E879" s="115">
        <v>2.7071915409545952</v>
      </c>
      <c r="F879" s="111" t="s">
        <v>821</v>
      </c>
      <c r="G879" s="111" t="b">
        <v>0</v>
      </c>
      <c r="H879" s="111" t="b">
        <v>0</v>
      </c>
      <c r="I879" s="111" t="b">
        <v>0</v>
      </c>
      <c r="J879" s="111" t="b">
        <v>0</v>
      </c>
      <c r="K879" s="111" t="b">
        <v>0</v>
      </c>
      <c r="L879" s="111" t="b">
        <v>0</v>
      </c>
    </row>
    <row r="880" spans="1:12" ht="15">
      <c r="A880" s="113" t="s">
        <v>863</v>
      </c>
      <c r="B880" s="111" t="s">
        <v>845</v>
      </c>
      <c r="C880" s="111">
        <v>2</v>
      </c>
      <c r="D880" s="115">
        <v>0.0012596020653737779</v>
      </c>
      <c r="E880" s="115">
        <v>2.1051315496266327</v>
      </c>
      <c r="F880" s="111" t="s">
        <v>821</v>
      </c>
      <c r="G880" s="111" t="b">
        <v>0</v>
      </c>
      <c r="H880" s="111" t="b">
        <v>1</v>
      </c>
      <c r="I880" s="111" t="b">
        <v>0</v>
      </c>
      <c r="J880" s="111" t="b">
        <v>0</v>
      </c>
      <c r="K880" s="111" t="b">
        <v>0</v>
      </c>
      <c r="L880" s="111" t="b">
        <v>0</v>
      </c>
    </row>
    <row r="881" spans="1:12" ht="15">
      <c r="A881" s="113" t="s">
        <v>1928</v>
      </c>
      <c r="B881" s="111" t="s">
        <v>957</v>
      </c>
      <c r="C881" s="111">
        <v>2</v>
      </c>
      <c r="D881" s="115">
        <v>0.0012596020653737779</v>
      </c>
      <c r="E881" s="115">
        <v>2.7583440634019762</v>
      </c>
      <c r="F881" s="111" t="s">
        <v>821</v>
      </c>
      <c r="G881" s="111" t="b">
        <v>0</v>
      </c>
      <c r="H881" s="111" t="b">
        <v>0</v>
      </c>
      <c r="I881" s="111" t="b">
        <v>0</v>
      </c>
      <c r="J881" s="111" t="b">
        <v>0</v>
      </c>
      <c r="K881" s="111" t="b">
        <v>0</v>
      </c>
      <c r="L881" s="111" t="b">
        <v>0</v>
      </c>
    </row>
    <row r="882" spans="1:12" ht="15">
      <c r="A882" s="113" t="s">
        <v>1929</v>
      </c>
      <c r="B882" s="111" t="s">
        <v>1489</v>
      </c>
      <c r="C882" s="111">
        <v>2</v>
      </c>
      <c r="D882" s="115">
        <v>0.0012596020653737779</v>
      </c>
      <c r="E882" s="115">
        <v>2.8832828000102766</v>
      </c>
      <c r="F882" s="111" t="s">
        <v>821</v>
      </c>
      <c r="G882" s="111" t="b">
        <v>0</v>
      </c>
      <c r="H882" s="111" t="b">
        <v>0</v>
      </c>
      <c r="I882" s="111" t="b">
        <v>0</v>
      </c>
      <c r="J882" s="111" t="b">
        <v>0</v>
      </c>
      <c r="K882" s="111" t="b">
        <v>0</v>
      </c>
      <c r="L882" s="111" t="b">
        <v>0</v>
      </c>
    </row>
    <row r="883" spans="1:12" ht="15">
      <c r="A883" s="113" t="s">
        <v>1489</v>
      </c>
      <c r="B883" s="111" t="s">
        <v>980</v>
      </c>
      <c r="C883" s="111">
        <v>2</v>
      </c>
      <c r="D883" s="115">
        <v>0.0012596020653737779</v>
      </c>
      <c r="E883" s="115">
        <v>2.7071915409545952</v>
      </c>
      <c r="F883" s="111" t="s">
        <v>821</v>
      </c>
      <c r="G883" s="111" t="b">
        <v>0</v>
      </c>
      <c r="H883" s="111" t="b">
        <v>0</v>
      </c>
      <c r="I883" s="111" t="b">
        <v>0</v>
      </c>
      <c r="J883" s="111" t="b">
        <v>0</v>
      </c>
      <c r="K883" s="111" t="b">
        <v>0</v>
      </c>
      <c r="L883" s="111" t="b">
        <v>0</v>
      </c>
    </row>
    <row r="884" spans="1:12" ht="15">
      <c r="A884" s="113" t="s">
        <v>1018</v>
      </c>
      <c r="B884" s="111" t="s">
        <v>1922</v>
      </c>
      <c r="C884" s="111">
        <v>2</v>
      </c>
      <c r="D884" s="115">
        <v>0.0010003169700559646</v>
      </c>
      <c r="E884" s="115">
        <v>2.66143405039392</v>
      </c>
      <c r="F884" s="111" t="s">
        <v>821</v>
      </c>
      <c r="G884" s="111" t="b">
        <v>0</v>
      </c>
      <c r="H884" s="111" t="b">
        <v>0</v>
      </c>
      <c r="I884" s="111" t="b">
        <v>0</v>
      </c>
      <c r="J884" s="111" t="b">
        <v>0</v>
      </c>
      <c r="K884" s="111" t="b">
        <v>0</v>
      </c>
      <c r="L884" s="111" t="b">
        <v>0</v>
      </c>
    </row>
    <row r="885" spans="1:12" ht="15">
      <c r="A885" s="113" t="s">
        <v>1922</v>
      </c>
      <c r="B885" s="111" t="s">
        <v>996</v>
      </c>
      <c r="C885" s="111">
        <v>2</v>
      </c>
      <c r="D885" s="115">
        <v>0.0010003169700559646</v>
      </c>
      <c r="E885" s="115">
        <v>3.0593740590659575</v>
      </c>
      <c r="F885" s="111" t="s">
        <v>821</v>
      </c>
      <c r="G885" s="111" t="b">
        <v>0</v>
      </c>
      <c r="H885" s="111" t="b">
        <v>0</v>
      </c>
      <c r="I885" s="111" t="b">
        <v>0</v>
      </c>
      <c r="J885" s="111" t="b">
        <v>0</v>
      </c>
      <c r="K885" s="111" t="b">
        <v>0</v>
      </c>
      <c r="L885" s="111" t="b">
        <v>0</v>
      </c>
    </row>
    <row r="886" spans="1:12" ht="15">
      <c r="A886" s="113" t="s">
        <v>1073</v>
      </c>
      <c r="B886" s="111" t="s">
        <v>1923</v>
      </c>
      <c r="C886" s="111">
        <v>2</v>
      </c>
      <c r="D886" s="115">
        <v>0.0010003169700559646</v>
      </c>
      <c r="E886" s="115">
        <v>2.7583440634019762</v>
      </c>
      <c r="F886" s="111" t="s">
        <v>821</v>
      </c>
      <c r="G886" s="111" t="b">
        <v>0</v>
      </c>
      <c r="H886" s="111" t="b">
        <v>0</v>
      </c>
      <c r="I886" s="111" t="b">
        <v>0</v>
      </c>
      <c r="J886" s="111" t="b">
        <v>0</v>
      </c>
      <c r="K886" s="111" t="b">
        <v>0</v>
      </c>
      <c r="L886" s="111" t="b">
        <v>0</v>
      </c>
    </row>
    <row r="887" spans="1:12" ht="15">
      <c r="A887" s="113" t="s">
        <v>1923</v>
      </c>
      <c r="B887" s="111" t="s">
        <v>1018</v>
      </c>
      <c r="C887" s="111">
        <v>2</v>
      </c>
      <c r="D887" s="115">
        <v>0.0010003169700559646</v>
      </c>
      <c r="E887" s="115">
        <v>2.66143405039392</v>
      </c>
      <c r="F887" s="111" t="s">
        <v>821</v>
      </c>
      <c r="G887" s="111" t="b">
        <v>0</v>
      </c>
      <c r="H887" s="111" t="b">
        <v>0</v>
      </c>
      <c r="I887" s="111" t="b">
        <v>0</v>
      </c>
      <c r="J887" s="111" t="b">
        <v>0</v>
      </c>
      <c r="K887" s="111" t="b">
        <v>0</v>
      </c>
      <c r="L887" s="111" t="b">
        <v>0</v>
      </c>
    </row>
    <row r="888" spans="1:12" ht="15">
      <c r="A888" s="113" t="s">
        <v>1018</v>
      </c>
      <c r="B888" s="111" t="s">
        <v>1088</v>
      </c>
      <c r="C888" s="111">
        <v>2</v>
      </c>
      <c r="D888" s="115">
        <v>0.0010003169700559646</v>
      </c>
      <c r="E888" s="115">
        <v>2.2634940417218825</v>
      </c>
      <c r="F888" s="111" t="s">
        <v>821</v>
      </c>
      <c r="G888" s="111" t="b">
        <v>0</v>
      </c>
      <c r="H888" s="111" t="b">
        <v>0</v>
      </c>
      <c r="I888" s="111" t="b">
        <v>0</v>
      </c>
      <c r="J888" s="111" t="b">
        <v>0</v>
      </c>
      <c r="K888" s="111" t="b">
        <v>0</v>
      </c>
      <c r="L888" s="111" t="b">
        <v>0</v>
      </c>
    </row>
    <row r="889" spans="1:12" ht="15">
      <c r="A889" s="113" t="s">
        <v>1088</v>
      </c>
      <c r="B889" s="111" t="s">
        <v>1924</v>
      </c>
      <c r="C889" s="111">
        <v>2</v>
      </c>
      <c r="D889" s="115">
        <v>0.0010003169700559646</v>
      </c>
      <c r="E889" s="115">
        <v>2.66143405039392</v>
      </c>
      <c r="F889" s="111" t="s">
        <v>821</v>
      </c>
      <c r="G889" s="111" t="b">
        <v>0</v>
      </c>
      <c r="H889" s="111" t="b">
        <v>0</v>
      </c>
      <c r="I889" s="111" t="b">
        <v>0</v>
      </c>
      <c r="J889" s="111" t="b">
        <v>0</v>
      </c>
      <c r="K889" s="111" t="b">
        <v>0</v>
      </c>
      <c r="L889" s="111" t="b">
        <v>0</v>
      </c>
    </row>
    <row r="890" spans="1:12" ht="15">
      <c r="A890" s="113" t="s">
        <v>1924</v>
      </c>
      <c r="B890" s="111" t="s">
        <v>1925</v>
      </c>
      <c r="C890" s="111">
        <v>2</v>
      </c>
      <c r="D890" s="115">
        <v>0.0010003169700559646</v>
      </c>
      <c r="E890" s="115">
        <v>3.0593740590659575</v>
      </c>
      <c r="F890" s="111" t="s">
        <v>821</v>
      </c>
      <c r="G890" s="111" t="b">
        <v>0</v>
      </c>
      <c r="H890" s="111" t="b">
        <v>0</v>
      </c>
      <c r="I890" s="111" t="b">
        <v>0</v>
      </c>
      <c r="J890" s="111" t="b">
        <v>0</v>
      </c>
      <c r="K890" s="111" t="b">
        <v>0</v>
      </c>
      <c r="L890" s="111" t="b">
        <v>0</v>
      </c>
    </row>
    <row r="891" spans="1:12" ht="15">
      <c r="A891" s="113" t="s">
        <v>1925</v>
      </c>
      <c r="B891" s="111" t="s">
        <v>1926</v>
      </c>
      <c r="C891" s="111">
        <v>2</v>
      </c>
      <c r="D891" s="115">
        <v>0.0010003169700559646</v>
      </c>
      <c r="E891" s="115">
        <v>3.0593740590659575</v>
      </c>
      <c r="F891" s="111" t="s">
        <v>821</v>
      </c>
      <c r="G891" s="111" t="b">
        <v>0</v>
      </c>
      <c r="H891" s="111" t="b">
        <v>0</v>
      </c>
      <c r="I891" s="111" t="b">
        <v>0</v>
      </c>
      <c r="J891" s="111" t="b">
        <v>0</v>
      </c>
      <c r="K891" s="111" t="b">
        <v>0</v>
      </c>
      <c r="L891" s="111" t="b">
        <v>0</v>
      </c>
    </row>
    <row r="892" spans="1:12" ht="15">
      <c r="A892" s="113" t="s">
        <v>1926</v>
      </c>
      <c r="B892" s="111" t="s">
        <v>1927</v>
      </c>
      <c r="C892" s="111">
        <v>2</v>
      </c>
      <c r="D892" s="115">
        <v>0.0010003169700559646</v>
      </c>
      <c r="E892" s="115">
        <v>3.0593740590659575</v>
      </c>
      <c r="F892" s="111" t="s">
        <v>821</v>
      </c>
      <c r="G892" s="111" t="b">
        <v>0</v>
      </c>
      <c r="H892" s="111" t="b">
        <v>0</v>
      </c>
      <c r="I892" s="111" t="b">
        <v>0</v>
      </c>
      <c r="J892" s="111" t="b">
        <v>0</v>
      </c>
      <c r="K892" s="111" t="b">
        <v>0</v>
      </c>
      <c r="L892" s="111" t="b">
        <v>0</v>
      </c>
    </row>
    <row r="893" spans="1:12" ht="15">
      <c r="A893" s="113" t="s">
        <v>1927</v>
      </c>
      <c r="B893" s="111" t="s">
        <v>1203</v>
      </c>
      <c r="C893" s="111">
        <v>2</v>
      </c>
      <c r="D893" s="115">
        <v>0.0010003169700559646</v>
      </c>
      <c r="E893" s="115">
        <v>2.7583440634019762</v>
      </c>
      <c r="F893" s="111" t="s">
        <v>821</v>
      </c>
      <c r="G893" s="111" t="b">
        <v>0</v>
      </c>
      <c r="H893" s="111" t="b">
        <v>0</v>
      </c>
      <c r="I893" s="111" t="b">
        <v>0</v>
      </c>
      <c r="J893" s="111" t="b">
        <v>0</v>
      </c>
      <c r="K893" s="111" t="b">
        <v>0</v>
      </c>
      <c r="L893" s="111" t="b">
        <v>0</v>
      </c>
    </row>
    <row r="894" spans="1:12" ht="15">
      <c r="A894" s="113" t="s">
        <v>958</v>
      </c>
      <c r="B894" s="111" t="s">
        <v>911</v>
      </c>
      <c r="C894" s="111">
        <v>2</v>
      </c>
      <c r="D894" s="115">
        <v>0.0012596020653737779</v>
      </c>
      <c r="E894" s="115">
        <v>2.4573140677379954</v>
      </c>
      <c r="F894" s="111" t="s">
        <v>821</v>
      </c>
      <c r="G894" s="111" t="b">
        <v>0</v>
      </c>
      <c r="H894" s="111" t="b">
        <v>0</v>
      </c>
      <c r="I894" s="111" t="b">
        <v>0</v>
      </c>
      <c r="J894" s="111" t="b">
        <v>1</v>
      </c>
      <c r="K894" s="111" t="b">
        <v>0</v>
      </c>
      <c r="L894" s="111" t="b">
        <v>0</v>
      </c>
    </row>
    <row r="895" spans="1:12" ht="15">
      <c r="A895" s="113" t="s">
        <v>938</v>
      </c>
      <c r="B895" s="111" t="s">
        <v>1918</v>
      </c>
      <c r="C895" s="111">
        <v>2</v>
      </c>
      <c r="D895" s="115">
        <v>0.0012596020653737779</v>
      </c>
      <c r="E895" s="115">
        <v>2.4573140677379954</v>
      </c>
      <c r="F895" s="111" t="s">
        <v>821</v>
      </c>
      <c r="G895" s="111" t="b">
        <v>0</v>
      </c>
      <c r="H895" s="111" t="b">
        <v>0</v>
      </c>
      <c r="I895" s="111" t="b">
        <v>0</v>
      </c>
      <c r="J895" s="111" t="b">
        <v>0</v>
      </c>
      <c r="K895" s="111" t="b">
        <v>0</v>
      </c>
      <c r="L895" s="111" t="b">
        <v>0</v>
      </c>
    </row>
    <row r="896" spans="1:12" ht="15">
      <c r="A896" s="113" t="s">
        <v>1918</v>
      </c>
      <c r="B896" s="111" t="s">
        <v>1485</v>
      </c>
      <c r="C896" s="111">
        <v>2</v>
      </c>
      <c r="D896" s="115">
        <v>0.0012596020653737779</v>
      </c>
      <c r="E896" s="115">
        <v>2.8832828000102766</v>
      </c>
      <c r="F896" s="111" t="s">
        <v>821</v>
      </c>
      <c r="G896" s="111" t="b">
        <v>0</v>
      </c>
      <c r="H896" s="111" t="b">
        <v>0</v>
      </c>
      <c r="I896" s="111" t="b">
        <v>0</v>
      </c>
      <c r="J896" s="111" t="b">
        <v>0</v>
      </c>
      <c r="K896" s="111" t="b">
        <v>0</v>
      </c>
      <c r="L896" s="111" t="b">
        <v>0</v>
      </c>
    </row>
    <row r="897" spans="1:12" ht="15">
      <c r="A897" s="113" t="s">
        <v>1043</v>
      </c>
      <c r="B897" s="111" t="s">
        <v>910</v>
      </c>
      <c r="C897" s="111">
        <v>2</v>
      </c>
      <c r="D897" s="115">
        <v>0.0012596020653737779</v>
      </c>
      <c r="E897" s="115">
        <v>2.1173660060436443</v>
      </c>
      <c r="F897" s="111" t="s">
        <v>821</v>
      </c>
      <c r="G897" s="111" t="b">
        <v>0</v>
      </c>
      <c r="H897" s="111" t="b">
        <v>0</v>
      </c>
      <c r="I897" s="111" t="b">
        <v>0</v>
      </c>
      <c r="J897" s="111" t="b">
        <v>1</v>
      </c>
      <c r="K897" s="111" t="b">
        <v>0</v>
      </c>
      <c r="L897" s="111" t="b">
        <v>0</v>
      </c>
    </row>
    <row r="898" spans="1:12" ht="15">
      <c r="A898" s="113" t="s">
        <v>1145</v>
      </c>
      <c r="B898" s="111" t="s">
        <v>1387</v>
      </c>
      <c r="C898" s="111">
        <v>2</v>
      </c>
      <c r="D898" s="115">
        <v>0.0012596020653737779</v>
      </c>
      <c r="E898" s="115">
        <v>2.8832828000102766</v>
      </c>
      <c r="F898" s="111" t="s">
        <v>821</v>
      </c>
      <c r="G898" s="111" t="b">
        <v>0</v>
      </c>
      <c r="H898" s="111" t="b">
        <v>0</v>
      </c>
      <c r="I898" s="111" t="b">
        <v>0</v>
      </c>
      <c r="J898" s="111" t="b">
        <v>0</v>
      </c>
      <c r="K898" s="111" t="b">
        <v>0</v>
      </c>
      <c r="L898" s="111" t="b">
        <v>0</v>
      </c>
    </row>
    <row r="899" spans="1:12" ht="15">
      <c r="A899" s="113" t="s">
        <v>913</v>
      </c>
      <c r="B899" s="111" t="s">
        <v>1107</v>
      </c>
      <c r="C899" s="111">
        <v>2</v>
      </c>
      <c r="D899" s="115">
        <v>0.0012596020653737779</v>
      </c>
      <c r="E899" s="115">
        <v>2.5822528043462953</v>
      </c>
      <c r="F899" s="111" t="s">
        <v>821</v>
      </c>
      <c r="G899" s="111" t="b">
        <v>0</v>
      </c>
      <c r="H899" s="111" t="b">
        <v>0</v>
      </c>
      <c r="I899" s="111" t="b">
        <v>0</v>
      </c>
      <c r="J899" s="111" t="b">
        <v>0</v>
      </c>
      <c r="K899" s="111" t="b">
        <v>0</v>
      </c>
      <c r="L899" s="111" t="b">
        <v>0</v>
      </c>
    </row>
    <row r="900" spans="1:12" ht="15">
      <c r="A900" s="113" t="s">
        <v>1107</v>
      </c>
      <c r="B900" s="111" t="s">
        <v>858</v>
      </c>
      <c r="C900" s="111">
        <v>2</v>
      </c>
      <c r="D900" s="115">
        <v>0.0012596020653737779</v>
      </c>
      <c r="E900" s="115">
        <v>1.8225849596566648</v>
      </c>
      <c r="F900" s="111" t="s">
        <v>821</v>
      </c>
      <c r="G900" s="111" t="b">
        <v>0</v>
      </c>
      <c r="H900" s="111" t="b">
        <v>0</v>
      </c>
      <c r="I900" s="111" t="b">
        <v>0</v>
      </c>
      <c r="J900" s="111" t="b">
        <v>0</v>
      </c>
      <c r="K900" s="111" t="b">
        <v>0</v>
      </c>
      <c r="L900" s="111" t="b">
        <v>0</v>
      </c>
    </row>
    <row r="901" spans="1:12" ht="15">
      <c r="A901" s="113" t="s">
        <v>1893</v>
      </c>
      <c r="B901" s="111" t="s">
        <v>859</v>
      </c>
      <c r="C901" s="111">
        <v>2</v>
      </c>
      <c r="D901" s="115">
        <v>0.0012596020653737779</v>
      </c>
      <c r="E901" s="115">
        <v>1.9986762187123461</v>
      </c>
      <c r="F901" s="111" t="s">
        <v>821</v>
      </c>
      <c r="G901" s="111" t="b">
        <v>0</v>
      </c>
      <c r="H901" s="111" t="b">
        <v>1</v>
      </c>
      <c r="I901" s="111" t="b">
        <v>0</v>
      </c>
      <c r="J901" s="111" t="b">
        <v>0</v>
      </c>
      <c r="K901" s="111" t="b">
        <v>0</v>
      </c>
      <c r="L901" s="111" t="b">
        <v>0</v>
      </c>
    </row>
    <row r="902" spans="1:12" ht="15">
      <c r="A902" s="113" t="s">
        <v>1894</v>
      </c>
      <c r="B902" s="111" t="s">
        <v>901</v>
      </c>
      <c r="C902" s="111">
        <v>2</v>
      </c>
      <c r="D902" s="115">
        <v>0.0012596020653737779</v>
      </c>
      <c r="E902" s="115">
        <v>2.515306014715682</v>
      </c>
      <c r="F902" s="111" t="s">
        <v>821</v>
      </c>
      <c r="G902" s="111" t="b">
        <v>0</v>
      </c>
      <c r="H902" s="111" t="b">
        <v>0</v>
      </c>
      <c r="I902" s="111" t="b">
        <v>0</v>
      </c>
      <c r="J902" s="111" t="b">
        <v>0</v>
      </c>
      <c r="K902" s="111" t="b">
        <v>0</v>
      </c>
      <c r="L902" s="111" t="b">
        <v>0</v>
      </c>
    </row>
    <row r="903" spans="1:12" ht="15">
      <c r="A903" s="113" t="s">
        <v>859</v>
      </c>
      <c r="B903" s="111" t="s">
        <v>905</v>
      </c>
      <c r="C903" s="111">
        <v>2</v>
      </c>
      <c r="D903" s="115">
        <v>0.0012596020653737779</v>
      </c>
      <c r="E903" s="115">
        <v>1.1857628620694904</v>
      </c>
      <c r="F903" s="111" t="s">
        <v>821</v>
      </c>
      <c r="G903" s="111" t="b">
        <v>0</v>
      </c>
      <c r="H903" s="111" t="b">
        <v>0</v>
      </c>
      <c r="I903" s="111" t="b">
        <v>0</v>
      </c>
      <c r="J903" s="111" t="b">
        <v>0</v>
      </c>
      <c r="K903" s="111" t="b">
        <v>0</v>
      </c>
      <c r="L903" s="111" t="b">
        <v>0</v>
      </c>
    </row>
    <row r="904" spans="1:12" ht="15">
      <c r="A904" s="113" t="s">
        <v>858</v>
      </c>
      <c r="B904" s="111" t="s">
        <v>873</v>
      </c>
      <c r="C904" s="111">
        <v>2</v>
      </c>
      <c r="D904" s="115">
        <v>0.0012596020653737779</v>
      </c>
      <c r="E904" s="115">
        <v>1.6007362100403084</v>
      </c>
      <c r="F904" s="111" t="s">
        <v>821</v>
      </c>
      <c r="G904" s="111" t="b">
        <v>0</v>
      </c>
      <c r="H904" s="111" t="b">
        <v>0</v>
      </c>
      <c r="I904" s="111" t="b">
        <v>0</v>
      </c>
      <c r="J904" s="111" t="b">
        <v>0</v>
      </c>
      <c r="K904" s="111" t="b">
        <v>0</v>
      </c>
      <c r="L904" s="111" t="b">
        <v>0</v>
      </c>
    </row>
    <row r="905" spans="1:12" ht="15">
      <c r="A905" s="113" t="s">
        <v>873</v>
      </c>
      <c r="B905" s="111" t="s">
        <v>1477</v>
      </c>
      <c r="C905" s="111">
        <v>2</v>
      </c>
      <c r="D905" s="115">
        <v>0.0012596020653737779</v>
      </c>
      <c r="E905" s="115">
        <v>2.4853427913382387</v>
      </c>
      <c r="F905" s="111" t="s">
        <v>821</v>
      </c>
      <c r="G905" s="111" t="b">
        <v>0</v>
      </c>
      <c r="H905" s="111" t="b">
        <v>0</v>
      </c>
      <c r="I905" s="111" t="b">
        <v>0</v>
      </c>
      <c r="J905" s="111" t="b">
        <v>0</v>
      </c>
      <c r="K905" s="111" t="b">
        <v>0</v>
      </c>
      <c r="L905" s="111" t="b">
        <v>0</v>
      </c>
    </row>
    <row r="906" spans="1:12" ht="15">
      <c r="A906" s="113" t="s">
        <v>859</v>
      </c>
      <c r="B906" s="111" t="s">
        <v>1482</v>
      </c>
      <c r="C906" s="111">
        <v>2</v>
      </c>
      <c r="D906" s="115">
        <v>0.0012596020653737779</v>
      </c>
      <c r="E906" s="115">
        <v>1.8225849596566648</v>
      </c>
      <c r="F906" s="111" t="s">
        <v>821</v>
      </c>
      <c r="G906" s="111" t="b">
        <v>0</v>
      </c>
      <c r="H906" s="111" t="b">
        <v>0</v>
      </c>
      <c r="I906" s="111" t="b">
        <v>0</v>
      </c>
      <c r="J906" s="111" t="b">
        <v>0</v>
      </c>
      <c r="K906" s="111" t="b">
        <v>0</v>
      </c>
      <c r="L906" s="111" t="b">
        <v>0</v>
      </c>
    </row>
    <row r="907" spans="1:12" ht="15">
      <c r="A907" s="113" t="s">
        <v>1271</v>
      </c>
      <c r="B907" s="111" t="s">
        <v>1070</v>
      </c>
      <c r="C907" s="111">
        <v>2</v>
      </c>
      <c r="D907" s="115">
        <v>0.0012596020653737779</v>
      </c>
      <c r="E907" s="115">
        <v>2.7583440634019762</v>
      </c>
      <c r="F907" s="111" t="s">
        <v>821</v>
      </c>
      <c r="G907" s="111" t="b">
        <v>0</v>
      </c>
      <c r="H907" s="111" t="b">
        <v>1</v>
      </c>
      <c r="I907" s="111" t="b">
        <v>0</v>
      </c>
      <c r="J907" s="111" t="b">
        <v>0</v>
      </c>
      <c r="K907" s="111" t="b">
        <v>0</v>
      </c>
      <c r="L907" s="111" t="b">
        <v>0</v>
      </c>
    </row>
    <row r="908" spans="1:12" ht="15">
      <c r="A908" s="113" t="s">
        <v>1392</v>
      </c>
      <c r="B908" s="111" t="s">
        <v>1915</v>
      </c>
      <c r="C908" s="111">
        <v>2</v>
      </c>
      <c r="D908" s="115">
        <v>0.0012596020653737779</v>
      </c>
      <c r="E908" s="115">
        <v>3.0593740590659575</v>
      </c>
      <c r="F908" s="111" t="s">
        <v>821</v>
      </c>
      <c r="G908" s="111" t="b">
        <v>0</v>
      </c>
      <c r="H908" s="111" t="b">
        <v>0</v>
      </c>
      <c r="I908" s="111" t="b">
        <v>0</v>
      </c>
      <c r="J908" s="111" t="b">
        <v>0</v>
      </c>
      <c r="K908" s="111" t="b">
        <v>0</v>
      </c>
      <c r="L908" s="111" t="b">
        <v>0</v>
      </c>
    </row>
    <row r="909" spans="1:12" ht="15">
      <c r="A909" s="113" t="s">
        <v>1917</v>
      </c>
      <c r="B909" s="111" t="s">
        <v>1087</v>
      </c>
      <c r="C909" s="111">
        <v>2</v>
      </c>
      <c r="D909" s="115">
        <v>0.0012596020653737779</v>
      </c>
      <c r="E909" s="115">
        <v>2.5822528043462953</v>
      </c>
      <c r="F909" s="111" t="s">
        <v>821</v>
      </c>
      <c r="G909" s="111" t="b">
        <v>0</v>
      </c>
      <c r="H909" s="111" t="b">
        <v>0</v>
      </c>
      <c r="I909" s="111" t="b">
        <v>0</v>
      </c>
      <c r="J909" s="111" t="b">
        <v>0</v>
      </c>
      <c r="K909" s="111" t="b">
        <v>0</v>
      </c>
      <c r="L909" s="111" t="b">
        <v>0</v>
      </c>
    </row>
    <row r="910" spans="1:12" ht="15">
      <c r="A910" s="113" t="s">
        <v>1159</v>
      </c>
      <c r="B910" s="111" t="s">
        <v>1021</v>
      </c>
      <c r="C910" s="111">
        <v>2</v>
      </c>
      <c r="D910" s="115">
        <v>0.0012596020653737779</v>
      </c>
      <c r="E910" s="115">
        <v>3.0593740590659575</v>
      </c>
      <c r="F910" s="111" t="s">
        <v>821</v>
      </c>
      <c r="G910" s="111" t="b">
        <v>0</v>
      </c>
      <c r="H910" s="111" t="b">
        <v>0</v>
      </c>
      <c r="I910" s="111" t="b">
        <v>0</v>
      </c>
      <c r="J910" s="111" t="b">
        <v>0</v>
      </c>
      <c r="K910" s="111" t="b">
        <v>0</v>
      </c>
      <c r="L910" s="111" t="b">
        <v>0</v>
      </c>
    </row>
    <row r="911" spans="1:12" ht="15">
      <c r="A911" s="113" t="s">
        <v>956</v>
      </c>
      <c r="B911" s="111" t="s">
        <v>847</v>
      </c>
      <c r="C911" s="111">
        <v>2</v>
      </c>
      <c r="D911" s="115">
        <v>0.0012596020653737779</v>
      </c>
      <c r="E911" s="115">
        <v>1.9055591947214285</v>
      </c>
      <c r="F911" s="111" t="s">
        <v>821</v>
      </c>
      <c r="G911" s="111" t="b">
        <v>0</v>
      </c>
      <c r="H911" s="111" t="b">
        <v>0</v>
      </c>
      <c r="I911" s="111" t="b">
        <v>0</v>
      </c>
      <c r="J911" s="111" t="b">
        <v>0</v>
      </c>
      <c r="K911" s="111" t="b">
        <v>0</v>
      </c>
      <c r="L911" s="111" t="b">
        <v>0</v>
      </c>
    </row>
    <row r="912" spans="1:12" ht="15">
      <c r="A912" s="113" t="s">
        <v>1028</v>
      </c>
      <c r="B912" s="111" t="s">
        <v>907</v>
      </c>
      <c r="C912" s="111">
        <v>2</v>
      </c>
      <c r="D912" s="115">
        <v>0.0012596020653737779</v>
      </c>
      <c r="E912" s="115">
        <v>2.406161545290614</v>
      </c>
      <c r="F912" s="111" t="s">
        <v>821</v>
      </c>
      <c r="G912" s="111" t="b">
        <v>0</v>
      </c>
      <c r="H912" s="111" t="b">
        <v>0</v>
      </c>
      <c r="I912" s="111" t="b">
        <v>0</v>
      </c>
      <c r="J912" s="111" t="b">
        <v>0</v>
      </c>
      <c r="K912" s="111" t="b">
        <v>0</v>
      </c>
      <c r="L912" s="111" t="b">
        <v>0</v>
      </c>
    </row>
    <row r="913" spans="1:12" ht="15">
      <c r="A913" s="113" t="s">
        <v>874</v>
      </c>
      <c r="B913" s="111" t="s">
        <v>842</v>
      </c>
      <c r="C913" s="111">
        <v>14</v>
      </c>
      <c r="D913" s="115">
        <v>0.0035431052229190664</v>
      </c>
      <c r="E913" s="115">
        <v>1.3906840673217213</v>
      </c>
      <c r="F913" s="111" t="s">
        <v>822</v>
      </c>
      <c r="G913" s="111" t="b">
        <v>0</v>
      </c>
      <c r="H913" s="111" t="b">
        <v>0</v>
      </c>
      <c r="I913" s="111" t="b">
        <v>0</v>
      </c>
      <c r="J913" s="111" t="b">
        <v>0</v>
      </c>
      <c r="K913" s="111" t="b">
        <v>0</v>
      </c>
      <c r="L913" s="111" t="b">
        <v>0</v>
      </c>
    </row>
    <row r="914" spans="1:12" ht="15">
      <c r="A914" s="113" t="s">
        <v>842</v>
      </c>
      <c r="B914" s="111" t="s">
        <v>898</v>
      </c>
      <c r="C914" s="111">
        <v>13</v>
      </c>
      <c r="D914" s="115">
        <v>0.002880915289918123</v>
      </c>
      <c r="E914" s="115">
        <v>1.4613036753443691</v>
      </c>
      <c r="F914" s="111" t="s">
        <v>822</v>
      </c>
      <c r="G914" s="111" t="b">
        <v>0</v>
      </c>
      <c r="H914" s="111" t="b">
        <v>0</v>
      </c>
      <c r="I914" s="111" t="b">
        <v>0</v>
      </c>
      <c r="J914" s="111" t="b">
        <v>0</v>
      </c>
      <c r="K914" s="111" t="b">
        <v>0</v>
      </c>
      <c r="L914" s="111" t="b">
        <v>0</v>
      </c>
    </row>
    <row r="915" spans="1:12" ht="15">
      <c r="A915" s="113" t="s">
        <v>888</v>
      </c>
      <c r="B915" s="111" t="s">
        <v>918</v>
      </c>
      <c r="C915" s="111">
        <v>10</v>
      </c>
      <c r="D915" s="115">
        <v>0.004952952568129002</v>
      </c>
      <c r="E915" s="115">
        <v>1.9009736852940384</v>
      </c>
      <c r="F915" s="111" t="s">
        <v>822</v>
      </c>
      <c r="G915" s="111" t="b">
        <v>0</v>
      </c>
      <c r="H915" s="111" t="b">
        <v>0</v>
      </c>
      <c r="I915" s="111" t="b">
        <v>0</v>
      </c>
      <c r="J915" s="111" t="b">
        <v>0</v>
      </c>
      <c r="K915" s="111" t="b">
        <v>0</v>
      </c>
      <c r="L915" s="111" t="b">
        <v>0</v>
      </c>
    </row>
    <row r="916" spans="1:12" ht="15">
      <c r="A916" s="113" t="s">
        <v>940</v>
      </c>
      <c r="B916" s="111" t="s">
        <v>893</v>
      </c>
      <c r="C916" s="111">
        <v>8</v>
      </c>
      <c r="D916" s="115">
        <v>0.0034291570310751055</v>
      </c>
      <c r="E916" s="115">
        <v>2.1508511585106382</v>
      </c>
      <c r="F916" s="111" t="s">
        <v>822</v>
      </c>
      <c r="G916" s="111" t="b">
        <v>0</v>
      </c>
      <c r="H916" s="111" t="b">
        <v>0</v>
      </c>
      <c r="I916" s="111" t="b">
        <v>0</v>
      </c>
      <c r="J916" s="111" t="b">
        <v>0</v>
      </c>
      <c r="K916" s="111" t="b">
        <v>0</v>
      </c>
      <c r="L916" s="111" t="b">
        <v>0</v>
      </c>
    </row>
    <row r="917" spans="1:12" ht="15">
      <c r="A917" s="113" t="s">
        <v>842</v>
      </c>
      <c r="B917" s="111" t="s">
        <v>840</v>
      </c>
      <c r="C917" s="111">
        <v>6</v>
      </c>
      <c r="D917" s="115">
        <v>0.002971771540877401</v>
      </c>
      <c r="E917" s="115">
        <v>0.766489630779508</v>
      </c>
      <c r="F917" s="111" t="s">
        <v>822</v>
      </c>
      <c r="G917" s="111" t="b">
        <v>0</v>
      </c>
      <c r="H917" s="111" t="b">
        <v>0</v>
      </c>
      <c r="I917" s="111" t="b">
        <v>0</v>
      </c>
      <c r="J917" s="111" t="b">
        <v>0</v>
      </c>
      <c r="K917" s="111" t="b">
        <v>0</v>
      </c>
      <c r="L917" s="111" t="b">
        <v>0</v>
      </c>
    </row>
    <row r="918" spans="1:12" ht="15">
      <c r="A918" s="113" t="s">
        <v>856</v>
      </c>
      <c r="B918" s="111" t="s">
        <v>848</v>
      </c>
      <c r="C918" s="111">
        <v>5</v>
      </c>
      <c r="D918" s="115">
        <v>0.002143223144421941</v>
      </c>
      <c r="E918" s="115">
        <v>1.872944961693795</v>
      </c>
      <c r="F918" s="111" t="s">
        <v>822</v>
      </c>
      <c r="G918" s="111" t="b">
        <v>0</v>
      </c>
      <c r="H918" s="111" t="b">
        <v>0</v>
      </c>
      <c r="I918" s="111" t="b">
        <v>0</v>
      </c>
      <c r="J918" s="111" t="b">
        <v>0</v>
      </c>
      <c r="K918" s="111" t="b">
        <v>0</v>
      </c>
      <c r="L918" s="111" t="b">
        <v>0</v>
      </c>
    </row>
    <row r="919" spans="1:12" ht="15">
      <c r="A919" s="113" t="s">
        <v>893</v>
      </c>
      <c r="B919" s="111" t="s">
        <v>916</v>
      </c>
      <c r="C919" s="111">
        <v>5</v>
      </c>
      <c r="D919" s="115">
        <v>0.0029061143054135378</v>
      </c>
      <c r="E919" s="115">
        <v>1.9467311758547134</v>
      </c>
      <c r="F919" s="111" t="s">
        <v>822</v>
      </c>
      <c r="G919" s="111" t="b">
        <v>0</v>
      </c>
      <c r="H919" s="111" t="b">
        <v>0</v>
      </c>
      <c r="I919" s="111" t="b">
        <v>0</v>
      </c>
      <c r="J919" s="111" t="b">
        <v>0</v>
      </c>
      <c r="K919" s="111" t="b">
        <v>0</v>
      </c>
      <c r="L919" s="111" t="b">
        <v>0</v>
      </c>
    </row>
    <row r="920" spans="1:12" ht="15">
      <c r="A920" s="113" t="s">
        <v>898</v>
      </c>
      <c r="B920" s="111" t="s">
        <v>856</v>
      </c>
      <c r="C920" s="111">
        <v>5</v>
      </c>
      <c r="D920" s="115">
        <v>0.002143223144421941</v>
      </c>
      <c r="E920" s="115">
        <v>1.5951448067482885</v>
      </c>
      <c r="F920" s="111" t="s">
        <v>822</v>
      </c>
      <c r="G920" s="111" t="b">
        <v>0</v>
      </c>
      <c r="H920" s="111" t="b">
        <v>0</v>
      </c>
      <c r="I920" s="111" t="b">
        <v>0</v>
      </c>
      <c r="J920" s="111" t="b">
        <v>0</v>
      </c>
      <c r="K920" s="111" t="b">
        <v>0</v>
      </c>
      <c r="L920" s="111" t="b">
        <v>0</v>
      </c>
    </row>
    <row r="921" spans="1:12" ht="15">
      <c r="A921" s="113" t="s">
        <v>856</v>
      </c>
      <c r="B921" s="111" t="s">
        <v>1077</v>
      </c>
      <c r="C921" s="111">
        <v>5</v>
      </c>
      <c r="D921" s="115">
        <v>0.002143223144421941</v>
      </c>
      <c r="E921" s="115">
        <v>1.9521262077414197</v>
      </c>
      <c r="F921" s="111" t="s">
        <v>822</v>
      </c>
      <c r="G921" s="111" t="b">
        <v>0</v>
      </c>
      <c r="H921" s="111" t="b">
        <v>0</v>
      </c>
      <c r="I921" s="111" t="b">
        <v>0</v>
      </c>
      <c r="J921" s="111" t="b">
        <v>0</v>
      </c>
      <c r="K921" s="111" t="b">
        <v>0</v>
      </c>
      <c r="L921" s="111" t="b">
        <v>0</v>
      </c>
    </row>
    <row r="922" spans="1:12" ht="15">
      <c r="A922" s="113" t="s">
        <v>840</v>
      </c>
      <c r="B922" s="111" t="s">
        <v>917</v>
      </c>
      <c r="C922" s="111">
        <v>5</v>
      </c>
      <c r="D922" s="115">
        <v>0.002143223144421941</v>
      </c>
      <c r="E922" s="115">
        <v>1.3224618157408656</v>
      </c>
      <c r="F922" s="111" t="s">
        <v>822</v>
      </c>
      <c r="G922" s="111" t="b">
        <v>0</v>
      </c>
      <c r="H922" s="111" t="b">
        <v>0</v>
      </c>
      <c r="I922" s="111" t="b">
        <v>0</v>
      </c>
      <c r="J922" s="111" t="b">
        <v>0</v>
      </c>
      <c r="K922" s="111" t="b">
        <v>0</v>
      </c>
      <c r="L922" s="111" t="b">
        <v>0</v>
      </c>
    </row>
    <row r="923" spans="1:12" ht="15">
      <c r="A923" s="113" t="s">
        <v>851</v>
      </c>
      <c r="B923" s="111" t="s">
        <v>1265</v>
      </c>
      <c r="C923" s="111">
        <v>4</v>
      </c>
      <c r="D923" s="115">
        <v>0.002809324068968193</v>
      </c>
      <c r="E923" s="115">
        <v>2.2020036809580197</v>
      </c>
      <c r="F923" s="111" t="s">
        <v>822</v>
      </c>
      <c r="G923" s="111" t="b">
        <v>0</v>
      </c>
      <c r="H923" s="111" t="b">
        <v>0</v>
      </c>
      <c r="I923" s="111" t="b">
        <v>0</v>
      </c>
      <c r="J923" s="111" t="b">
        <v>0</v>
      </c>
      <c r="K923" s="111" t="b">
        <v>0</v>
      </c>
      <c r="L923" s="111" t="b">
        <v>0</v>
      </c>
    </row>
    <row r="924" spans="1:12" ht="15">
      <c r="A924" s="113" t="s">
        <v>1267</v>
      </c>
      <c r="B924" s="111" t="s">
        <v>980</v>
      </c>
      <c r="C924" s="111">
        <v>4</v>
      </c>
      <c r="D924" s="115">
        <v>0.002809324068968193</v>
      </c>
      <c r="E924" s="115">
        <v>2.554186199069382</v>
      </c>
      <c r="F924" s="111" t="s">
        <v>822</v>
      </c>
      <c r="G924" s="111" t="b">
        <v>0</v>
      </c>
      <c r="H924" s="111" t="b">
        <v>0</v>
      </c>
      <c r="I924" s="111" t="b">
        <v>0</v>
      </c>
      <c r="J924" s="111" t="b">
        <v>0</v>
      </c>
      <c r="K924" s="111" t="b">
        <v>0</v>
      </c>
      <c r="L924" s="111" t="b">
        <v>0</v>
      </c>
    </row>
    <row r="925" spans="1:12" ht="15">
      <c r="A925" s="113" t="s">
        <v>959</v>
      </c>
      <c r="B925" s="111" t="s">
        <v>853</v>
      </c>
      <c r="C925" s="111">
        <v>4</v>
      </c>
      <c r="D925" s="115">
        <v>0.002809324068968193</v>
      </c>
      <c r="E925" s="115">
        <v>2.017943492231063</v>
      </c>
      <c r="F925" s="111" t="s">
        <v>822</v>
      </c>
      <c r="G925" s="111" t="b">
        <v>0</v>
      </c>
      <c r="H925" s="111" t="b">
        <v>0</v>
      </c>
      <c r="I925" s="111" t="b">
        <v>0</v>
      </c>
      <c r="J925" s="111" t="b">
        <v>0</v>
      </c>
      <c r="K925" s="111" t="b">
        <v>0</v>
      </c>
      <c r="L925" s="111" t="b">
        <v>0</v>
      </c>
    </row>
    <row r="926" spans="1:12" ht="15">
      <c r="A926" s="113" t="s">
        <v>1265</v>
      </c>
      <c r="B926" s="111" t="s">
        <v>1472</v>
      </c>
      <c r="C926" s="111">
        <v>3</v>
      </c>
      <c r="D926" s="115">
        <v>0.0027281003330135883</v>
      </c>
      <c r="E926" s="115">
        <v>2.554186199069382</v>
      </c>
      <c r="F926" s="111" t="s">
        <v>822</v>
      </c>
      <c r="G926" s="111" t="b">
        <v>0</v>
      </c>
      <c r="H926" s="111" t="b">
        <v>0</v>
      </c>
      <c r="I926" s="111" t="b">
        <v>0</v>
      </c>
      <c r="J926" s="111" t="b">
        <v>0</v>
      </c>
      <c r="K926" s="111" t="b">
        <v>0</v>
      </c>
      <c r="L926" s="111" t="b">
        <v>0</v>
      </c>
    </row>
    <row r="927" spans="1:12" ht="15">
      <c r="A927" s="113" t="s">
        <v>1474</v>
      </c>
      <c r="B927" s="111" t="s">
        <v>1267</v>
      </c>
      <c r="C927" s="111">
        <v>3</v>
      </c>
      <c r="D927" s="115">
        <v>0.0027281003330135883</v>
      </c>
      <c r="E927" s="115">
        <v>2.554186199069382</v>
      </c>
      <c r="F927" s="111" t="s">
        <v>822</v>
      </c>
      <c r="G927" s="111" t="b">
        <v>0</v>
      </c>
      <c r="H927" s="111" t="b">
        <v>0</v>
      </c>
      <c r="I927" s="111" t="b">
        <v>0</v>
      </c>
      <c r="J927" s="111" t="b">
        <v>0</v>
      </c>
      <c r="K927" s="111" t="b">
        <v>0</v>
      </c>
      <c r="L927" s="111" t="b">
        <v>0</v>
      </c>
    </row>
    <row r="928" spans="1:12" ht="15">
      <c r="A928" s="113" t="s">
        <v>1268</v>
      </c>
      <c r="B928" s="111" t="s">
        <v>1182</v>
      </c>
      <c r="C928" s="111">
        <v>3</v>
      </c>
      <c r="D928" s="115">
        <v>0.0027281003330135883</v>
      </c>
      <c r="E928" s="115">
        <v>2.679124935677682</v>
      </c>
      <c r="F928" s="111" t="s">
        <v>822</v>
      </c>
      <c r="G928" s="111" t="b">
        <v>0</v>
      </c>
      <c r="H928" s="111" t="b">
        <v>0</v>
      </c>
      <c r="I928" s="111" t="b">
        <v>0</v>
      </c>
      <c r="J928" s="111" t="b">
        <v>1</v>
      </c>
      <c r="K928" s="111" t="b">
        <v>0</v>
      </c>
      <c r="L928" s="111" t="b">
        <v>0</v>
      </c>
    </row>
    <row r="929" spans="1:12" ht="15">
      <c r="A929" s="113" t="s">
        <v>1182</v>
      </c>
      <c r="B929" s="111" t="s">
        <v>1078</v>
      </c>
      <c r="C929" s="111">
        <v>3</v>
      </c>
      <c r="D929" s="115">
        <v>0.0027281003330135883</v>
      </c>
      <c r="E929" s="115">
        <v>2.554186199069382</v>
      </c>
      <c r="F929" s="111" t="s">
        <v>822</v>
      </c>
      <c r="G929" s="111" t="b">
        <v>1</v>
      </c>
      <c r="H929" s="111" t="b">
        <v>0</v>
      </c>
      <c r="I929" s="111" t="b">
        <v>0</v>
      </c>
      <c r="J929" s="111" t="b">
        <v>1</v>
      </c>
      <c r="K929" s="111" t="b">
        <v>0</v>
      </c>
      <c r="L929" s="111" t="b">
        <v>0</v>
      </c>
    </row>
    <row r="930" spans="1:12" ht="15">
      <c r="A930" s="113" t="s">
        <v>873</v>
      </c>
      <c r="B930" s="111" t="s">
        <v>1425</v>
      </c>
      <c r="C930" s="111">
        <v>3</v>
      </c>
      <c r="D930" s="115">
        <v>0.0017436685832481226</v>
      </c>
      <c r="E930" s="115">
        <v>2.3111481503830875</v>
      </c>
      <c r="F930" s="111" t="s">
        <v>822</v>
      </c>
      <c r="G930" s="111" t="b">
        <v>0</v>
      </c>
      <c r="H930" s="111" t="b">
        <v>0</v>
      </c>
      <c r="I930" s="111" t="b">
        <v>0</v>
      </c>
      <c r="J930" s="111" t="b">
        <v>0</v>
      </c>
      <c r="K930" s="111" t="b">
        <v>0</v>
      </c>
      <c r="L930" s="111" t="b">
        <v>0</v>
      </c>
    </row>
    <row r="931" spans="1:12" ht="15">
      <c r="A931" s="113" t="s">
        <v>1425</v>
      </c>
      <c r="B931" s="111" t="s">
        <v>1426</v>
      </c>
      <c r="C931" s="111">
        <v>3</v>
      </c>
      <c r="D931" s="115">
        <v>0.0017436685832481226</v>
      </c>
      <c r="E931" s="115">
        <v>2.679124935677682</v>
      </c>
      <c r="F931" s="111" t="s">
        <v>822</v>
      </c>
      <c r="G931" s="111" t="b">
        <v>0</v>
      </c>
      <c r="H931" s="111" t="b">
        <v>0</v>
      </c>
      <c r="I931" s="111" t="b">
        <v>0</v>
      </c>
      <c r="J931" s="111" t="b">
        <v>0</v>
      </c>
      <c r="K931" s="111" t="b">
        <v>0</v>
      </c>
      <c r="L931" s="111" t="b">
        <v>0</v>
      </c>
    </row>
    <row r="932" spans="1:12" ht="15">
      <c r="A932" s="113" t="s">
        <v>1426</v>
      </c>
      <c r="B932" s="111" t="s">
        <v>977</v>
      </c>
      <c r="C932" s="111">
        <v>3</v>
      </c>
      <c r="D932" s="115">
        <v>0.0017436685832481226</v>
      </c>
      <c r="E932" s="115">
        <v>2.378094940013701</v>
      </c>
      <c r="F932" s="111" t="s">
        <v>822</v>
      </c>
      <c r="G932" s="111" t="b">
        <v>0</v>
      </c>
      <c r="H932" s="111" t="b">
        <v>0</v>
      </c>
      <c r="I932" s="111" t="b">
        <v>0</v>
      </c>
      <c r="J932" s="111" t="b">
        <v>0</v>
      </c>
      <c r="K932" s="111" t="b">
        <v>0</v>
      </c>
      <c r="L932" s="111" t="b">
        <v>0</v>
      </c>
    </row>
    <row r="933" spans="1:12" ht="15">
      <c r="A933" s="113" t="s">
        <v>977</v>
      </c>
      <c r="B933" s="111" t="s">
        <v>1427</v>
      </c>
      <c r="C933" s="111">
        <v>3</v>
      </c>
      <c r="D933" s="115">
        <v>0.0017436685832481226</v>
      </c>
      <c r="E933" s="115">
        <v>2.378094940013701</v>
      </c>
      <c r="F933" s="111" t="s">
        <v>822</v>
      </c>
      <c r="G933" s="111" t="b">
        <v>0</v>
      </c>
      <c r="H933" s="111" t="b">
        <v>0</v>
      </c>
      <c r="I933" s="111" t="b">
        <v>0</v>
      </c>
      <c r="J933" s="111" t="b">
        <v>0</v>
      </c>
      <c r="K933" s="111" t="b">
        <v>0</v>
      </c>
      <c r="L933" s="111" t="b">
        <v>0</v>
      </c>
    </row>
    <row r="934" spans="1:12" ht="15">
      <c r="A934" s="113" t="s">
        <v>1427</v>
      </c>
      <c r="B934" s="111" t="s">
        <v>1255</v>
      </c>
      <c r="C934" s="111">
        <v>3</v>
      </c>
      <c r="D934" s="115">
        <v>0.0017436685832481226</v>
      </c>
      <c r="E934" s="115">
        <v>2.679124935677682</v>
      </c>
      <c r="F934" s="111" t="s">
        <v>822</v>
      </c>
      <c r="G934" s="111" t="b">
        <v>0</v>
      </c>
      <c r="H934" s="111" t="b">
        <v>0</v>
      </c>
      <c r="I934" s="111" t="b">
        <v>0</v>
      </c>
      <c r="J934" s="111" t="b">
        <v>0</v>
      </c>
      <c r="K934" s="111" t="b">
        <v>0</v>
      </c>
      <c r="L934" s="111" t="b">
        <v>0</v>
      </c>
    </row>
    <row r="935" spans="1:12" ht="15">
      <c r="A935" s="113" t="s">
        <v>1255</v>
      </c>
      <c r="B935" s="111" t="s">
        <v>1428</v>
      </c>
      <c r="C935" s="111">
        <v>3</v>
      </c>
      <c r="D935" s="115">
        <v>0.0017436685832481226</v>
      </c>
      <c r="E935" s="115">
        <v>2.554186199069382</v>
      </c>
      <c r="F935" s="111" t="s">
        <v>822</v>
      </c>
      <c r="G935" s="111" t="b">
        <v>0</v>
      </c>
      <c r="H935" s="111" t="b">
        <v>0</v>
      </c>
      <c r="I935" s="111" t="b">
        <v>0</v>
      </c>
      <c r="J935" s="111" t="b">
        <v>1</v>
      </c>
      <c r="K935" s="111" t="b">
        <v>0</v>
      </c>
      <c r="L935" s="111" t="b">
        <v>0</v>
      </c>
    </row>
    <row r="936" spans="1:12" ht="15">
      <c r="A936" s="113" t="s">
        <v>1428</v>
      </c>
      <c r="B936" s="111" t="s">
        <v>873</v>
      </c>
      <c r="C936" s="111">
        <v>3</v>
      </c>
      <c r="D936" s="115">
        <v>0.0017436685832481226</v>
      </c>
      <c r="E936" s="115">
        <v>2.3111481503830875</v>
      </c>
      <c r="F936" s="111" t="s">
        <v>822</v>
      </c>
      <c r="G936" s="111" t="b">
        <v>1</v>
      </c>
      <c r="H936" s="111" t="b">
        <v>0</v>
      </c>
      <c r="I936" s="111" t="b">
        <v>0</v>
      </c>
      <c r="J936" s="111" t="b">
        <v>0</v>
      </c>
      <c r="K936" s="111" t="b">
        <v>0</v>
      </c>
      <c r="L936" s="111" t="b">
        <v>0</v>
      </c>
    </row>
    <row r="937" spans="1:12" ht="15">
      <c r="A937" s="113" t="s">
        <v>873</v>
      </c>
      <c r="B937" s="111" t="s">
        <v>1429</v>
      </c>
      <c r="C937" s="111">
        <v>3</v>
      </c>
      <c r="D937" s="115">
        <v>0.0017436685832481226</v>
      </c>
      <c r="E937" s="115">
        <v>2.3111481503830875</v>
      </c>
      <c r="F937" s="111" t="s">
        <v>822</v>
      </c>
      <c r="G937" s="111" t="b">
        <v>0</v>
      </c>
      <c r="H937" s="111" t="b">
        <v>0</v>
      </c>
      <c r="I937" s="111" t="b">
        <v>0</v>
      </c>
      <c r="J937" s="111" t="b">
        <v>0</v>
      </c>
      <c r="K937" s="111" t="b">
        <v>0</v>
      </c>
      <c r="L937" s="111" t="b">
        <v>0</v>
      </c>
    </row>
    <row r="938" spans="1:12" ht="15">
      <c r="A938" s="113" t="s">
        <v>1429</v>
      </c>
      <c r="B938" s="111" t="s">
        <v>1430</v>
      </c>
      <c r="C938" s="111">
        <v>3</v>
      </c>
      <c r="D938" s="115">
        <v>0.0017436685832481226</v>
      </c>
      <c r="E938" s="115">
        <v>2.679124935677682</v>
      </c>
      <c r="F938" s="111" t="s">
        <v>822</v>
      </c>
      <c r="G938" s="111" t="b">
        <v>0</v>
      </c>
      <c r="H938" s="111" t="b">
        <v>0</v>
      </c>
      <c r="I938" s="111" t="b">
        <v>0</v>
      </c>
      <c r="J938" s="111" t="b">
        <v>0</v>
      </c>
      <c r="K938" s="111" t="b">
        <v>0</v>
      </c>
      <c r="L938" s="111" t="b">
        <v>0</v>
      </c>
    </row>
    <row r="939" spans="1:12" ht="15">
      <c r="A939" s="113" t="s">
        <v>1430</v>
      </c>
      <c r="B939" s="111" t="s">
        <v>861</v>
      </c>
      <c r="C939" s="111">
        <v>3</v>
      </c>
      <c r="D939" s="115">
        <v>0.0017436685832481226</v>
      </c>
      <c r="E939" s="115">
        <v>2.679124935677682</v>
      </c>
      <c r="F939" s="111" t="s">
        <v>822</v>
      </c>
      <c r="G939" s="111" t="b">
        <v>0</v>
      </c>
      <c r="H939" s="111" t="b">
        <v>0</v>
      </c>
      <c r="I939" s="111" t="b">
        <v>0</v>
      </c>
      <c r="J939" s="111" t="b">
        <v>0</v>
      </c>
      <c r="K939" s="111" t="b">
        <v>0</v>
      </c>
      <c r="L939" s="111" t="b">
        <v>0</v>
      </c>
    </row>
    <row r="940" spans="1:12" ht="15">
      <c r="A940" s="113" t="s">
        <v>861</v>
      </c>
      <c r="B940" s="111" t="s">
        <v>1431</v>
      </c>
      <c r="C940" s="111">
        <v>3</v>
      </c>
      <c r="D940" s="115">
        <v>0.0017436685832481226</v>
      </c>
      <c r="E940" s="115">
        <v>2.679124935677682</v>
      </c>
      <c r="F940" s="111" t="s">
        <v>822</v>
      </c>
      <c r="G940" s="111" t="b">
        <v>0</v>
      </c>
      <c r="H940" s="111" t="b">
        <v>0</v>
      </c>
      <c r="I940" s="111" t="b">
        <v>0</v>
      </c>
      <c r="J940" s="111" t="b">
        <v>0</v>
      </c>
      <c r="K940" s="111" t="b">
        <v>0</v>
      </c>
      <c r="L940" s="111" t="b">
        <v>0</v>
      </c>
    </row>
    <row r="941" spans="1:12" ht="15">
      <c r="A941" s="113" t="s">
        <v>1431</v>
      </c>
      <c r="B941" s="111" t="s">
        <v>1082</v>
      </c>
      <c r="C941" s="111">
        <v>3</v>
      </c>
      <c r="D941" s="115">
        <v>0.0017436685832481226</v>
      </c>
      <c r="E941" s="115">
        <v>2.679124935677682</v>
      </c>
      <c r="F941" s="111" t="s">
        <v>822</v>
      </c>
      <c r="G941" s="111" t="b">
        <v>0</v>
      </c>
      <c r="H941" s="111" t="b">
        <v>0</v>
      </c>
      <c r="I941" s="111" t="b">
        <v>0</v>
      </c>
      <c r="J941" s="111" t="b">
        <v>0</v>
      </c>
      <c r="K941" s="111" t="b">
        <v>0</v>
      </c>
      <c r="L941" s="111" t="b">
        <v>0</v>
      </c>
    </row>
    <row r="942" spans="1:12" ht="15">
      <c r="A942" s="113" t="s">
        <v>1082</v>
      </c>
      <c r="B942" s="111" t="s">
        <v>1432</v>
      </c>
      <c r="C942" s="111">
        <v>3</v>
      </c>
      <c r="D942" s="115">
        <v>0.0017436685832481226</v>
      </c>
      <c r="E942" s="115">
        <v>2.679124935677682</v>
      </c>
      <c r="F942" s="111" t="s">
        <v>822</v>
      </c>
      <c r="G942" s="111" t="b">
        <v>0</v>
      </c>
      <c r="H942" s="111" t="b">
        <v>0</v>
      </c>
      <c r="I942" s="111" t="b">
        <v>0</v>
      </c>
      <c r="J942" s="111" t="b">
        <v>0</v>
      </c>
      <c r="K942" s="111" t="b">
        <v>0</v>
      </c>
      <c r="L942" s="111" t="b">
        <v>0</v>
      </c>
    </row>
    <row r="943" spans="1:12" ht="15">
      <c r="A943" s="113" t="s">
        <v>1432</v>
      </c>
      <c r="B943" s="111" t="s">
        <v>1433</v>
      </c>
      <c r="C943" s="111">
        <v>3</v>
      </c>
      <c r="D943" s="115">
        <v>0.0017436685832481226</v>
      </c>
      <c r="E943" s="115">
        <v>2.679124935677682</v>
      </c>
      <c r="F943" s="111" t="s">
        <v>822</v>
      </c>
      <c r="G943" s="111" t="b">
        <v>0</v>
      </c>
      <c r="H943" s="111" t="b">
        <v>0</v>
      </c>
      <c r="I943" s="111" t="b">
        <v>0</v>
      </c>
      <c r="J943" s="111" t="b">
        <v>0</v>
      </c>
      <c r="K943" s="111" t="b">
        <v>0</v>
      </c>
      <c r="L943" s="111" t="b">
        <v>0</v>
      </c>
    </row>
    <row r="944" spans="1:12" ht="15">
      <c r="A944" s="113" t="s">
        <v>1433</v>
      </c>
      <c r="B944" s="111" t="s">
        <v>1015</v>
      </c>
      <c r="C944" s="111">
        <v>3</v>
      </c>
      <c r="D944" s="115">
        <v>0.0017436685832481226</v>
      </c>
      <c r="E944" s="115">
        <v>2.679124935677682</v>
      </c>
      <c r="F944" s="111" t="s">
        <v>822</v>
      </c>
      <c r="G944" s="111" t="b">
        <v>0</v>
      </c>
      <c r="H944" s="111" t="b">
        <v>0</v>
      </c>
      <c r="I944" s="111" t="b">
        <v>0</v>
      </c>
      <c r="J944" s="111" t="b">
        <v>0</v>
      </c>
      <c r="K944" s="111" t="b">
        <v>0</v>
      </c>
      <c r="L944" s="111" t="b">
        <v>0</v>
      </c>
    </row>
    <row r="945" spans="1:12" ht="15">
      <c r="A945" s="113" t="s">
        <v>1015</v>
      </c>
      <c r="B945" s="111" t="s">
        <v>966</v>
      </c>
      <c r="C945" s="111">
        <v>3</v>
      </c>
      <c r="D945" s="115">
        <v>0.0017436685832481226</v>
      </c>
      <c r="E945" s="115">
        <v>2.679124935677682</v>
      </c>
      <c r="F945" s="111" t="s">
        <v>822</v>
      </c>
      <c r="G945" s="111" t="b">
        <v>0</v>
      </c>
      <c r="H945" s="111" t="b">
        <v>0</v>
      </c>
      <c r="I945" s="111" t="b">
        <v>0</v>
      </c>
      <c r="J945" s="111" t="b">
        <v>0</v>
      </c>
      <c r="K945" s="111" t="b">
        <v>0</v>
      </c>
      <c r="L945" s="111" t="b">
        <v>0</v>
      </c>
    </row>
    <row r="946" spans="1:12" ht="15">
      <c r="A946" s="113" t="s">
        <v>966</v>
      </c>
      <c r="B946" s="111" t="s">
        <v>1434</v>
      </c>
      <c r="C946" s="111">
        <v>3</v>
      </c>
      <c r="D946" s="115">
        <v>0.0017436685832481226</v>
      </c>
      <c r="E946" s="115">
        <v>2.679124935677682</v>
      </c>
      <c r="F946" s="111" t="s">
        <v>822</v>
      </c>
      <c r="G946" s="111" t="b">
        <v>0</v>
      </c>
      <c r="H946" s="111" t="b">
        <v>0</v>
      </c>
      <c r="I946" s="111" t="b">
        <v>0</v>
      </c>
      <c r="J946" s="111" t="b">
        <v>0</v>
      </c>
      <c r="K946" s="111" t="b">
        <v>0</v>
      </c>
      <c r="L946" s="111" t="b">
        <v>0</v>
      </c>
    </row>
    <row r="947" spans="1:12" ht="15">
      <c r="A947" s="113" t="s">
        <v>1434</v>
      </c>
      <c r="B947" s="111" t="s">
        <v>1075</v>
      </c>
      <c r="C947" s="111">
        <v>3</v>
      </c>
      <c r="D947" s="115">
        <v>0.0017436685832481226</v>
      </c>
      <c r="E947" s="115">
        <v>2.679124935677682</v>
      </c>
      <c r="F947" s="111" t="s">
        <v>822</v>
      </c>
      <c r="G947" s="111" t="b">
        <v>0</v>
      </c>
      <c r="H947" s="111" t="b">
        <v>0</v>
      </c>
      <c r="I947" s="111" t="b">
        <v>0</v>
      </c>
      <c r="J947" s="111" t="b">
        <v>0</v>
      </c>
      <c r="K947" s="111" t="b">
        <v>0</v>
      </c>
      <c r="L947" s="111" t="b">
        <v>0</v>
      </c>
    </row>
    <row r="948" spans="1:12" ht="15">
      <c r="A948" s="113" t="s">
        <v>1075</v>
      </c>
      <c r="B948" s="111" t="s">
        <v>1110</v>
      </c>
      <c r="C948" s="111">
        <v>3</v>
      </c>
      <c r="D948" s="115">
        <v>0.0017436685832481226</v>
      </c>
      <c r="E948" s="115">
        <v>2.679124935677682</v>
      </c>
      <c r="F948" s="111" t="s">
        <v>822</v>
      </c>
      <c r="G948" s="111" t="b">
        <v>0</v>
      </c>
      <c r="H948" s="111" t="b">
        <v>0</v>
      </c>
      <c r="I948" s="111" t="b">
        <v>0</v>
      </c>
      <c r="J948" s="111" t="b">
        <v>0</v>
      </c>
      <c r="K948" s="111" t="b">
        <v>0</v>
      </c>
      <c r="L948" s="111" t="b">
        <v>0</v>
      </c>
    </row>
    <row r="949" spans="1:12" ht="15">
      <c r="A949" s="113" t="s">
        <v>1110</v>
      </c>
      <c r="B949" s="111" t="s">
        <v>1151</v>
      </c>
      <c r="C949" s="111">
        <v>3</v>
      </c>
      <c r="D949" s="115">
        <v>0.0017436685832481226</v>
      </c>
      <c r="E949" s="115">
        <v>2.679124935677682</v>
      </c>
      <c r="F949" s="111" t="s">
        <v>822</v>
      </c>
      <c r="G949" s="111" t="b">
        <v>0</v>
      </c>
      <c r="H949" s="111" t="b">
        <v>0</v>
      </c>
      <c r="I949" s="111" t="b">
        <v>0</v>
      </c>
      <c r="J949" s="111" t="b">
        <v>0</v>
      </c>
      <c r="K949" s="111" t="b">
        <v>0</v>
      </c>
      <c r="L949" s="111" t="b">
        <v>0</v>
      </c>
    </row>
    <row r="950" spans="1:12" ht="15">
      <c r="A950" s="113" t="s">
        <v>1151</v>
      </c>
      <c r="B950" s="111" t="s">
        <v>1125</v>
      </c>
      <c r="C950" s="111">
        <v>3</v>
      </c>
      <c r="D950" s="115">
        <v>0.0017436685832481226</v>
      </c>
      <c r="E950" s="115">
        <v>2.679124935677682</v>
      </c>
      <c r="F950" s="111" t="s">
        <v>822</v>
      </c>
      <c r="G950" s="111" t="b">
        <v>0</v>
      </c>
      <c r="H950" s="111" t="b">
        <v>0</v>
      </c>
      <c r="I950" s="111" t="b">
        <v>0</v>
      </c>
      <c r="J950" s="111" t="b">
        <v>0</v>
      </c>
      <c r="K950" s="111" t="b">
        <v>0</v>
      </c>
      <c r="L950" s="111" t="b">
        <v>0</v>
      </c>
    </row>
    <row r="951" spans="1:12" ht="15">
      <c r="A951" s="113" t="s">
        <v>1125</v>
      </c>
      <c r="B951" s="111" t="s">
        <v>874</v>
      </c>
      <c r="C951" s="111">
        <v>3</v>
      </c>
      <c r="D951" s="115">
        <v>0.0017436685832481226</v>
      </c>
      <c r="E951" s="115">
        <v>1.9257972690190706</v>
      </c>
      <c r="F951" s="111" t="s">
        <v>822</v>
      </c>
      <c r="G951" s="111" t="b">
        <v>0</v>
      </c>
      <c r="H951" s="111" t="b">
        <v>0</v>
      </c>
      <c r="I951" s="111" t="b">
        <v>0</v>
      </c>
      <c r="J951" s="111" t="b">
        <v>0</v>
      </c>
      <c r="K951" s="111" t="b">
        <v>0</v>
      </c>
      <c r="L951" s="111" t="b">
        <v>0</v>
      </c>
    </row>
    <row r="952" spans="1:12" ht="15">
      <c r="A952" s="113" t="s">
        <v>842</v>
      </c>
      <c r="B952" s="111" t="s">
        <v>1435</v>
      </c>
      <c r="C952" s="111">
        <v>3</v>
      </c>
      <c r="D952" s="115">
        <v>0.0017436685832481226</v>
      </c>
      <c r="E952" s="115">
        <v>1.4934883587157703</v>
      </c>
      <c r="F952" s="111" t="s">
        <v>822</v>
      </c>
      <c r="G952" s="111" t="b">
        <v>0</v>
      </c>
      <c r="H952" s="111" t="b">
        <v>0</v>
      </c>
      <c r="I952" s="111" t="b">
        <v>0</v>
      </c>
      <c r="J952" s="111" t="b">
        <v>1</v>
      </c>
      <c r="K952" s="111" t="b">
        <v>0</v>
      </c>
      <c r="L952" s="111" t="b">
        <v>0</v>
      </c>
    </row>
    <row r="953" spans="1:12" ht="15">
      <c r="A953" s="113" t="s">
        <v>1435</v>
      </c>
      <c r="B953" s="111" t="s">
        <v>1143</v>
      </c>
      <c r="C953" s="111">
        <v>3</v>
      </c>
      <c r="D953" s="115">
        <v>0.0017436685832481226</v>
      </c>
      <c r="E953" s="115">
        <v>2.554186199069382</v>
      </c>
      <c r="F953" s="111" t="s">
        <v>822</v>
      </c>
      <c r="G953" s="111" t="b">
        <v>1</v>
      </c>
      <c r="H953" s="111" t="b">
        <v>0</v>
      </c>
      <c r="I953" s="111" t="b">
        <v>0</v>
      </c>
      <c r="J953" s="111" t="b">
        <v>0</v>
      </c>
      <c r="K953" s="111" t="b">
        <v>0</v>
      </c>
      <c r="L953" s="111" t="b">
        <v>0</v>
      </c>
    </row>
    <row r="954" spans="1:12" ht="15">
      <c r="A954" s="113" t="s">
        <v>1143</v>
      </c>
      <c r="B954" s="111" t="s">
        <v>1436</v>
      </c>
      <c r="C954" s="111">
        <v>3</v>
      </c>
      <c r="D954" s="115">
        <v>0.0017436685832481226</v>
      </c>
      <c r="E954" s="115">
        <v>2.554186199069382</v>
      </c>
      <c r="F954" s="111" t="s">
        <v>822</v>
      </c>
      <c r="G954" s="111" t="b">
        <v>0</v>
      </c>
      <c r="H954" s="111" t="b">
        <v>0</v>
      </c>
      <c r="I954" s="111" t="b">
        <v>0</v>
      </c>
      <c r="J954" s="111" t="b">
        <v>0</v>
      </c>
      <c r="K954" s="111" t="b">
        <v>0</v>
      </c>
      <c r="L954" s="111" t="b">
        <v>0</v>
      </c>
    </row>
    <row r="955" spans="1:12" ht="15">
      <c r="A955" s="113" t="s">
        <v>1436</v>
      </c>
      <c r="B955" s="111" t="s">
        <v>1437</v>
      </c>
      <c r="C955" s="111">
        <v>3</v>
      </c>
      <c r="D955" s="115">
        <v>0.0017436685832481226</v>
      </c>
      <c r="E955" s="115">
        <v>2.679124935677682</v>
      </c>
      <c r="F955" s="111" t="s">
        <v>822</v>
      </c>
      <c r="G955" s="111" t="b">
        <v>0</v>
      </c>
      <c r="H955" s="111" t="b">
        <v>0</v>
      </c>
      <c r="I955" s="111" t="b">
        <v>0</v>
      </c>
      <c r="J955" s="111" t="b">
        <v>1</v>
      </c>
      <c r="K955" s="111" t="b">
        <v>0</v>
      </c>
      <c r="L955" s="111" t="b">
        <v>0</v>
      </c>
    </row>
    <row r="956" spans="1:12" ht="15">
      <c r="A956" s="113" t="s">
        <v>1437</v>
      </c>
      <c r="B956" s="111" t="s">
        <v>1191</v>
      </c>
      <c r="C956" s="111">
        <v>3</v>
      </c>
      <c r="D956" s="115">
        <v>0.0017436685832481226</v>
      </c>
      <c r="E956" s="115">
        <v>2.679124935677682</v>
      </c>
      <c r="F956" s="111" t="s">
        <v>822</v>
      </c>
      <c r="G956" s="111" t="b">
        <v>1</v>
      </c>
      <c r="H956" s="111" t="b">
        <v>0</v>
      </c>
      <c r="I956" s="111" t="b">
        <v>0</v>
      </c>
      <c r="J956" s="111" t="b">
        <v>0</v>
      </c>
      <c r="K956" s="111" t="b">
        <v>0</v>
      </c>
      <c r="L956" s="111" t="b">
        <v>0</v>
      </c>
    </row>
    <row r="957" spans="1:12" ht="15">
      <c r="A957" s="113" t="s">
        <v>1191</v>
      </c>
      <c r="B957" s="111" t="s">
        <v>965</v>
      </c>
      <c r="C957" s="111">
        <v>3</v>
      </c>
      <c r="D957" s="115">
        <v>0.0017436685832481226</v>
      </c>
      <c r="E957" s="115">
        <v>2.679124935677682</v>
      </c>
      <c r="F957" s="111" t="s">
        <v>822</v>
      </c>
      <c r="G957" s="111" t="b">
        <v>0</v>
      </c>
      <c r="H957" s="111" t="b">
        <v>0</v>
      </c>
      <c r="I957" s="111" t="b">
        <v>0</v>
      </c>
      <c r="J957" s="111" t="b">
        <v>0</v>
      </c>
      <c r="K957" s="111" t="b">
        <v>0</v>
      </c>
      <c r="L957" s="111" t="b">
        <v>0</v>
      </c>
    </row>
    <row r="958" spans="1:12" ht="15">
      <c r="A958" s="113" t="s">
        <v>965</v>
      </c>
      <c r="B958" s="111" t="s">
        <v>1238</v>
      </c>
      <c r="C958" s="111">
        <v>3</v>
      </c>
      <c r="D958" s="115">
        <v>0.0017436685832481226</v>
      </c>
      <c r="E958" s="115">
        <v>2.679124935677682</v>
      </c>
      <c r="F958" s="111" t="s">
        <v>822</v>
      </c>
      <c r="G958" s="111" t="b">
        <v>0</v>
      </c>
      <c r="H958" s="111" t="b">
        <v>0</v>
      </c>
      <c r="I958" s="111" t="b">
        <v>0</v>
      </c>
      <c r="J958" s="111" t="b">
        <v>0</v>
      </c>
      <c r="K958" s="111" t="b">
        <v>0</v>
      </c>
      <c r="L958" s="111" t="b">
        <v>0</v>
      </c>
    </row>
    <row r="959" spans="1:12" ht="15">
      <c r="A959" s="113" t="s">
        <v>1238</v>
      </c>
      <c r="B959" s="111" t="s">
        <v>951</v>
      </c>
      <c r="C959" s="111">
        <v>3</v>
      </c>
      <c r="D959" s="115">
        <v>0.0017436685832481226</v>
      </c>
      <c r="E959" s="115">
        <v>2.554186199069382</v>
      </c>
      <c r="F959" s="111" t="s">
        <v>822</v>
      </c>
      <c r="G959" s="111" t="b">
        <v>0</v>
      </c>
      <c r="H959" s="111" t="b">
        <v>0</v>
      </c>
      <c r="I959" s="111" t="b">
        <v>0</v>
      </c>
      <c r="J959" s="111" t="b">
        <v>0</v>
      </c>
      <c r="K959" s="111" t="b">
        <v>0</v>
      </c>
      <c r="L959" s="111" t="b">
        <v>0</v>
      </c>
    </row>
    <row r="960" spans="1:12" ht="15">
      <c r="A960" s="113" t="s">
        <v>881</v>
      </c>
      <c r="B960" s="111" t="s">
        <v>1460</v>
      </c>
      <c r="C960" s="111">
        <v>3</v>
      </c>
      <c r="D960" s="115">
        <v>0.0021069930517261443</v>
      </c>
      <c r="E960" s="115">
        <v>1.9801549313416633</v>
      </c>
      <c r="F960" s="111" t="s">
        <v>822</v>
      </c>
      <c r="G960" s="111" t="b">
        <v>0</v>
      </c>
      <c r="H960" s="111" t="b">
        <v>0</v>
      </c>
      <c r="I960" s="111" t="b">
        <v>0</v>
      </c>
      <c r="J960" s="111" t="b">
        <v>0</v>
      </c>
      <c r="K960" s="111" t="b">
        <v>0</v>
      </c>
      <c r="L960" s="111" t="b">
        <v>0</v>
      </c>
    </row>
    <row r="961" spans="1:12" ht="15">
      <c r="A961" s="113" t="s">
        <v>856</v>
      </c>
      <c r="B961" s="111" t="s">
        <v>921</v>
      </c>
      <c r="C961" s="111">
        <v>3</v>
      </c>
      <c r="D961" s="115">
        <v>0.0017436685832481226</v>
      </c>
      <c r="E961" s="115">
        <v>1.5841494224468253</v>
      </c>
      <c r="F961" s="111" t="s">
        <v>822</v>
      </c>
      <c r="G961" s="111" t="b">
        <v>0</v>
      </c>
      <c r="H961" s="111" t="b">
        <v>0</v>
      </c>
      <c r="I961" s="111" t="b">
        <v>0</v>
      </c>
      <c r="J961" s="111" t="b">
        <v>0</v>
      </c>
      <c r="K961" s="111" t="b">
        <v>0</v>
      </c>
      <c r="L961" s="111" t="b">
        <v>0</v>
      </c>
    </row>
    <row r="962" spans="1:12" ht="15">
      <c r="A962" s="113" t="s">
        <v>921</v>
      </c>
      <c r="B962" s="111" t="s">
        <v>1236</v>
      </c>
      <c r="C962" s="111">
        <v>3</v>
      </c>
      <c r="D962" s="115">
        <v>0.0017436685832481226</v>
      </c>
      <c r="E962" s="115">
        <v>2.3111481503830875</v>
      </c>
      <c r="F962" s="111" t="s">
        <v>822</v>
      </c>
      <c r="G962" s="111" t="b">
        <v>0</v>
      </c>
      <c r="H962" s="111" t="b">
        <v>0</v>
      </c>
      <c r="I962" s="111" t="b">
        <v>0</v>
      </c>
      <c r="J962" s="111" t="b">
        <v>0</v>
      </c>
      <c r="K962" s="111" t="b">
        <v>0</v>
      </c>
      <c r="L962" s="111" t="b">
        <v>0</v>
      </c>
    </row>
    <row r="963" spans="1:12" ht="15">
      <c r="A963" s="113" t="s">
        <v>1236</v>
      </c>
      <c r="B963" s="111" t="s">
        <v>1461</v>
      </c>
      <c r="C963" s="111">
        <v>3</v>
      </c>
      <c r="D963" s="115">
        <v>0.0017436685832481226</v>
      </c>
      <c r="E963" s="115">
        <v>2.679124935677682</v>
      </c>
      <c r="F963" s="111" t="s">
        <v>822</v>
      </c>
      <c r="G963" s="111" t="b">
        <v>0</v>
      </c>
      <c r="H963" s="111" t="b">
        <v>0</v>
      </c>
      <c r="I963" s="111" t="b">
        <v>0</v>
      </c>
      <c r="J963" s="111" t="b">
        <v>0</v>
      </c>
      <c r="K963" s="111" t="b">
        <v>0</v>
      </c>
      <c r="L963" s="111" t="b">
        <v>0</v>
      </c>
    </row>
    <row r="964" spans="1:12" ht="15">
      <c r="A964" s="113" t="s">
        <v>1461</v>
      </c>
      <c r="B964" s="111" t="s">
        <v>1085</v>
      </c>
      <c r="C964" s="111">
        <v>3</v>
      </c>
      <c r="D964" s="115">
        <v>0.0017436685832481226</v>
      </c>
      <c r="E964" s="115">
        <v>2.378094940013701</v>
      </c>
      <c r="F964" s="111" t="s">
        <v>822</v>
      </c>
      <c r="G964" s="111" t="b">
        <v>0</v>
      </c>
      <c r="H964" s="111" t="b">
        <v>0</v>
      </c>
      <c r="I964" s="111" t="b">
        <v>0</v>
      </c>
      <c r="J964" s="111" t="b">
        <v>0</v>
      </c>
      <c r="K964" s="111" t="b">
        <v>0</v>
      </c>
      <c r="L964" s="111" t="b">
        <v>0</v>
      </c>
    </row>
    <row r="965" spans="1:12" ht="15">
      <c r="A965" s="113" t="s">
        <v>1085</v>
      </c>
      <c r="B965" s="111" t="s">
        <v>1462</v>
      </c>
      <c r="C965" s="111">
        <v>3</v>
      </c>
      <c r="D965" s="115">
        <v>0.0017436685832481226</v>
      </c>
      <c r="E965" s="115">
        <v>2.378094940013701</v>
      </c>
      <c r="F965" s="111" t="s">
        <v>822</v>
      </c>
      <c r="G965" s="111" t="b">
        <v>0</v>
      </c>
      <c r="H965" s="111" t="b">
        <v>0</v>
      </c>
      <c r="I965" s="111" t="b">
        <v>0</v>
      </c>
      <c r="J965" s="111" t="b">
        <v>0</v>
      </c>
      <c r="K965" s="111" t="b">
        <v>0</v>
      </c>
      <c r="L965" s="111" t="b">
        <v>0</v>
      </c>
    </row>
    <row r="966" spans="1:12" ht="15">
      <c r="A966" s="113" t="s">
        <v>1462</v>
      </c>
      <c r="B966" s="111" t="s">
        <v>874</v>
      </c>
      <c r="C966" s="111">
        <v>3</v>
      </c>
      <c r="D966" s="115">
        <v>0.0017436685832481226</v>
      </c>
      <c r="E966" s="115">
        <v>1.9257972690190706</v>
      </c>
      <c r="F966" s="111" t="s">
        <v>822</v>
      </c>
      <c r="G966" s="111" t="b">
        <v>0</v>
      </c>
      <c r="H966" s="111" t="b">
        <v>0</v>
      </c>
      <c r="I966" s="111" t="b">
        <v>0</v>
      </c>
      <c r="J966" s="111" t="b">
        <v>0</v>
      </c>
      <c r="K966" s="111" t="b">
        <v>0</v>
      </c>
      <c r="L966" s="111" t="b">
        <v>0</v>
      </c>
    </row>
    <row r="967" spans="1:12" ht="15">
      <c r="A967" s="113" t="s">
        <v>842</v>
      </c>
      <c r="B967" s="111" t="s">
        <v>856</v>
      </c>
      <c r="C967" s="111">
        <v>3</v>
      </c>
      <c r="D967" s="115">
        <v>0.0017436685832481226</v>
      </c>
      <c r="E967" s="115">
        <v>0.8566662611285961</v>
      </c>
      <c r="F967" s="111" t="s">
        <v>822</v>
      </c>
      <c r="G967" s="111" t="b">
        <v>0</v>
      </c>
      <c r="H967" s="111" t="b">
        <v>0</v>
      </c>
      <c r="I967" s="111" t="b">
        <v>0</v>
      </c>
      <c r="J967" s="111" t="b">
        <v>0</v>
      </c>
      <c r="K967" s="111" t="b">
        <v>0</v>
      </c>
      <c r="L967" s="111" t="b">
        <v>0</v>
      </c>
    </row>
    <row r="968" spans="1:12" ht="15">
      <c r="A968" s="113" t="s">
        <v>848</v>
      </c>
      <c r="B968" s="111" t="s">
        <v>1463</v>
      </c>
      <c r="C968" s="111">
        <v>3</v>
      </c>
      <c r="D968" s="115">
        <v>0.0017436685832481226</v>
      </c>
      <c r="E968" s="115">
        <v>2.378094940013701</v>
      </c>
      <c r="F968" s="111" t="s">
        <v>822</v>
      </c>
      <c r="G968" s="111" t="b">
        <v>0</v>
      </c>
      <c r="H968" s="111" t="b">
        <v>0</v>
      </c>
      <c r="I968" s="111" t="b">
        <v>0</v>
      </c>
      <c r="J968" s="111" t="b">
        <v>0</v>
      </c>
      <c r="K968" s="111" t="b">
        <v>0</v>
      </c>
      <c r="L968" s="111" t="b">
        <v>0</v>
      </c>
    </row>
    <row r="969" spans="1:12" ht="15">
      <c r="A969" s="113" t="s">
        <v>1463</v>
      </c>
      <c r="B969" s="111" t="s">
        <v>1017</v>
      </c>
      <c r="C969" s="111">
        <v>3</v>
      </c>
      <c r="D969" s="115">
        <v>0.0017436685832481226</v>
      </c>
      <c r="E969" s="115">
        <v>2.4572761860613257</v>
      </c>
      <c r="F969" s="111" t="s">
        <v>822</v>
      </c>
      <c r="G969" s="111" t="b">
        <v>0</v>
      </c>
      <c r="H969" s="111" t="b">
        <v>0</v>
      </c>
      <c r="I969" s="111" t="b">
        <v>0</v>
      </c>
      <c r="J969" s="111" t="b">
        <v>0</v>
      </c>
      <c r="K969" s="111" t="b">
        <v>0</v>
      </c>
      <c r="L969" s="111" t="b">
        <v>0</v>
      </c>
    </row>
    <row r="970" spans="1:12" ht="15">
      <c r="A970" s="113" t="s">
        <v>1017</v>
      </c>
      <c r="B970" s="111" t="s">
        <v>900</v>
      </c>
      <c r="C970" s="111">
        <v>3</v>
      </c>
      <c r="D970" s="115">
        <v>0.0017436685832481226</v>
      </c>
      <c r="E970" s="115">
        <v>2.1562461903973444</v>
      </c>
      <c r="F970" s="111" t="s">
        <v>822</v>
      </c>
      <c r="G970" s="111" t="b">
        <v>0</v>
      </c>
      <c r="H970" s="111" t="b">
        <v>0</v>
      </c>
      <c r="I970" s="111" t="b">
        <v>0</v>
      </c>
      <c r="J970" s="111" t="b">
        <v>0</v>
      </c>
      <c r="K970" s="111" t="b">
        <v>1</v>
      </c>
      <c r="L970" s="111" t="b">
        <v>0</v>
      </c>
    </row>
    <row r="971" spans="1:12" ht="15">
      <c r="A971" s="113" t="s">
        <v>900</v>
      </c>
      <c r="B971" s="111" t="s">
        <v>1464</v>
      </c>
      <c r="C971" s="111">
        <v>3</v>
      </c>
      <c r="D971" s="115">
        <v>0.0017436685832481226</v>
      </c>
      <c r="E971" s="115">
        <v>2.378094940013701</v>
      </c>
      <c r="F971" s="111" t="s">
        <v>822</v>
      </c>
      <c r="G971" s="111" t="b">
        <v>0</v>
      </c>
      <c r="H971" s="111" t="b">
        <v>1</v>
      </c>
      <c r="I971" s="111" t="b">
        <v>0</v>
      </c>
      <c r="J971" s="111" t="b">
        <v>0</v>
      </c>
      <c r="K971" s="111" t="b">
        <v>0</v>
      </c>
      <c r="L971" s="111" t="b">
        <v>0</v>
      </c>
    </row>
    <row r="972" spans="1:12" ht="15">
      <c r="A972" s="113" t="s">
        <v>1464</v>
      </c>
      <c r="B972" s="111" t="s">
        <v>1008</v>
      </c>
      <c r="C972" s="111">
        <v>3</v>
      </c>
      <c r="D972" s="115">
        <v>0.0017436685832481226</v>
      </c>
      <c r="E972" s="115">
        <v>2.4572761860613257</v>
      </c>
      <c r="F972" s="111" t="s">
        <v>822</v>
      </c>
      <c r="G972" s="111" t="b">
        <v>0</v>
      </c>
      <c r="H972" s="111" t="b">
        <v>0</v>
      </c>
      <c r="I972" s="111" t="b">
        <v>0</v>
      </c>
      <c r="J972" s="111" t="b">
        <v>0</v>
      </c>
      <c r="K972" s="111" t="b">
        <v>0</v>
      </c>
      <c r="L972" s="111" t="b">
        <v>0</v>
      </c>
    </row>
    <row r="973" spans="1:12" ht="15">
      <c r="A973" s="113" t="s">
        <v>1008</v>
      </c>
      <c r="B973" s="111" t="s">
        <v>864</v>
      </c>
      <c r="C973" s="111">
        <v>3</v>
      </c>
      <c r="D973" s="115">
        <v>0.0017436685832481226</v>
      </c>
      <c r="E973" s="115">
        <v>2.332337449453026</v>
      </c>
      <c r="F973" s="111" t="s">
        <v>822</v>
      </c>
      <c r="G973" s="111" t="b">
        <v>0</v>
      </c>
      <c r="H973" s="111" t="b">
        <v>0</v>
      </c>
      <c r="I973" s="111" t="b">
        <v>0</v>
      </c>
      <c r="J973" s="111" t="b">
        <v>0</v>
      </c>
      <c r="K973" s="111" t="b">
        <v>0</v>
      </c>
      <c r="L973" s="111" t="b">
        <v>0</v>
      </c>
    </row>
    <row r="974" spans="1:12" ht="15">
      <c r="A974" s="113" t="s">
        <v>864</v>
      </c>
      <c r="B974" s="111" t="s">
        <v>842</v>
      </c>
      <c r="C974" s="111">
        <v>3</v>
      </c>
      <c r="D974" s="115">
        <v>0.0017436685832481226</v>
      </c>
      <c r="E974" s="115">
        <v>1.253156203405401</v>
      </c>
      <c r="F974" s="111" t="s">
        <v>822</v>
      </c>
      <c r="G974" s="111" t="b">
        <v>0</v>
      </c>
      <c r="H974" s="111" t="b">
        <v>0</v>
      </c>
      <c r="I974" s="111" t="b">
        <v>0</v>
      </c>
      <c r="J974" s="111" t="b">
        <v>0</v>
      </c>
      <c r="K974" s="111" t="b">
        <v>0</v>
      </c>
      <c r="L974" s="111" t="b">
        <v>0</v>
      </c>
    </row>
    <row r="975" spans="1:12" ht="15">
      <c r="A975" s="113" t="s">
        <v>1465</v>
      </c>
      <c r="B975" s="111" t="s">
        <v>1466</v>
      </c>
      <c r="C975" s="111">
        <v>3</v>
      </c>
      <c r="D975" s="115">
        <v>0.0017436685832481226</v>
      </c>
      <c r="E975" s="115">
        <v>2.679124935677682</v>
      </c>
      <c r="F975" s="111" t="s">
        <v>822</v>
      </c>
      <c r="G975" s="111" t="b">
        <v>0</v>
      </c>
      <c r="H975" s="111" t="b">
        <v>0</v>
      </c>
      <c r="I975" s="111" t="b">
        <v>0</v>
      </c>
      <c r="J975" s="111" t="b">
        <v>0</v>
      </c>
      <c r="K975" s="111" t="b">
        <v>0</v>
      </c>
      <c r="L975" s="111" t="b">
        <v>0</v>
      </c>
    </row>
    <row r="976" spans="1:12" ht="15">
      <c r="A976" s="113" t="s">
        <v>1466</v>
      </c>
      <c r="B976" s="111" t="s">
        <v>1467</v>
      </c>
      <c r="C976" s="111">
        <v>3</v>
      </c>
      <c r="D976" s="115">
        <v>0.0017436685832481226</v>
      </c>
      <c r="E976" s="115">
        <v>2.679124935677682</v>
      </c>
      <c r="F976" s="111" t="s">
        <v>822</v>
      </c>
      <c r="G976" s="111" t="b">
        <v>0</v>
      </c>
      <c r="H976" s="111" t="b">
        <v>0</v>
      </c>
      <c r="I976" s="111" t="b">
        <v>0</v>
      </c>
      <c r="J976" s="111" t="b">
        <v>0</v>
      </c>
      <c r="K976" s="111" t="b">
        <v>0</v>
      </c>
      <c r="L976" s="111" t="b">
        <v>0</v>
      </c>
    </row>
    <row r="977" spans="1:12" ht="15">
      <c r="A977" s="113" t="s">
        <v>1467</v>
      </c>
      <c r="B977" s="111" t="s">
        <v>1085</v>
      </c>
      <c r="C977" s="111">
        <v>3</v>
      </c>
      <c r="D977" s="115">
        <v>0.0017436685832481226</v>
      </c>
      <c r="E977" s="115">
        <v>2.378094940013701</v>
      </c>
      <c r="F977" s="111" t="s">
        <v>822</v>
      </c>
      <c r="G977" s="111" t="b">
        <v>0</v>
      </c>
      <c r="H977" s="111" t="b">
        <v>0</v>
      </c>
      <c r="I977" s="111" t="b">
        <v>0</v>
      </c>
      <c r="J977" s="111" t="b">
        <v>0</v>
      </c>
      <c r="K977" s="111" t="b">
        <v>0</v>
      </c>
      <c r="L977" s="111" t="b">
        <v>0</v>
      </c>
    </row>
    <row r="978" spans="1:12" ht="15">
      <c r="A978" s="113" t="s">
        <v>1085</v>
      </c>
      <c r="B978" s="111" t="s">
        <v>903</v>
      </c>
      <c r="C978" s="111">
        <v>3</v>
      </c>
      <c r="D978" s="115">
        <v>0.0017436685832481226</v>
      </c>
      <c r="E978" s="115">
        <v>1.7760349486857385</v>
      </c>
      <c r="F978" s="111" t="s">
        <v>822</v>
      </c>
      <c r="G978" s="111" t="b">
        <v>0</v>
      </c>
      <c r="H978" s="111" t="b">
        <v>0</v>
      </c>
      <c r="I978" s="111" t="b">
        <v>0</v>
      </c>
      <c r="J978" s="111" t="b">
        <v>0</v>
      </c>
      <c r="K978" s="111" t="b">
        <v>0</v>
      </c>
      <c r="L978" s="111" t="b">
        <v>0</v>
      </c>
    </row>
    <row r="979" spans="1:12" ht="15">
      <c r="A979" s="113" t="s">
        <v>903</v>
      </c>
      <c r="B979" s="111" t="s">
        <v>1038</v>
      </c>
      <c r="C979" s="111">
        <v>3</v>
      </c>
      <c r="D979" s="115">
        <v>0.0017436685832481226</v>
      </c>
      <c r="E979" s="115">
        <v>2.0770649443497198</v>
      </c>
      <c r="F979" s="111" t="s">
        <v>822</v>
      </c>
      <c r="G979" s="111" t="b">
        <v>0</v>
      </c>
      <c r="H979" s="111" t="b">
        <v>0</v>
      </c>
      <c r="I979" s="111" t="b">
        <v>0</v>
      </c>
      <c r="J979" s="111" t="b">
        <v>0</v>
      </c>
      <c r="K979" s="111" t="b">
        <v>0</v>
      </c>
      <c r="L979" s="111" t="b">
        <v>0</v>
      </c>
    </row>
    <row r="980" spans="1:12" ht="15">
      <c r="A980" s="113" t="s">
        <v>1038</v>
      </c>
      <c r="B980" s="111" t="s">
        <v>840</v>
      </c>
      <c r="C980" s="111">
        <v>3</v>
      </c>
      <c r="D980" s="115">
        <v>0.0017436685832481226</v>
      </c>
      <c r="E980" s="115">
        <v>1.6510962120774384</v>
      </c>
      <c r="F980" s="111" t="s">
        <v>822</v>
      </c>
      <c r="G980" s="111" t="b">
        <v>0</v>
      </c>
      <c r="H980" s="111" t="b">
        <v>0</v>
      </c>
      <c r="I980" s="111" t="b">
        <v>0</v>
      </c>
      <c r="J980" s="111" t="b">
        <v>0</v>
      </c>
      <c r="K980" s="111" t="b">
        <v>0</v>
      </c>
      <c r="L980" s="111" t="b">
        <v>0</v>
      </c>
    </row>
    <row r="981" spans="1:12" ht="15">
      <c r="A981" s="113" t="s">
        <v>917</v>
      </c>
      <c r="B981" s="111" t="s">
        <v>874</v>
      </c>
      <c r="C981" s="111">
        <v>3</v>
      </c>
      <c r="D981" s="115">
        <v>0.0017436685832481226</v>
      </c>
      <c r="E981" s="115">
        <v>1.361525838580508</v>
      </c>
      <c r="F981" s="111" t="s">
        <v>822</v>
      </c>
      <c r="G981" s="111" t="b">
        <v>0</v>
      </c>
      <c r="H981" s="111" t="b">
        <v>0</v>
      </c>
      <c r="I981" s="111" t="b">
        <v>0</v>
      </c>
      <c r="J981" s="111" t="b">
        <v>0</v>
      </c>
      <c r="K981" s="111" t="b">
        <v>0</v>
      </c>
      <c r="L981" s="111" t="b">
        <v>0</v>
      </c>
    </row>
    <row r="982" spans="1:12" ht="15">
      <c r="A982" s="113" t="s">
        <v>1242</v>
      </c>
      <c r="B982" s="111" t="s">
        <v>1142</v>
      </c>
      <c r="C982" s="111">
        <v>3</v>
      </c>
      <c r="D982" s="115">
        <v>0.0017436685832481226</v>
      </c>
      <c r="E982" s="115">
        <v>2.554186199069382</v>
      </c>
      <c r="F982" s="111" t="s">
        <v>822</v>
      </c>
      <c r="G982" s="111" t="b">
        <v>0</v>
      </c>
      <c r="H982" s="111" t="b">
        <v>0</v>
      </c>
      <c r="I982" s="111" t="b">
        <v>0</v>
      </c>
      <c r="J982" s="111" t="b">
        <v>0</v>
      </c>
      <c r="K982" s="111" t="b">
        <v>0</v>
      </c>
      <c r="L982" s="111" t="b">
        <v>0</v>
      </c>
    </row>
    <row r="983" spans="1:12" ht="15">
      <c r="A983" s="113" t="s">
        <v>1142</v>
      </c>
      <c r="B983" s="111" t="s">
        <v>840</v>
      </c>
      <c r="C983" s="111">
        <v>3</v>
      </c>
      <c r="D983" s="115">
        <v>0.0017436685832481226</v>
      </c>
      <c r="E983" s="115">
        <v>1.6510962120774384</v>
      </c>
      <c r="F983" s="111" t="s">
        <v>822</v>
      </c>
      <c r="G983" s="111" t="b">
        <v>0</v>
      </c>
      <c r="H983" s="111" t="b">
        <v>0</v>
      </c>
      <c r="I983" s="111" t="b">
        <v>0</v>
      </c>
      <c r="J983" s="111" t="b">
        <v>0</v>
      </c>
      <c r="K983" s="111" t="b">
        <v>0</v>
      </c>
      <c r="L983" s="111" t="b">
        <v>0</v>
      </c>
    </row>
    <row r="984" spans="1:12" ht="15">
      <c r="A984" s="113" t="s">
        <v>918</v>
      </c>
      <c r="B984" s="111" t="s">
        <v>1153</v>
      </c>
      <c r="C984" s="111">
        <v>3</v>
      </c>
      <c r="D984" s="115">
        <v>0.0021069930517261443</v>
      </c>
      <c r="E984" s="115">
        <v>1.8552161947333634</v>
      </c>
      <c r="F984" s="111" t="s">
        <v>822</v>
      </c>
      <c r="G984" s="111" t="b">
        <v>0</v>
      </c>
      <c r="H984" s="111" t="b">
        <v>0</v>
      </c>
      <c r="I984" s="111" t="b">
        <v>0</v>
      </c>
      <c r="J984" s="111" t="b">
        <v>0</v>
      </c>
      <c r="K984" s="111" t="b">
        <v>0</v>
      </c>
      <c r="L984" s="111" t="b">
        <v>0</v>
      </c>
    </row>
    <row r="985" spans="1:12" ht="15">
      <c r="A985" s="113" t="s">
        <v>1010</v>
      </c>
      <c r="B985" s="111" t="s">
        <v>1074</v>
      </c>
      <c r="C985" s="111">
        <v>3</v>
      </c>
      <c r="D985" s="115">
        <v>0.0017436685832481226</v>
      </c>
      <c r="E985" s="115">
        <v>2.679124935677682</v>
      </c>
      <c r="F985" s="111" t="s">
        <v>822</v>
      </c>
      <c r="G985" s="111" t="b">
        <v>0</v>
      </c>
      <c r="H985" s="111" t="b">
        <v>0</v>
      </c>
      <c r="I985" s="111" t="b">
        <v>0</v>
      </c>
      <c r="J985" s="111" t="b">
        <v>0</v>
      </c>
      <c r="K985" s="111" t="b">
        <v>0</v>
      </c>
      <c r="L985" s="111" t="b">
        <v>0</v>
      </c>
    </row>
    <row r="986" spans="1:12" ht="15">
      <c r="A986" s="113" t="s">
        <v>840</v>
      </c>
      <c r="B986" s="111" t="s">
        <v>961</v>
      </c>
      <c r="C986" s="111">
        <v>3</v>
      </c>
      <c r="D986" s="115">
        <v>0.0021069930517261443</v>
      </c>
      <c r="E986" s="115">
        <v>1.539945759954772</v>
      </c>
      <c r="F986" s="111" t="s">
        <v>822</v>
      </c>
      <c r="G986" s="111" t="b">
        <v>0</v>
      </c>
      <c r="H986" s="111" t="b">
        <v>0</v>
      </c>
      <c r="I986" s="111" t="b">
        <v>0</v>
      </c>
      <c r="J986" s="111" t="b">
        <v>0</v>
      </c>
      <c r="K986" s="111" t="b">
        <v>0</v>
      </c>
      <c r="L986" s="111" t="b">
        <v>0</v>
      </c>
    </row>
    <row r="987" spans="1:12" ht="15">
      <c r="A987" s="113" t="s">
        <v>842</v>
      </c>
      <c r="B987" s="111" t="s">
        <v>846</v>
      </c>
      <c r="C987" s="111">
        <v>3</v>
      </c>
      <c r="D987" s="115">
        <v>0.0021069930517261443</v>
      </c>
      <c r="E987" s="115">
        <v>0.9706096134354328</v>
      </c>
      <c r="F987" s="111" t="s">
        <v>822</v>
      </c>
      <c r="G987" s="111" t="b">
        <v>0</v>
      </c>
      <c r="H987" s="111" t="b">
        <v>0</v>
      </c>
      <c r="I987" s="111" t="b">
        <v>0</v>
      </c>
      <c r="J987" s="111" t="b">
        <v>0</v>
      </c>
      <c r="K987" s="111" t="b">
        <v>0</v>
      </c>
      <c r="L987" s="111" t="b">
        <v>0</v>
      </c>
    </row>
    <row r="988" spans="1:12" ht="15">
      <c r="A988" s="113" t="s">
        <v>846</v>
      </c>
      <c r="B988" s="111" t="s">
        <v>840</v>
      </c>
      <c r="C988" s="111">
        <v>3</v>
      </c>
      <c r="D988" s="115">
        <v>0.0021069930517261443</v>
      </c>
      <c r="E988" s="115">
        <v>1.128217466797101</v>
      </c>
      <c r="F988" s="111" t="s">
        <v>822</v>
      </c>
      <c r="G988" s="111" t="b">
        <v>0</v>
      </c>
      <c r="H988" s="111" t="b">
        <v>0</v>
      </c>
      <c r="I988" s="111" t="b">
        <v>0</v>
      </c>
      <c r="J988" s="111" t="b">
        <v>0</v>
      </c>
      <c r="K988" s="111" t="b">
        <v>0</v>
      </c>
      <c r="L988" s="111" t="b">
        <v>0</v>
      </c>
    </row>
    <row r="989" spans="1:12" ht="15">
      <c r="A989" s="113" t="s">
        <v>1870</v>
      </c>
      <c r="B989" s="111" t="s">
        <v>977</v>
      </c>
      <c r="C989" s="111">
        <v>2</v>
      </c>
      <c r="D989" s="115">
        <v>0.0014046620344840964</v>
      </c>
      <c r="E989" s="115">
        <v>2.378094940013701</v>
      </c>
      <c r="F989" s="111" t="s">
        <v>822</v>
      </c>
      <c r="G989" s="111" t="b">
        <v>0</v>
      </c>
      <c r="H989" s="111" t="b">
        <v>0</v>
      </c>
      <c r="I989" s="111" t="b">
        <v>0</v>
      </c>
      <c r="J989" s="111" t="b">
        <v>0</v>
      </c>
      <c r="K989" s="111" t="b">
        <v>0</v>
      </c>
      <c r="L989" s="111" t="b">
        <v>0</v>
      </c>
    </row>
    <row r="990" spans="1:12" ht="15">
      <c r="A990" s="113" t="s">
        <v>977</v>
      </c>
      <c r="B990" s="111" t="s">
        <v>1264</v>
      </c>
      <c r="C990" s="111">
        <v>2</v>
      </c>
      <c r="D990" s="115">
        <v>0.0014046620344840964</v>
      </c>
      <c r="E990" s="115">
        <v>2.0770649443497198</v>
      </c>
      <c r="F990" s="111" t="s">
        <v>822</v>
      </c>
      <c r="G990" s="111" t="b">
        <v>0</v>
      </c>
      <c r="H990" s="111" t="b">
        <v>0</v>
      </c>
      <c r="I990" s="111" t="b">
        <v>0</v>
      </c>
      <c r="J990" s="111" t="b">
        <v>0</v>
      </c>
      <c r="K990" s="111" t="b">
        <v>0</v>
      </c>
      <c r="L990" s="111" t="b">
        <v>0</v>
      </c>
    </row>
    <row r="991" spans="1:12" ht="15">
      <c r="A991" s="113" t="s">
        <v>1264</v>
      </c>
      <c r="B991" s="111" t="s">
        <v>1264</v>
      </c>
      <c r="C991" s="111">
        <v>2</v>
      </c>
      <c r="D991" s="115">
        <v>0.0014046620344840964</v>
      </c>
      <c r="E991" s="115">
        <v>2.253156203405401</v>
      </c>
      <c r="F991" s="111" t="s">
        <v>822</v>
      </c>
      <c r="G991" s="111" t="b">
        <v>0</v>
      </c>
      <c r="H991" s="111" t="b">
        <v>0</v>
      </c>
      <c r="I991" s="111" t="b">
        <v>0</v>
      </c>
      <c r="J991" s="111" t="b">
        <v>0</v>
      </c>
      <c r="K991" s="111" t="b">
        <v>0</v>
      </c>
      <c r="L991" s="111" t="b">
        <v>0</v>
      </c>
    </row>
    <row r="992" spans="1:12" ht="15">
      <c r="A992" s="113" t="s">
        <v>1264</v>
      </c>
      <c r="B992" s="111" t="s">
        <v>1469</v>
      </c>
      <c r="C992" s="111">
        <v>2</v>
      </c>
      <c r="D992" s="115">
        <v>0.0014046620344840964</v>
      </c>
      <c r="E992" s="115">
        <v>2.554186199069382</v>
      </c>
      <c r="F992" s="111" t="s">
        <v>822</v>
      </c>
      <c r="G992" s="111" t="b">
        <v>0</v>
      </c>
      <c r="H992" s="111" t="b">
        <v>0</v>
      </c>
      <c r="I992" s="111" t="b">
        <v>0</v>
      </c>
      <c r="J992" s="111" t="b">
        <v>0</v>
      </c>
      <c r="K992" s="111" t="b">
        <v>0</v>
      </c>
      <c r="L992" s="111" t="b">
        <v>0</v>
      </c>
    </row>
    <row r="993" spans="1:12" ht="15">
      <c r="A993" s="113" t="s">
        <v>1469</v>
      </c>
      <c r="B993" s="111" t="s">
        <v>866</v>
      </c>
      <c r="C993" s="111">
        <v>2</v>
      </c>
      <c r="D993" s="115">
        <v>0.0014046620344840964</v>
      </c>
      <c r="E993" s="115">
        <v>2.855216194733363</v>
      </c>
      <c r="F993" s="111" t="s">
        <v>822</v>
      </c>
      <c r="G993" s="111" t="b">
        <v>0</v>
      </c>
      <c r="H993" s="111" t="b">
        <v>0</v>
      </c>
      <c r="I993" s="111" t="b">
        <v>0</v>
      </c>
      <c r="J993" s="111" t="b">
        <v>0</v>
      </c>
      <c r="K993" s="111" t="b">
        <v>0</v>
      </c>
      <c r="L993" s="111" t="b">
        <v>0</v>
      </c>
    </row>
    <row r="994" spans="1:12" ht="15">
      <c r="A994" s="113" t="s">
        <v>1147</v>
      </c>
      <c r="B994" s="111" t="s">
        <v>1239</v>
      </c>
      <c r="C994" s="111">
        <v>2</v>
      </c>
      <c r="D994" s="115">
        <v>0.0018187335553423924</v>
      </c>
      <c r="E994" s="115">
        <v>2.679124935677682</v>
      </c>
      <c r="F994" s="111" t="s">
        <v>822</v>
      </c>
      <c r="G994" s="111" t="b">
        <v>0</v>
      </c>
      <c r="H994" s="111" t="b">
        <v>0</v>
      </c>
      <c r="I994" s="111" t="b">
        <v>0</v>
      </c>
      <c r="J994" s="111" t="b">
        <v>0</v>
      </c>
      <c r="K994" s="111" t="b">
        <v>0</v>
      </c>
      <c r="L994" s="111" t="b">
        <v>0</v>
      </c>
    </row>
    <row r="995" spans="1:12" ht="15">
      <c r="A995" s="113" t="s">
        <v>1239</v>
      </c>
      <c r="B995" s="111" t="s">
        <v>1877</v>
      </c>
      <c r="C995" s="111">
        <v>2</v>
      </c>
      <c r="D995" s="115">
        <v>0.0018187335553423924</v>
      </c>
      <c r="E995" s="115">
        <v>2.679124935677682</v>
      </c>
      <c r="F995" s="111" t="s">
        <v>822</v>
      </c>
      <c r="G995" s="111" t="b">
        <v>0</v>
      </c>
      <c r="H995" s="111" t="b">
        <v>0</v>
      </c>
      <c r="I995" s="111" t="b">
        <v>0</v>
      </c>
      <c r="J995" s="111" t="b">
        <v>0</v>
      </c>
      <c r="K995" s="111" t="b">
        <v>0</v>
      </c>
      <c r="L995" s="111" t="b">
        <v>0</v>
      </c>
    </row>
    <row r="996" spans="1:12" ht="15">
      <c r="A996" s="113" t="s">
        <v>1877</v>
      </c>
      <c r="B996" s="111" t="s">
        <v>1473</v>
      </c>
      <c r="C996" s="111">
        <v>2</v>
      </c>
      <c r="D996" s="115">
        <v>0.0018187335553423924</v>
      </c>
      <c r="E996" s="115">
        <v>2.855216194733363</v>
      </c>
      <c r="F996" s="111" t="s">
        <v>822</v>
      </c>
      <c r="G996" s="111" t="b">
        <v>0</v>
      </c>
      <c r="H996" s="111" t="b">
        <v>0</v>
      </c>
      <c r="I996" s="111" t="b">
        <v>0</v>
      </c>
      <c r="J996" s="111" t="b">
        <v>0</v>
      </c>
      <c r="K996" s="111" t="b">
        <v>0</v>
      </c>
      <c r="L996" s="111" t="b">
        <v>0</v>
      </c>
    </row>
    <row r="997" spans="1:12" ht="15">
      <c r="A997" s="113" t="s">
        <v>1266</v>
      </c>
      <c r="B997" s="111" t="s">
        <v>1878</v>
      </c>
      <c r="C997" s="111">
        <v>2</v>
      </c>
      <c r="D997" s="115">
        <v>0.0018187335553423924</v>
      </c>
      <c r="E997" s="115">
        <v>2.679124935677682</v>
      </c>
      <c r="F997" s="111" t="s">
        <v>822</v>
      </c>
      <c r="G997" s="111" t="b">
        <v>0</v>
      </c>
      <c r="H997" s="111" t="b">
        <v>0</v>
      </c>
      <c r="I997" s="111" t="b">
        <v>0</v>
      </c>
      <c r="J997" s="111" t="b">
        <v>0</v>
      </c>
      <c r="K997" s="111" t="b">
        <v>0</v>
      </c>
      <c r="L997" s="111" t="b">
        <v>0</v>
      </c>
    </row>
    <row r="998" spans="1:12" ht="15">
      <c r="A998" s="113" t="s">
        <v>1878</v>
      </c>
      <c r="B998" s="111" t="s">
        <v>1879</v>
      </c>
      <c r="C998" s="111">
        <v>2</v>
      </c>
      <c r="D998" s="115">
        <v>0.0018187335553423924</v>
      </c>
      <c r="E998" s="115">
        <v>2.855216194733363</v>
      </c>
      <c r="F998" s="111" t="s">
        <v>822</v>
      </c>
      <c r="G998" s="111" t="b">
        <v>0</v>
      </c>
      <c r="H998" s="111" t="b">
        <v>0</v>
      </c>
      <c r="I998" s="111" t="b">
        <v>0</v>
      </c>
      <c r="J998" s="111" t="b">
        <v>0</v>
      </c>
      <c r="K998" s="111" t="b">
        <v>0</v>
      </c>
      <c r="L998" s="111" t="b">
        <v>0</v>
      </c>
    </row>
    <row r="999" spans="1:12" ht="15">
      <c r="A999" s="113" t="s">
        <v>980</v>
      </c>
      <c r="B999" s="111" t="s">
        <v>1880</v>
      </c>
      <c r="C999" s="111">
        <v>2</v>
      </c>
      <c r="D999" s="115">
        <v>0.0018187335553423924</v>
      </c>
      <c r="E999" s="115">
        <v>2.554186199069382</v>
      </c>
      <c r="F999" s="111" t="s">
        <v>822</v>
      </c>
      <c r="G999" s="111" t="b">
        <v>0</v>
      </c>
      <c r="H999" s="111" t="b">
        <v>0</v>
      </c>
      <c r="I999" s="111" t="b">
        <v>0</v>
      </c>
      <c r="J999" s="111" t="b">
        <v>0</v>
      </c>
      <c r="K999" s="111" t="b">
        <v>0</v>
      </c>
      <c r="L999" s="111" t="b">
        <v>0</v>
      </c>
    </row>
    <row r="1000" spans="1:12" ht="15">
      <c r="A1000" s="113" t="s">
        <v>971</v>
      </c>
      <c r="B1000" s="111" t="s">
        <v>1848</v>
      </c>
      <c r="C1000" s="111">
        <v>2</v>
      </c>
      <c r="D1000" s="115">
        <v>0.0014046620344840964</v>
      </c>
      <c r="E1000" s="115">
        <v>2.679124935677682</v>
      </c>
      <c r="F1000" s="111" t="s">
        <v>822</v>
      </c>
      <c r="G1000" s="111" t="b">
        <v>0</v>
      </c>
      <c r="H1000" s="111" t="b">
        <v>0</v>
      </c>
      <c r="I1000" s="111" t="b">
        <v>0</v>
      </c>
      <c r="J1000" s="111" t="b">
        <v>0</v>
      </c>
      <c r="K1000" s="111" t="b">
        <v>0</v>
      </c>
      <c r="L1000" s="111" t="b">
        <v>0</v>
      </c>
    </row>
    <row r="1001" spans="1:12" ht="15">
      <c r="A1001" s="113" t="s">
        <v>1150</v>
      </c>
      <c r="B1001" s="111" t="s">
        <v>976</v>
      </c>
      <c r="C1001" s="111">
        <v>2</v>
      </c>
      <c r="D1001" s="115">
        <v>0.0018187335553423924</v>
      </c>
      <c r="E1001" s="115">
        <v>2.2811849270056443</v>
      </c>
      <c r="F1001" s="111" t="s">
        <v>822</v>
      </c>
      <c r="G1001" s="111" t="b">
        <v>0</v>
      </c>
      <c r="H1001" s="111" t="b">
        <v>0</v>
      </c>
      <c r="I1001" s="111" t="b">
        <v>0</v>
      </c>
      <c r="J1001" s="111" t="b">
        <v>0</v>
      </c>
      <c r="K1001" s="111" t="b">
        <v>0</v>
      </c>
      <c r="L1001" s="111" t="b">
        <v>0</v>
      </c>
    </row>
    <row r="1002" spans="1:12" ht="15">
      <c r="A1002" s="113" t="s">
        <v>976</v>
      </c>
      <c r="B1002" s="111" t="s">
        <v>1241</v>
      </c>
      <c r="C1002" s="111">
        <v>2</v>
      </c>
      <c r="D1002" s="115">
        <v>0.0018187335553423924</v>
      </c>
      <c r="E1002" s="115">
        <v>2.378094940013701</v>
      </c>
      <c r="F1002" s="111" t="s">
        <v>822</v>
      </c>
      <c r="G1002" s="111" t="b">
        <v>0</v>
      </c>
      <c r="H1002" s="111" t="b">
        <v>0</v>
      </c>
      <c r="I1002" s="111" t="b">
        <v>0</v>
      </c>
      <c r="J1002" s="111" t="b">
        <v>0</v>
      </c>
      <c r="K1002" s="111" t="b">
        <v>0</v>
      </c>
      <c r="L1002" s="111" t="b">
        <v>0</v>
      </c>
    </row>
    <row r="1003" spans="1:12" ht="15">
      <c r="A1003" s="113" t="s">
        <v>1241</v>
      </c>
      <c r="B1003" s="111" t="s">
        <v>1150</v>
      </c>
      <c r="C1003" s="111">
        <v>2</v>
      </c>
      <c r="D1003" s="115">
        <v>0.0018187335553423924</v>
      </c>
      <c r="E1003" s="115">
        <v>2.1562461903973444</v>
      </c>
      <c r="F1003" s="111" t="s">
        <v>822</v>
      </c>
      <c r="G1003" s="111" t="b">
        <v>0</v>
      </c>
      <c r="H1003" s="111" t="b">
        <v>0</v>
      </c>
      <c r="I1003" s="111" t="b">
        <v>0</v>
      </c>
      <c r="J1003" s="111" t="b">
        <v>0</v>
      </c>
      <c r="K1003" s="111" t="b">
        <v>0</v>
      </c>
      <c r="L1003" s="111" t="b">
        <v>0</v>
      </c>
    </row>
    <row r="1004" spans="1:12" ht="15">
      <c r="A1004" s="113" t="s">
        <v>842</v>
      </c>
      <c r="B1004" s="111" t="s">
        <v>1139</v>
      </c>
      <c r="C1004" s="111">
        <v>2</v>
      </c>
      <c r="D1004" s="115">
        <v>0.0018187335553423924</v>
      </c>
      <c r="E1004" s="115">
        <v>1.317397099660089</v>
      </c>
      <c r="F1004" s="111" t="s">
        <v>822</v>
      </c>
      <c r="G1004" s="111" t="b">
        <v>0</v>
      </c>
      <c r="H1004" s="111" t="b">
        <v>0</v>
      </c>
      <c r="I1004" s="111" t="b">
        <v>0</v>
      </c>
      <c r="J1004" s="111" t="b">
        <v>0</v>
      </c>
      <c r="K1004" s="111" t="b">
        <v>0</v>
      </c>
      <c r="L1004" s="111" t="b">
        <v>0</v>
      </c>
    </row>
    <row r="1005" spans="1:12" ht="15">
      <c r="A1005" s="113" t="s">
        <v>1139</v>
      </c>
      <c r="B1005" s="111" t="s">
        <v>940</v>
      </c>
      <c r="C1005" s="111">
        <v>2</v>
      </c>
      <c r="D1005" s="115">
        <v>0.0018187335553423924</v>
      </c>
      <c r="E1005" s="115">
        <v>2.0259124219023383</v>
      </c>
      <c r="F1005" s="111" t="s">
        <v>822</v>
      </c>
      <c r="G1005" s="111" t="b">
        <v>0</v>
      </c>
      <c r="H1005" s="111" t="b">
        <v>0</v>
      </c>
      <c r="I1005" s="111" t="b">
        <v>0</v>
      </c>
      <c r="J1005" s="111" t="b">
        <v>0</v>
      </c>
      <c r="K1005" s="111" t="b">
        <v>0</v>
      </c>
      <c r="L1005" s="111" t="b">
        <v>0</v>
      </c>
    </row>
    <row r="1006" spans="1:12" ht="15">
      <c r="A1006" s="113" t="s">
        <v>916</v>
      </c>
      <c r="B1006" s="111" t="s">
        <v>1453</v>
      </c>
      <c r="C1006" s="111">
        <v>2</v>
      </c>
      <c r="D1006" s="115">
        <v>0.0014046620344840964</v>
      </c>
      <c r="E1006" s="115">
        <v>2.0259124219023383</v>
      </c>
      <c r="F1006" s="111" t="s">
        <v>822</v>
      </c>
      <c r="G1006" s="111" t="b">
        <v>0</v>
      </c>
      <c r="H1006" s="111" t="b">
        <v>0</v>
      </c>
      <c r="I1006" s="111" t="b">
        <v>0</v>
      </c>
      <c r="J1006" s="111" t="b">
        <v>0</v>
      </c>
      <c r="K1006" s="111" t="b">
        <v>0</v>
      </c>
      <c r="L1006" s="111" t="b">
        <v>0</v>
      </c>
    </row>
    <row r="1007" spans="1:12" ht="15">
      <c r="A1007" s="113" t="s">
        <v>881</v>
      </c>
      <c r="B1007" s="111" t="s">
        <v>978</v>
      </c>
      <c r="C1007" s="111">
        <v>2</v>
      </c>
      <c r="D1007" s="115">
        <v>0.0014046620344840964</v>
      </c>
      <c r="E1007" s="115">
        <v>1.3780949400137008</v>
      </c>
      <c r="F1007" s="111" t="s">
        <v>822</v>
      </c>
      <c r="G1007" s="111" t="b">
        <v>0</v>
      </c>
      <c r="H1007" s="111" t="b">
        <v>0</v>
      </c>
      <c r="I1007" s="111" t="b">
        <v>0</v>
      </c>
      <c r="J1007" s="111" t="b">
        <v>0</v>
      </c>
      <c r="K1007" s="111" t="b">
        <v>0</v>
      </c>
      <c r="L1007" s="111" t="b">
        <v>0</v>
      </c>
    </row>
    <row r="1008" spans="1:12" ht="15">
      <c r="A1008" s="113" t="s">
        <v>917</v>
      </c>
      <c r="B1008" s="111" t="s">
        <v>1153</v>
      </c>
      <c r="C1008" s="111">
        <v>2</v>
      </c>
      <c r="D1008" s="115">
        <v>0.0014046620344840964</v>
      </c>
      <c r="E1008" s="115">
        <v>1.7169134965670818</v>
      </c>
      <c r="F1008" s="111" t="s">
        <v>822</v>
      </c>
      <c r="G1008" s="111" t="b">
        <v>0</v>
      </c>
      <c r="H1008" s="111" t="b">
        <v>0</v>
      </c>
      <c r="I1008" s="111" t="b">
        <v>0</v>
      </c>
      <c r="J1008" s="111" t="b">
        <v>0</v>
      </c>
      <c r="K1008" s="111" t="b">
        <v>0</v>
      </c>
      <c r="L1008" s="111" t="b">
        <v>0</v>
      </c>
    </row>
    <row r="1009" spans="1:12" ht="15">
      <c r="A1009" s="113" t="s">
        <v>1851</v>
      </c>
      <c r="B1009" s="111" t="s">
        <v>840</v>
      </c>
      <c r="C1009" s="111">
        <v>2</v>
      </c>
      <c r="D1009" s="115">
        <v>0.0014046620344840964</v>
      </c>
      <c r="E1009" s="115">
        <v>1.6510962120774386</v>
      </c>
      <c r="F1009" s="111" t="s">
        <v>822</v>
      </c>
      <c r="G1009" s="111" t="b">
        <v>0</v>
      </c>
      <c r="H1009" s="111" t="b">
        <v>0</v>
      </c>
      <c r="I1009" s="111" t="b">
        <v>0</v>
      </c>
      <c r="J1009" s="111" t="b">
        <v>0</v>
      </c>
      <c r="K1009" s="111" t="b">
        <v>0</v>
      </c>
      <c r="L1009" s="111" t="b">
        <v>0</v>
      </c>
    </row>
    <row r="1010" spans="1:12" ht="15">
      <c r="A1010" s="113" t="s">
        <v>840</v>
      </c>
      <c r="B1010" s="111" t="s">
        <v>1852</v>
      </c>
      <c r="C1010" s="111">
        <v>2</v>
      </c>
      <c r="D1010" s="115">
        <v>0.0014046620344840964</v>
      </c>
      <c r="E1010" s="115">
        <v>1.6648844965630718</v>
      </c>
      <c r="F1010" s="111" t="s">
        <v>822</v>
      </c>
      <c r="G1010" s="111" t="b">
        <v>0</v>
      </c>
      <c r="H1010" s="111" t="b">
        <v>0</v>
      </c>
      <c r="I1010" s="111" t="b">
        <v>0</v>
      </c>
      <c r="J1010" s="111" t="b">
        <v>0</v>
      </c>
      <c r="K1010" s="111" t="b">
        <v>0</v>
      </c>
      <c r="L1010" s="111" t="b">
        <v>0</v>
      </c>
    </row>
    <row r="1011" spans="1:12" ht="15">
      <c r="A1011" s="113" t="s">
        <v>1852</v>
      </c>
      <c r="B1011" s="111" t="s">
        <v>904</v>
      </c>
      <c r="C1011" s="111">
        <v>2</v>
      </c>
      <c r="D1011" s="115">
        <v>0.0014046620344840964</v>
      </c>
      <c r="E1011" s="115">
        <v>2.0423028380905075</v>
      </c>
      <c r="F1011" s="111" t="s">
        <v>822</v>
      </c>
      <c r="G1011" s="111" t="b">
        <v>0</v>
      </c>
      <c r="H1011" s="111" t="b">
        <v>0</v>
      </c>
      <c r="I1011" s="111" t="b">
        <v>0</v>
      </c>
      <c r="J1011" s="111" t="b">
        <v>0</v>
      </c>
      <c r="K1011" s="111" t="b">
        <v>0</v>
      </c>
      <c r="L1011" s="111" t="b">
        <v>0</v>
      </c>
    </row>
    <row r="1012" spans="1:12" ht="15">
      <c r="A1012" s="113" t="s">
        <v>974</v>
      </c>
      <c r="B1012" s="111" t="s">
        <v>1210</v>
      </c>
      <c r="C1012" s="111">
        <v>2</v>
      </c>
      <c r="D1012" s="115">
        <v>0.0014046620344840964</v>
      </c>
      <c r="E1012" s="115">
        <v>2.855216194733363</v>
      </c>
      <c r="F1012" s="111" t="s">
        <v>822</v>
      </c>
      <c r="G1012" s="111" t="b">
        <v>1</v>
      </c>
      <c r="H1012" s="111" t="b">
        <v>0</v>
      </c>
      <c r="I1012" s="111" t="b">
        <v>0</v>
      </c>
      <c r="J1012" s="111" t="b">
        <v>0</v>
      </c>
      <c r="K1012" s="111" t="b">
        <v>0</v>
      </c>
      <c r="L1012" s="111" t="b">
        <v>0</v>
      </c>
    </row>
    <row r="1013" spans="1:12" ht="15">
      <c r="A1013" s="113" t="s">
        <v>948</v>
      </c>
      <c r="B1013" s="111" t="s">
        <v>1104</v>
      </c>
      <c r="C1013" s="111">
        <v>2</v>
      </c>
      <c r="D1013" s="115">
        <v>0.0014046620344840964</v>
      </c>
      <c r="E1013" s="115">
        <v>2.0770649443497198</v>
      </c>
      <c r="F1013" s="111" t="s">
        <v>822</v>
      </c>
      <c r="G1013" s="111" t="b">
        <v>0</v>
      </c>
      <c r="H1013" s="111" t="b">
        <v>0</v>
      </c>
      <c r="I1013" s="111" t="b">
        <v>0</v>
      </c>
      <c r="J1013" s="111" t="b">
        <v>0</v>
      </c>
      <c r="K1013" s="111" t="b">
        <v>0</v>
      </c>
      <c r="L1013" s="111" t="b">
        <v>0</v>
      </c>
    </row>
    <row r="1014" spans="1:12" ht="15">
      <c r="A1014" s="113" t="s">
        <v>1856</v>
      </c>
      <c r="B1014" s="111" t="s">
        <v>1093</v>
      </c>
      <c r="C1014" s="111">
        <v>2</v>
      </c>
      <c r="D1014" s="115">
        <v>0.0014046620344840964</v>
      </c>
      <c r="E1014" s="115">
        <v>2.855216194733363</v>
      </c>
      <c r="F1014" s="111" t="s">
        <v>822</v>
      </c>
      <c r="G1014" s="111" t="b">
        <v>0</v>
      </c>
      <c r="H1014" s="111" t="b">
        <v>0</v>
      </c>
      <c r="I1014" s="111" t="b">
        <v>0</v>
      </c>
      <c r="J1014" s="111" t="b">
        <v>0</v>
      </c>
      <c r="K1014" s="111" t="b">
        <v>0</v>
      </c>
      <c r="L1014" s="111" t="b">
        <v>0</v>
      </c>
    </row>
    <row r="1015" spans="1:12" ht="15">
      <c r="A1015" s="113" t="s">
        <v>1093</v>
      </c>
      <c r="B1015" s="111" t="s">
        <v>1454</v>
      </c>
      <c r="C1015" s="111">
        <v>2</v>
      </c>
      <c r="D1015" s="115">
        <v>0.0014046620344840964</v>
      </c>
      <c r="E1015" s="115">
        <v>2.679124935677682</v>
      </c>
      <c r="F1015" s="111" t="s">
        <v>822</v>
      </c>
      <c r="G1015" s="111" t="b">
        <v>0</v>
      </c>
      <c r="H1015" s="111" t="b">
        <v>0</v>
      </c>
      <c r="I1015" s="111" t="b">
        <v>0</v>
      </c>
      <c r="J1015" s="111" t="b">
        <v>0</v>
      </c>
      <c r="K1015" s="111" t="b">
        <v>0</v>
      </c>
      <c r="L1015" s="111" t="b">
        <v>0</v>
      </c>
    </row>
    <row r="1016" spans="1:12" ht="15">
      <c r="A1016" s="113" t="s">
        <v>1454</v>
      </c>
      <c r="B1016" s="111" t="s">
        <v>842</v>
      </c>
      <c r="C1016" s="111">
        <v>2</v>
      </c>
      <c r="D1016" s="115">
        <v>0.0014046620344840964</v>
      </c>
      <c r="E1016" s="115">
        <v>1.298913693966076</v>
      </c>
      <c r="F1016" s="111" t="s">
        <v>822</v>
      </c>
      <c r="G1016" s="111" t="b">
        <v>0</v>
      </c>
      <c r="H1016" s="111" t="b">
        <v>0</v>
      </c>
      <c r="I1016" s="111" t="b">
        <v>0</v>
      </c>
      <c r="J1016" s="111" t="b">
        <v>0</v>
      </c>
      <c r="K1016" s="111" t="b">
        <v>0</v>
      </c>
      <c r="L1016" s="111" t="b">
        <v>0</v>
      </c>
    </row>
    <row r="1017" spans="1:12" ht="15">
      <c r="A1017" s="113" t="s">
        <v>840</v>
      </c>
      <c r="B1017" s="111" t="s">
        <v>937</v>
      </c>
      <c r="C1017" s="111">
        <v>2</v>
      </c>
      <c r="D1017" s="115">
        <v>0.0014046620344840964</v>
      </c>
      <c r="E1017" s="115">
        <v>1.1208164522127961</v>
      </c>
      <c r="F1017" s="111" t="s">
        <v>822</v>
      </c>
      <c r="G1017" s="111" t="b">
        <v>0</v>
      </c>
      <c r="H1017" s="111" t="b">
        <v>0</v>
      </c>
      <c r="I1017" s="111" t="b">
        <v>0</v>
      </c>
      <c r="J1017" s="111" t="b">
        <v>0</v>
      </c>
      <c r="K1017" s="111" t="b">
        <v>0</v>
      </c>
      <c r="L1017" s="111" t="b">
        <v>0</v>
      </c>
    </row>
    <row r="1018" spans="1:12" ht="15">
      <c r="A1018" s="113" t="s">
        <v>1457</v>
      </c>
      <c r="B1018" s="111" t="s">
        <v>1263</v>
      </c>
      <c r="C1018" s="111">
        <v>2</v>
      </c>
      <c r="D1018" s="115">
        <v>0.0018187335553423924</v>
      </c>
      <c r="E1018" s="115">
        <v>2.679124935677682</v>
      </c>
      <c r="F1018" s="111" t="s">
        <v>822</v>
      </c>
      <c r="G1018" s="111" t="b">
        <v>0</v>
      </c>
      <c r="H1018" s="111" t="b">
        <v>0</v>
      </c>
      <c r="I1018" s="111" t="b">
        <v>0</v>
      </c>
      <c r="J1018" s="111" t="b">
        <v>0</v>
      </c>
      <c r="K1018" s="111" t="b">
        <v>0</v>
      </c>
      <c r="L1018" s="111" t="b">
        <v>0</v>
      </c>
    </row>
    <row r="1019" spans="1:12" ht="15">
      <c r="A1019" s="113" t="s">
        <v>1153</v>
      </c>
      <c r="B1019" s="111" t="s">
        <v>904</v>
      </c>
      <c r="C1019" s="111">
        <v>2</v>
      </c>
      <c r="D1019" s="115">
        <v>0.0014046620344840964</v>
      </c>
      <c r="E1019" s="115">
        <v>1.64436282941847</v>
      </c>
      <c r="F1019" s="111" t="s">
        <v>822</v>
      </c>
      <c r="G1019" s="111" t="b">
        <v>0</v>
      </c>
      <c r="H1019" s="111" t="b">
        <v>0</v>
      </c>
      <c r="I1019" s="111" t="b">
        <v>0</v>
      </c>
      <c r="J1019" s="111" t="b">
        <v>0</v>
      </c>
      <c r="K1019" s="111" t="b">
        <v>0</v>
      </c>
      <c r="L1019" s="111" t="b">
        <v>0</v>
      </c>
    </row>
    <row r="1020" spans="1:12" ht="15">
      <c r="A1020" s="113" t="s">
        <v>842</v>
      </c>
      <c r="B1020" s="111" t="s">
        <v>917</v>
      </c>
      <c r="C1020" s="111">
        <v>2</v>
      </c>
      <c r="D1020" s="115">
        <v>0.0014046620344840964</v>
      </c>
      <c r="E1020" s="115">
        <v>0.7531256692215266</v>
      </c>
      <c r="F1020" s="111" t="s">
        <v>822</v>
      </c>
      <c r="G1020" s="111" t="b">
        <v>0</v>
      </c>
      <c r="H1020" s="111" t="b">
        <v>0</v>
      </c>
      <c r="I1020" s="111" t="b">
        <v>0</v>
      </c>
      <c r="J1020" s="111" t="b">
        <v>0</v>
      </c>
      <c r="K1020" s="111" t="b">
        <v>0</v>
      </c>
      <c r="L1020" s="111" t="b">
        <v>0</v>
      </c>
    </row>
    <row r="1021" spans="1:12" ht="15">
      <c r="A1021" s="113" t="s">
        <v>916</v>
      </c>
      <c r="B1021" s="111" t="s">
        <v>881</v>
      </c>
      <c r="C1021" s="111">
        <v>2</v>
      </c>
      <c r="D1021" s="115">
        <v>0.0018187335553423924</v>
      </c>
      <c r="E1021" s="115">
        <v>1.2989136939660761</v>
      </c>
      <c r="F1021" s="111" t="s">
        <v>822</v>
      </c>
      <c r="G1021" s="111" t="b">
        <v>0</v>
      </c>
      <c r="H1021" s="111" t="b">
        <v>0</v>
      </c>
      <c r="I1021" s="111" t="b">
        <v>0</v>
      </c>
      <c r="J1021" s="111" t="b">
        <v>0</v>
      </c>
      <c r="K1021" s="111" t="b">
        <v>0</v>
      </c>
      <c r="L1021" s="111" t="b">
        <v>0</v>
      </c>
    </row>
    <row r="1022" spans="1:12" ht="15">
      <c r="A1022" s="113" t="s">
        <v>1074</v>
      </c>
      <c r="B1022" s="111" t="s">
        <v>1133</v>
      </c>
      <c r="C1022" s="111">
        <v>2</v>
      </c>
      <c r="D1022" s="115">
        <v>0.0014046620344840964</v>
      </c>
      <c r="E1022" s="115">
        <v>2.679124935677682</v>
      </c>
      <c r="F1022" s="111" t="s">
        <v>822</v>
      </c>
      <c r="G1022" s="111" t="b">
        <v>0</v>
      </c>
      <c r="H1022" s="111" t="b">
        <v>0</v>
      </c>
      <c r="I1022" s="111" t="b">
        <v>0</v>
      </c>
      <c r="J1022" s="111" t="b">
        <v>0</v>
      </c>
      <c r="K1022" s="111" t="b">
        <v>0</v>
      </c>
      <c r="L1022" s="111" t="b">
        <v>0</v>
      </c>
    </row>
    <row r="1023" spans="1:12" ht="15">
      <c r="A1023" s="113" t="s">
        <v>1421</v>
      </c>
      <c r="B1023" s="111" t="s">
        <v>918</v>
      </c>
      <c r="C1023" s="111">
        <v>2</v>
      </c>
      <c r="D1023" s="115">
        <v>0.0018187335553423924</v>
      </c>
      <c r="E1023" s="115">
        <v>2.0770649443497198</v>
      </c>
      <c r="F1023" s="111" t="s">
        <v>822</v>
      </c>
      <c r="G1023" s="111" t="b">
        <v>0</v>
      </c>
      <c r="H1023" s="111" t="b">
        <v>0</v>
      </c>
      <c r="I1023" s="111" t="b">
        <v>0</v>
      </c>
      <c r="J1023" s="111" t="b">
        <v>0</v>
      </c>
      <c r="K1023" s="111" t="b">
        <v>0</v>
      </c>
      <c r="L1023" s="111" t="b">
        <v>0</v>
      </c>
    </row>
    <row r="1024" spans="1:12" ht="15">
      <c r="A1024" s="113" t="s">
        <v>918</v>
      </c>
      <c r="B1024" s="111" t="s">
        <v>1018</v>
      </c>
      <c r="C1024" s="111">
        <v>2</v>
      </c>
      <c r="D1024" s="115">
        <v>0.0018187335553423924</v>
      </c>
      <c r="E1024" s="115">
        <v>2.0770649443497198</v>
      </c>
      <c r="F1024" s="111" t="s">
        <v>822</v>
      </c>
      <c r="G1024" s="111" t="b">
        <v>0</v>
      </c>
      <c r="H1024" s="111" t="b">
        <v>0</v>
      </c>
      <c r="I1024" s="111" t="b">
        <v>0</v>
      </c>
      <c r="J1024" s="111" t="b">
        <v>0</v>
      </c>
      <c r="K1024" s="111" t="b">
        <v>0</v>
      </c>
      <c r="L1024" s="111" t="b">
        <v>0</v>
      </c>
    </row>
    <row r="1025" spans="1:12" ht="15">
      <c r="A1025" s="113" t="s">
        <v>932</v>
      </c>
      <c r="B1025" s="111" t="s">
        <v>1252</v>
      </c>
      <c r="C1025" s="111">
        <v>2</v>
      </c>
      <c r="D1025" s="115">
        <v>0.0014046620344840964</v>
      </c>
      <c r="E1025" s="115">
        <v>2.679124935677682</v>
      </c>
      <c r="F1025" s="111" t="s">
        <v>822</v>
      </c>
      <c r="G1025" s="111" t="b">
        <v>0</v>
      </c>
      <c r="H1025" s="111" t="b">
        <v>0</v>
      </c>
      <c r="I1025" s="111" t="b">
        <v>0</v>
      </c>
      <c r="J1025" s="111" t="b">
        <v>0</v>
      </c>
      <c r="K1025" s="111" t="b">
        <v>0</v>
      </c>
      <c r="L1025" s="111" t="b">
        <v>0</v>
      </c>
    </row>
    <row r="1026" spans="1:12" ht="15">
      <c r="A1026" s="113" t="s">
        <v>1252</v>
      </c>
      <c r="B1026" s="111" t="s">
        <v>1084</v>
      </c>
      <c r="C1026" s="111">
        <v>2</v>
      </c>
      <c r="D1026" s="115">
        <v>0.0014046620344840964</v>
      </c>
      <c r="E1026" s="115">
        <v>2.679124935677682</v>
      </c>
      <c r="F1026" s="111" t="s">
        <v>822</v>
      </c>
      <c r="G1026" s="111" t="b">
        <v>0</v>
      </c>
      <c r="H1026" s="111" t="b">
        <v>0</v>
      </c>
      <c r="I1026" s="111" t="b">
        <v>0</v>
      </c>
      <c r="J1026" s="111" t="b">
        <v>0</v>
      </c>
      <c r="K1026" s="111" t="b">
        <v>0</v>
      </c>
      <c r="L1026" s="111" t="b">
        <v>0</v>
      </c>
    </row>
    <row r="1027" spans="1:12" ht="15">
      <c r="A1027" s="113" t="s">
        <v>1081</v>
      </c>
      <c r="B1027" s="111" t="s">
        <v>1060</v>
      </c>
      <c r="C1027" s="111">
        <v>2</v>
      </c>
      <c r="D1027" s="115">
        <v>0.0014046620344840964</v>
      </c>
      <c r="E1027" s="115">
        <v>2.378094940013701</v>
      </c>
      <c r="F1027" s="111" t="s">
        <v>822</v>
      </c>
      <c r="G1027" s="111" t="b">
        <v>0</v>
      </c>
      <c r="H1027" s="111" t="b">
        <v>0</v>
      </c>
      <c r="I1027" s="111" t="b">
        <v>0</v>
      </c>
      <c r="J1027" s="111" t="b">
        <v>0</v>
      </c>
      <c r="K1027" s="111" t="b">
        <v>0</v>
      </c>
      <c r="L1027" s="111" t="b">
        <v>0</v>
      </c>
    </row>
    <row r="1028" spans="1:12" ht="15">
      <c r="A1028" s="113" t="s">
        <v>1118</v>
      </c>
      <c r="B1028" s="111" t="s">
        <v>1853</v>
      </c>
      <c r="C1028" s="111">
        <v>2</v>
      </c>
      <c r="D1028" s="115">
        <v>0.0018187335553423924</v>
      </c>
      <c r="E1028" s="115">
        <v>2.855216194733363</v>
      </c>
      <c r="F1028" s="111" t="s">
        <v>822</v>
      </c>
      <c r="G1028" s="111" t="b">
        <v>0</v>
      </c>
      <c r="H1028" s="111" t="b">
        <v>0</v>
      </c>
      <c r="I1028" s="111" t="b">
        <v>0</v>
      </c>
      <c r="J1028" s="111" t="b">
        <v>0</v>
      </c>
      <c r="K1028" s="111" t="b">
        <v>0</v>
      </c>
      <c r="L1028" s="111" t="b">
        <v>0</v>
      </c>
    </row>
    <row r="1029" spans="1:12" ht="15">
      <c r="A1029" s="113" t="s">
        <v>849</v>
      </c>
      <c r="B1029" s="111" t="s">
        <v>840</v>
      </c>
      <c r="C1029" s="111">
        <v>2</v>
      </c>
      <c r="D1029" s="115">
        <v>0.0014046620344840964</v>
      </c>
      <c r="E1029" s="115">
        <v>0.9521262077414198</v>
      </c>
      <c r="F1029" s="111" t="s">
        <v>822</v>
      </c>
      <c r="G1029" s="111" t="b">
        <v>0</v>
      </c>
      <c r="H1029" s="111" t="b">
        <v>0</v>
      </c>
      <c r="I1029" s="111" t="b">
        <v>0</v>
      </c>
      <c r="J1029" s="111" t="b">
        <v>0</v>
      </c>
      <c r="K1029" s="111" t="b">
        <v>0</v>
      </c>
      <c r="L1029" s="111" t="b">
        <v>0</v>
      </c>
    </row>
    <row r="1030" spans="1:12" ht="15">
      <c r="A1030" s="113" t="s">
        <v>840</v>
      </c>
      <c r="B1030" s="111" t="s">
        <v>1058</v>
      </c>
      <c r="C1030" s="111">
        <v>2</v>
      </c>
      <c r="D1030" s="115">
        <v>0.0014046620344840964</v>
      </c>
      <c r="E1030" s="115">
        <v>1.4887932375073905</v>
      </c>
      <c r="F1030" s="111" t="s">
        <v>822</v>
      </c>
      <c r="G1030" s="111" t="b">
        <v>0</v>
      </c>
      <c r="H1030" s="111" t="b">
        <v>0</v>
      </c>
      <c r="I1030" s="111" t="b">
        <v>0</v>
      </c>
      <c r="J1030" s="111" t="b">
        <v>0</v>
      </c>
      <c r="K1030" s="111" t="b">
        <v>0</v>
      </c>
      <c r="L1030" s="111" t="b">
        <v>0</v>
      </c>
    </row>
    <row r="1031" spans="1:12" ht="15">
      <c r="A1031" s="113" t="s">
        <v>1098</v>
      </c>
      <c r="B1031" s="111" t="s">
        <v>1424</v>
      </c>
      <c r="C1031" s="111">
        <v>2</v>
      </c>
      <c r="D1031" s="115">
        <v>0.0014046620344840964</v>
      </c>
      <c r="E1031" s="115">
        <v>2.679124935677682</v>
      </c>
      <c r="F1031" s="111" t="s">
        <v>822</v>
      </c>
      <c r="G1031" s="111" t="b">
        <v>0</v>
      </c>
      <c r="H1031" s="111" t="b">
        <v>0</v>
      </c>
      <c r="I1031" s="111" t="b">
        <v>0</v>
      </c>
      <c r="J1031" s="111" t="b">
        <v>0</v>
      </c>
      <c r="K1031" s="111" t="b">
        <v>0</v>
      </c>
      <c r="L1031" s="111" t="b">
        <v>0</v>
      </c>
    </row>
    <row r="1032" spans="1:12" ht="15">
      <c r="A1032" s="113" t="s">
        <v>1390</v>
      </c>
      <c r="B1032" s="111" t="s">
        <v>874</v>
      </c>
      <c r="C1032" s="111">
        <v>2</v>
      </c>
      <c r="D1032" s="115">
        <v>0.0018187335553423924</v>
      </c>
      <c r="E1032" s="115">
        <v>1.7497060099633892</v>
      </c>
      <c r="F1032" s="111" t="s">
        <v>822</v>
      </c>
      <c r="G1032" s="111" t="b">
        <v>0</v>
      </c>
      <c r="H1032" s="111" t="b">
        <v>0</v>
      </c>
      <c r="I1032" s="111" t="b">
        <v>0</v>
      </c>
      <c r="J1032" s="111" t="b">
        <v>0</v>
      </c>
      <c r="K1032" s="111" t="b">
        <v>0</v>
      </c>
      <c r="L1032" s="111" t="b">
        <v>0</v>
      </c>
    </row>
    <row r="1033" spans="1:12" ht="15">
      <c r="A1033" s="113" t="s">
        <v>874</v>
      </c>
      <c r="B1033" s="111" t="s">
        <v>856</v>
      </c>
      <c r="C1033" s="111">
        <v>2</v>
      </c>
      <c r="D1033" s="115">
        <v>0.0018187335553423924</v>
      </c>
      <c r="E1033" s="115">
        <v>1.1128839123762149</v>
      </c>
      <c r="F1033" s="111" t="s">
        <v>822</v>
      </c>
      <c r="G1033" s="111" t="b">
        <v>0</v>
      </c>
      <c r="H1033" s="111" t="b">
        <v>0</v>
      </c>
      <c r="I1033" s="111" t="b">
        <v>0</v>
      </c>
      <c r="J1033" s="111" t="b">
        <v>0</v>
      </c>
      <c r="K1033" s="111" t="b">
        <v>0</v>
      </c>
      <c r="L1033" s="111" t="b">
        <v>0</v>
      </c>
    </row>
    <row r="1034" spans="1:12" ht="15">
      <c r="A1034" s="113" t="s">
        <v>856</v>
      </c>
      <c r="B1034" s="111" t="s">
        <v>842</v>
      </c>
      <c r="C1034" s="111">
        <v>2</v>
      </c>
      <c r="D1034" s="115">
        <v>0.0018187335553423924</v>
      </c>
      <c r="E1034" s="115">
        <v>0.5719149660298136</v>
      </c>
      <c r="F1034" s="111" t="s">
        <v>822</v>
      </c>
      <c r="G1034" s="111" t="b">
        <v>0</v>
      </c>
      <c r="H1034" s="111" t="b">
        <v>0</v>
      </c>
      <c r="I1034" s="111" t="b">
        <v>0</v>
      </c>
      <c r="J1034" s="111" t="b">
        <v>0</v>
      </c>
      <c r="K1034" s="111" t="b">
        <v>0</v>
      </c>
      <c r="L1034" s="111" t="b">
        <v>0</v>
      </c>
    </row>
    <row r="1035" spans="1:12" ht="15">
      <c r="A1035" s="113" t="s">
        <v>1717</v>
      </c>
      <c r="B1035" s="111" t="s">
        <v>1391</v>
      </c>
      <c r="C1035" s="111">
        <v>2</v>
      </c>
      <c r="D1035" s="115">
        <v>0.0018187335553423924</v>
      </c>
      <c r="E1035" s="115">
        <v>2.679124935677682</v>
      </c>
      <c r="F1035" s="111" t="s">
        <v>822</v>
      </c>
      <c r="G1035" s="111" t="b">
        <v>0</v>
      </c>
      <c r="H1035" s="111" t="b">
        <v>0</v>
      </c>
      <c r="I1035" s="111" t="b">
        <v>0</v>
      </c>
      <c r="J1035" s="111" t="b">
        <v>0</v>
      </c>
      <c r="K1035" s="111" t="b">
        <v>0</v>
      </c>
      <c r="L1035" s="111" t="b">
        <v>0</v>
      </c>
    </row>
    <row r="1036" spans="1:12" ht="15">
      <c r="A1036" s="113" t="s">
        <v>840</v>
      </c>
      <c r="B1036" s="111" t="s">
        <v>1708</v>
      </c>
      <c r="C1036" s="111">
        <v>2</v>
      </c>
      <c r="D1036" s="115">
        <v>0.0018187335553423924</v>
      </c>
      <c r="E1036" s="115">
        <v>1.6648844965630718</v>
      </c>
      <c r="F1036" s="111" t="s">
        <v>822</v>
      </c>
      <c r="G1036" s="111" t="b">
        <v>0</v>
      </c>
      <c r="H1036" s="111" t="b">
        <v>0</v>
      </c>
      <c r="I1036" s="111" t="b">
        <v>0</v>
      </c>
      <c r="J1036" s="111" t="b">
        <v>0</v>
      </c>
      <c r="K1036" s="111" t="b">
        <v>0</v>
      </c>
      <c r="L1036" s="111" t="b">
        <v>0</v>
      </c>
    </row>
    <row r="1037" spans="1:12" ht="15">
      <c r="A1037" s="113" t="s">
        <v>1260</v>
      </c>
      <c r="B1037" s="111" t="s">
        <v>940</v>
      </c>
      <c r="C1037" s="111">
        <v>2</v>
      </c>
      <c r="D1037" s="115">
        <v>0.0018187335553423924</v>
      </c>
      <c r="E1037" s="115">
        <v>1.9009736852940384</v>
      </c>
      <c r="F1037" s="111" t="s">
        <v>822</v>
      </c>
      <c r="G1037" s="111" t="b">
        <v>0</v>
      </c>
      <c r="H1037" s="111" t="b">
        <v>0</v>
      </c>
      <c r="I1037" s="111" t="b">
        <v>0</v>
      </c>
      <c r="J1037" s="111" t="b">
        <v>0</v>
      </c>
      <c r="K1037" s="111" t="b">
        <v>0</v>
      </c>
      <c r="L1037" s="111" t="b">
        <v>0</v>
      </c>
    </row>
    <row r="1038" spans="1:12" ht="15">
      <c r="A1038" s="113" t="s">
        <v>920</v>
      </c>
      <c r="B1038" s="111" t="s">
        <v>1140</v>
      </c>
      <c r="C1038" s="111">
        <v>2</v>
      </c>
      <c r="D1038" s="115">
        <v>0.0018187335553423924</v>
      </c>
      <c r="E1038" s="115">
        <v>2.1562461903973444</v>
      </c>
      <c r="F1038" s="111" t="s">
        <v>822</v>
      </c>
      <c r="G1038" s="111" t="b">
        <v>0</v>
      </c>
      <c r="H1038" s="111" t="b">
        <v>0</v>
      </c>
      <c r="I1038" s="111" t="b">
        <v>0</v>
      </c>
      <c r="J1038" s="111" t="b">
        <v>0</v>
      </c>
      <c r="K1038" s="111" t="b">
        <v>0</v>
      </c>
      <c r="L1038" s="111" t="b">
        <v>0</v>
      </c>
    </row>
    <row r="1039" spans="1:12" ht="15">
      <c r="A1039" s="113" t="s">
        <v>880</v>
      </c>
      <c r="B1039" s="111" t="s">
        <v>868</v>
      </c>
      <c r="C1039" s="111">
        <v>4</v>
      </c>
      <c r="D1039" s="115">
        <v>0.0025673829360368</v>
      </c>
      <c r="E1039" s="115">
        <v>1.7757317762602307</v>
      </c>
      <c r="F1039" s="111" t="s">
        <v>823</v>
      </c>
      <c r="G1039" s="111" t="b">
        <v>0</v>
      </c>
      <c r="H1039" s="111" t="b">
        <v>0</v>
      </c>
      <c r="I1039" s="111" t="b">
        <v>0</v>
      </c>
      <c r="J1039" s="111" t="b">
        <v>0</v>
      </c>
      <c r="K1039" s="111" t="b">
        <v>0</v>
      </c>
      <c r="L1039" s="111" t="b">
        <v>0</v>
      </c>
    </row>
    <row r="1040" spans="1:12" ht="15">
      <c r="A1040" s="113" t="s">
        <v>1014</v>
      </c>
      <c r="B1040" s="111" t="s">
        <v>1083</v>
      </c>
      <c r="C1040" s="111">
        <v>4</v>
      </c>
      <c r="D1040" s="115">
        <v>0.004319894431793136</v>
      </c>
      <c r="E1040" s="115">
        <v>2.009814982293599</v>
      </c>
      <c r="F1040" s="111" t="s">
        <v>823</v>
      </c>
      <c r="G1040" s="111" t="b">
        <v>0</v>
      </c>
      <c r="H1040" s="111" t="b">
        <v>0</v>
      </c>
      <c r="I1040" s="111" t="b">
        <v>0</v>
      </c>
      <c r="J1040" s="111" t="b">
        <v>0</v>
      </c>
      <c r="K1040" s="111" t="b">
        <v>0</v>
      </c>
      <c r="L1040" s="111" t="b">
        <v>0</v>
      </c>
    </row>
    <row r="1041" spans="1:12" ht="15">
      <c r="A1041" s="113" t="s">
        <v>1137</v>
      </c>
      <c r="B1041" s="111" t="s">
        <v>840</v>
      </c>
      <c r="C1041" s="111">
        <v>3</v>
      </c>
      <c r="D1041" s="115">
        <v>0.0032399208238448524</v>
      </c>
      <c r="E1041" s="115">
        <v>1.826884298707612</v>
      </c>
      <c r="F1041" s="111" t="s">
        <v>823</v>
      </c>
      <c r="G1041" s="111" t="b">
        <v>0</v>
      </c>
      <c r="H1041" s="111" t="b">
        <v>0</v>
      </c>
      <c r="I1041" s="111" t="b">
        <v>0</v>
      </c>
      <c r="J1041" s="111" t="b">
        <v>0</v>
      </c>
      <c r="K1041" s="111" t="b">
        <v>0</v>
      </c>
      <c r="L1041" s="111" t="b">
        <v>0</v>
      </c>
    </row>
    <row r="1042" spans="1:12" ht="15">
      <c r="A1042" s="113" t="s">
        <v>981</v>
      </c>
      <c r="B1042" s="111" t="s">
        <v>902</v>
      </c>
      <c r="C1042" s="111">
        <v>3</v>
      </c>
      <c r="D1042" s="115">
        <v>0.0032399208238448524</v>
      </c>
      <c r="E1042" s="115">
        <v>1.826884298707612</v>
      </c>
      <c r="F1042" s="111" t="s">
        <v>823</v>
      </c>
      <c r="G1042" s="111" t="b">
        <v>0</v>
      </c>
      <c r="H1042" s="111" t="b">
        <v>0</v>
      </c>
      <c r="I1042" s="111" t="b">
        <v>0</v>
      </c>
      <c r="J1042" s="111" t="b">
        <v>0</v>
      </c>
      <c r="K1042" s="111" t="b">
        <v>0</v>
      </c>
      <c r="L1042" s="111" t="b">
        <v>0</v>
      </c>
    </row>
    <row r="1043" spans="1:12" ht="15">
      <c r="A1043" s="113" t="s">
        <v>1066</v>
      </c>
      <c r="B1043" s="111" t="s">
        <v>1403</v>
      </c>
      <c r="C1043" s="111">
        <v>3</v>
      </c>
      <c r="D1043" s="115">
        <v>0.0032399208238448524</v>
      </c>
      <c r="E1043" s="115">
        <v>2.5538830266438746</v>
      </c>
      <c r="F1043" s="111" t="s">
        <v>823</v>
      </c>
      <c r="G1043" s="111" t="b">
        <v>0</v>
      </c>
      <c r="H1043" s="111" t="b">
        <v>0</v>
      </c>
      <c r="I1043" s="111" t="b">
        <v>0</v>
      </c>
      <c r="J1043" s="111" t="b">
        <v>0</v>
      </c>
      <c r="K1043" s="111" t="b">
        <v>0</v>
      </c>
      <c r="L1043" s="111" t="b">
        <v>0</v>
      </c>
    </row>
    <row r="1044" spans="1:12" ht="15">
      <c r="A1044" s="113" t="s">
        <v>1144</v>
      </c>
      <c r="B1044" s="111" t="s">
        <v>1400</v>
      </c>
      <c r="C1044" s="111">
        <v>3</v>
      </c>
      <c r="D1044" s="115">
        <v>0.0032399208238448524</v>
      </c>
      <c r="E1044" s="115">
        <v>2.332034277027518</v>
      </c>
      <c r="F1044" s="111" t="s">
        <v>823</v>
      </c>
      <c r="G1044" s="111" t="b">
        <v>0</v>
      </c>
      <c r="H1044" s="111" t="b">
        <v>0</v>
      </c>
      <c r="I1044" s="111" t="b">
        <v>0</v>
      </c>
      <c r="J1044" s="111" t="b">
        <v>0</v>
      </c>
      <c r="K1044" s="111" t="b">
        <v>0</v>
      </c>
      <c r="L1044" s="111" t="b">
        <v>0</v>
      </c>
    </row>
    <row r="1045" spans="1:12" ht="15">
      <c r="A1045" s="113" t="s">
        <v>842</v>
      </c>
      <c r="B1045" s="111" t="s">
        <v>1142</v>
      </c>
      <c r="C1045" s="111">
        <v>2</v>
      </c>
      <c r="D1045" s="115">
        <v>0.002159947215896568</v>
      </c>
      <c r="E1045" s="115">
        <v>2.332034277027518</v>
      </c>
      <c r="F1045" s="111" t="s">
        <v>823</v>
      </c>
      <c r="G1045" s="111" t="b">
        <v>0</v>
      </c>
      <c r="H1045" s="111" t="b">
        <v>0</v>
      </c>
      <c r="I1045" s="111" t="b">
        <v>0</v>
      </c>
      <c r="J1045" s="111" t="b">
        <v>0</v>
      </c>
      <c r="K1045" s="111" t="b">
        <v>0</v>
      </c>
      <c r="L1045" s="111" t="b">
        <v>0</v>
      </c>
    </row>
    <row r="1046" spans="1:12" ht="15">
      <c r="A1046" s="113" t="s">
        <v>1142</v>
      </c>
      <c r="B1046" s="111" t="s">
        <v>945</v>
      </c>
      <c r="C1046" s="111">
        <v>2</v>
      </c>
      <c r="D1046" s="115">
        <v>0.002159947215896568</v>
      </c>
      <c r="E1046" s="115">
        <v>2.332034277027518</v>
      </c>
      <c r="F1046" s="111" t="s">
        <v>823</v>
      </c>
      <c r="G1046" s="111" t="b">
        <v>0</v>
      </c>
      <c r="H1046" s="111" t="b">
        <v>0</v>
      </c>
      <c r="I1046" s="111" t="b">
        <v>0</v>
      </c>
      <c r="J1046" s="111" t="b">
        <v>0</v>
      </c>
      <c r="K1046" s="111" t="b">
        <v>0</v>
      </c>
      <c r="L1046" s="111" t="b">
        <v>0</v>
      </c>
    </row>
    <row r="1047" spans="1:12" ht="15">
      <c r="A1047" s="113" t="s">
        <v>1106</v>
      </c>
      <c r="B1047" s="111" t="s">
        <v>843</v>
      </c>
      <c r="C1047" s="111">
        <v>2</v>
      </c>
      <c r="D1047" s="115">
        <v>0.002159947215896568</v>
      </c>
      <c r="E1047" s="115">
        <v>1.951823035315912</v>
      </c>
      <c r="F1047" s="111" t="s">
        <v>823</v>
      </c>
      <c r="G1047" s="111" t="b">
        <v>0</v>
      </c>
      <c r="H1047" s="111" t="b">
        <v>0</v>
      </c>
      <c r="I1047" s="111" t="b">
        <v>0</v>
      </c>
      <c r="J1047" s="111" t="b">
        <v>0</v>
      </c>
      <c r="K1047" s="111" t="b">
        <v>0</v>
      </c>
      <c r="L1047" s="111" t="b">
        <v>0</v>
      </c>
    </row>
    <row r="1048" spans="1:12" ht="15">
      <c r="A1048" s="113" t="s">
        <v>1724</v>
      </c>
      <c r="B1048" s="111" t="s">
        <v>1725</v>
      </c>
      <c r="C1048" s="111">
        <v>2</v>
      </c>
      <c r="D1048" s="115">
        <v>0.002159947215896568</v>
      </c>
      <c r="E1048" s="115">
        <v>2.7299742856995555</v>
      </c>
      <c r="F1048" s="111" t="s">
        <v>823</v>
      </c>
      <c r="G1048" s="111" t="b">
        <v>0</v>
      </c>
      <c r="H1048" s="111" t="b">
        <v>0</v>
      </c>
      <c r="I1048" s="111" t="b">
        <v>0</v>
      </c>
      <c r="J1048" s="111" t="b">
        <v>0</v>
      </c>
      <c r="K1048" s="111" t="b">
        <v>0</v>
      </c>
      <c r="L1048" s="111" t="b">
        <v>0</v>
      </c>
    </row>
    <row r="1049" spans="1:12" ht="15">
      <c r="A1049" s="113" t="s">
        <v>1725</v>
      </c>
      <c r="B1049" s="111" t="s">
        <v>914</v>
      </c>
      <c r="C1049" s="111">
        <v>2</v>
      </c>
      <c r="D1049" s="115">
        <v>0.002159947215896568</v>
      </c>
      <c r="E1049" s="115">
        <v>2.2528530309798933</v>
      </c>
      <c r="F1049" s="111" t="s">
        <v>823</v>
      </c>
      <c r="G1049" s="111" t="b">
        <v>0</v>
      </c>
      <c r="H1049" s="111" t="b">
        <v>0</v>
      </c>
      <c r="I1049" s="111" t="b">
        <v>0</v>
      </c>
      <c r="J1049" s="111" t="b">
        <v>0</v>
      </c>
      <c r="K1049" s="111" t="b">
        <v>0</v>
      </c>
      <c r="L1049" s="111" t="b">
        <v>0</v>
      </c>
    </row>
    <row r="1050" spans="1:12" ht="15">
      <c r="A1050" s="113" t="s">
        <v>875</v>
      </c>
      <c r="B1050" s="111" t="s">
        <v>1394</v>
      </c>
      <c r="C1050" s="111">
        <v>2</v>
      </c>
      <c r="D1050" s="115">
        <v>0.0016070913928222224</v>
      </c>
      <c r="E1050" s="115">
        <v>2.428944290035574</v>
      </c>
      <c r="F1050" s="111" t="s">
        <v>823</v>
      </c>
      <c r="G1050" s="111" t="b">
        <v>0</v>
      </c>
      <c r="H1050" s="111" t="b">
        <v>1</v>
      </c>
      <c r="I1050" s="111" t="b">
        <v>0</v>
      </c>
      <c r="J1050" s="111" t="b">
        <v>0</v>
      </c>
      <c r="K1050" s="111" t="b">
        <v>0</v>
      </c>
      <c r="L1050" s="111" t="b">
        <v>0</v>
      </c>
    </row>
    <row r="1051" spans="1:12" ht="15">
      <c r="A1051" s="113" t="s">
        <v>1394</v>
      </c>
      <c r="B1051" s="111" t="s">
        <v>1726</v>
      </c>
      <c r="C1051" s="111">
        <v>2</v>
      </c>
      <c r="D1051" s="115">
        <v>0.0016070913928222224</v>
      </c>
      <c r="E1051" s="115">
        <v>2.7299742856995555</v>
      </c>
      <c r="F1051" s="111" t="s">
        <v>823</v>
      </c>
      <c r="G1051" s="111" t="b">
        <v>0</v>
      </c>
      <c r="H1051" s="111" t="b">
        <v>0</v>
      </c>
      <c r="I1051" s="111" t="b">
        <v>0</v>
      </c>
      <c r="J1051" s="111" t="b">
        <v>0</v>
      </c>
      <c r="K1051" s="111" t="b">
        <v>0</v>
      </c>
      <c r="L1051" s="111" t="b">
        <v>0</v>
      </c>
    </row>
    <row r="1052" spans="1:12" ht="15">
      <c r="A1052" s="113" t="s">
        <v>981</v>
      </c>
      <c r="B1052" s="111" t="s">
        <v>1384</v>
      </c>
      <c r="C1052" s="111">
        <v>2</v>
      </c>
      <c r="D1052" s="115">
        <v>0.002159947215896568</v>
      </c>
      <c r="E1052" s="115">
        <v>1.951823035315912</v>
      </c>
      <c r="F1052" s="111" t="s">
        <v>823</v>
      </c>
      <c r="G1052" s="111" t="b">
        <v>0</v>
      </c>
      <c r="H1052" s="111" t="b">
        <v>0</v>
      </c>
      <c r="I1052" s="111" t="b">
        <v>0</v>
      </c>
      <c r="J1052" s="111" t="b">
        <v>0</v>
      </c>
      <c r="K1052" s="111" t="b">
        <v>0</v>
      </c>
      <c r="L1052" s="111" t="b">
        <v>0</v>
      </c>
    </row>
    <row r="1053" spans="1:12" ht="15">
      <c r="A1053" s="113" t="s">
        <v>1384</v>
      </c>
      <c r="B1053" s="111" t="s">
        <v>1820</v>
      </c>
      <c r="C1053" s="111">
        <v>2</v>
      </c>
      <c r="D1053" s="115">
        <v>0.002159947215896568</v>
      </c>
      <c r="E1053" s="115">
        <v>2.5538830266438746</v>
      </c>
      <c r="F1053" s="111" t="s">
        <v>823</v>
      </c>
      <c r="G1053" s="111" t="b">
        <v>0</v>
      </c>
      <c r="H1053" s="111" t="b">
        <v>0</v>
      </c>
      <c r="I1053" s="111" t="b">
        <v>0</v>
      </c>
      <c r="J1053" s="111" t="b">
        <v>0</v>
      </c>
      <c r="K1053" s="111" t="b">
        <v>0</v>
      </c>
      <c r="L1053" s="111" t="b">
        <v>0</v>
      </c>
    </row>
    <row r="1054" spans="1:12" ht="15">
      <c r="A1054" s="113" t="s">
        <v>1820</v>
      </c>
      <c r="B1054" s="111" t="s">
        <v>880</v>
      </c>
      <c r="C1054" s="111">
        <v>2</v>
      </c>
      <c r="D1054" s="115">
        <v>0.002159947215896568</v>
      </c>
      <c r="E1054" s="115">
        <v>2.1279142943715934</v>
      </c>
      <c r="F1054" s="111" t="s">
        <v>823</v>
      </c>
      <c r="G1054" s="111" t="b">
        <v>0</v>
      </c>
      <c r="H1054" s="111" t="b">
        <v>0</v>
      </c>
      <c r="I1054" s="111" t="b">
        <v>0</v>
      </c>
      <c r="J1054" s="111" t="b">
        <v>0</v>
      </c>
      <c r="K1054" s="111" t="b">
        <v>0</v>
      </c>
      <c r="L1054" s="111" t="b">
        <v>0</v>
      </c>
    </row>
    <row r="1055" spans="1:12" ht="15">
      <c r="A1055" s="113" t="s">
        <v>981</v>
      </c>
      <c r="B1055" s="111" t="s">
        <v>1442</v>
      </c>
      <c r="C1055" s="111">
        <v>2</v>
      </c>
      <c r="D1055" s="115">
        <v>0.002159947215896568</v>
      </c>
      <c r="E1055" s="115">
        <v>2.1279142943715934</v>
      </c>
      <c r="F1055" s="111" t="s">
        <v>823</v>
      </c>
      <c r="G1055" s="111" t="b">
        <v>0</v>
      </c>
      <c r="H1055" s="111" t="b">
        <v>0</v>
      </c>
      <c r="I1055" s="111" t="b">
        <v>0</v>
      </c>
      <c r="J1055" s="111" t="b">
        <v>0</v>
      </c>
      <c r="K1055" s="111" t="b">
        <v>0</v>
      </c>
      <c r="L1055" s="111" t="b">
        <v>0</v>
      </c>
    </row>
    <row r="1056" spans="1:12" ht="15">
      <c r="A1056" s="113" t="s">
        <v>1442</v>
      </c>
      <c r="B1056" s="111" t="s">
        <v>1253</v>
      </c>
      <c r="C1056" s="111">
        <v>2</v>
      </c>
      <c r="D1056" s="115">
        <v>0.002159947215896568</v>
      </c>
      <c r="E1056" s="115">
        <v>2.7299742856995555</v>
      </c>
      <c r="F1056" s="111" t="s">
        <v>823</v>
      </c>
      <c r="G1056" s="111" t="b">
        <v>0</v>
      </c>
      <c r="H1056" s="111" t="b">
        <v>0</v>
      </c>
      <c r="I1056" s="111" t="b">
        <v>0</v>
      </c>
      <c r="J1056" s="111" t="b">
        <v>0</v>
      </c>
      <c r="K1056" s="111" t="b">
        <v>0</v>
      </c>
      <c r="L1056" s="111" t="b">
        <v>0</v>
      </c>
    </row>
    <row r="1057" spans="1:12" ht="15">
      <c r="A1057" s="113" t="s">
        <v>847</v>
      </c>
      <c r="B1057" s="111" t="s">
        <v>880</v>
      </c>
      <c r="C1057" s="111">
        <v>2</v>
      </c>
      <c r="D1057" s="115">
        <v>0.0016070913928222224</v>
      </c>
      <c r="E1057" s="115">
        <v>1.6507930396519308</v>
      </c>
      <c r="F1057" s="111" t="s">
        <v>823</v>
      </c>
      <c r="G1057" s="111" t="b">
        <v>0</v>
      </c>
      <c r="H1057" s="111" t="b">
        <v>0</v>
      </c>
      <c r="I1057" s="111" t="b">
        <v>0</v>
      </c>
      <c r="J1057" s="111" t="b">
        <v>0</v>
      </c>
      <c r="K1057" s="111" t="b">
        <v>0</v>
      </c>
      <c r="L1057" s="111" t="b">
        <v>0</v>
      </c>
    </row>
    <row r="1058" spans="1:12" ht="15">
      <c r="A1058" s="113" t="s">
        <v>1754</v>
      </c>
      <c r="B1058" s="111" t="s">
        <v>1755</v>
      </c>
      <c r="C1058" s="111">
        <v>2</v>
      </c>
      <c r="D1058" s="115">
        <v>0.0016070913928222224</v>
      </c>
      <c r="E1058" s="115">
        <v>2.7299742856995555</v>
      </c>
      <c r="F1058" s="111" t="s">
        <v>823</v>
      </c>
      <c r="G1058" s="111" t="b">
        <v>0</v>
      </c>
      <c r="H1058" s="111" t="b">
        <v>0</v>
      </c>
      <c r="I1058" s="111" t="b">
        <v>0</v>
      </c>
      <c r="J1058" s="111" t="b">
        <v>0</v>
      </c>
      <c r="K1058" s="111" t="b">
        <v>0</v>
      </c>
      <c r="L1058" s="111" t="b">
        <v>0</v>
      </c>
    </row>
    <row r="1059" spans="1:12" ht="15">
      <c r="A1059" s="113" t="s">
        <v>1755</v>
      </c>
      <c r="B1059" s="111" t="s">
        <v>1756</v>
      </c>
      <c r="C1059" s="111">
        <v>2</v>
      </c>
      <c r="D1059" s="115">
        <v>0.0016070913928222224</v>
      </c>
      <c r="E1059" s="115">
        <v>2.7299742856995555</v>
      </c>
      <c r="F1059" s="111" t="s">
        <v>823</v>
      </c>
      <c r="G1059" s="111" t="b">
        <v>0</v>
      </c>
      <c r="H1059" s="111" t="b">
        <v>0</v>
      </c>
      <c r="I1059" s="111" t="b">
        <v>0</v>
      </c>
      <c r="J1059" s="111" t="b">
        <v>0</v>
      </c>
      <c r="K1059" s="111" t="b">
        <v>0</v>
      </c>
      <c r="L1059" s="111" t="b">
        <v>0</v>
      </c>
    </row>
    <row r="1060" spans="1:12" ht="15">
      <c r="A1060" s="113" t="s">
        <v>863</v>
      </c>
      <c r="B1060" s="111" t="s">
        <v>973</v>
      </c>
      <c r="C1060" s="111">
        <v>2</v>
      </c>
      <c r="D1060" s="115">
        <v>0.002159947215896568</v>
      </c>
      <c r="E1060" s="115">
        <v>1.951823035315912</v>
      </c>
      <c r="F1060" s="111" t="s">
        <v>823</v>
      </c>
      <c r="G1060" s="111" t="b">
        <v>0</v>
      </c>
      <c r="H1060" s="111" t="b">
        <v>1</v>
      </c>
      <c r="I1060" s="111" t="b">
        <v>0</v>
      </c>
      <c r="J1060" s="111" t="b">
        <v>0</v>
      </c>
      <c r="K1060" s="111" t="b">
        <v>1</v>
      </c>
      <c r="L1060" s="111" t="b">
        <v>0</v>
      </c>
    </row>
    <row r="1061" spans="1:12" ht="15">
      <c r="A1061" s="113" t="s">
        <v>935</v>
      </c>
      <c r="B1061" s="111" t="s">
        <v>840</v>
      </c>
      <c r="C1061" s="111">
        <v>2</v>
      </c>
      <c r="D1061" s="115">
        <v>0.0016070913928222224</v>
      </c>
      <c r="E1061" s="115">
        <v>1.951823035315912</v>
      </c>
      <c r="F1061" s="111" t="s">
        <v>823</v>
      </c>
      <c r="G1061" s="111" t="b">
        <v>0</v>
      </c>
      <c r="H1061" s="111" t="b">
        <v>0</v>
      </c>
      <c r="I1061" s="111" t="b">
        <v>0</v>
      </c>
      <c r="J1061" s="111" t="b">
        <v>0</v>
      </c>
      <c r="K1061" s="111" t="b">
        <v>0</v>
      </c>
      <c r="L1061" s="111" t="b">
        <v>0</v>
      </c>
    </row>
    <row r="1062" spans="1:12" ht="15">
      <c r="A1062" s="113" t="s">
        <v>973</v>
      </c>
      <c r="B1062" s="111" t="s">
        <v>1617</v>
      </c>
      <c r="C1062" s="111">
        <v>2</v>
      </c>
      <c r="D1062" s="115">
        <v>0.0016070913928222224</v>
      </c>
      <c r="E1062" s="115">
        <v>2.2528530309798933</v>
      </c>
      <c r="F1062" s="111" t="s">
        <v>823</v>
      </c>
      <c r="G1062" s="111" t="b">
        <v>0</v>
      </c>
      <c r="H1062" s="111" t="b">
        <v>1</v>
      </c>
      <c r="I1062" s="111" t="b">
        <v>0</v>
      </c>
      <c r="J1062" s="111" t="b">
        <v>0</v>
      </c>
      <c r="K1062" s="111" t="b">
        <v>1</v>
      </c>
      <c r="L1062" s="111" t="b">
        <v>0</v>
      </c>
    </row>
    <row r="1063" spans="1:12" ht="15">
      <c r="A1063" s="113" t="s">
        <v>1438</v>
      </c>
      <c r="B1063" s="111" t="s">
        <v>1817</v>
      </c>
      <c r="C1063" s="111">
        <v>2</v>
      </c>
      <c r="D1063" s="115">
        <v>0.002159947215896568</v>
      </c>
      <c r="E1063" s="115">
        <v>2.5538830266438746</v>
      </c>
      <c r="F1063" s="111" t="s">
        <v>823</v>
      </c>
      <c r="G1063" s="111" t="b">
        <v>0</v>
      </c>
      <c r="H1063" s="111" t="b">
        <v>0</v>
      </c>
      <c r="I1063" s="111" t="b">
        <v>0</v>
      </c>
      <c r="J1063" s="111" t="b">
        <v>0</v>
      </c>
      <c r="K1063" s="111" t="b">
        <v>0</v>
      </c>
      <c r="L1063" s="111" t="b">
        <v>0</v>
      </c>
    </row>
    <row r="1064" spans="1:12" ht="15">
      <c r="A1064" s="113" t="s">
        <v>1817</v>
      </c>
      <c r="B1064" s="111" t="s">
        <v>1439</v>
      </c>
      <c r="C1064" s="111">
        <v>2</v>
      </c>
      <c r="D1064" s="115">
        <v>0.002159947215896568</v>
      </c>
      <c r="E1064" s="115">
        <v>2.7299742856995555</v>
      </c>
      <c r="F1064" s="111" t="s">
        <v>823</v>
      </c>
      <c r="G1064" s="111" t="b">
        <v>0</v>
      </c>
      <c r="H1064" s="111" t="b">
        <v>0</v>
      </c>
      <c r="I1064" s="111" t="b">
        <v>0</v>
      </c>
      <c r="J1064" s="111" t="b">
        <v>0</v>
      </c>
      <c r="K1064" s="111" t="b">
        <v>0</v>
      </c>
      <c r="L1064" s="111" t="b">
        <v>0</v>
      </c>
    </row>
    <row r="1065" spans="1:12" ht="15">
      <c r="A1065" s="113" t="s">
        <v>996</v>
      </c>
      <c r="B1065" s="111" t="s">
        <v>914</v>
      </c>
      <c r="C1065" s="111">
        <v>2</v>
      </c>
      <c r="D1065" s="115">
        <v>0.0016070913928222224</v>
      </c>
      <c r="E1065" s="115">
        <v>2.076761771924212</v>
      </c>
      <c r="F1065" s="111" t="s">
        <v>823</v>
      </c>
      <c r="G1065" s="111" t="b">
        <v>0</v>
      </c>
      <c r="H1065" s="111" t="b">
        <v>0</v>
      </c>
      <c r="I1065" s="111" t="b">
        <v>0</v>
      </c>
      <c r="J1065" s="111" t="b">
        <v>0</v>
      </c>
      <c r="K1065" s="111" t="b">
        <v>0</v>
      </c>
      <c r="L1065" s="111" t="b">
        <v>0</v>
      </c>
    </row>
    <row r="1066" spans="1:12" ht="15">
      <c r="A1066" s="113" t="s">
        <v>853</v>
      </c>
      <c r="B1066" s="111" t="s">
        <v>947</v>
      </c>
      <c r="C1066" s="111">
        <v>2</v>
      </c>
      <c r="D1066" s="115">
        <v>0.002159947215896568</v>
      </c>
      <c r="E1066" s="115">
        <v>2.7299742856995555</v>
      </c>
      <c r="F1066" s="111" t="s">
        <v>823</v>
      </c>
      <c r="G1066" s="111" t="b">
        <v>0</v>
      </c>
      <c r="H1066" s="111" t="b">
        <v>0</v>
      </c>
      <c r="I1066" s="111" t="b">
        <v>0</v>
      </c>
      <c r="J1066" s="111" t="b">
        <v>0</v>
      </c>
      <c r="K1066" s="111" t="b">
        <v>0</v>
      </c>
      <c r="L1066" s="111" t="b">
        <v>0</v>
      </c>
    </row>
    <row r="1067" spans="1:12" ht="15">
      <c r="A1067" s="113" t="s">
        <v>902</v>
      </c>
      <c r="B1067" s="111" t="s">
        <v>1795</v>
      </c>
      <c r="C1067" s="111">
        <v>2</v>
      </c>
      <c r="D1067" s="115">
        <v>0.002159947215896568</v>
      </c>
      <c r="E1067" s="115">
        <v>2.332034277027518</v>
      </c>
      <c r="F1067" s="111" t="s">
        <v>823</v>
      </c>
      <c r="G1067" s="111" t="b">
        <v>0</v>
      </c>
      <c r="H1067" s="111" t="b">
        <v>0</v>
      </c>
      <c r="I1067" s="111" t="b">
        <v>0</v>
      </c>
      <c r="J1067" s="111" t="b">
        <v>0</v>
      </c>
      <c r="K1067" s="111" t="b">
        <v>0</v>
      </c>
      <c r="L1067" s="111" t="b">
        <v>0</v>
      </c>
    </row>
    <row r="1068" spans="1:12" ht="15">
      <c r="A1068" s="113" t="s">
        <v>1795</v>
      </c>
      <c r="B1068" s="111" t="s">
        <v>880</v>
      </c>
      <c r="C1068" s="111">
        <v>2</v>
      </c>
      <c r="D1068" s="115">
        <v>0.002159947215896568</v>
      </c>
      <c r="E1068" s="115">
        <v>2.1279142943715934</v>
      </c>
      <c r="F1068" s="111" t="s">
        <v>823</v>
      </c>
      <c r="G1068" s="111" t="b">
        <v>0</v>
      </c>
      <c r="H1068" s="111" t="b">
        <v>0</v>
      </c>
      <c r="I1068" s="111" t="b">
        <v>0</v>
      </c>
      <c r="J1068" s="111" t="b">
        <v>0</v>
      </c>
      <c r="K1068" s="111" t="b">
        <v>0</v>
      </c>
      <c r="L1068" s="111" t="b">
        <v>0</v>
      </c>
    </row>
    <row r="1069" spans="1:12" ht="15">
      <c r="A1069" s="113" t="s">
        <v>1407</v>
      </c>
      <c r="B1069" s="111" t="s">
        <v>1775</v>
      </c>
      <c r="C1069" s="111">
        <v>2</v>
      </c>
      <c r="D1069" s="115">
        <v>0.002159947215896568</v>
      </c>
      <c r="E1069" s="115">
        <v>2.5538830266438746</v>
      </c>
      <c r="F1069" s="111" t="s">
        <v>823</v>
      </c>
      <c r="G1069" s="111" t="b">
        <v>0</v>
      </c>
      <c r="H1069" s="111" t="b">
        <v>0</v>
      </c>
      <c r="I1069" s="111" t="b">
        <v>0</v>
      </c>
      <c r="J1069" s="111" t="b">
        <v>0</v>
      </c>
      <c r="K1069" s="111" t="b">
        <v>0</v>
      </c>
      <c r="L1069" s="111" t="b">
        <v>0</v>
      </c>
    </row>
    <row r="1070" spans="1:12" ht="15">
      <c r="A1070" s="113" t="s">
        <v>1781</v>
      </c>
      <c r="B1070" s="111" t="s">
        <v>1412</v>
      </c>
      <c r="C1070" s="111">
        <v>2</v>
      </c>
      <c r="D1070" s="115">
        <v>0.002159947215896568</v>
      </c>
      <c r="E1070" s="115">
        <v>2.5538830266438746</v>
      </c>
      <c r="F1070" s="111" t="s">
        <v>823</v>
      </c>
      <c r="G1070" s="111" t="b">
        <v>0</v>
      </c>
      <c r="H1070" s="111" t="b">
        <v>0</v>
      </c>
      <c r="I1070" s="111" t="b">
        <v>0</v>
      </c>
      <c r="J1070" s="111" t="b">
        <v>0</v>
      </c>
      <c r="K1070" s="111" t="b">
        <v>0</v>
      </c>
      <c r="L1070" s="111" t="b">
        <v>0</v>
      </c>
    </row>
    <row r="1071" spans="1:12" ht="15">
      <c r="A1071" s="113" t="s">
        <v>1764</v>
      </c>
      <c r="B1071" s="111" t="s">
        <v>1765</v>
      </c>
      <c r="C1071" s="111">
        <v>2</v>
      </c>
      <c r="D1071" s="115">
        <v>0.002159947215896568</v>
      </c>
      <c r="E1071" s="115">
        <v>2.7299742856995555</v>
      </c>
      <c r="F1071" s="111" t="s">
        <v>823</v>
      </c>
      <c r="G1071" s="111" t="b">
        <v>0</v>
      </c>
      <c r="H1071" s="111" t="b">
        <v>0</v>
      </c>
      <c r="I1071" s="111" t="b">
        <v>0</v>
      </c>
      <c r="J1071" s="111" t="b">
        <v>0</v>
      </c>
      <c r="K1071" s="111" t="b">
        <v>0</v>
      </c>
      <c r="L1071" s="111" t="b">
        <v>0</v>
      </c>
    </row>
    <row r="1072" spans="1:12" ht="15">
      <c r="A1072" s="113" t="s">
        <v>1765</v>
      </c>
      <c r="B1072" s="111" t="s">
        <v>1006</v>
      </c>
      <c r="C1072" s="111">
        <v>2</v>
      </c>
      <c r="D1072" s="115">
        <v>0.002159947215896568</v>
      </c>
      <c r="E1072" s="115">
        <v>2.7299742856995555</v>
      </c>
      <c r="F1072" s="111" t="s">
        <v>823</v>
      </c>
      <c r="G1072" s="111" t="b">
        <v>0</v>
      </c>
      <c r="H1072" s="111" t="b">
        <v>0</v>
      </c>
      <c r="I1072" s="111" t="b">
        <v>0</v>
      </c>
      <c r="J1072" s="111" t="b">
        <v>0</v>
      </c>
      <c r="K1072" s="111" t="b">
        <v>0</v>
      </c>
      <c r="L1072" s="111" t="b">
        <v>0</v>
      </c>
    </row>
    <row r="1073" spans="1:12" ht="15">
      <c r="A1073" s="113" t="s">
        <v>1006</v>
      </c>
      <c r="B1073" s="111" t="s">
        <v>1066</v>
      </c>
      <c r="C1073" s="111">
        <v>2</v>
      </c>
      <c r="D1073" s="115">
        <v>0.002159947215896568</v>
      </c>
      <c r="E1073" s="115">
        <v>2.5538830266438746</v>
      </c>
      <c r="F1073" s="111" t="s">
        <v>823</v>
      </c>
      <c r="G1073" s="111" t="b">
        <v>0</v>
      </c>
      <c r="H1073" s="111" t="b">
        <v>0</v>
      </c>
      <c r="I1073" s="111" t="b">
        <v>0</v>
      </c>
      <c r="J1073" s="111" t="b">
        <v>0</v>
      </c>
      <c r="K1073" s="111" t="b">
        <v>0</v>
      </c>
      <c r="L1073" s="111" t="b">
        <v>0</v>
      </c>
    </row>
    <row r="1074" spans="1:12" ht="15">
      <c r="A1074" s="113" t="s">
        <v>848</v>
      </c>
      <c r="B1074" s="111" t="s">
        <v>863</v>
      </c>
      <c r="C1074" s="111">
        <v>2</v>
      </c>
      <c r="D1074" s="115">
        <v>0.002159947215896568</v>
      </c>
      <c r="E1074" s="115">
        <v>1.951823035315912</v>
      </c>
      <c r="F1074" s="111" t="s">
        <v>823</v>
      </c>
      <c r="G1074" s="111" t="b">
        <v>0</v>
      </c>
      <c r="H1074" s="111" t="b">
        <v>0</v>
      </c>
      <c r="I1074" s="111" t="b">
        <v>0</v>
      </c>
      <c r="J1074" s="111" t="b">
        <v>0</v>
      </c>
      <c r="K1074" s="111" t="b">
        <v>1</v>
      </c>
      <c r="L1074" s="111" t="b">
        <v>0</v>
      </c>
    </row>
    <row r="1075" spans="1:12" ht="15">
      <c r="A1075" s="113" t="s">
        <v>863</v>
      </c>
      <c r="B1075" s="111" t="s">
        <v>1040</v>
      </c>
      <c r="C1075" s="111">
        <v>2</v>
      </c>
      <c r="D1075" s="115">
        <v>0.002159947215896568</v>
      </c>
      <c r="E1075" s="115">
        <v>2.428944290035574</v>
      </c>
      <c r="F1075" s="111" t="s">
        <v>823</v>
      </c>
      <c r="G1075" s="111" t="b">
        <v>0</v>
      </c>
      <c r="H1075" s="111" t="b">
        <v>1</v>
      </c>
      <c r="I1075" s="111" t="b">
        <v>0</v>
      </c>
      <c r="J1075" s="111" t="b">
        <v>0</v>
      </c>
      <c r="K1075" s="111" t="b">
        <v>0</v>
      </c>
      <c r="L1075" s="111" t="b">
        <v>0</v>
      </c>
    </row>
    <row r="1076" spans="1:12" ht="15">
      <c r="A1076" s="113" t="s">
        <v>1040</v>
      </c>
      <c r="B1076" s="111" t="s">
        <v>845</v>
      </c>
      <c r="C1076" s="111">
        <v>2</v>
      </c>
      <c r="D1076" s="115">
        <v>0.002159947215896568</v>
      </c>
      <c r="E1076" s="115">
        <v>2.0310042813635367</v>
      </c>
      <c r="F1076" s="111" t="s">
        <v>823</v>
      </c>
      <c r="G1076" s="111" t="b">
        <v>0</v>
      </c>
      <c r="H1076" s="111" t="b">
        <v>0</v>
      </c>
      <c r="I1076" s="111" t="b">
        <v>0</v>
      </c>
      <c r="J1076" s="111" t="b">
        <v>0</v>
      </c>
      <c r="K1076" s="111" t="b">
        <v>0</v>
      </c>
      <c r="L1076" s="111" t="b">
        <v>0</v>
      </c>
    </row>
    <row r="1077" spans="1:12" ht="15">
      <c r="A1077" s="113" t="s">
        <v>840</v>
      </c>
      <c r="B1077" s="111" t="s">
        <v>891</v>
      </c>
      <c r="C1077" s="111">
        <v>2</v>
      </c>
      <c r="D1077" s="115">
        <v>0.002159947215896568</v>
      </c>
      <c r="E1077" s="115">
        <v>1.8135203371496305</v>
      </c>
      <c r="F1077" s="111" t="s">
        <v>823</v>
      </c>
      <c r="G1077" s="111" t="b">
        <v>0</v>
      </c>
      <c r="H1077" s="111" t="b">
        <v>0</v>
      </c>
      <c r="I1077" s="111" t="b">
        <v>0</v>
      </c>
      <c r="J1077" s="111" t="b">
        <v>0</v>
      </c>
      <c r="K1077" s="111" t="b">
        <v>0</v>
      </c>
      <c r="L1077" s="111" t="b">
        <v>0</v>
      </c>
    </row>
    <row r="1078" spans="1:12" ht="15">
      <c r="A1078" s="113" t="s">
        <v>1759</v>
      </c>
      <c r="B1078" s="111" t="s">
        <v>1760</v>
      </c>
      <c r="C1078" s="111">
        <v>2</v>
      </c>
      <c r="D1078" s="115">
        <v>0.002159947215896568</v>
      </c>
      <c r="E1078" s="115">
        <v>2.7299742856995555</v>
      </c>
      <c r="F1078" s="111" t="s">
        <v>823</v>
      </c>
      <c r="G1078" s="111" t="b">
        <v>0</v>
      </c>
      <c r="H1078" s="111" t="b">
        <v>0</v>
      </c>
      <c r="I1078" s="111" t="b">
        <v>0</v>
      </c>
      <c r="J1078" s="111" t="b">
        <v>0</v>
      </c>
      <c r="K1078" s="111" t="b">
        <v>0</v>
      </c>
      <c r="L1078" s="111" t="b">
        <v>0</v>
      </c>
    </row>
    <row r="1079" spans="1:12" ht="15">
      <c r="A1079" s="113" t="s">
        <v>1760</v>
      </c>
      <c r="B1079" s="111" t="s">
        <v>1761</v>
      </c>
      <c r="C1079" s="111">
        <v>2</v>
      </c>
      <c r="D1079" s="115">
        <v>0.002159947215896568</v>
      </c>
      <c r="E1079" s="115">
        <v>2.7299742856995555</v>
      </c>
      <c r="F1079" s="111" t="s">
        <v>823</v>
      </c>
      <c r="G1079" s="111" t="b">
        <v>0</v>
      </c>
      <c r="H1079" s="111" t="b">
        <v>0</v>
      </c>
      <c r="I1079" s="111" t="b">
        <v>0</v>
      </c>
      <c r="J1079" s="111" t="b">
        <v>0</v>
      </c>
      <c r="K1079" s="111" t="b">
        <v>0</v>
      </c>
      <c r="L1079" s="111" t="b">
        <v>0</v>
      </c>
    </row>
    <row r="1080" spans="1:12" ht="15">
      <c r="A1080" s="113" t="s">
        <v>1761</v>
      </c>
      <c r="B1080" s="111" t="s">
        <v>1762</v>
      </c>
      <c r="C1080" s="111">
        <v>2</v>
      </c>
      <c r="D1080" s="115">
        <v>0.002159947215896568</v>
      </c>
      <c r="E1080" s="115">
        <v>2.7299742856995555</v>
      </c>
      <c r="F1080" s="111" t="s">
        <v>823</v>
      </c>
      <c r="G1080" s="111" t="b">
        <v>0</v>
      </c>
      <c r="H1080" s="111" t="b">
        <v>0</v>
      </c>
      <c r="I1080" s="111" t="b">
        <v>0</v>
      </c>
      <c r="J1080" s="111" t="b">
        <v>0</v>
      </c>
      <c r="K1080" s="111" t="b">
        <v>0</v>
      </c>
      <c r="L1080" s="111" t="b">
        <v>0</v>
      </c>
    </row>
    <row r="1081" spans="1:12" ht="15">
      <c r="A1081" s="113" t="s">
        <v>1735</v>
      </c>
      <c r="B1081" s="111" t="s">
        <v>1246</v>
      </c>
      <c r="C1081" s="111">
        <v>2</v>
      </c>
      <c r="D1081" s="115">
        <v>0.002159947215896568</v>
      </c>
      <c r="E1081" s="115">
        <v>2.428944290035574</v>
      </c>
      <c r="F1081" s="111" t="s">
        <v>823</v>
      </c>
      <c r="G1081" s="111" t="b">
        <v>0</v>
      </c>
      <c r="H1081" s="111" t="b">
        <v>0</v>
      </c>
      <c r="I1081" s="111" t="b">
        <v>0</v>
      </c>
      <c r="J1081" s="111" t="b">
        <v>0</v>
      </c>
      <c r="K1081" s="111" t="b">
        <v>0</v>
      </c>
      <c r="L1081" s="111" t="b">
        <v>0</v>
      </c>
    </row>
    <row r="1082" spans="1:12" ht="15">
      <c r="A1082" s="113" t="s">
        <v>1246</v>
      </c>
      <c r="B1082" s="111" t="s">
        <v>1012</v>
      </c>
      <c r="C1082" s="111">
        <v>2</v>
      </c>
      <c r="D1082" s="115">
        <v>0.002159947215896568</v>
      </c>
      <c r="E1082" s="115">
        <v>1.8848762456852988</v>
      </c>
      <c r="F1082" s="111" t="s">
        <v>823</v>
      </c>
      <c r="G1082" s="111" t="b">
        <v>0</v>
      </c>
      <c r="H1082" s="111" t="b">
        <v>0</v>
      </c>
      <c r="I1082" s="111" t="b">
        <v>0</v>
      </c>
      <c r="J1082" s="111" t="b">
        <v>0</v>
      </c>
      <c r="K1082" s="111" t="b">
        <v>0</v>
      </c>
      <c r="L1082" s="111" t="b">
        <v>0</v>
      </c>
    </row>
    <row r="1083" spans="1:12" ht="15">
      <c r="A1083" s="113" t="s">
        <v>1056</v>
      </c>
      <c r="B1083" s="111" t="s">
        <v>1012</v>
      </c>
      <c r="C1083" s="111">
        <v>2</v>
      </c>
      <c r="D1083" s="115">
        <v>0.002159947215896568</v>
      </c>
      <c r="E1083" s="115">
        <v>2.18590624134928</v>
      </c>
      <c r="F1083" s="111" t="s">
        <v>823</v>
      </c>
      <c r="G1083" s="111" t="b">
        <v>0</v>
      </c>
      <c r="H1083" s="111" t="b">
        <v>0</v>
      </c>
      <c r="I1083" s="111" t="b">
        <v>0</v>
      </c>
      <c r="J1083" s="111" t="b">
        <v>0</v>
      </c>
      <c r="K1083" s="111" t="b">
        <v>0</v>
      </c>
      <c r="L1083" s="111" t="b">
        <v>0</v>
      </c>
    </row>
    <row r="1084" spans="1:12" ht="15">
      <c r="A1084" s="113" t="s">
        <v>883</v>
      </c>
      <c r="B1084" s="111" t="s">
        <v>1399</v>
      </c>
      <c r="C1084" s="111">
        <v>2</v>
      </c>
      <c r="D1084" s="115">
        <v>0.002159947215896568</v>
      </c>
      <c r="E1084" s="115">
        <v>2.2528530309798933</v>
      </c>
      <c r="F1084" s="111" t="s">
        <v>823</v>
      </c>
      <c r="G1084" s="111" t="b">
        <v>0</v>
      </c>
      <c r="H1084" s="111" t="b">
        <v>0</v>
      </c>
      <c r="I1084" s="111" t="b">
        <v>0</v>
      </c>
      <c r="J1084" s="111" t="b">
        <v>0</v>
      </c>
      <c r="K1084" s="111" t="b">
        <v>0</v>
      </c>
      <c r="L1084" s="111" t="b">
        <v>0</v>
      </c>
    </row>
    <row r="1085" spans="1:12" ht="15">
      <c r="A1085" s="113" t="s">
        <v>1400</v>
      </c>
      <c r="B1085" s="111" t="s">
        <v>850</v>
      </c>
      <c r="C1085" s="111">
        <v>2</v>
      </c>
      <c r="D1085" s="115">
        <v>0.002159947215896568</v>
      </c>
      <c r="E1085" s="115">
        <v>2.1559430179718366</v>
      </c>
      <c r="F1085" s="111" t="s">
        <v>823</v>
      </c>
      <c r="G1085" s="111" t="b">
        <v>0</v>
      </c>
      <c r="H1085" s="111" t="b">
        <v>0</v>
      </c>
      <c r="I1085" s="111" t="b">
        <v>0</v>
      </c>
      <c r="J1085" s="111" t="b">
        <v>0</v>
      </c>
      <c r="K1085" s="111" t="b">
        <v>0</v>
      </c>
      <c r="L1085" s="111" t="b">
        <v>0</v>
      </c>
    </row>
    <row r="1086" spans="1:12" ht="15">
      <c r="A1086" s="113" t="s">
        <v>850</v>
      </c>
      <c r="B1086" s="111" t="s">
        <v>1401</v>
      </c>
      <c r="C1086" s="111">
        <v>2</v>
      </c>
      <c r="D1086" s="115">
        <v>0.002159947215896568</v>
      </c>
      <c r="E1086" s="115">
        <v>2.1559430179718366</v>
      </c>
      <c r="F1086" s="111" t="s">
        <v>823</v>
      </c>
      <c r="G1086" s="111" t="b">
        <v>0</v>
      </c>
      <c r="H1086" s="111" t="b">
        <v>0</v>
      </c>
      <c r="I1086" s="111" t="b">
        <v>0</v>
      </c>
      <c r="J1086" s="111" t="b">
        <v>0</v>
      </c>
      <c r="K1086" s="111" t="b">
        <v>0</v>
      </c>
      <c r="L1086" s="111" t="b">
        <v>0</v>
      </c>
    </row>
    <row r="1087" spans="1:12" ht="15">
      <c r="A1087" s="113" t="s">
        <v>1144</v>
      </c>
      <c r="B1087" s="111" t="s">
        <v>884</v>
      </c>
      <c r="C1087" s="111">
        <v>2</v>
      </c>
      <c r="D1087" s="115">
        <v>0.002159947215896568</v>
      </c>
      <c r="E1087" s="115">
        <v>2.1559430179718366</v>
      </c>
      <c r="F1087" s="111" t="s">
        <v>823</v>
      </c>
      <c r="G1087" s="111" t="b">
        <v>0</v>
      </c>
      <c r="H1087" s="111" t="b">
        <v>0</v>
      </c>
      <c r="I1087" s="111" t="b">
        <v>0</v>
      </c>
      <c r="J1087" s="111" t="b">
        <v>0</v>
      </c>
      <c r="K1087" s="111" t="b">
        <v>0</v>
      </c>
      <c r="L1087" s="111" t="b">
        <v>0</v>
      </c>
    </row>
    <row r="1088" spans="1:12" ht="15">
      <c r="A1088" s="113" t="s">
        <v>1117</v>
      </c>
      <c r="B1088" s="111" t="s">
        <v>929</v>
      </c>
      <c r="C1088" s="111">
        <v>2</v>
      </c>
      <c r="D1088" s="115">
        <v>0.0016070913928222224</v>
      </c>
      <c r="E1088" s="115">
        <v>2.2528530309798933</v>
      </c>
      <c r="F1088" s="111" t="s">
        <v>823</v>
      </c>
      <c r="G1088" s="111" t="b">
        <v>0</v>
      </c>
      <c r="H1088" s="111" t="b">
        <v>0</v>
      </c>
      <c r="I1088" s="111" t="b">
        <v>0</v>
      </c>
      <c r="J1088" s="111" t="b">
        <v>0</v>
      </c>
      <c r="K1088" s="111" t="b">
        <v>0</v>
      </c>
      <c r="L1088" s="111" t="b">
        <v>0</v>
      </c>
    </row>
    <row r="1089" spans="1:12" ht="15">
      <c r="A1089" s="113" t="s">
        <v>1618</v>
      </c>
      <c r="B1089" s="111" t="s">
        <v>1619</v>
      </c>
      <c r="C1089" s="111">
        <v>2</v>
      </c>
      <c r="D1089" s="115">
        <v>0.002159947215896568</v>
      </c>
      <c r="E1089" s="115">
        <v>2.7299742856995555</v>
      </c>
      <c r="F1089" s="111" t="s">
        <v>823</v>
      </c>
      <c r="G1089" s="111" t="b">
        <v>0</v>
      </c>
      <c r="H1089" s="111" t="b">
        <v>0</v>
      </c>
      <c r="I1089" s="111" t="b">
        <v>0</v>
      </c>
      <c r="J1089" s="111" t="b">
        <v>0</v>
      </c>
      <c r="K1089" s="111" t="b">
        <v>0</v>
      </c>
      <c r="L1089" s="111" t="b">
        <v>0</v>
      </c>
    </row>
    <row r="1090" spans="1:12" ht="15">
      <c r="A1090" s="113" t="s">
        <v>1619</v>
      </c>
      <c r="B1090" s="111" t="s">
        <v>1620</v>
      </c>
      <c r="C1090" s="111">
        <v>2</v>
      </c>
      <c r="D1090" s="115">
        <v>0.002159947215896568</v>
      </c>
      <c r="E1090" s="115">
        <v>2.7299742856995555</v>
      </c>
      <c r="F1090" s="111" t="s">
        <v>823</v>
      </c>
      <c r="G1090" s="111" t="b">
        <v>0</v>
      </c>
      <c r="H1090" s="111" t="b">
        <v>0</v>
      </c>
      <c r="I1090" s="111" t="b">
        <v>0</v>
      </c>
      <c r="J1090" s="111" t="b">
        <v>0</v>
      </c>
      <c r="K1090" s="111" t="b">
        <v>0</v>
      </c>
      <c r="L1090" s="111" t="b">
        <v>0</v>
      </c>
    </row>
    <row r="1091" spans="1:12" ht="15">
      <c r="A1091" s="113" t="s">
        <v>1614</v>
      </c>
      <c r="B1091" s="111" t="s">
        <v>1615</v>
      </c>
      <c r="C1091" s="111">
        <v>2</v>
      </c>
      <c r="D1091" s="115">
        <v>0.002159947215896568</v>
      </c>
      <c r="E1091" s="115">
        <v>2.7299742856995555</v>
      </c>
      <c r="F1091" s="111" t="s">
        <v>823</v>
      </c>
      <c r="G1091" s="111" t="b">
        <v>0</v>
      </c>
      <c r="H1091" s="111" t="b">
        <v>0</v>
      </c>
      <c r="I1091" s="111" t="b">
        <v>0</v>
      </c>
      <c r="J1091" s="111" t="b">
        <v>0</v>
      </c>
      <c r="K1091" s="111" t="b">
        <v>0</v>
      </c>
      <c r="L1091" s="11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2021-06-15T12:16:17Z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