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<sst xmlns="http://schemas.openxmlformats.org/spreadsheetml/2006/main" count="19113" uniqueCount="3563">
  <si>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</si>
  <si>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</si>
  <si>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</si>
  <si>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</si>
  <si>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</si>
  <si>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</si>
  <si>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</si>
  <si>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</si>
  <si>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</si>
  <si>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</si>
  <si>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</si>
  <si>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</si>
  <si>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</si>
  <si>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</si>
  <si>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</si>
  <si>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</si>
  <si>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</si>
  <si>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</si>
  <si>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</si>
  <si>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</si>
  <si>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</si>
  <si>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</si>
  <si>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</si>
  <si>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</si>
  <si>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</si>
  <si>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</si>
  <si>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</si>
  <si>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</si>
  <si>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</si>
  <si>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</si>
  <si>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</si>
  <si>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</si>
  <si>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</si>
  <si>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</si>
  <si>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</si>
  <si>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</si>
  <si>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</si>
  <si>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</si>
  <si>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</si>
  <si>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</si>
  <si>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</si>
  <si>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</si>
  <si>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</si>
  <si>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</si>
  <si>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</si>
  <si>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</si>
  <si>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</si>
  <si>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</si>
  <si>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</si>
  <si>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</si>
  <si>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</si>
  <si>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</si>
  <si>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</si>
  <si>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</si>
  <si>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</si>
  <si>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</si>
  <si>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</si>
  <si>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</si>
  <si>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</si>
  <si>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</si>
  <si>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</si>
  <si>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</si>
  <si>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</si>
  <si>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</si>
  <si>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</si>
  <si>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</si>
  <si>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</si>
  <si>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</si>
  <si>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</si>
  <si>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</si>
  <si>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</si>
  <si>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</si>
  <si>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</si>
  <si>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</si>
  <si>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</si>
  <si>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</si>
  <si>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</si>
  <si>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</si>
  <si>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</si>
  <si>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</si>
  <si>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</si>
  <si>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</si>
  <si>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</si>
  <si>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</si>
  <si>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</si>
  <si>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</si>
  <si>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</si>
  <si>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</si>
  <si>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</si>
  <si>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</si>
  <si>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</si>
  <si>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</si>
  <si>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</si>
  <si>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</si>
  <si>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</si>
  <si>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</si>
  <si>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</si>
  <si>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</si>
  <si>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</si>
  <si>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</si>
  <si>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</si>
  <si>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</si>
  <si>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</si>
  <si>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</si>
  <si>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</si>
  <si>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</si>
  <si>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</si>
  <si>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</si>
  <si>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</si>
  <si>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</si>
  <si>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</si>
  <si>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</si>
  <si>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</si>
  <si>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</si>
  <si>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</si>
  <si>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</si>
  <si>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</si>
  <si>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</si>
  <si>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</si>
  <si>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</si>
  <si>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</si>
  <si>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</si>
  <si>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</si>
  <si>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</si>
  <si>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</si>
  <si>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</si>
  <si>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</si>
  <si>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</si>
  <si>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</si>
  <si>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</si>
  <si>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</si>
  <si>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</si>
  <si>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</si>
  <si>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</si>
  <si>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</si>
  <si>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</si>
  <si>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</si>
  <si>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</si>
  <si>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</si>
  <si>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</si>
  <si>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</si>
  <si>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</si>
  <si>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</si>
  <si>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</si>
  <si>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</si>
  <si>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</si>
  <si>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</si>
  <si>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</si>
  <si>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</si>
  <si>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</si>
  <si>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</si>
  <si>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</si>
  <si>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</si>
  <si>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</si>
  <si>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</si>
  <si>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</si>
  <si>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</si>
  <si>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</si>
  <si>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</si>
  <si>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</si>
  <si>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</si>
  <si>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</si>
  <si>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</si>
  <si>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</si>
  <si>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</si>
  <si>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</si>
  <si>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</si>
  <si>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</si>
  <si>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</si>
  <si>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</si>
  <si>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</si>
  <si>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</si>
  <si>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</si>
  <si>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</si>
  <si>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</si>
  <si>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</si>
  <si>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t>
  </si>
  <si>
    <t>Workbook Settings 3</t>
  </si>
  <si>
    <t>/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
  </si>
  <si>
    <t>Workbook Settings 4</t>
  </si>
  <si>
    <t>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t>
  </si>
  <si>
    <t>Workbook Settings 5</t>
  </si>
  <si>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t>
  </si>
  <si>
    <t>Workbook Settings 6</t>
  </si>
  <si>
    <t>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t>
  </si>
  <si>
    <t>Workbook Settings 7</t>
  </si>
  <si>
    <t>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t>
  </si>
  <si>
    <t>Workbook Settings 8</t>
  </si>
  <si>
    <t>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
  </si>
  <si>
    <t>Workbook Settings 9</t>
  </si>
  <si>
    <t>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t>
  </si>
  <si>
    <t>Workbook Settings 10</t>
  </si>
  <si>
    <t>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t>
  </si>
  <si>
    <t>Workbook Settings 11</t>
  </si>
  <si>
    <t>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t>
  </si>
  <si>
    <t>Workbook Settings 12</t>
  </si>
  <si>
    <t>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t>
  </si>
  <si>
    <t>Workbook Settings 13</t>
  </si>
  <si>
    <t>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t>
  </si>
  <si>
    <t>Workbook Settings 14</t>
  </si>
  <si>
    <t>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t>
  </si>
  <si>
    <t>Workbook Settings 15</t>
  </si>
  <si>
    <t xml:space="preserve">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t>
  </si>
  <si>
    <t>Workbook Settings 16</t>
  </si>
  <si>
    <t>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t>
  </si>
  <si>
    <t>Workbook Settings 17</t>
  </si>
  <si>
    <t>Workbook Settings 18</t>
  </si>
  <si>
    <t xml:space="preserve">lue&gt;
      &lt;/setting&gt;
      &lt;setting name="EdgeWidthDetails" serializeAs="String"&gt;
        &lt;value&gt;False False 0 0 5 10 False False&lt;/value&gt;
      &lt;/setting&gt;
      &lt;setting name="GroupCollapsedDetails" serializeAs="String"&gt;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Aqua White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&lt;value&gt;2&lt;/value&gt;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30 2147483647 Black True 419 White 80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</si>
  <si>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Workbook Settings 19</t>
  </si>
  <si>
    <t>Autofill Workbook Results</t>
  </si>
  <si>
    <t>Graph History</t>
  </si>
  <si>
    <t>Relationship</t>
  </si>
  <si>
    <t>eoRbJqpWwo0</t>
  </si>
  <si>
    <t>MWk8XJWEiO4</t>
  </si>
  <si>
    <t>uGHwpg-fJvc</t>
  </si>
  <si>
    <t>_gn-E3JIGo0</t>
  </si>
  <si>
    <t>lruYVSGcxHs</t>
  </si>
  <si>
    <t>6bZVEf1OrTU</t>
  </si>
  <si>
    <t>voM51OT9XVs</t>
  </si>
  <si>
    <t>fK1_SH3X2ek</t>
  </si>
  <si>
    <t>X2WiIHZZfTU</t>
  </si>
  <si>
    <t>VCC4kUaRZpw</t>
  </si>
  <si>
    <t>08BO3wjtIJc</t>
  </si>
  <si>
    <t>PUwmA3Q0_OE</t>
  </si>
  <si>
    <t>rUfIZuPB04w</t>
  </si>
  <si>
    <t>OvyQAmqV7Zk</t>
  </si>
  <si>
    <t>T7oaOL61JOQ</t>
  </si>
  <si>
    <t>EN5j-ZRGROg</t>
  </si>
  <si>
    <t>ZG4-XRq7IF8</t>
  </si>
  <si>
    <t>DdV_TDF7y0g</t>
  </si>
  <si>
    <t>1boWH394fVk</t>
  </si>
  <si>
    <t>iV8halwwa-4</t>
  </si>
  <si>
    <t>UHTDX6EqcFY</t>
  </si>
  <si>
    <t>90M2B6RyHf0</t>
  </si>
  <si>
    <t>4hjBIYqiGTw</t>
  </si>
  <si>
    <t>Y-z2kpg7Zxk</t>
  </si>
  <si>
    <t>98vGVuoWQP4</t>
  </si>
  <si>
    <t>ZmsJGv4bnq0</t>
  </si>
  <si>
    <t>P0Q6YV9GmpI</t>
  </si>
  <si>
    <t>8VqF3B9JTxA</t>
  </si>
  <si>
    <t>ClAx7Sr-8os</t>
  </si>
  <si>
    <t>kA_I1toW87M</t>
  </si>
  <si>
    <t>oznOXfualfA</t>
  </si>
  <si>
    <t>xjZmCZnRmsI</t>
  </si>
  <si>
    <t>l5eXRUMiNqU</t>
  </si>
  <si>
    <t>A8ZK4VWmbGc</t>
  </si>
  <si>
    <t>7Pq-S557XQU</t>
  </si>
  <si>
    <t>_XRED5LqkL4</t>
  </si>
  <si>
    <t>oLeDTXnaGkw</t>
  </si>
  <si>
    <t>MbuT_TY51_E</t>
  </si>
  <si>
    <t>d-5553Tzhpg</t>
  </si>
  <si>
    <t>CR_o8pZNFlY</t>
  </si>
  <si>
    <t>CWu29PRCUvQ</t>
  </si>
  <si>
    <t>NLvTzXu-S0c</t>
  </si>
  <si>
    <t>f8zJjX303ow</t>
  </si>
  <si>
    <t>TKd1I7xifig</t>
  </si>
  <si>
    <t>tE7jBv3z6o0</t>
  </si>
  <si>
    <t>c9p9NE4Pji0</t>
  </si>
  <si>
    <t>P7_aKYU95jk</t>
  </si>
  <si>
    <t>c47KVyz0Gsg</t>
  </si>
  <si>
    <t>ty6MKNLnqAo</t>
  </si>
  <si>
    <t>5xZuIh89_BI</t>
  </si>
  <si>
    <t>8YTlxhdEA70</t>
  </si>
  <si>
    <t>JjoeCkgxfFU</t>
  </si>
  <si>
    <t>0loyJ70xnBU</t>
  </si>
  <si>
    <t>XFbbPB6Q-gk</t>
  </si>
  <si>
    <t>LGQ7A7z22yw</t>
  </si>
  <si>
    <t>3VVZBzSNivU</t>
  </si>
  <si>
    <t>0WoVowkmnHo</t>
  </si>
  <si>
    <t>flsjYjcoEUk</t>
  </si>
  <si>
    <t>R7oyZGW99os</t>
  </si>
  <si>
    <t>BmPjQCQ47PM</t>
  </si>
  <si>
    <t>A0rvRF8BKGo</t>
  </si>
  <si>
    <t>FYeYIoWViNQ</t>
  </si>
  <si>
    <t>qzcE1yh4jeo</t>
  </si>
  <si>
    <t>WYEyFMaef4M</t>
  </si>
  <si>
    <t>tvYp5Tzx0DU</t>
  </si>
  <si>
    <t>AJDAy_D9jrA</t>
  </si>
  <si>
    <t>prAwHCtl0YE</t>
  </si>
  <si>
    <t>umjxrA-yXg4</t>
  </si>
  <si>
    <t>LCbx9qUigPM</t>
  </si>
  <si>
    <t>wdcQOU71mAA</t>
  </si>
  <si>
    <t>Lqd1bY-p7iU</t>
  </si>
  <si>
    <t>nrwoaAkLVxo</t>
  </si>
  <si>
    <t>C0o9Qr6HoxE</t>
  </si>
  <si>
    <t>sTe-pCJA7QI</t>
  </si>
  <si>
    <t>CKvGKTsAoO4</t>
  </si>
  <si>
    <t>rO1tde7PP18</t>
  </si>
  <si>
    <t>Ix41BHcjZjs</t>
  </si>
  <si>
    <t>MWSr6TvHtDQ</t>
  </si>
  <si>
    <t>RrXJsf9x_sY</t>
  </si>
  <si>
    <t>4zyGFWXPG6g</t>
  </si>
  <si>
    <t>rGrk-0ikl-Y</t>
  </si>
  <si>
    <t>9iMGFqMmUFs</t>
  </si>
  <si>
    <t>ReCvreRPdeY</t>
  </si>
  <si>
    <t>xlaStrxzW_U</t>
  </si>
  <si>
    <t>vwbv1mnBt1Q</t>
  </si>
  <si>
    <t>x1MPkV9EFGM</t>
  </si>
  <si>
    <t>pfwSSR9jHKI</t>
  </si>
  <si>
    <t>5BAKzzV8Pw4</t>
  </si>
  <si>
    <t>Rlth9TUWaQg</t>
  </si>
  <si>
    <t>it5rQb8nWNc</t>
  </si>
  <si>
    <t>hMWyT0soCK8</t>
  </si>
  <si>
    <t>tMkWdGX1Res</t>
  </si>
  <si>
    <t>Q68w1Lh1FZk</t>
  </si>
  <si>
    <t>muO8Mj_PogQ</t>
  </si>
  <si>
    <t>gWsPVvcw6fg</t>
  </si>
  <si>
    <t>6lulV8sw-HY</t>
  </si>
  <si>
    <t>Za2S4ZWhoT8</t>
  </si>
  <si>
    <t>sRsPG1VjNfw</t>
  </si>
  <si>
    <t>fxDQML4kfOU</t>
  </si>
  <si>
    <t>MaOJAJLyes0</t>
  </si>
  <si>
    <t>h5F8OVh-d0s</t>
  </si>
  <si>
    <t>8-y8i-zwIhE</t>
  </si>
  <si>
    <t>TWxFPKNXDJY</t>
  </si>
  <si>
    <t>ggCWteBANjE</t>
  </si>
  <si>
    <t>wSuS9p8zJis</t>
  </si>
  <si>
    <t>HR0FYAIIr0Y</t>
  </si>
  <si>
    <t>5FLzaLmzm7A</t>
  </si>
  <si>
    <t>BcgWnwTVAGg</t>
  </si>
  <si>
    <t>KtuIY0OCw3Y</t>
  </si>
  <si>
    <t>IpdCgsTo1bw</t>
  </si>
  <si>
    <t>yaa0HJf8n18</t>
  </si>
  <si>
    <t>z2OUh3Dv9sE</t>
  </si>
  <si>
    <t>kEujp62VTFA</t>
  </si>
  <si>
    <t>zkf-9EOnFGY</t>
  </si>
  <si>
    <t>bjWbv0ZIeLw</t>
  </si>
  <si>
    <t>cTJTDRdbtSE</t>
  </si>
  <si>
    <t>4gDOjS0xRAQ</t>
  </si>
  <si>
    <t>sxvJatvqBVE</t>
  </si>
  <si>
    <t>h3EJICKwITw</t>
  </si>
  <si>
    <t>AUZUeD5hJWA</t>
  </si>
  <si>
    <t>I0h8Vj8Hyek</t>
  </si>
  <si>
    <t>F4lgysGHrdw</t>
  </si>
  <si>
    <t>1POB_czE16k</t>
  </si>
  <si>
    <t>eLsegxXzaiE</t>
  </si>
  <si>
    <t>xztaFt0XqKU</t>
  </si>
  <si>
    <t>oQ235E1gvrU</t>
  </si>
  <si>
    <t>twG4mr6Jov0</t>
  </si>
  <si>
    <t>chSyQPKsNk4</t>
  </si>
  <si>
    <t>AkVPDzXfvKA</t>
  </si>
  <si>
    <t>SSu_FjJTOrc</t>
  </si>
  <si>
    <t>KOmSK3-t6v4</t>
  </si>
  <si>
    <t>kP7URsS6OoU</t>
  </si>
  <si>
    <t>HCIet_3JORU</t>
  </si>
  <si>
    <t>UKBjpQ3QU84</t>
  </si>
  <si>
    <t>qN80-RWp-wk</t>
  </si>
  <si>
    <t>BgTY3CVY0Sk</t>
  </si>
  <si>
    <t>B3Bd34q-Q0U</t>
  </si>
  <si>
    <t>1u4hsy_Xjoo</t>
  </si>
  <si>
    <t>AlPy1Se4nXs</t>
  </si>
  <si>
    <t>zTGIQJxcj2U</t>
  </si>
  <si>
    <t>7b3OwBDBeOo</t>
  </si>
  <si>
    <t>M0dvfdkWhAw</t>
  </si>
  <si>
    <t>mxJrHKy5kmk</t>
  </si>
  <si>
    <t>Qj0K-Pm0KbQ</t>
  </si>
  <si>
    <t>VCx2MBuq4Eo</t>
  </si>
  <si>
    <t>Thj3nE3KAwk</t>
  </si>
  <si>
    <t>-O2N0qT_ks8</t>
  </si>
  <si>
    <t>fElYSnSJjFc</t>
  </si>
  <si>
    <t>L2hVl1-HYKA</t>
  </si>
  <si>
    <t>eNEWd7R70fQ</t>
  </si>
  <si>
    <t>niztAhOnXpQ</t>
  </si>
  <si>
    <t>Mox59tWDUUg</t>
  </si>
  <si>
    <t>FvCLqWTY3qk</t>
  </si>
  <si>
    <t>NcmcFQC6Sc0</t>
  </si>
  <si>
    <t>fu_2VRAfDP0</t>
  </si>
  <si>
    <t>0r9Z9L2NvjE</t>
  </si>
  <si>
    <t>MpgpRBvptqQ</t>
  </si>
  <si>
    <t>MyYioydGJYY</t>
  </si>
  <si>
    <t>NiPMcp08zyk</t>
  </si>
  <si>
    <t>QHNOqA4N3TA</t>
  </si>
  <si>
    <t>2stmdLe9k8w</t>
  </si>
  <si>
    <t>dH9iFU1AGAg</t>
  </si>
  <si>
    <t>HeOcduRiqyw</t>
  </si>
  <si>
    <t>f5vABZt80AQ</t>
  </si>
  <si>
    <t>avbMctFvX80</t>
  </si>
  <si>
    <t>vpEAos0blyw</t>
  </si>
  <si>
    <t>h6n7IZoTlkY</t>
  </si>
  <si>
    <t>Td1itX2lMss</t>
  </si>
  <si>
    <t>thiV4-BWHlU</t>
  </si>
  <si>
    <t>2JWku3Kjpq0</t>
  </si>
  <si>
    <t>lSClgMg6nrY</t>
  </si>
  <si>
    <t>wjrTq0dEvGI</t>
  </si>
  <si>
    <t>pfKPJasaDSY</t>
  </si>
  <si>
    <t>LBkXQ_mBO3Q</t>
  </si>
  <si>
    <t>-Um-b9tiF_8</t>
  </si>
  <si>
    <t>Uuk8iIhq-Do</t>
  </si>
  <si>
    <t>Na5VOjJAjCI</t>
  </si>
  <si>
    <t>PG_9tDm705g</t>
  </si>
  <si>
    <t>uGZbbC0Smi4</t>
  </si>
  <si>
    <t>vawW1_p2p64</t>
  </si>
  <si>
    <t>vktuZrWS5IQ</t>
  </si>
  <si>
    <t>xS_txj05aTQ</t>
  </si>
  <si>
    <t>R1QgLXpgTOQ</t>
  </si>
  <si>
    <t>ZrQFpSgEP2o</t>
  </si>
  <si>
    <t>k6peMYTcRYY</t>
  </si>
  <si>
    <t>_9qLWY0SQCA</t>
  </si>
  <si>
    <t>x4ItUKQpYIg</t>
  </si>
  <si>
    <t>ki_7r1gJC48</t>
  </si>
  <si>
    <t>aPWO71UIvCI</t>
  </si>
  <si>
    <t>aNghg1Y-WIc</t>
  </si>
  <si>
    <t>ZZhclrlQ2Eo</t>
  </si>
  <si>
    <t>Mi2cURoOAYY</t>
  </si>
  <si>
    <t>LnUoPlj2UCE</t>
  </si>
  <si>
    <t>WnuGP188NU8</t>
  </si>
  <si>
    <t>EmRwe-oY3VQ</t>
  </si>
  <si>
    <t>iHtstp5a_Uw</t>
  </si>
  <si>
    <t>TUHb3XZgBWI</t>
  </si>
  <si>
    <t>hxaJ3eKpgJA</t>
  </si>
  <si>
    <t>3BKhh2TofFQ</t>
  </si>
  <si>
    <t>nc0e2mOR3dg</t>
  </si>
  <si>
    <t>JR8zbYl5tCU</t>
  </si>
  <si>
    <t>wkkLLQkekAQ</t>
  </si>
  <si>
    <t>MqBQ4k2SB3Q</t>
  </si>
  <si>
    <t>MFxjxvhSQPQ</t>
  </si>
  <si>
    <t>-ajLk-qrXRA</t>
  </si>
  <si>
    <t>INM8nJOxoHE</t>
  </si>
  <si>
    <t>5rBN72kLess</t>
  </si>
  <si>
    <t>hYxAHoCOctI</t>
  </si>
  <si>
    <t>_EpHGeQiCOA</t>
  </si>
  <si>
    <t>Ao-oyFn7J40</t>
  </si>
  <si>
    <t>xbABGepKT2o</t>
  </si>
  <si>
    <t>ZhuBb6j0oGI</t>
  </si>
  <si>
    <t>DS2JxnKKTxI</t>
  </si>
  <si>
    <t>ALyLxfqOL5A</t>
  </si>
  <si>
    <t>b7K5i44m1U8</t>
  </si>
  <si>
    <t>hbkpqYhHfsc</t>
  </si>
  <si>
    <t>4uxjhGIlHMM</t>
  </si>
  <si>
    <t>-IyF29A-DIw</t>
  </si>
  <si>
    <t>NY_JNh_duKc</t>
  </si>
  <si>
    <t>BTH4DqOMp94</t>
  </si>
  <si>
    <t>qI0ZJNl-2KE</t>
  </si>
  <si>
    <t>fGcNhs_r_Xc</t>
  </si>
  <si>
    <t>Ie2j7GpC4JU</t>
  </si>
  <si>
    <t>INmIcOPKo_M</t>
  </si>
  <si>
    <t>mUriOQDfRn4</t>
  </si>
  <si>
    <t>hAXnQgU4bsg</t>
  </si>
  <si>
    <t>I2L1NXhZOEE</t>
  </si>
  <si>
    <t>ZxUmspb1DmY</t>
  </si>
  <si>
    <t>UopUxkeC4Ls</t>
  </si>
  <si>
    <t>qG_YmIPFO68</t>
  </si>
  <si>
    <t>WJUcZPqgEXU</t>
  </si>
  <si>
    <t>GEmuEWjHr5c</t>
  </si>
  <si>
    <t>d5wfMNNr3ak</t>
  </si>
  <si>
    <t>ZqWB25yUWnc</t>
  </si>
  <si>
    <t>xfZCFME4Gsw</t>
  </si>
  <si>
    <t>v8-UK8yRsi4</t>
  </si>
  <si>
    <t>90i3XI1x_dI</t>
  </si>
  <si>
    <t>9sPyKjhWaD4</t>
  </si>
  <si>
    <t>y1oJZ8TXy2A</t>
  </si>
  <si>
    <t>fwmF9F44t3Q</t>
  </si>
  <si>
    <t>FRUt9Vxl0wY</t>
  </si>
  <si>
    <t>Am3OdwWVL6k</t>
  </si>
  <si>
    <t>lLvpSdXRFXg</t>
  </si>
  <si>
    <t>YLqoDYG67jA</t>
  </si>
  <si>
    <t>gq5PoLLITmE</t>
  </si>
  <si>
    <t>DY2fB_fusEM</t>
  </si>
  <si>
    <t>fO0qz8fSw-s</t>
  </si>
  <si>
    <t>OfwtI_2mpTc</t>
  </si>
  <si>
    <t>5PfJMfx_D18</t>
  </si>
  <si>
    <t>1H2iCibm8hs</t>
  </si>
  <si>
    <t>3jW6A2lt31E</t>
  </si>
  <si>
    <t>QWW0pqrv7rk</t>
  </si>
  <si>
    <t>UTSf09Huz70</t>
  </si>
  <si>
    <t>FykP2NNEHwM</t>
  </si>
  <si>
    <t>lwCKZpjpnf0</t>
  </si>
  <si>
    <t>cyWhBob0q0I</t>
  </si>
  <si>
    <t>Rpj0emEGShQ</t>
  </si>
  <si>
    <t>ndazkaDbmD0</t>
  </si>
  <si>
    <t>TAO_rztPO80</t>
  </si>
  <si>
    <t>Q9L7ZQPc8EA</t>
  </si>
  <si>
    <t>3HR8nhiLSLU</t>
  </si>
  <si>
    <t>LmfYPJoX_38</t>
  </si>
  <si>
    <t>HVS2a5FU4yA</t>
  </si>
  <si>
    <t>0m0nw_hz1M8</t>
  </si>
  <si>
    <t>w-JxR-7FpGU</t>
  </si>
  <si>
    <t>md5MwcXv_Iw</t>
  </si>
  <si>
    <t>_A-pZH-S4jk</t>
  </si>
  <si>
    <t>a2-6F2zOk30</t>
  </si>
  <si>
    <t>jG1VNSCsP5Q</t>
  </si>
  <si>
    <t>to5qRLRSS7g</t>
  </si>
  <si>
    <t>PdoDDxd5Br8</t>
  </si>
  <si>
    <t>fc3ewveAMaM</t>
  </si>
  <si>
    <t>bmQwMllhCUM</t>
  </si>
  <si>
    <t>QihFN3Uzp10</t>
  </si>
  <si>
    <t>VkZDiaMAj34</t>
  </si>
  <si>
    <t>xbyUDF1WAH8</t>
  </si>
  <si>
    <t>2h09oj26_H0</t>
  </si>
  <si>
    <t>cXFJOieR0BE</t>
  </si>
  <si>
    <t>Y43xJh1q1dU</t>
  </si>
  <si>
    <t>AAfXqtlipyk</t>
  </si>
  <si>
    <t>K6BGJN_i4MQ</t>
  </si>
  <si>
    <t>mKC1FnpOL7w</t>
  </si>
  <si>
    <t>p28aXeRnF44</t>
  </si>
  <si>
    <t>ybECwY-Npz4</t>
  </si>
  <si>
    <t>YF-opsAdMnk</t>
  </si>
  <si>
    <t>fYFD0GFFlpM</t>
  </si>
  <si>
    <t>pvcV7kixo1Y</t>
  </si>
  <si>
    <t>XCdvo5fv-W0</t>
  </si>
  <si>
    <t>R-6cYCpPXyw</t>
  </si>
  <si>
    <t>xDDFV7Sovvs</t>
  </si>
  <si>
    <t>ifhd_qXHPu0</t>
  </si>
  <si>
    <t>mBPJp7H4bo8</t>
  </si>
  <si>
    <t>JK8kbsPk32U</t>
  </si>
  <si>
    <t>NH-cgmesFa0</t>
  </si>
  <si>
    <t>qaznR55U-mg</t>
  </si>
  <si>
    <t>tVYp9Dv5iGc</t>
  </si>
  <si>
    <t>ggNZmbljWio</t>
  </si>
  <si>
    <t>3Bous2-OQtc</t>
  </si>
  <si>
    <t>R-AP27BfRJs</t>
  </si>
  <si>
    <t>H00n3RqAuZQ</t>
  </si>
  <si>
    <t>BGTsyYQq0xs</t>
  </si>
  <si>
    <t>fNaAisFiPdU</t>
  </si>
  <si>
    <t>YciV60j-PXQ</t>
  </si>
  <si>
    <t>iUH01HObtsE</t>
  </si>
  <si>
    <t>HtTGz65uvNw</t>
  </si>
  <si>
    <t>lGzyZyQoN8Y</t>
  </si>
  <si>
    <t>mj0T2jYgT4E</t>
  </si>
  <si>
    <t>vtBBo-QhJp8</t>
  </si>
  <si>
    <t>y5JHiT-wVTs</t>
  </si>
  <si>
    <t>wuhJ-GkRRQc</t>
  </si>
  <si>
    <t>Qf92l7FPyKo</t>
  </si>
  <si>
    <t>jTe8gnsHQ-Q</t>
  </si>
  <si>
    <t>qnUhwkPbQ-A</t>
  </si>
  <si>
    <t>PUDOdivqkT0</t>
  </si>
  <si>
    <t>qNnTr6mhfo8</t>
  </si>
  <si>
    <t>9SuQJK23n_U</t>
  </si>
  <si>
    <t>VvLcJtthrhU</t>
  </si>
  <si>
    <t>6tEBleOInME</t>
  </si>
  <si>
    <t>-COI6c_KUoE</t>
  </si>
  <si>
    <t>bqI0j7K4CA4</t>
  </si>
  <si>
    <t>V5I9l_aCGbo</t>
  </si>
  <si>
    <t>Jc9RHIS7Zgg</t>
  </si>
  <si>
    <t>FaluulCtoeI</t>
  </si>
  <si>
    <t>6YyEDCmsthQ</t>
  </si>
  <si>
    <t>zCvxpoSfUW4</t>
  </si>
  <si>
    <t>3NG8wWwBRFQ</t>
  </si>
  <si>
    <t>BdMg5RmMj_0</t>
  </si>
  <si>
    <t>MzZu0-K7Hsw</t>
  </si>
  <si>
    <t>y-EBlFjCkmo</t>
  </si>
  <si>
    <t>XcPCY83FIvk</t>
  </si>
  <si>
    <t>XZddPgySXVk</t>
  </si>
  <si>
    <t>tV6q3IEXi40</t>
  </si>
  <si>
    <t>Sr8IWmTh04o</t>
  </si>
  <si>
    <t>Z4q5TC9uM9Q</t>
  </si>
  <si>
    <t>wYUPVmMIuYI</t>
  </si>
  <si>
    <t>3_aqwQThj5A</t>
  </si>
  <si>
    <t>rP9dzRCHEGU</t>
  </si>
  <si>
    <t>STSTQW-PqZg</t>
  </si>
  <si>
    <t>3zpjJbT1D5c</t>
  </si>
  <si>
    <t>_l2dt1G9-lo</t>
  </si>
  <si>
    <t>cA4N3Vnh_Hk</t>
  </si>
  <si>
    <t>eKiMjurC-rA</t>
  </si>
  <si>
    <t>i0qHfQipDcQ</t>
  </si>
  <si>
    <t>FtGXO0LXguw</t>
  </si>
  <si>
    <t>7bSjA5lq3mA</t>
  </si>
  <si>
    <t>sxxy_GmVABQ</t>
  </si>
  <si>
    <t>LUaRo6u4AbE</t>
  </si>
  <si>
    <t>ii5jkDcMGDQ</t>
  </si>
  <si>
    <t>iOKCNd-Hzng</t>
  </si>
  <si>
    <t>5Q411ntL0jQ</t>
  </si>
  <si>
    <t>4NXL_diV-Dw</t>
  </si>
  <si>
    <t>OXo_D_scuDk</t>
  </si>
  <si>
    <t>EgJcflR_Dic</t>
  </si>
  <si>
    <t>jlSHdyWLiqU</t>
  </si>
  <si>
    <t>ce-MtUNc9i8</t>
  </si>
  <si>
    <t>dbd5iydu3EY</t>
  </si>
  <si>
    <t>IpHaGrYNTag</t>
  </si>
  <si>
    <t>4WigUZMM-yA</t>
  </si>
  <si>
    <t>EjwV3hTzjeg</t>
  </si>
  <si>
    <t>_T60pBGcoQU</t>
  </si>
  <si>
    <t>7onWXWOV3io</t>
  </si>
  <si>
    <t>VzDMG7ke69g</t>
  </si>
  <si>
    <t>Q7ftGPYVeMk</t>
  </si>
  <si>
    <t>CW9UGe4L5Wo</t>
  </si>
  <si>
    <t>iy-47a68P60</t>
  </si>
  <si>
    <t>da8iw9hvQX4</t>
  </si>
  <si>
    <t>PzfLDi-sL3w</t>
  </si>
  <si>
    <t>7HJZFRnVct8</t>
  </si>
  <si>
    <t>QYWNXp36O48</t>
  </si>
  <si>
    <t>l-KPR7XCKlU</t>
  </si>
  <si>
    <t>8PH4JYfF4Ns</t>
  </si>
  <si>
    <t>q0scBynXQL8</t>
  </si>
  <si>
    <t>9axOFtPqS0c</t>
  </si>
  <si>
    <t>IDqMB6C1uys</t>
  </si>
  <si>
    <t>zTd0-A5yDZI</t>
  </si>
  <si>
    <t>kB1aoErPRWs</t>
  </si>
  <si>
    <t>8919Zm8Gi4U</t>
  </si>
  <si>
    <t>v-t1Z5-oPtU</t>
  </si>
  <si>
    <t>idb7C3FrROo</t>
  </si>
  <si>
    <t>5Vwe--IDdso</t>
  </si>
  <si>
    <t>9At0j07G7-o</t>
  </si>
  <si>
    <t>BMjvrl0SlxE</t>
  </si>
  <si>
    <t>9H2SvxvaA04</t>
  </si>
  <si>
    <t>iv6pTx_QUVM</t>
  </si>
  <si>
    <t>LseJ60oNa_k</t>
  </si>
  <si>
    <t>Iq_LtZ2lE6k</t>
  </si>
  <si>
    <t>4zeZEw8RBq8</t>
  </si>
  <si>
    <t>11XcwRA_Lv8</t>
  </si>
  <si>
    <t>cdwfQtEvyac</t>
  </si>
  <si>
    <t>3U4QU2WwUXU</t>
  </si>
  <si>
    <t>oC9M1dquXA8</t>
  </si>
  <si>
    <t>2GOnF26Zlcs</t>
  </si>
  <si>
    <t>FyVl3lg6mUY</t>
  </si>
  <si>
    <t>fV9GhfbBec4</t>
  </si>
  <si>
    <t>1j7h-GHaKo4</t>
  </si>
  <si>
    <t>ZAS6V_YJCWE</t>
  </si>
  <si>
    <t>HFPwIhMOvbQ</t>
  </si>
  <si>
    <t>rDmarJf_gio</t>
  </si>
  <si>
    <t>V8LnNXsUaUQ</t>
  </si>
  <si>
    <t>3FmQaLFgep8</t>
  </si>
  <si>
    <t>EFxXcteDwLQ</t>
  </si>
  <si>
    <t>Recommended Video</t>
  </si>
  <si>
    <t>Title</t>
  </si>
  <si>
    <t>Description</t>
  </si>
  <si>
    <t>Tags</t>
  </si>
  <si>
    <t>Author</t>
  </si>
  <si>
    <t>Created Date (UTC)</t>
  </si>
  <si>
    <t>Views</t>
  </si>
  <si>
    <t>Comments</t>
  </si>
  <si>
    <t>Likes Count</t>
  </si>
  <si>
    <t>Dislikes Count</t>
  </si>
  <si>
    <t>Custom Menu Item Text</t>
  </si>
  <si>
    <t>Custom Menu Item Action</t>
  </si>
  <si>
    <t>communicable diseases||communicable disease in hindi||for all nursing exam ||Siddhant Career Point</t>
  </si>
  <si>
    <t>Dr Q:  ആരോഗ്യ സംരക്ഷണം- വാര്‍ധക്യത്തില്‍ | Elderly Care | 1st October 2018</t>
  </si>
  <si>
    <t>Hello Doctor | Heart Disease Symptoms &amp; Cure With Dr. Vikranth Veeranna  | April 29, 2018</t>
  </si>
  <si>
    <t>Human Population Through Time</t>
  </si>
  <si>
    <t>شرح بروتوكول الأمراض المزمنة"ضغط وسكري"للوكالة الأونروا ... امتحان ممرض عملي في الوكالة الأونروا</t>
  </si>
  <si>
    <t>What is plague in hindi || causes of plague in hindi || managment and diagnosis of plague in hindi.</t>
  </si>
  <si>
    <t>ഇതിലും എളുപ്പത്തിൽ Premiere Pro പഠിക്കാൻ പറ്റില്ല | Basics Malayalam Tutorial | beginners</t>
  </si>
  <si>
    <t>Reproductive cycle in Hindi | menstrual cycle &amp; Phases  | Hormones | Ovulation | Ovarian cycle</t>
  </si>
  <si>
    <t>Joint programming mission by the UN Task Force on NCDs (UNITAF) to Bhutan</t>
  </si>
  <si>
    <t>HOW TO MAKE AN INTERACTIVE POWERPOINT | EASY steps</t>
  </si>
  <si>
    <t>AIIMS EXAM MCQS/MCQS ON COMMUNICABLE DISEASES</t>
  </si>
  <si>
    <t>Communicable Disease 2020|| Disease Caused By Viruses || Imp for All Exams 2020-2021|| Viral Disease</t>
  </si>
  <si>
    <t>MP CHO  Answer key (Memory Based) Solution by Team JINC</t>
  </si>
  <si>
    <t>Types of Cancer - Human Health and Disease | Class 12 Biology</t>
  </si>
  <si>
    <t>Communicable Diseases Vs Non-Communicable Diseases</t>
  </si>
  <si>
    <t>Proctor Compaction Test | Proctor Compaction Test in Sinhala 2020 (Clear Explanation) | AASHTO-T180D</t>
  </si>
  <si>
    <t>Non Communicable Disease Part  2</t>
  </si>
  <si>
    <t>How I pivoted my research during COVID | Dr Shoba Amarnath</t>
  </si>
  <si>
    <t>Non Communicable Diseases TV Commercial</t>
  </si>
  <si>
    <t>Time management during COVID | Conor Scott</t>
  </si>
  <si>
    <t>Palliative care for the 21st century | Professor Irene Higginson OBE FMedSci</t>
  </si>
  <si>
    <t>AMS - Addressing the Challenges of Anaemia in the Andean Region</t>
  </si>
  <si>
    <t>Why you should get a mentor during COVID | Dr Gemma Modinos</t>
  </si>
  <si>
    <t>WHO: Addressing the non-communicable diseases in Republic of Moldova</t>
  </si>
  <si>
    <t>Learning from crisis: building resilient systems to combat future pandemics</t>
  </si>
  <si>
    <t>Multiple sclerosis signs and symptoms | Nervous system diseases | NCLEX-RN | Khan Academy</t>
  </si>
  <si>
    <t>Humans Need Not Apply</t>
  </si>
  <si>
    <t>Nutrition and non communicable diseases D Prabhakaran</t>
  </si>
  <si>
    <t>Infectious Disease Forecasting... For The World | Dr. James Wilson | TEDxReno</t>
  </si>
  <si>
    <t>Human Behaviors that Dogs Hate and Wish You Wouldn't Do</t>
  </si>
  <si>
    <t>PhD strategies during COVID-19 | Jessica Dobson</t>
  </si>
  <si>
    <t>FOCUS ON YOURSELF NOT OTHERS - Best Study Motivation Compilation for Success &amp; Students</t>
  </si>
  <si>
    <t>When Time Became History - The Human Era</t>
  </si>
  <si>
    <t>WHO: Noncommunicable diseases – High-level action needed to meet the SDGs and beat NCDs</t>
  </si>
  <si>
    <t>Communicable Diseases - Part 1 by Adrika Handoo for JKSSB Exams #Biology</t>
  </si>
  <si>
    <t>Media briefing on COVID-19</t>
  </si>
  <si>
    <t>Why do We Fall Ill : CBSE Class 9 IX Science Video Lectures in English</t>
  </si>
  <si>
    <t>Top 20 Happiest Countries To Live In The World</t>
  </si>
  <si>
    <t>Was 2020 A Simulation? (Science &amp; Math of the Simulation Theory)</t>
  </si>
  <si>
    <t>Who Will Be The Next Superpower Nation?</t>
  </si>
  <si>
    <t>Economist Exposes China &amp; World Health Organization</t>
  </si>
  <si>
    <t>HEAL ~ Sleep Meditation ~ Heal with this UNBELIEVABLE POWER</t>
  </si>
  <si>
    <t>Vitamins - Finance Account Assistant, Sub-Inspector, Junior Assist || Science Lecture-1 || 10 Marks.</t>
  </si>
  <si>
    <t>PAMPATULOG LOVE SONGS 2020 | NONSTOP | BEST SONGS</t>
  </si>
  <si>
    <t>Food Chains  and Food webs for Finance Account Assistant &amp; Sub Inspector Exam || Food Chains &amp; Webs.</t>
  </si>
  <si>
    <t>Communicable and Non-Communicable disease for FAA and S.I Exam || Part-2 || Ajay Sir || JKSSB.</t>
  </si>
  <si>
    <t>Ozone layer and it's depletion (Part-1) for Finance Account Assistant, S.I Exam 2021.</t>
  </si>
  <si>
    <t>Vitamins (Part-2) for Finance Account Assistant, Sub-Inspector, Jr. Asst || Lecture-2 || 10 Marks.</t>
  </si>
  <si>
    <t>Community Health Officer Exam MCQs on Demography Solved with Rationale By Raju Sir #Rajusir #CHO</t>
  </si>
  <si>
    <t>NCD STROKE  AWARENESS,CAUSES AND PREVENTION- DR.PIYUSH JAIN</t>
  </si>
  <si>
    <t>Top 50 Beautiful Romantic Saxophone, Pan Flute, Guitar and Piano Love Songs Of All Time</t>
  </si>
  <si>
    <t>HIDDEN MATHEMATICS - Randall Carlson - Ancient Knowledge of Space, Time &amp; Cosmic Cycles</t>
  </si>
  <si>
    <t>Non-Communicable Diseases</t>
  </si>
  <si>
    <t>Affirmations for Health, Wealth, Happiness "Healthy, Wealthy &amp; Wise" 30 Day Program</t>
  </si>
  <si>
    <t>Media briefing on COVID-19 - Dr Maria Van Kerkhove</t>
  </si>
  <si>
    <t>Poliomylitis Communicable disease| Nursing Officer &amp; Staff Nurse |Online Classes | rjcareerpoint</t>
  </si>
  <si>
    <t>Watch: PM Modi's Q&amp;A Session In London With Prasoon Joshi</t>
  </si>
  <si>
    <t>Healthy lifestyle promotion – a new role for the fitness and physical activity industry</t>
  </si>
  <si>
    <t>Introduction of CHN (Community Health Nursing)</t>
  </si>
  <si>
    <t>"Planetary health: is human health at risk in the Anthropocene?" with Sir Andrew Haines</t>
  </si>
  <si>
    <t>How to develop an online consultation platform to grow your Medical practice</t>
  </si>
  <si>
    <t>Communicable disease Part-2</t>
  </si>
  <si>
    <t>Nutritional Status Assessment | PSM | Dr.Syed Irfan Ali M.D., | MEDUSANE</t>
  </si>
  <si>
    <t>Basics of Paediatric Mechanical Ventilation</t>
  </si>
  <si>
    <t>WHO online event for World Diabetes Day 2020</t>
  </si>
  <si>
    <t>Nutrition and Non-Communicable Diseases in Aging Populations</t>
  </si>
  <si>
    <t>Barry Popkin, #ISBNPA2019, The Nutrition Transition, Dynamics in low- and middle-income countries...</t>
  </si>
  <si>
    <t>Suez Canal: How to keep ships from running aground in the future | DW News</t>
  </si>
  <si>
    <t>LIVE: Global Diabetes Summit - Segment 2</t>
  </si>
  <si>
    <t>How has COVID-19 impacted Non-Communicable Diseases (NCDs) Programmes in the ASEAN region?</t>
  </si>
  <si>
    <t>Past, present, and future primary health care: Alma-Ata at 40</t>
  </si>
  <si>
    <t>Risk factors for coronary artery disease | Circulatory System and Disease | NCLEX-RN | Khan Academy</t>
  </si>
  <si>
    <t>NCDs &amp; COVID-19: Learning lessons, building back better for the future</t>
  </si>
  <si>
    <t>Strengthen Primary Health Care centers to address NCDs and make the Region healthier</t>
  </si>
  <si>
    <t>What would happen if you didn’t drink water? - Mia Nacamulli</t>
  </si>
  <si>
    <t>The epidemic of chronic disease and understanding epigenetics | Kent Thornburg | TEDxPortland</t>
  </si>
  <si>
    <t>Non-communicable Diseases</t>
  </si>
  <si>
    <t>Dayaalu (HD) New Hindi Dubbed Movie | Nagarjuna Akkineni, Naga Chaitanya, Samantha Akkineni</t>
  </si>
  <si>
    <t>Physical Division of India || Part 1 || The Himalayas || For Jkssb Exams || All Competitive Exams ||</t>
  </si>
  <si>
    <t>12 Most Incredible Finds That Scientists Still Can't Explain</t>
  </si>
  <si>
    <t>CHO | Immunization|AIIMS Nursing Officer &amp; Staff Nurse Online Classes|Rjcareerpoint|vijay sir</t>
  </si>
  <si>
    <t>6 Common Misconceptions About Cancer</t>
  </si>
  <si>
    <t>10 Rare Diseases That Turn People Into Superheroes</t>
  </si>
  <si>
    <t>Communicable and Non-Communicable disease for FAA and S.I Exam || Part-4|| Ajay Sir || JKSSB.</t>
  </si>
  <si>
    <t>METALS AND NON METALS- FULL CHAPTER || CLASS 10 CBSE SCIENCE CHAPTER 3</t>
  </si>
  <si>
    <t>Top 100 Best Healing Medicinal Herbs, Spices And Plants Names, Health Benefits And Medicinal Uses</t>
  </si>
  <si>
    <t>Communicable and Non-Communicable disease for FAA and S.I Exam || Part-3 || Ajay Sir.</t>
  </si>
  <si>
    <t>#Health #Committee In India | Staff Nurse Online Classes, Nursing | Testpaperlive</t>
  </si>
  <si>
    <t>Measles | CHN | Nursing online Classes | Nursing Officer &amp; Staff Nurse by Testpaperlive</t>
  </si>
  <si>
    <t>LEC-06 || COMMUNICABLE AND NON-COMMUNICABLE DISEASE(BIOLOGY)|| JKSSB FAA |JKSSB SI | BY ANKIT SIR</t>
  </si>
  <si>
    <t>Command Economies</t>
  </si>
  <si>
    <t>A Case Study of Two Nations: North and South Korea</t>
  </si>
  <si>
    <t>Science class 5 Non- communicable disease</t>
  </si>
  <si>
    <t>MCQs on Non Communicable Disease | Rajasthan CHO, MP CHO &amp; Staff Nurse Exams 2020-2021| Imp for All</t>
  </si>
  <si>
    <t>VIRTUAL DEMO TEACHING MAPEH (HEALTH)</t>
  </si>
  <si>
    <t>COMMUNICABLE DISEASES | PART -1 | RRB PHARMACIST EXAM | GPAT | ESIC | DI | NIPER</t>
  </si>
  <si>
    <t>Communicable Disease Complete Short Review | CHO EXAM | NORCET 2021</t>
  </si>
  <si>
    <t>Diphtheria | CHN | Nursing online Classes | Nursing Officer &amp; Staff Nurse by Testpaperlive</t>
  </si>
  <si>
    <t>Asthma Symptoms, Causes &amp; Treatment | अस्थमा ( दमा ) लक्षण, कारण, बचाव ; ऐसे करें बचाव | Jeevan Kosh</t>
  </si>
  <si>
    <t>communicable disease-2|communicable disease question and answer||CHO MCQS||community health officer|</t>
  </si>
  <si>
    <t>Communicable  Disease  introduction |Nursing Officer &amp; Staff Nurse |Online Classes|Rjcareerpoint</t>
  </si>
  <si>
    <t>How to Recognize and Prevent Violence</t>
  </si>
  <si>
    <t>Vitamins Chart | Vitamin Deficiency Diseases | Vitamin Sources | Vitamin Chemical Name</t>
  </si>
  <si>
    <t>L-1 | Communicable and Non-communicable Diseases | Jkssb FAA | Sub-inspector exam</t>
  </si>
  <si>
    <t>Top 10 Superstitions</t>
  </si>
  <si>
    <t>L-3 | Non-communicable Diseases | jkssb | finance account assistant | Sub-inspector exam</t>
  </si>
  <si>
    <t>Non Communicable Diseases part 3</t>
  </si>
  <si>
    <t>Primary Health Care</t>
  </si>
  <si>
    <t>Communicable diseases | Non communicable diseases | Community Health Nursing Part 5</t>
  </si>
  <si>
    <t>Communicable Disease Part-1</t>
  </si>
  <si>
    <t>Chapter-11 | Non- Communicable Disease  || Health Education &amp; Community Pharmacy</t>
  </si>
  <si>
    <t>Making Medicines in 360</t>
  </si>
  <si>
    <t>Juice WRLD - All Girls Are The Same (Directed by Cole Bennett)</t>
  </si>
  <si>
    <t>LSHTM 360° VR tour - click and drag video to explore</t>
  </si>
  <si>
    <t>Communicable Disease Part-2</t>
  </si>
  <si>
    <t>Communicable disease and Non-communicable disease MCQs for CHO exam Tripura</t>
  </si>
  <si>
    <t>What is essential thrombocythemia? | Hematologic System Diseases | NCLEX-RN | Khan Academy</t>
  </si>
  <si>
    <t>What are myeloproliferative disorders? | Hematologic System Diseases | NCLEX-RN | Khan Academy</t>
  </si>
  <si>
    <t>10 Most Common Communicable Diseases Your Child Can Pick Up at School</t>
  </si>
  <si>
    <t>Coronary Artery Disease - Ischemic Heart Disease - Angina</t>
  </si>
  <si>
    <t>What you can do to prevent Alzheimer's | Lisa Genova</t>
  </si>
  <si>
    <t>Inflammatory Bowel Disease - Pathophysiology and Complications</t>
  </si>
  <si>
    <t>Types of Diseases | Class 5 I Learn with BYJU'S</t>
  </si>
  <si>
    <t>Non-Communicable Diseases (NCD) Care Continuum UN Panel Highlights 2018 -- A Caretaker's View</t>
  </si>
  <si>
    <t>נוטרילון – מותג תזונת התינוקות במרקם הקליל. דיגיטל 3.</t>
  </si>
  <si>
    <t>Malnutrition Class 9 | What is Malnutrition (Urdu / Hindi)</t>
  </si>
  <si>
    <t>#Diseases #communicable  What is disease and communicable and non communicable diseases</t>
  </si>
  <si>
    <t>NON COMMUNICABLE DISEASES 6 , SOCIO ECONOMIC IMPACTS , HEALTH EDUCATION , ICSP , URDU / HINDI</t>
  </si>
  <si>
    <t>Communicable And Non-Communicable Diseases</t>
  </si>
  <si>
    <t>Difference between Communicable diseases and Non-communicable Diseases</t>
  </si>
  <si>
    <t>נוטרילון – הפורמולה עם המרקם הקליל. מו</t>
  </si>
  <si>
    <t>נוטרילון – מותג תזונת התינוקות במרקם הקליל. חסות בית קפה.</t>
  </si>
  <si>
    <t>I AM A CHILD OF GOD - KARAOKE</t>
  </si>
  <si>
    <t>Human Health &amp; Disease L9 | Degenerative Disease | Unacademy NEET | LIVE DAILY | Biology| Sachin Sir</t>
  </si>
  <si>
    <t>#Reproductive health 10th class lesson |How do organisms reproduce| biology |ncert class 10 |science</t>
  </si>
  <si>
    <t>Cancer | NEET Mantra by Garima Goel | NEET 2020 | NEET Biology 2020 | NEET 2020 Preparation</t>
  </si>
  <si>
    <t>Obesity and its causes | Chapter Digestion Video 9</t>
  </si>
  <si>
    <t>Non-Communicable Diseases - Dr Bani Aeri | FSSAI</t>
  </si>
  <si>
    <t>Communicable Disease Special class-1 for AIIMS, Rishikesh Aiims,BHU, RRB, CHO</t>
  </si>
  <si>
    <t>Your Money | क्या FD से बेहतर हैं NCD ? | NCD है कमाई का मौका | CNBC Awaaz</t>
  </si>
  <si>
    <t>Non Communicable Disease Part 2</t>
  </si>
  <si>
    <t>Covid 19 Vaccine and Non Communicable Diseases - Why India should scan vaccine recipient for NDCs?</t>
  </si>
  <si>
    <t>COMMUNITY MEDICINE: NON COMMUNICABLE DISEASES 1</t>
  </si>
  <si>
    <t>Video Institucional Teva</t>
  </si>
  <si>
    <t>Troxevasin_20 sec_TV.mp4</t>
  </si>
  <si>
    <t>MCQ non communicable diseases I, mcq hecp, mcq social pharmacy, social pharmacy mcq, hecp mcq</t>
  </si>
  <si>
    <t>Unhealthy Diet and Non - Communicable Diseases</t>
  </si>
  <si>
    <t>Heart palpitations: Proof that magnesium works for ectopic heart beats</t>
  </si>
  <si>
    <t>Global Diabetes Symposium, 2 of 12: Global Non-communicable Diseases</t>
  </si>
  <si>
    <t>Classification of Diseases - Common Diseases (CBSE Grade 8 Biology)</t>
  </si>
  <si>
    <t>(#301) I Am a Child of God (LDS Hymns - piano with lyrics)</t>
  </si>
  <si>
    <t>Communicable to Non Communicable Diseases: The paradigm shift | Rajratna Ramteke | TEDxGHRCE</t>
  </si>
  <si>
    <t>Communicable and Non Communicable Diseases ||संक्रामक रोग||</t>
  </si>
  <si>
    <t>Non Communicable Diseases Part 1  [] IN HINDI  []</t>
  </si>
  <si>
    <t>Communicable and Noncommunicable diseases</t>
  </si>
  <si>
    <t>COMMUNICABLE DISEASES : LECTURE PART-1 IMPORTANT TOPIC FOR ALL PHARMACY EXAMINATIONS</t>
  </si>
  <si>
    <t>Non Communicable Disease  (NCD) - Dr Piyush Jain</t>
  </si>
  <si>
    <t>L50: Non - Communicable Diseases I Science &amp; Technology (UPSC CSE - Hindi) S K Sharma</t>
  </si>
  <si>
    <t>MCQs on Non Communicable disease &amp; Nutrition For CHO, AIIMS &amp; All 2019-2020 Exams</t>
  </si>
  <si>
    <t>Non communicable diseases</t>
  </si>
  <si>
    <t>Is it Communicable or Non-communicable?</t>
  </si>
  <si>
    <t>Non Communicable Disease part 1</t>
  </si>
  <si>
    <t>NON-COMMUNICABLE DISEASES GCSE Biology 9-1 | Combined Sci (Revision &amp; Questions)</t>
  </si>
  <si>
    <t>Preventing Non-Communicable Diseases</t>
  </si>
  <si>
    <t>NPCDCS Program for Prevention &amp; Control of Cancer, Diabetes, Cardiovascular diseases and Stroke.</t>
  </si>
  <si>
    <t>Infectious Diseases - How do we control them?</t>
  </si>
  <si>
    <t>Preventing Non-communicable Diseases</t>
  </si>
  <si>
    <t>Decreasing Global Noncommunicable Disease by Reducing Risky Behaviors</t>
  </si>
  <si>
    <t>COMMUNICABLE DISEASES | What? Why? How?</t>
  </si>
  <si>
    <t>The Social Determinants of NCDs - by Sandro</t>
  </si>
  <si>
    <t>Scale up for the prevention and control of noncommunicable diseases</t>
  </si>
  <si>
    <t>WHO: Noncommunicable Diseases - Interview at "World Health +SocialGood"</t>
  </si>
  <si>
    <t>Non-communicable diseases - why should we be worried?</t>
  </si>
  <si>
    <t>WHO highlights need for countries to scale up action on noncommunicable diseases</t>
  </si>
  <si>
    <t>United Nations Interagency Task Force on the prevention and control of noncommunicable diseases</t>
  </si>
  <si>
    <t>WHO Global Conference on NCDs: Statement by WHO Director-General Dr Tedros</t>
  </si>
  <si>
    <t>A Holistic Approach to the Crisis of Non-Communicable Diseases | Dr Jone Hawea | TEDxSuva</t>
  </si>
  <si>
    <t>Noncommunicable Diseases and their Risk Factors (animated video)</t>
  </si>
  <si>
    <t>PINSAN NIYA ANG JOWA NIYA. WALA NG MAKAKAPIGIL SA KANYA!</t>
  </si>
  <si>
    <t>Variables and Constants</t>
  </si>
  <si>
    <t>Complete Human Health and Disease in One Shot | Class 12th | NEET Biology | NEET UG</t>
  </si>
  <si>
    <t>Music of Mindanao - Vocal &amp; Instrumental | Music 7 | Quarter 3 - Lessons 1-8 | MAPEH 7</t>
  </si>
  <si>
    <t>Cómo hacer a SONIC para tortas PASO a PASO || Kaomi Tutoriales</t>
  </si>
  <si>
    <t>Health Slogans | Top 10</t>
  </si>
  <si>
    <t>Static GK- Diseases caused by Microorganisms - Bacteria, Virus, Fungi, Protozoa</t>
  </si>
  <si>
    <t>David Cross: Why America Sucks at Everything</t>
  </si>
  <si>
    <t>17 Jaw-Dropping Facts You Didn't Know About the Body</t>
  </si>
  <si>
    <t>someone like you, Rolling in the deep - Adele   Live at the Royal Albert Hall</t>
  </si>
  <si>
    <t>BEST TH6 ATTACK STRATEGIES YOU MUST KNOW | 3 Star Attack Strategies Town Hall 6 | Lets Play #21</t>
  </si>
  <si>
    <t>Lesson 9 (Dehydration, Sweating, Thirst; Overexertion or Overtraining, Hyperthermia, Hypothermia)</t>
  </si>
  <si>
    <t>Morning vibes - Chill mix music morning ☕️ English songs chill vibes music playlist</t>
  </si>
  <si>
    <t>How To Make A Minecraft Spigot Server With Plugins</t>
  </si>
  <si>
    <t>HAZARDS AND RISKS  / GRADE 7 and 8  Moncada Catholic School</t>
  </si>
  <si>
    <t>Communicable Disease | Biology | SSC CGL | SSC CPO  SSC CHSL | GS by Gurpreet Ma'am</t>
  </si>
  <si>
    <t>The Return of Superman | 슈퍼맨이 돌아왔다 - Ep.95 (2015.09.20)</t>
  </si>
  <si>
    <t>Taking On Responsibility</t>
  </si>
  <si>
    <t>CLASSIFICATIONS OF SEWING TOOLS WITH USES</t>
  </si>
  <si>
    <t>L-4 | Non-communicable Disease | Jkssb | Finance account assistant</t>
  </si>
  <si>
    <t>Why Communities  Lack Trust In Formal HealthCare Systems and More</t>
  </si>
  <si>
    <t>L-6 | Non-communicable disease | Cancer &amp; Allergy | jkssb FAA</t>
  </si>
  <si>
    <t>Best of GGV | Gandang Gabi Vice Recap</t>
  </si>
  <si>
    <t>CBAC Performa for Detection of NCD, TB &amp; Cancer || Community Based Assessment Checklist || CHO</t>
  </si>
  <si>
    <t>TLE 7 Module 1 Lesson 2: Practice Occupational Health and Safety Procedure part 1 (with voice over)</t>
  </si>
  <si>
    <t>Project in Health - Non- Communicable Diseases</t>
  </si>
  <si>
    <t>LESSON 4 IMPORTANCE OF OCCUPATIONAL HEALTH AND SAFETY/ COT/ TLE / COOKERY / OHS / (FULL VIDEO)</t>
  </si>
  <si>
    <t>BODYCOMBAT INVINCIBLE | Workout #14 | Free cardio workout</t>
  </si>
  <si>
    <t>H P E 2074 05 28 Non Communicable Diseases</t>
  </si>
  <si>
    <t>Grade 8 Health - Self-Monitoring for Preventing Diseases</t>
  </si>
  <si>
    <t>Non-communicable Disease MAPEH 7( Lesson 1 in Health 7)</t>
  </si>
  <si>
    <t>MP HEALTH 7 Q4-M2, Debunking Myths and Fallacies about Non-Communicable Diseases</t>
  </si>
  <si>
    <t>หลุด (THE LEAKED) | Chapter 1 "น้องช่วยตัวเองเป็นมั้ย?" [Eng Sub]</t>
  </si>
  <si>
    <t>Diseases -(CBSE Grade : 5 Environmental Science)</t>
  </si>
  <si>
    <t>Classical Conditioning</t>
  </si>
  <si>
    <t>Lifestyle Diseases</t>
  </si>
  <si>
    <t>Communicable Diseases | Pathogens - Virus, Bacteria, Fungi, Parasite</t>
  </si>
  <si>
    <t>Respiration - Pharynx, Larynx, Trachea, Bronchi, Alveoli - Part 1</t>
  </si>
  <si>
    <t>1. Introduction to NCD Epidemiology | CPP NCD Epidemiology</t>
  </si>
  <si>
    <t>Hearing &amp; Balance: Crash Course A&amp;P #17</t>
  </si>
  <si>
    <t>Preventing malaria | Infectious diseases | NCLEX-RN | Khan Academy</t>
  </si>
  <si>
    <t>Chain of Infection (English)</t>
  </si>
  <si>
    <t>Preventing TB transmission | Infectious diseases | NCLEX-RN | Khan Academy</t>
  </si>
  <si>
    <t>Graves Disease - Overview (causes, pathophysiology, investigations and treatment)</t>
  </si>
  <si>
    <t>WISH18 POLICY BRIEFING NON COMMUNICABLE DISEASES</t>
  </si>
  <si>
    <t>What is Cancer?</t>
  </si>
  <si>
    <t>Soon We'll Cure Diseases With a Cell, Not a Pill | Siddhartha Mukherjee | TED Talks</t>
  </si>
  <si>
    <t>Transmission of HIV | Infectious diseases | NCLEX-RN | Khan Academy</t>
  </si>
  <si>
    <t>This Will Revolutionize Education</t>
  </si>
  <si>
    <t>The food we were born to eat: John McDougall at TEDxFremont</t>
  </si>
  <si>
    <t>Non-movement symptoms of Parkinson's disease | Nervous system diseases | NCLEX-RN | Khan Academy</t>
  </si>
  <si>
    <t>Prevent 90% of Diseases With These Two Things – Sadhguru</t>
  </si>
  <si>
    <t>Colloqumotion 2018 Series - Non Communicable Diseases and Maternal Health (November)</t>
  </si>
  <si>
    <t>Perkuliahan Maternitas Minggu Ke 5 "Infeksi Maternal"</t>
  </si>
  <si>
    <t>Health - Non-Communicable Diseases</t>
  </si>
  <si>
    <t>NCD 2018</t>
  </si>
  <si>
    <t>Drone for Good  Swandiri Institute supported by PulseLab Data Innovation</t>
  </si>
  <si>
    <t>Noncommunicable Diseases(Hypertension and Cardiovascular) in Ethiopia Part 1</t>
  </si>
  <si>
    <t>Prevention &amp; Control of Non-Communicable Diseases</t>
  </si>
  <si>
    <t>Sci 24 Communicable and Noncommunicable disease</t>
  </si>
  <si>
    <t>PulseSatellite: A collaboration tool using human-AI interaction to analyse satellite imagery</t>
  </si>
  <si>
    <t>Harnessing Foresight for Building Back Better</t>
  </si>
  <si>
    <t>Pulse Satellite - a deep dive into the Mapping Refugee Camps model</t>
  </si>
  <si>
    <t>Qatalog - Our AI social media listening tool</t>
  </si>
  <si>
    <t>Asia-Pacific Stats Cafe series: Social and demographic statistics meet big data</t>
  </si>
  <si>
    <t>Upper Respiratory Disease in Cats</t>
  </si>
  <si>
    <t>West Java COVID-19 Risk Assessment Map</t>
  </si>
  <si>
    <t>WHO: Our health, our future</t>
  </si>
  <si>
    <t>NeurIPS/ML4D 2020 Accepted Paper - Muhammad Rizal Khaefi, Pulse Lab Jakarta</t>
  </si>
  <si>
    <t>Viral Meningitis</t>
  </si>
  <si>
    <t>Investing in NCDs prevention and control saves lives and money</t>
  </si>
  <si>
    <t>The Rise of NCDs in Low- and Middle-Income Countries</t>
  </si>
  <si>
    <t>The Rise of NCD's in India</t>
  </si>
  <si>
    <t>We have a situation: Non-communicable diseases</t>
  </si>
  <si>
    <t>Flu Attack! How A Virus Invades Your Body | Krulwich Wonders | NPR</t>
  </si>
  <si>
    <t>Upper Body &amp; Cardio Workout - FAT BURNING EXERCISES  | Rebecca Louise</t>
  </si>
  <si>
    <t>Noncommunicable Diseases and Youth</t>
  </si>
  <si>
    <t>Hepatitis A and B</t>
  </si>
  <si>
    <t>The Challenge of Non-Communicable Diseases</t>
  </si>
  <si>
    <t>The Code Blue Series | A Growing Threat: Non-Communicable Diseases on Maternal Health</t>
  </si>
  <si>
    <t>USMCA modernizes and simplifies trade agreements</t>
  </si>
  <si>
    <t>Representative Kevin Brady on the continued challenges USMCA will need to address</t>
  </si>
  <si>
    <t>Secretary Tatiana Clouthier on labor rights and the USMCA</t>
  </si>
  <si>
    <t>WTF are NFTs? | Non-Fungible Token, Explained | An Open Letter</t>
  </si>
  <si>
    <t>The Gaza Ceasefire: What’s Next?</t>
  </si>
  <si>
    <t>What does it mean to be white in a society that proclaims race meaningless...</t>
  </si>
  <si>
    <t>Your Ears Can Indicate Your Health: Don't Ignore These 8 Factors</t>
  </si>
  <si>
    <t>The Story of Cholera</t>
  </si>
  <si>
    <t>How to Spot the 9 Traits of Borderline Personality Disorder</t>
  </si>
  <si>
    <t>Esports &amp; Education: How HBCUs are Leveling the Field</t>
  </si>
  <si>
    <t>Hamas wants to maximize political leverage for the post-Abass period</t>
  </si>
  <si>
    <t>Haemophilia and Porphyria - Royal diseases from Tainted Blood</t>
  </si>
  <si>
    <t>Egypt plays pivotal role in Israeli-Palestinian cease-fire</t>
  </si>
  <si>
    <t>American Perspectives on Transatlantic Data Flows</t>
  </si>
  <si>
    <t>Venezuela’s Democratic Unity Platform and the Search for Democratization</t>
  </si>
  <si>
    <t>Flu vaccine risks and benefits | Infectious diseases | Health &amp; Medicine | Khan Academy</t>
  </si>
  <si>
    <t>Nicaragua – Consolidating Dictatorship</t>
  </si>
  <si>
    <t>"Recognizing the Signs of a Heart Attack in Women"</t>
  </si>
  <si>
    <t>Communicable Diseases || Important Nursing Questions || Community Health Nursing</t>
  </si>
  <si>
    <t>RABIES ,  PSM Lectures , Communicable Diseases , TP 11</t>
  </si>
  <si>
    <t>COMMUNITY MEDICINE - COMMUNICABLE DISEASES Part 1</t>
  </si>
  <si>
    <t>YEEZY 380 BLUE OAT REFLECTIVE VS NON-REFLECTIVE On Foot Review: From “BLOARF” to Grail? Could it be?</t>
  </si>
  <si>
    <t>Legislating US-China Policy: The US Innovation &amp; Competition Act of 2021</t>
  </si>
  <si>
    <t>Creating Livable Asian Cities: Challenges Ahead for Urbanization in Asia</t>
  </si>
  <si>
    <t>Rheumatoid Arthritis: Primarily an Autoimmune Disease</t>
  </si>
  <si>
    <t>Yalda Hakim with Sadhguru on Religion, Politics &amp; Human Society</t>
  </si>
  <si>
    <t>Three types of flu | Infectious diseases | Health &amp; Medicine | Khan Academy</t>
  </si>
  <si>
    <t>One on One with a Rheumatologist</t>
  </si>
  <si>
    <t>A Mitochondrial Etiology of Metabolic and Degenerative Diseases, Cancer and Aging</t>
  </si>
  <si>
    <t>US Trade Rep Katherine Tai calls USMCA "Transformational."</t>
  </si>
  <si>
    <t>Stroke Signs</t>
  </si>
  <si>
    <t>Unleashing the Potential of "Serious Games"</t>
  </si>
  <si>
    <t>The Evolution of Religion, Society &amp; Consciousness with Ursula King - Burke Lecture</t>
  </si>
  <si>
    <t>Signs &amp; Symptoms of Heart Attack or Stroke</t>
  </si>
  <si>
    <t>USMCA at One</t>
  </si>
  <si>
    <t>A Day In The Life of a patient taking warfarin</t>
  </si>
  <si>
    <t>Heartburn, Acid Reflux and GERD – The Differences Decoded</t>
  </si>
  <si>
    <t>Approach to the Patient with Abnormal Liver Function Studies</t>
  </si>
  <si>
    <t>Is an overactive immune system a cause of schizophrenia?</t>
  </si>
  <si>
    <t>How to tell the flu from a cold</t>
  </si>
  <si>
    <t>How Bacteria Cause Disease</t>
  </si>
  <si>
    <t>Claire Fraser - The Human Gut Microbiome in Health and Disease</t>
  </si>
  <si>
    <t>My Aching Joints</t>
  </si>
  <si>
    <t>The PBA Film Project Teaser</t>
  </si>
  <si>
    <t>Davos 2019 - The Future of Science and Technology in Society</t>
  </si>
  <si>
    <t>Growing Up with a Rheumatic Disease</t>
  </si>
  <si>
    <t>What Disease Does The Joker Have?</t>
  </si>
  <si>
    <t>Chronic Stress Can Damage Your Health</t>
  </si>
  <si>
    <t>Psychological Disorders: Crash Course Psychology #28</t>
  </si>
  <si>
    <t>Dr. Gabor Maté: How stress can cause disease.</t>
  </si>
  <si>
    <t>NCDFREE: Mythbusting with Dr Alessandro Demaio</t>
  </si>
  <si>
    <t>Agradecimiento al personal de la salud de Uruguay</t>
  </si>
  <si>
    <t>Philippine Festivals - Religious &amp; Non-Religious | Arts 7 | Quarter 4 - Lessons 1-8 | MAPEH 7</t>
  </si>
  <si>
    <t>Philippine Theatrical Forms | Music 7 | Quarter 4 - Lessons 1-8 | MAPEH 7</t>
  </si>
  <si>
    <t>Sinulog Theme Song | One Beat One Dance One Vision</t>
  </si>
  <si>
    <t>ETEROGERMINA 360 VR</t>
  </si>
  <si>
    <t>Music 7 Quarter 4 Philippine Festivals and Theater</t>
  </si>
  <si>
    <t>PE 7 quarter 4 Philippine Festivals / locomotor and non locomotor /  Elements of Dance</t>
  </si>
  <si>
    <t>Communicable Diseases / संचारी रोग</t>
  </si>
  <si>
    <t>Health 7 quarter 4 non-communicable diseases</t>
  </si>
  <si>
    <t>Communicable and Non-Communicable disease for FAA &amp; S.I Exam || Part-1</t>
  </si>
  <si>
    <t>Poliomyelitis  part  2  Epidemiology  of  communicable  diseases</t>
  </si>
  <si>
    <t>Health Grade-7 Quarter-4 Non-Communicable Diseases: Asthma, Cardiovascular Disease, Cancer etc.</t>
  </si>
  <si>
    <t>MCQs on Non Communicable Disease Model paper -3 Rajasthan CHO, MP CHO &amp; Staff Nurse Exams 2020-2021|</t>
  </si>
  <si>
    <t>9:30 AM - RRB NTPC 2019-20 | GS (Biology) by Neeraj Jangid | Nutrition (Part-4)</t>
  </si>
  <si>
    <t>Bonds &amp; Debentures - Explained</t>
  </si>
  <si>
    <t>9:30 AM - RRB NTPC 2019-20 | GS (Biology) by Neeraj Jangid | Diseases</t>
  </si>
  <si>
    <t>communicable disease||communicable disease question and answer||CHO MCQS||community health officer||</t>
  </si>
  <si>
    <t>STD and STD Symptoms</t>
  </si>
  <si>
    <t>PAHO Press Briefing on COVID19 July 7, 2021 (ENGLISH)</t>
  </si>
  <si>
    <t>Chapter-6 | Communicable Disease  || Health Education &amp; Community Pharmacy</t>
  </si>
  <si>
    <t>Respiratory system Part-1</t>
  </si>
  <si>
    <t>Communicable Diseases , Class 5</t>
  </si>
  <si>
    <t>Difference Between Communicable and Non Communicable disease || Science || Hindi || Quikr Exam</t>
  </si>
  <si>
    <t>9. NCD Prevention and Control | CPP NCD Epidemiology</t>
  </si>
  <si>
    <t>Nature of Non Communicable Diseases NCDs - Quarter 4  Week 4   Health 7</t>
  </si>
  <si>
    <t>Dialogue on research, knowledge, and action for health equity in the Americas after COVID-19</t>
  </si>
  <si>
    <t>Prevention of Mental Illness | Mental Health Awareness</t>
  </si>
  <si>
    <t>What are Infectious and Non-infectious Diseases and who cause them? Explained here!</t>
  </si>
  <si>
    <t>Communicable &amp; Non-Communicable Diseases | Health 7 | Quarter 4 - Lessons 1-8 | MAPEH 7</t>
  </si>
  <si>
    <t>Launch of the Caribbean Public Health Law Forum - June 30th 2021</t>
  </si>
  <si>
    <t>Notes-Epidemiolgy," Communicable &amp; Noncommunicable Disease", Community Health Nursing,B.sc,Gnm</t>
  </si>
  <si>
    <t>Pathogens and Transmission</t>
  </si>
  <si>
    <t>Health and Diseases | Science for Kids | Grade 5 | Periwinkle</t>
  </si>
  <si>
    <t>2. Overview of NCDs and Related Risk Factors | CPP NCD Epidemiology</t>
  </si>
  <si>
    <t>FACTS ABOUT NON COMMUNICABLE DISEASES - NCDS 365 PHASE 2  EPISODE 2</t>
  </si>
  <si>
    <t>Non-Communicable Disease (part-1) | Human Health and Disease | NCERT  Class-12th| Zoya Rahman | NEET</t>
  </si>
  <si>
    <t>What is the difference between communicable and non communicable Diseases lDr Vipan Goyal l Study IQ</t>
  </si>
  <si>
    <t>HOW TO PREVENT NON COMMUNICABLE  DISEASES: NCDs 365   PHASE 2 EPISODE 4</t>
  </si>
  <si>
    <t>Non-Communicable Disease - Eng</t>
  </si>
  <si>
    <t>Preventing Communicable Diseases</t>
  </si>
  <si>
    <t>WHAT IS NON COMMUNICABLE DISEASES  NCDS 365 PHASE 2 EPISODE 1</t>
  </si>
  <si>
    <t>Tattoo and Tapa: Reclaiming Pacific Symbols | Frances C. Koya Vaka'uta | TEDxSuva</t>
  </si>
  <si>
    <t>GCSE Biology - Communicable Disease  #26</t>
  </si>
  <si>
    <t>Hypersensitivity | USMLE</t>
  </si>
  <si>
    <t>Hypothyroidism | Physiology, Pathophysiology, Diagnosis, Treatment, Myxedema Coma</t>
  </si>
  <si>
    <t>How communicable diseases spread and prevented</t>
  </si>
  <si>
    <t>Arteriosclerosis, arteriolosclerosis, and atherosclerosis | Health &amp; Medicine | Khan Academy</t>
  </si>
  <si>
    <t>Liver Diseases Explained Clearly (Acute vs Chronic Hepatic Diseases)</t>
  </si>
  <si>
    <t>Meiosis (Updated)</t>
  </si>
  <si>
    <t>Communicable Diseases Safety Video</t>
  </si>
  <si>
    <t>Infectious Diseases | Coronavirus for Kids | What is Coronavirus | What is a virus?| Virus Explained</t>
  </si>
  <si>
    <t>GCSE Biology - Is Your Lifestyle Really a Personal Choice? - Lifestyle &amp; Risk Factors #22</t>
  </si>
  <si>
    <t>Chronic Diseases: Everyone’s Business</t>
  </si>
  <si>
    <t>How does asthma work? - Christopher E. Gaw</t>
  </si>
  <si>
    <t>CMV Virology - Epidemiology and Pathophysiology</t>
  </si>
  <si>
    <t>GCSE Science Revision Biology "Communicable and Non-Communicable Disease"</t>
  </si>
  <si>
    <t>I Will Not Fail - Volney Morgan &amp; New-Ye / Official Music Video</t>
  </si>
  <si>
    <t>Social Determinants of Health - an introduction</t>
  </si>
  <si>
    <t>Noncommunicable diseases explained in one minute</t>
  </si>
  <si>
    <t>Infectious Diseases - An Introduction</t>
  </si>
  <si>
    <t>Microbiome: Gut Bugs and You | Warren Peters | TEDxLaSierraUniversity</t>
  </si>
  <si>
    <t>Inside Alzheimer’s disease</t>
  </si>
  <si>
    <t>THE PURSUIT OF HAPPINESS (Short Animated Movie)</t>
  </si>
  <si>
    <t>Types of Diseases | Infectious Diseases | Human Health and Diseases | Disorders</t>
  </si>
  <si>
    <t>How stress affects your body - Sharon Horesh Bergquist</t>
  </si>
  <si>
    <t>The Next Big Idea: Tackling NCDs with Effective Advocacy</t>
  </si>
  <si>
    <t>Briser les barrières &amp; créer des passerelles</t>
  </si>
  <si>
    <t>Grounding Health Systems in Gender Equality to Achieve Universal Health Coverage</t>
  </si>
  <si>
    <t>Global Health Security: Delivered by Women During COVID-19 and Beyond</t>
  </si>
  <si>
    <t>Coaliciones que transforman los derechos de la mujer</t>
  </si>
  <si>
    <t>Adolescent Girls and Young Women Want Smarter Digital SRH Resources and Services</t>
  </si>
  <si>
    <t>Breaking barriers and building bridges to advance girls’ and women’s health and rights—ENGLISH</t>
  </si>
  <si>
    <t>No 'Health for All' without Gender Equality: Sustaining Momentum on Girls' and Women's Rights in UHC</t>
  </si>
  <si>
    <t>The Power of Now: Taking stock of where we stand and what opportunities and challenges lie ahead</t>
  </si>
  <si>
    <t>Webinar: We Have Always Been Here</t>
  </si>
  <si>
    <t>Social Enterprise Pitch - Arushi Chowdhury Khanna</t>
  </si>
  <si>
    <t>WEBINAR: Going Global - Advocating for More Localized &amp; Feminist Humanitarian Action</t>
  </si>
  <si>
    <t>Youth Zone - Maram Barakat Speech</t>
  </si>
  <si>
    <t>Virtual Launch Event Recording: Citizens Call for A Gender-Equal World</t>
  </si>
  <si>
    <t>Youth Zone - Kinga Wisniewska Speech</t>
  </si>
  <si>
    <t>Social Enterprise Pitch - Matt Dickson</t>
  </si>
  <si>
    <t>Webinar: Storytelling with a Gender Lens for Humanitarian Advocacy</t>
  </si>
  <si>
    <t>Dr  Hema Divakar | Obstetrician &amp; Gynaecologist in Bangalore | Gynaecologist - Know Your Doctor</t>
  </si>
  <si>
    <t>Social Enterprise Pitch - Christelle Kwizera</t>
  </si>
  <si>
    <t>A look back at WD2019: Power. Progress. Change.</t>
  </si>
  <si>
    <t>Women Deliver Humanitarian Advocates Program | #Humanitarian4Her</t>
  </si>
  <si>
    <t>Youth Zone - Olaoluwa Abagun Speech</t>
  </si>
  <si>
    <t>Inspire Interview: Dr. Jim Yong Kim, President, World Bank Group</t>
  </si>
  <si>
    <t>Tackling non-communicable diseases in LMICs</t>
  </si>
  <si>
    <t>Communicable diseases are diseases that can be spread from one person to another and cause a large number of people to get sick. They are caused by germs like bacteria, viruses, fungi, parasites or toxins.
*** Subscribe to my Youtube Channel *** 
Do us favor,kindly subscribe to our channel.that will give us engergy to and motivation to upload more interesting movies for you.so don't forget to subscribe to our channel,press like button and bell icon.
Siddhant Career Point free online classes for Medical,Nursing Comptative Exam
Preparation AIIMS Nursing Officer,PGI,JIPMER,DSSSB ,ESIC,BHU,RMLU,CRPF,RRB and UP NHM,UP CHO,Rajsthan CHO,MP CHO,BIHAR CHO and other Nursing officer and staff Nurse|get daily updated exam|Notification |study material |PDF Notes and   Here you get first of All india Nursing Vacancies,New Nursing News,New Nursing trends,Nursing Classess,Staff Nurse Mock Test,Image Based Questions for AIIMS,Most Important MCQs for Upcoming Nursing Exams,CHO Special Questions,Staff Nurse Model Paper and CHO Model Papers... by Siddhant Career Point  
Contact: 8174035224
#siddhantCareerPoint</t>
  </si>
  <si>
    <t>Watch the latest episode of Dr Q, telemedicine show, in which Dr Rajesh Kumar, Homeopathic Medical Officer, Thiruvananthapuram speaks about elderly care.
Subscribe our channel for latest news updates: 
https://goo.gl/5pVxK3
Follow Us On:
-----------------------------
Facebook: https://www.facebook.com/news18Kerala/ 
Twitter: https://twitter.com/News18Kerala</t>
  </si>
  <si>
    <t>Watch Hello Doctor to understand various health issues and find possible reasons and solutions to your medical problems. 
Watch latest updates on the most discussed incidents of the day from various fields such as politics, entertainment, crime etc. 
News18 Kannada is one of the most respected and favored Kannada news channels. Previously called ETV Kannada News, our channel is well known for its authentic and unbiased news coverage.
About the Channel:
--------------------------------------------
News18 Kannada is the Kannada language YouTube News Channel of Network18 which delivers News from within the nation and worldwide about politics, current affairs, breaking news, sports, health, education and much more. To get the latest news first, subscribe to this channel. 
Follow Us On:
-----------------------------
Facebook: https://www.facebook.com/news18Kerala/ 
Twitter: https://twitter.com/News18Kerala</t>
  </si>
  <si>
    <t>It took 200,000 years for our human population to reach 1 billion—and only 200 years to reach 7 billion. But growth has begun slowing, as women have fewer babies on average. When will our global population peak? And how can we minimize our impact on Earth’s resources, even as we approach 11 billion?
#humans #population #humanevolution #overpopulation
Download the video in HD: 
http://media.amnh.org/sciencebulletins/AMNH_HumanPopulation_DOWNLOAD.mp4
Related content:
Population Connection
http://worldpopulationhistory.org/map/1/mercator/1/0/25/
UN World Population Prospects
https://esa.un.org/unpd/wpp/
Real-time population counter
http://www.worldometers.info/world-population/
NASA EarthData
https://earthdata.nasa.gov
NASA Socioeconomic Data and Applications Center 
http://sedac.ciesin.columbia.edu
Video credits:
Writer/Producer
AMNH/L. Moustakerski
Animator
AMNH/S. Krasinski
Sound Design
AMNH/J. Morfoot
Scientific Advisors
AMNH/S. Macey
AMNH/J. Zichello
Center for Biodiversity and Conservation
Images
PhyloPic
David Hillis, Derrick Zwickl, and Robin Gutell, University of Texas
World Population used courtesy of Population Connection, ©2015
Other Population Data Sources
Population Connection
United Nations, “World Population Prospects: 2015 Revision”
US Census Bureau
Maps and Event Sources
Encyclopedia Britannica
Inner Asian &amp; Uralic National Resource Center
NASA
NOAA
Needham, J. Science and Civilisation in China
TimeMaps
Trans-Atlantic Slave Trade Database
***
Subscribe to our channel:
http://www.youtube.com/subscription_center?add_user=AMNHOrg
Check out our full video catalog:
‪http://www.youtube.com/user/AMNHorg‬‬‬‬ ‬‬
Facebook: ‪http://fb.com/naturalhistory‬‬‬‬‬‬
Twitter: ‪http://twitter.com/amnh‬‬‬‬‬‬
Tumblr: ‪http://amnhnyc.tumblr.com/‬‬‬‬‬‬
Instagram: ‪http://instagram.com/amnh‬‬‬‬‬‬
This video and all media incorporated herein (including text, images, and audio) are the property of the American Museum of Natural History or its licensors, all rights reserved. The Museum has made this video available for your personal, educational use. You may not use this video, or any part of it, for commercial purposes, nor may you reproduce, distribute, publish, prepare derivative works from, or publicly display it without the prior written consent of the Museum.
© American Museum of Natural History, New York, NY</t>
  </si>
  <si>
    <t>قناة تحتوي على أكثر من 3000 فيديو منوعات تعليمية وتثقيفية ومقاطع مضحكة وتجارب ومقالب وكاميرا خفية ومطاردات بوليسية وأكشن وحوادث وضحك وتسلية وفرفشة ومقاطع مخيفة و مرعبة تحبس الأنفاس لا تنسى الإشتراك في القناة و تفعيل زر الجرس ليصلك جديدنا 
https://www.youtube.com/channel/UCUUGWCuQBOHw7J_4E0G89Vg/</t>
  </si>
  <si>
    <t>Note that the number of people died may or maynot be true because different sites claim different figures.
link for part 1 : https://youtu.be/BhWCAUUnptk
as we had discussed about zoonosis and now in this video i will talk about plague which is a infectious disease (zoonosis) that is transmitted from the animals to human.
so go and have look over this video, grab more knowledge , and feel free to ask for your topic.</t>
  </si>
  <si>
    <t>Part 2 - https://www.youtube.com/watch?v=jjlRmu9DzYY&amp;t=1005s
Introduction of Adobe Premiere
How to create new Projects,
Create Sequence, Work space, Panels, Timeline, Set mark, In point &amp; Out point
Arpith Aravind
FB - https://www.facebook.com/ArpithAravindVlogger/?view_public_for=100358461547666
Instagram - https://www.instagram.com/manakkotta/</t>
  </si>
  <si>
    <t>Hello Friends 
Welcome to Rj Medical Education
In this video
I explained about :-
#reproductivecycle
#menstrualcycle
#Reproductivecycle in #hindi
#menstrualcycle in #hindi
#roleofHormones
#ovulation
#ovariancycle
#phases of #menstrualcycle
#menstrualphase
#proliferativephase
#secretoryphase
#follicularphase 
#lutealphase
If you have any queries regarding this video,
Please drop your comment in comment box,
I would love to answer.
If you like the video,
Please like, share and subscribe channel.
Thank you.
#rjmedicaleducation
#coachingfreeindia
#rajneetmedicaleducation</t>
  </si>
  <si>
    <t>Dr Nick Banatvala, Senior Advisor to WHO Assistant Director General on Noncommunicable Diseases and Mental Health, and Mr Piet Vochten, Acting UN Resident Coordinator and Head of World Food Programme Office in Bhutan describe the goals and objectives of the UNIATF mission to Bhutan at evening live show on the National TV (Bhutan Broadcasting Service).</t>
  </si>
  <si>
    <t>Hey guys. Here's an easy steps by step tutorial on how to make an interactive powerpoint in which students can discover themselves. 
Here's the link of the interactive PowerPoint that I made: 
https://drive.google.com/file/d/18i8efBUmW90TsHQI0RCcYQoINv5BFhEp/view?usp=drivesdk</t>
  </si>
  <si>
    <t>AIIMS EXAM MCQS/MCQS ON COMMUNICABLE DISEASES/AIIMS NURSING OFFICER EXAMS MCQS SOLVED WITH RATIONALES By RAJU SIR ✍️_xD83C__xDFAF_</t>
  </si>
  <si>
    <t>#Communicable_ViralDisease2020## Communicable Disease 2020|| Disease Caused By Viruses || Imp for All Exams 2020-2021|| Viral Disease
Community health nursing :- https://youtu.be/e8kSrlPzQ1Y
Corona virus details :-https://youtu.be/fB91okS0KFM
List of ALL Gynaecology &amp;  Midwifery Questions &amp; Answer:- 
https://www.youtube.com/playlist?list=PLHtw0yn-P7CApSOYG-1NmYRzFZb-kq0YP
Adolescence MCQs :- https://youtu.be/D5S9HWhOX58
epidemiology MCQs:- https://youtu.be/KKMglSwaDHU
Communicable disease MCQs :- https://youtu.be/KjA5_B5txjI
MCQs  Related with Virus, Bacteria, Fungus &amp; Protozoal Disease:- https://youtu.be/9E2mpDZxMhI
Syllabus of MP CHO :- https://youtu.be/PpDkBT_FYhk
National  Health Programme of India :- https://youtu.be/yCrXHXWW_kI
https://youtu.be/BcQ2o6ewM-I
Family Planning :- https://youtu.be/xDwmtibPue0
Vital Statistics and Rate , ratio and proportion :- https://youtu.be/GYrhYa9A0YQ
Midwifery &amp; Gynecology :- https://www.youtube.com/playlist?list=PLHtw0yn-P7CApSOYG-1NmYRzFZb-kq0YP
Community  health nursing :-  https://www.youtube.com/playlist?list=PLHtw0yn-P7CB-SgU7fyK75PXUpU48AbGS
Child health nursing :- https://www.youtube.com/watch?v=vx8XHaAX8Jw&amp;list=PLHtw0yn-P7CC5rqu-0_RMqcbPnbVHRlEQ
here are all type of medical , nursing and pharmacology videos are available for entrance exams of AIIMS, JIPMER, RUHS , DSSSB, RPSC , ESIC and all type of nursing and medical exams like MD, MS, MSC Nursing and all of pharmacology .</t>
  </si>
  <si>
    <t>#JINC#JODHPUR#Nursing#ESI#CHO#STAFFNURSE</t>
  </si>
  <si>
    <t>✔️_xD83D__xDCDA__xD83D__xDC49_ Watch Full Free Course:- https://www.magnetbrains.com​
✔️_xD83D__xDCDA__xD83D__xDC49_ Get Notes Here: https://www.pabbly.com/out/magnet-brains​
✔️_xD83D__xDCDA__xD83D__xDC49_ Get All Subjects playlists:- ​https://www.pabbly.com/out/all-videos-playlist
===============================================
✅ In this video,
✔️ Class: 12th 
✔️ Subject: Biology
✔️ Chapter: Human Health Ans Disease
✔️ Topic Name: Types of Cancer?
===============================================
_xD83D__xDCE2_ _xD83D__xDD25_  Available (Kindergarten to 12th) all Video Subject wise Playlist https://www.pabbly.com/out/all-videos-playlist
Why study from Magnet Brains?
Magnet Brains is an online education platform that helps give You NCERT/CBSE curriculum 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https://www.youtube.com/MagnetBrainsEducation?sub_confirmation=1
➡️ Facebook : https://www.facebook.com/groups/MagnetBrains/</t>
  </si>
  <si>
    <t>Communicable Diseases Vs Non-Communicable Diseases
It is important to know whether a disease is Communicable (able to spread from one person to another), or Non-communicable (not transmissible from person to person).
Infectious diseases are caused by pathogenic microorganisms, such as bacteria, viruses, parasites or fungi; the diseases can be spread, directly or indirectly, from one person to another.</t>
  </si>
  <si>
    <t>මම අද ඔයත් එක්ක කතා කරන්න ලෑස්තිවෙලා ඉන්නේ AASHTO - T 180 - D Method එකට අනුව Proctor Compaction Test එක සිදුකරන ආකාරය..
ඉතින් ශ්‍රී ලoකාව තුළ පළමුවතාවට තමයි Construction Industry එක පිළිබදව උනන්දුවක් දක්වන ඔයාට සිoහල භාශාවෙන් මෙවැනි පරීක්ෂණ මාලාවක් රැගෙන එන්නේ..
මා විසින් සිදුකරණු ලබන සෑම පරීක්ෂණයක්ම Method එකකට අනුව ඔබට පැහැදිළි කිරීම විශේශත්වයක් වන අතර,
ඒ ඒ සෑම පරීක්ෂණයට අදාල Method එකේ PDF එකද ඔබගේ ඉදිරි අද්‍යාපන වැඩකටයුත් සදහා නොමිලේම මාගේ Kosala Madushan ෆේස්බුක් ගිණුම හරහා මෙන්ම Materials Engineering අපි ෆේස්බුක් පේජ් එක හරහා ලබාගැනීමේ හැකියාව තිබෙනවා..
ඊට අදාල links මම පහතින් සදහන් කරන්නම්..
Hello Construction Friends,
Proctor Compaction Test | Proctor Compaction Test in Sinhala 2020 (Clear Explanation) | Following AASHTO - T 180 - D Method
⭕This Video Includes -
✔️Do You Know About Proctor Compaction Test?
✔️Proctor Compaction Test Procedure with AASHTO T 180 - Method D,
✔️What is the Meaning of Standard?
✔️What is the Meaning of Modified ?
✔️Dimensions in Proctor Mould , Compacting hammer
✔️Proctor Compaction Calculation
✔️How to Prepare Proctor Compaction Test Report..?
✔️Clear Explanation in Sinhala Language
⭕මෙමෙ වීඩියෝවේ අන්තර්ගතය -
✔️Proctor Compaction Test එක සිදු කරණ විවිද Method පිළිබදව
✔️AASHTO T 180 - D Method එකට අනුව Proctor Compaction Test එක සිදුකරන ආකාරය
✔️Proctor Compaction Test එකේහි සියලූම Calculations පිළිබදව
✔️Modified Proctor Compaction Test එක පිළිබදව
✔️පරීක්ශනය සිදුකිරීම සදහා යොදාගන්න උපකරණ වල පරිමාණයන්
✔️සිoහල භාශාවෙන් ඉතාමත් සරලව පැහැදිලි කිරීම
⭕Related Video
✔️Proctor Compaction Test Method Summary
https://youtu.be/afTednbwP4c
(සිoහල භාශාවෙන් පැහැදිළි කිරීම් සහිතයි)
✔️Concrete Cube Casting Test
https://youtu.be/k1q4ggmgsAc
(සිoහල භාශාවෙන් පැහැදිළි කිරීම් සහ English Subtitles සහිතව)
✔️Slump Cone Test
https://youtu.be/EGp9HH9M3aA
(සිoහල භාශාවෙන් පැහැදිළි කිරීම් සහ English Subtitles සහිතව)
✔️Aggregate Impact Value Test
https://youtu.be/jw5v9kmqyW8
(සිoහල භාශාවෙන් පැහැදිළි කිරීම් සහ English Subtitles සහිතව)
✔️Vernier Caliper in Sinhala
https://youtu.be/0xNe7HviydU
(සිoහල භාශාවෙන් පැහැදිළි කිරීම් සහිතව)
✔️NCT Civil Engineering
https://youtu.be/Ic3GBwODzQU
(සිoහල භාශාවෙන් පැහැදිළි කිරීම් සහිතව)
✔️Do You Know The Importance Of Materials Testing Laboratory
https://youtu.be/zajgfZ2E9CQ
(සිoහල භාශාවෙන් පැහැදිළි කිරීම් සහිතව)
⭕My Social Media Platforms 
- Facebook https://www.facebook.com/kosala.madushan.969
- Facebook Page
https://www.facebook.com/Materials-Engineering-අපි-117688986750878/
If You Like My Channel _xD83E__xDD17_
Like _xD83D__xDC4D_
Share _xD83D__xDCCC_️
Comment type _xD83D__xDC69_‍_xD83D__xDCBB_
Subscribe _xD83D__xDCAF_
#proctorcompactiontest #proctorcompactiontestmethodinsinhala2020 #proctorcompactiontestcalculation
You can download the PDF of the PROCTOR COMPACTION TEST METHOD SUMMARY for free through my official Facebook Account &amp;  Facebook Page.
PROCTOR COMPACTION TEST METHOD SUMMARY  එකෙහි PDF මගේ නිළ Facebook ගිණුම හා Facebook Page එක හරහා ඔබට නොමිලේම ලබාගත හැක..
ස්තූතියි ❤ 
⭕Keywords -
#ProctorCompactionTest
#ProctorCompactionTestMethods
#ProctorCompactionTestMethodSummary  #WhatisTheStandardProctorCompaction 
#WhatisTheModifiedProctorCompaction 
#HowtoChangeStandardProctorCompaction #TestandModifiedProctorCompactionTest  #AASHTOT180
#Soil
#Calculation
#Construction
#ModifiedProctorCompactionTest
#StandardProctorCompactionTest
#Proctor
#ASTM
#Test
#Density
#Civil
#Road
#Civilengineering
#highwayconstruction
#highwaymaterialstesting
#whatistheproctorcompactiontest
#howtocalculate
#drydensityofsoil
#wetdensityofsoil
#watercontent
#moisturecontent
#maximumdrydensityofsoil
#optimiummoisturecontent
#proctorcurve
#proctorpoint
#proctorcompactiontestinsinhala2020
#srilanka
#sinhala2020
#sinhalaclearlyexplanation</t>
  </si>
  <si>
    <t>Dr Shoba Amarnath explains how she found ways around COVID roadblocks through collaborations with clinical partners and people in other universities, and how she made the most of the translational nature of her research.
Dr Amarnath is an Academy Springboard awardee and mentee, and a Newcastle University Research Fellow in the Faculty of Medical Sciences.
In this video, she talks about the roadblocks she faces during COVID as a researcher transitioning to independence, from laboratory shutdowns and having to lose members of staff, to anxiety around the pressures of building a career in a competitive field. Dr Amarnath explains how she has led her group to a more flexible research programme, making the most of her connections with other researchers and doctors around the UK to pivot to new possibilities. 
"Early career researchers and scientists who are transitioning are going to be significantly affected by this pandemic. It is important to recognise this, and harness all the collaborations that were made at conferences, talk to other co-facilities around the country, engage with fellow scientists and clinicians and the larger scientific groups in order to accomplish your research goals."
This video is part of our work supporting medical and health researchers through the COVID-19 pandemic. Find out more on our Career Support Space https://acmedsci.ac.uk/grants-and-schemes/whats-available-to-me/career-support-space
We are the independent body in the UK representing the diversity of medical science. Our mission is to advance biomedical and health research and its translation into benefits for society.
Follow the Academy of Medical Sciences' Careers Team on Twitter:
http://twitter.com/AMS_Careers
Find the Academy of Medical Sciences online:
Website: http://acmedsci.ac.uk/
Twitter: http://twitter.com/AcMedSci
Facebook: http://www.facebook.com/acmedsci
Instagram: http://www.instagram.com/acmedsci/</t>
  </si>
  <si>
    <t>3D character composited with Live action video, sound mixing and editing by AVARTS Mauritius</t>
  </si>
  <si>
    <t>"I’ve actually spent more time of my PhD in the pandemic than out of it."
Conor is a second year PhD student at the University of York. In this video he shares his tips on how he manages his time and work-life balance during the COVID-19 pandemic, from planning ahead to objective-based goals, in order to avoid the trap of saying: "Okay, I’ll just work for longer.”
Find Conor on Twitter: https://twitter.com/cjr_scott
This video is part of our work supporting medical and health researchers through the COVID-19 pandemic. Find out more on our Career Support Space https://acmedsci.ac.uk/grants-and-schemes/whats-available-to-me/career-support-space
We are the independent body in the UK representing the diversity of medical science. Our mission is to advance biomedical and health research and its translation into benefits for society.
Follow the Academy of Medical Sciences' Careers Team on Twitter:
http://twitter.com/AMS_Careers
Find the Academy of Medical Sciences online:
Website: http://acmedsci.ac.uk/
Twitter: http://twitter.com/AcMedSci
Facebook: http://www.facebook.com/acmedsci
Instagram: http://www.instagram.com/acmedsci/</t>
  </si>
  <si>
    <t>In this lecture, one of the world experts in end-of-life care outlines how palliative care works now, and how this needs to change with an ageing population to ensure we continue to "put the person before their disease".
Professor Irene Higginson OBE FMedSci is Professor of Palliative Care and Director of the Cicely Saunders Institute at King’s College London. She is a leading expert on integrating research, education and care across the end-of-life disciplines and has particular research interests in quality of life, breathlessness, psychosocial care, symptom assessment, and the evaluation of palliative care. 
Find her on Twitter
https://twitter.com/ij_higginson
Professor Higginson was also on the expert advisory group for the Academy's project on death and dying, The Departure Lounge, which aimed to encourage normal conversations about the end of life. Find out more
https://acmedsci.ac.uk/policy/policy-projects/the-departure-lounge
Professor Higginson gave this talk, 'Palliative care for the 21st century' for the Academy of Medical Sciences annual Jean Shanks Lecture at our 2020 AGM.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</si>
  <si>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"I’m not only in distress about the continuity of my own research and career, but also about those of all the postdocs and PhD students in my lab. That’s why having a mentor to talk to during this time has been extremely valuable."
Dr Gemma Modinos is an Academy SUSTAIN participant and mentee, and a Sir Henry Dale Fellow and Senior Lecturer at King’s College London. She is also the recently elected Chair of the Young Academy of Europe. Her research is focusing on the role that emotional pathways in the brain may play in the development of schizophrenia in order to seek new therapeutic targets.
"For many of us in the biomedical sciences, COVID has meant that we couldn’t access the facilities or the participants that we needed for our research. For me this has been a pause of over nine months.
"Connect with people in a similar situation to you. And if you can, try and identify a mentor."
Watch our corresponding video with Gemma's mentor sharing her perspective: https://youtu.be/z6Ec7Nq193M
Find out more about the Academy's one-to-one mentoring programme for post-doctoral and independent biomedical and health researchers:
https://acmedsci.ac.uk/grants-and-schemes/mentoring-and-other-schemes/mentoring-programme
This video is part of our work supporting medical and health researchers through the COVID-19 pandemic. Find out more on our Career Support Space https://acmedsci.ac.uk/grants-and-schemes/whats-available-to-me/career-support-space
We are the independent body in the UK representing the diversity of medical science. Our mission is to advance biomedical and health research and its translation into benefits for society.
Follow the Academy of Medical Sciences' Careers Team on Twitter:
http://twitter.com/AMS_Careers
Find the Academy of Medical Sciences online:
Website: http://acmedsci.ac.uk/
Twitter: http://twitter.com/AcMedSci
Facebook: http://www.facebook.com/acmedsci
Instagram: http://www.instagram.com/acmedsci/</t>
  </si>
  <si>
    <t>Republic of Moldova has built foundation to tackle non-communicable diseases (NCDs) since 2011. 
In 2011 health sector leaders in the Republic of Moldova used public and media discussions on alcohol consumption and tobacco use as an opportunity to highlight the role of risk factors to non-communicable diseases prevalence and need for action.
Both, the Parliament took the leading role and adopted in 2012 after consultations the national Strategy for the Prevention and Control of NCDs, and the Government prepared under Ministry of Health leadership two key National Programs as the National Programs on Tobacco Control 2012-2016 and National Program on Alcohol Control 2012-2020 with multi-sectorial and whole-of-government approach. Further, selected legislative measures are adopted to improve population health, evidence generated and national capacities developed to tackle these risk factors. In addition to national efforts there exists continuous support from international partners on tackling NCDs in the country.
This video prepared in 2013 provides summary to explain the national context, the changes and further directions. 
For more information on WHO activities in Republic of Moldova: http://www.euro.who.int/moldova</t>
  </si>
  <si>
    <t>This lecture tackles future pandemics in the light of COVID-19 with experts from Germany, Hong Kong and the UK. Experts review how to prepare, how to build resilient health systems, and what we need to learn from the coronavirus pandemic to combat the pandemics of the future.
This year's The Lancet and the Academy of Medical Sciences International Health Lecture was presented by Professor Gabriel Leung, Professor Robin Shattock FMedSci and Professor Ilona Kickbusch under the title: 'Learning from crisis: building resilient systems to combat future pandemics'. 
9:23 Professor Leung reviews the lessons learned so far in public health and discusses the evidence on two controversial interventions: the use of face masks and school closures. 
38:00 Professor Shattock explains how COVID-19 and the vaccine race has ‘driven an explosion of effort’, with 100 vaccines in early development and nearly 50 in clinical trials.
1:04:45 Professor Kickbusch discusses the interface of politics and science, she explains that this pattern also encompasses ecological, financial and social risks, among others. She concludes: “For pandemics, as well as the other incalculable risks our way of living has generated, we need to prepare with a new mind frame; by being responsible for one another and for the planet on which we live.”
To read more about this lecture visit: www.acmedsci.ac.uk/IHL20
At this lecture, the welcome and concluding remarks were provided by Professor Dame Anne Johnson FMedSci (Vice President International,  Academy of Medical Sciences). The introduction and discussion were chaired by Professor Richard Horton FMedSci, Editor-in-Chief of The Lancet. 
To read more about The Lancet, a family of independent, international medical journals address urgent topics in our society through making high-quality science widely available for the past 200 years, visit http://www.thelancet.com/
This talk was filmed as part of the Academy of Medical Sciences &amp; The Lancet International Health Lecture series. The International Health Lecture provides a platform for leaders in global health to discuss topics of international significance, promoting debate, discussion and the exchange of ideas on current research. For more information visit
https://acmedsci.ac.uk/policy/international-policy/international-health-lecture 
To view more lectures from this series, see our playlist:
https://www.youtube.com/playlist?list=PL4ripzZbfIsxBJWiZuyJL97CP5GfxO2Bb 
Find the Academy of Medical Sciences online:
Website: http://acmedsci.ac.uk/
Twitter: http://twitter.com/AcMedSci
Facebook: http://www.facebook.com/acmedsci
Instagram: http://www.instagram.com/acmedsci/</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</si>
  <si>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Jaffer Naqvi.
Watch the next lesson: https://www.khanacademy.org/test-prep/nclex-rn/rn-nervous-system-diseases/rn-multiple-sclerosis/v/clinical-progression-of-multiple-sclerosis?utm_source=YT&amp;utm_medium=Desc&amp;utm_campaign=Nclex-rn
Missed the previous lesson? https://www.khanacademy.org/test-prep/nclex-rn/rn-nervous-system-diseases/rn-multiple-sclerosis/v/what-is-multiple-sclerosis?utm_source=YT&amp;utm_medium=Desc&amp;utm_campaign=Nclex-rn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</si>
  <si>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Support Grey making videos: https://www.patreon.com/cgpgrey
## Robots, Etc:
Terex Port automation: http://www.terex.com/port-solutions/en/products/new-equipment/automated-guided-vehicles/lift-agv/index.htm
Command | Cat MieStar System.: http://www.catminestarsystem.com/capability_sets/command
Bosch Automotive Technology: http://www.bosch-automotivetechnology.com/en/de/specials/specials_for_more_driving_safety/automated_driving/automated_driving.html
Atlas Update: https://www.youtube.com/watch?v=SD6Okylclb8&amp;list=UU7vVhkEfw4nOGp8TyDk7RcQ
Kiva Systems: http://www.kivasystems.com
PhantomX running Phoenix code: https://www.youtube.com/watch?v=rAeQn5QnyXo
iRobot, Do You: https://www.youtube.com/watch?v=da-5Uw8GBks&amp;list=UUB6E-44uKOyRW9hX378XEyg
New pharmacy robot at QEHB: https://www.youtube.com/watch?v=_Ql1ZHSkUPk
Briggo Coffee Experience: http://vimeo.com/77993254
John Deere Autosteer ITEC Pro 2010. In use while cultivating: https://www.youtube.com/watch?v=VAPfImWdkDw&amp;t=19s
The Duel: Timo Boll vs. KUKA Robot: https://www.youtube.com/watch?v=tIIJME8-au8
Baxter with the Power of Intera 3: https://www.youtube.com/watch?v=DKR_pje7X2A&amp;list=UUpSQ-euTEYaq5VtmEWukyiQ
Baxter Research Robot SDK 1.0: https://www.youtube.com/watch?v=wgQLzin4I9M&amp;list=UUpSQ-euTEYaq5VtmEWukyiQ&amp;index=11
Baxter the Bartender: https://www.youtube.com/watch?v=AeTs9tLsUmc&amp;list=UUpSQ-euTEYaq5VtmEWukyiQ
Online Cash Registers Touch-Screen EPOS System Demonstration: https://www.youtube.com/watch?v=3yA22B0rC4o
Self-Service Check in: https://www.youtube.com/watch?v=OafuIBDzxxU
Robot to play Flappy Bird: https://www.youtube.com/watch?v=kHkMaWZFePI
e-david from University of Konstanz, Germany: https://vimeo.com/68859229
Sedasys: http://www.sedasys.com/
Empty Car Convoy: http://www.youtube.com/watch?v=EPTIXldrq3Q
Clever robots for crops: http://www.crops-robots.eu/index.php?option=com_content&amp;view=article&amp;id=62&amp;Itemid=61
Autonomously folding a pile of 5 previously-unseen towels: https://www.youtube.com/watch?v=gy5g33S0Gzo#t=94
LS3 Follow Tight: https://www.youtube.com/watch?v=hNUeSUXOc-w
Robotic Handling material: https://www.youtube.com/watch?v=pT3XoqJ7lIY
Caterpillar automation project:  http://www.catminestarsystem.com/articles/autonomous-haulage-improves-mine-site-safety
Universal Robots has reinvented industrial robotics: https://www.youtube.com/watch?v=UQj-1yZFEZI
Introducing WildCat: https://www.youtube.com/watch?v=wE3fmFTtP9g
The Human Brain Project - Video Overview: https://www.youtube.com/watch?v=JqMpGrM5ECo
This Robot Is Changing How We Cure Diseases: https://www.youtube.com/watch?v=ra0e97Wiqds
Jeopardy! - Watson Game 2: https://www.youtube.com/watch?v=kDA-7O1q4oo
What Will You Do With Watson?: https://www.youtube.com/watch?v=Y_cqBP08yuA
## Other Credits
Mandelbrot set: https://www.youtube.com/watch?v=NGMRB4O922I&amp;list=UUoxcjq-8xIDTYp3uz647V5A
Moore's law graph: http://en.wikipedia.org/wiki/File:PPTMooresLawai.jpg
Apple II 1977: https://www.youtube.com/watch?v=CxJwy8NsXFs
Beer Robot Fail m2803: https://www.youtube.com/watch?v=N4Lb_3_NMjE
All Wales Ambulance Promotional Video: https://www.youtube.com/watch?v=658aiRoVp6s
Clyde Robinson: https://www.flickr.com/photos/crobj/4312159033/in/photostream/
Time lapse Painting - Monster Spa: https://www.youtube.com/watch?v=ED14i8qLxr4
Music: Melodica Demo by Kevin McCloud, CC-BY</t>
  </si>
  <si>
    <t>This talk, for the first time, reveals publicly the ongoing operations and potential of global infectious disease forecasting.  The world of medicine and public health is about to change dramatically.
Dr. Wilson is a world-leading expert in operational biosurveillance and infectious disease forecasting. He has led the creation of several of the most powerful systems in the world used for anticipation and detection of infectious disease crises and disasters. Dr. Wilson led the team that provided warning of the 2009 H1N1 influenza pandemic and discovery of the United Nations as the source of the 2010 cholera disaster in Haiti. Dr. Wilson has direct experience with biological weapon deployment investigations. He currently leads the first operational infectious disease forecast center in the world.
This talk was given at a TEDx event using the TED conference format but independently organized by a local community. Learn more at http://ted.com/tedx</t>
  </si>
  <si>
    <t>In this video, we’ll discuss the top 23 human behaviors that dogs hate and wish you wouldn’t do.
There are certain human behaviors that dogs secretly hate. Here are some things that you didn't realize annoy your dog. 
Dinner Time Interruptions 
If someone kept touching you during your dinner time, you’d get annoyed. When your dog is eating, respect their bliss and let them be. Place the dish in a low-traffic area, and instruct all your family members to let the dog eat in peace. 
Same food over and over
Dogs don’t like it when you eat the best food, and all they get is dog food. Prepare a special meal for your dog. 
Luckily, you do not need to drastically change your dog’s food on a daily basis. Dogs have only a fraction of the taste buds that humans have, which means they don’t get bored of eating the same food as often as humans do.
Being Put Away When Friends come over
Dogs are very social animals. Keeping your dog in the backyard and ignoring them when your friends come over is like solitary confinement for your dog. 
Cleaning them too often
Dogs keep themselves clean in their own especial way and their body scent is a way of communicating with other dogs or animals. If you wash your dog too frequently when they aren’t actually dirty, you’re doing them no favors. 
The smell of scented shampoos on their fur may send them running straight outside to roll on the stinkiest thing they can find. 
Being scolded without understanding why
dogs don’t understand what they have done wrong or what is going on. By scolding your pet, you are passing your angry and negativity without addressing the main problem. 
Forced Socialization 
Just like humans, dogs simply don’t like bonding with certain dogs. 
Over Exercise
extended runs or exercise can be hard or harmful for certain breeds or senior dogs. For instance, short-nosed breeds like pugs and bulldogs have respiratory issues and are not good for running long distances. 
Summer Heat
Unlike humans, dogs don't sweat so they don't tolerate high temperatures as well as humans do.
While your dog does have some sweat glands in their paws, these do little to help regulate their body temperature. Instead, A dog's primary cooling mechanism is panting. 
Roughhousing
Children can sometimes agitate or annoy a dog. Kids may pull on a dog’s ears or tail, poke its eyes, or try to ride a big dog. 
Teasing them with treats
Treats should be used as reward, but not an instrument to tease or trick your pet.
The Baby Treatment
Many dog owners confuse caring for their dogs with treating them like babies. 
Expecting a dog to do things he simply cannot or has no understanding of may lead to anxiety and confusion. 
A common example is a dog who chews expensive furniture or defecates in the house.  In reality, the dog could be stressed, have separation anxiety, is sick or is not properly house-trained. 
Loud Music
Loud noises are stressful for your dog because canines can hear sounds four times as far as humans. Thunder, fireworks, police sirens, and loud vehicles are probably the most common noise phobia triggers. People who listen to loud music in their cars with their dogs in the car are probably harming their dogs. 
Arguing in Front of Them
When you are fighting with your spouse or a friend, dogs may try to break up a fight by barking or coming over to you with a toy.  Some dogs will also steal your favorite belongings because they know you will leave the argument to chase them down. 
Ignoring Them After You Have A Baby
Some pet owners ignore their dogs when they bring a baby into their home. 
This can be a difficult time for a dog because they’re no longer the center of the attention.
Too Much Alone Time
Dogs are very social animals and those who left alone in a home for ten or more hours each day can develop behavioral and psychological issues such as separation anxiety, destructive behavior, excessive barking, digging, or even escaping. 
You Give up
There are times when it’s best to rehome a dog. But then there are the owners who give up without trying to address whatever issues they have with their pets. Unwanted behaviors such as destructive separation anxiety, leash aggression, or going potty inside can get better with training and age. 
And the vast majority of dogs in shelters don't make it out alive. 
Being Upset
Recent studies have shown that when humans cry, their dogs also feel distress.
if you are going through a period of depression or stress, it is bound to affect your dog. 
Being the Potty Police
Canines want nothing more than to stop, sniff and explore their surroundings. 
Rushing your dog through a walk without allowing them to stop and sniff is unkind.
A Tight Leash!
Dogs can read humans tension levels through their leash. 
If you are keeping a loose leash, you are telling your dog that everything is fine and relaxed. A tight leash, on the other hand, means you are tense or nervous.
Dogs get irritated if they are being pulled on their leash all the time.</t>
  </si>
  <si>
    <t>“You’ve got to be open to talking to people."
Jessica Dobson is a final year PhD student at the University of York. Here, she shares her strategies for resilience and managing her research during the COVID-19 pandemic.
Jessica tackles issues like lack of access to laboratories due to social distancing requirements, and how this has forced her to slow down and spend a lot more time considering the results of each experiment - "a blessing in disguise". 
She also shares how easy it is to feel disheartened in your work when it's not going well, especially when the only interaction you have with other researchers, is when they're presenting the best of their work - something that mirrors the problems typically faced online through social media. We need to keep talking in order see other people’s failures as well as their successes, and to help researchers focus their energy on things that are productive and helpful.
"Research is a mirror of social media – if the only interaction you have with other researchers, or other PhD students, is through talks when they’re presenting the best of their results, you assume that no-one else is facing the problems you are. We need to keep talking in order to get an outside perspective."
This video is part of our work supporting medical and health researchers through the COVID-19 pandemic. Find out more on our Career Support Space https://acmedsci.ac.uk/grants-and-schemes/whats-available-to-me/career-support-space 
We are the independent body in the UK representing the diversity of medical science. Our mission is to advance biomedical and health research and its translation into benefits for society. 
Follow the Academy of Medical Sciences' Careers Team on Twitter: 
http://twitter.com/AMS_Careers 
Find the Academy of Medical Sciences online: 
Website: http://acmedsci.ac.uk/ 
Twitter: http://twitter.com/AcMedSci 
Facebook: http://www.facebook.com/acmedsci 
Instagram: http://www.instagram.com/acmedsci/</t>
  </si>
  <si>
    <t>Focus On Yourself And Not Others! This is a powerful Motivational Speech Video that will inspire you to focus on what's important and not care about what other people think of you. These motivational videos are created to motivate students to study for exams, work hard, and fight feelings of depression and anxiety.
This video was made in partnership with Keshav Bhatt and Tom Bilyeu. All videos edited and licensed by Motivation2Study.
►Subscribe to Keshav for more inspiring and educational videos: https://goo.gl/CbXEYD
►Subscribe to Tom Bilyeu for more inspiring speeches:
https://www.youtube.com/c/TomBilyeu
►Speakers: 
Gary Vaynerchuk: https://www.youtube.com/user/GaryVaynerchuk
Andy Frisella: https://www.youtube.com/channel/UC65-DsZ4tUq9iqC-UEt8lNw
Matthew McConaughey: Public domain speech
Eric Thomas: https://www.youtube.com/user/etthehip...
http://etinspires.com/
https://twitter.com/Ericthomasbtc
https://www.instagram.com/etthehiphop...
https://www.facebook.com/etthehiphopp...
Chris Ross: https://goo.gl/KppfoF
Freddy Fri
Subscribe to him on YouTube: http://bit.ly/FreddyFri
Instagram: https://www.instagram.com/freddyfrimotivation/
Jim Kwik: http://jimkwik.com/
Will Smith
Olympia LePoint
https://www.olympialepoint.com/
https://twitter.com/olympialepoint?lang=en
Keshav Bhatt
Subscribe on YouTube: https://goo.gl/CbXEYD
http://www.facebook.com/keshavbx
http://www.instagram.com/keshavbx
http://www.keshavbhatt.com/
Tom Bilyeu: https://www.youtube.com/channel/UCnYMOamNKLGVlJgRUbamveA
►Follow Motivation2Study:
Facebook: https://www.facebook.com/Motivation2Study/
Group: https://www.facebook.com/groups/motivation2study/
Instagram: https://www.instagram.com/motivation2.study/
Twitter: https://twitter.com/Motivation2S
Pinterest: https://www.pinterest.com/motivation2study/
Mindset App: https://bit.ly/M2SMindsetApp
Website:https://motivation2study.com
►Videos Used:
Focus on Yourself Not Others
(New Video edited by Motivation2Study)
I Dare You To Work On Yourself - Fearless Motivation
(New Video by Motivation2Study, Audio licensed from Fearless)
https://www.youtube.com/watch?v=wQyB_JtkK6Q
Don't Quit Now - Motivation2Study
https://www.youtube.com/watch?v=rG1v-57vFy0
Your Only Limit Is You - Motivation2Study
https://www.youtube.com/watch?v=3c9laKeYiH0
This Is Why You Fail - Motivation2Study &amp; Keshav Bhatt
Full video: https://www.youtube.com/watch?v=z4034lRVaYA
►Music:
Really Slow Motion -
Buy Really Slow Motion music:
Amazon : http://amzn.to/1lTltY5
iTunes: http://bit.ly/1ee3l8K
Spotify: http://bit.ly/1r3lPvN
Bandcamp: http://bit.ly/1DqtZSo
I Dare You To Work On Yourself - Fearless Motivation
Download or stream the track on all platforms:
iTunes: https://goo.gl/drVMD3
GooglePlay: goo.gl/klEKrE
Spotify: https://goo.gl/nJNzF3
Amazon MP3: http://amzn.to/1DoHUio
Audiojungle
Whitesand
https://www.youtube.com/channel/UCe96...
Borrtex
https://www.youtube.com/Borrtex
Bandcamp: https://borrtex.bandcamp.com/
Soundcloud: https://soundcloud.com/user-910809074
Instagram: https://www.instagram.com/borrtex/
iTunes: https://itunes.apple.com/us/artist/bo...
►Video footage: For all video footage used, please see the credits at the end of the video. All video footage is licensed under CC-BY 3.0. More footage:
 "Lyon Apprentice - I Will Find You" by Hanley - https://vimeo.com/91793799
▶Submit to M2S:
Speeches: http://bit.ly/M2SSpeakerSubmissions
Music or Footage: http://bit.ly/M2SMusicandFootage
Business Inquiries: http://bit.ly/M2SBuisnessInquiries
▶Join Our Email List and get Exclusive Updates, Discounts and Students Deals:
http://bit.ly/M2SNewsLetter 
________________________________________________________________
_xD83C__xDFA7_ Listen to all our videos on the New Mindset App: https://bit.ly/M2SMindsetApp
_xD83D__xDCD8_ Recommended Reading List 
https://amzn.to/2v6QPY0
Amazing Authors like James Clear, Dale Carnegie, Stephen R. Covey, Nick Winter, Steven Pressfield, Charles Duhigg, Cal Newport, and more!
_xD83D__xDCD5_ Recommended Student Supplies &amp; Tools 
https://amzn.to/3705IIy
Higher Performance Planner, Pens, Highlighters, Notebooks, Backpacks, and more!
_xD83D__xDC8C_ Amazon Prime Student 6-mo Free Trial: https://amzn.to/2OuYEzK
☀️ Recommended Morning Journal 
Habitnest: http://bit.ly/YourMorningSidekickJournal
_xD83D__xDC69_‍⚕️ If you struggle and have a hard time, consider taking an online therapy session with our partner BetterHelp:
http://bit.ly/TryOnlineTherapyMotivation2Study
Disclaimer: Please note some links above are affiliate links. If you use them and make a purchase we receive a commission. Thank you for your support! 
Help us caption &amp; translate this video!
https://amara.org/v/mRiu/</t>
  </si>
  <si>
    <t>** UPDATE: The Human Era Calendar is sold out. Thank you so much for all the birbs who got one. If you missed it and want to get notified when the 12,022 Calendar comes out you can subscribe to our newsletter here: https://kgs.link/newsletter. And if you want to get a plushie, poster or hoodie in the meantime, head over to our shop:  https://shop.kurzgesagt.org/ **
For the fifth time, we present to you the Human Era Calendar for the year 12,021 – this time it is all about the journey of humanity, beginning tens of thousands of years ago, leading into the revolution of agriculture, to ancient high civilizations and the beginning of modern times, culminating in a vision for our future. You can get the limited Edition now until we sell out and then never again. As always the calendar features 12 illustrated pages printed on high quality paper in Europe and the US. And this year the cover is especially shiny. The calendar will look great on your wall and let you dream about a glorious future. We truly have come far as a species! 
Sources &amp; further reading:
https://sites.google.com/view/sourceswhentimebecamehistory
OUR CHANNELS
▀▀▀▀▀▀▀▀▀▀▀▀▀▀▀▀▀▀▀▀▀▀▀▀▀▀
German Channel: https://kgs.link/youtubeDE 
Spanish Channel: https://kgs.link/youtubeES 
HOW CAN YOU SUPPORT US?
▀▀▀▀▀▀▀▀▀▀▀▀▀▀▀▀▀▀▀▀▀▀▀▀▀▀
This is how we make our living and it would be a pleasure if you support us!
Get Merch designed with ❤ from https://kgs.link/shop  
Join the Patreon Bird Army _xD83D__xDC27_ https://kgs.link/patreon  
DISCUSSIONS &amp; SOCIAL MEDIA
▀▀▀▀▀▀▀▀▀▀▀▀▀▀▀▀▀▀▀▀▀▀▀▀▀▀
Reddit:            https://kgs.link/reddit
Instagram:     https://kgs.link/instagram
Twitter:           https://kgs.link/twitter
Facebook:      https://kgs.link/facebook
Discord:          https://kgs.link/discord
Newsletter:    https://kgs.link/newsletter
OUR VOICE
▀▀▀▀▀▀▀▀▀▀▀▀▀▀▀▀▀▀▀▀▀▀▀▀▀▀
The Kurzgesagt voice is from 
Steve Taylor:  https://kgs.link/youtube-voice
OUR MUSIC ♬♪
▀▀▀▀▀▀▀▀▀▀▀▀▀▀▀▀▀▀▀▀▀▀▀▀▀▀
700+ minutes of Kurzgesagt Soundtracks by Epic Mountain:
Spotify:            https://kgs.link/music-spotify
Soundcloud:   https://kgs.link/music-soundcloud
Bandcamp:     https://kgs.link/music-bandcamp
Youtube:          https://kgs.link/music-youtube
Facebook:       https://kgs.link/music-facebook
The Soundtrack of this video:
Soundcloud:   https://bit.ly/30ADQdM
Bandcamp:     https://bit.ly/3d0n6lk
_xD83D__xDC26__xD83D__xDC27__xD83D__xDC24_ PATREON BIRD ARMY _xD83D__xDC24__xD83D__xDC27__xD83D__xDC26_
▀▀▀▀▀▀▀▀▀▀▀▀▀▀▀▀▀▀▀▀▀▀▀▀▀▀
Many Thanks to our wonderful Patreons from http://kgs.link/patreon who support us every month and made this video possible:
Keanu Vestil, Xavier, Antonio Tavano, Scott James, Camfifty5, Michael, Paul Barth, Christian Puelacher, Katie Barton, Cole Bowden, Andreas Rautner, Sovos, Alejandro Uresti, couchy, Bill Hochberg, John Specht, Lander Verhack, Vlad Mustiață, Oliver Kurtz, Mischa Blazer, Josh Yelavich, Islam Mohamed, Robrecht Cannoodt, Kirsty, Greenleaves, Jayson Lamanca, Nithin Thaha, Tristan Jackson, Even_skjeih, Mo Alawami, Jonas Brandão, Lily McAdams, Alejandro Rodriguez, Isaac Overmyer, Cooper Norton, Biblion, Stephen Zappia, Bodo Nuber, Samhain, Kyle Goff, jota jodra, Marc Bornträger, Filip Leszczyński, Влад Кальченко, NexusValhalla, Aleksandar Zivancevic, Silas Zander, Tijn Flinterman, Shrutika Umralkar, Or Bairey-Sehayek, Terri-Ann dela Cruz, Choltikan Phothong, Collin Carey, Champ, Marcela Oliveira, rbtpzk, Jamie Grall, LAI Oscar, Ralf P., Kuba, Ryan Giles, JoghurtWiesel, Timster Ruu, John Highet, Walmyr Carvalho, Perry Williams, Aldo Vicente, Peter Paj, Vanny Khon, Olga, Theeraphong Gasparini, destroymyarrogance, Martin Pietrowski, Josip Haramija, Champ, Carlos, Davi &amp; Nicholas</t>
  </si>
  <si>
    <t>Beat the drum to beat NCDs!
On 18-20 October, 2017, WHO and the Presidency of Uruguay staged the Global Conference on NCDs in Montevideo. The focus of the conference was on accelerating all-of-government action to help achieve the 2030 Agenda for Sustainable Development, promote health and achieve Sustainable Development Goal target 3.4, which is to achieve a one-third reduction by 2030 in premature death from NCDs, primarily cardiovascular diseases, cancers, lung diseases and diabetes. The highlight of the Conference was the launch of the Montevideo Roadmap on NCDs as a Sustainable Development Priority.
More information: www.who.int/montevideo2017
Montevideo Roadmap for NCDs 
http://www.who.int/conferences/global-ncd-conference/Roadmap.pdf</t>
  </si>
  <si>
    <t>Communicable Diseases - Part 2 by Adrika Handoo for JKSSB Exams #Biology
Communicable Diseases - Part 1 by Adrika Handoo for JKSSB Exams #Biology
https://youtu.be/NLvTzXu-S0c
Ozone Depletion Part 1 by Mudassir Sir for JKSSB Exams 
https://youtu.be/jeLxV-q05GI
#Chemistry
Lec 10- Chemical Reaction - MCQS - Part 4 for JKSSB Exams  - #GeneralScience - Chemistry by Muddasir Sir
https://youtu.be/6K-Emvistxg
Lec 9- Chemical Reaction - Introduction - Part 3 for JKSSB Exams  - #GeneralScience - Chemistry by Muddasir Sir
https://youtu.be/-4VWvWBRfEw
Lec 8- Chemical Reaction - Introduction - Part 2 for JKSSB Exams  - #GeneralScience - Chemistry by Muddasir Sir
https://youtu.be/haWvftQYvyU
Lec 7 - Chemical Reaction - Introduction - Part 1 for JKSSB Exams  - #GeneralScience - Chemistry by Muddasir Sir
https://youtu.be/D5tOkJErMUs
Lec 6 - Important MCQs on Metals And Non Metals for JKSSB Exams  - #GeneralScience - Chemistry by Muddasir Sir
https://youtu.be/5JEyjShE1Bs
Lec 5 - Metals And Non Metals for JKSSB Exams Part 5 - #GeneralScience - Chemistry by Muddasir Sir
https://youtu.be/p-NINUPELV0
Lec 4- Metals And Non Metals for JKSSB Exams Part 4 - #GeneralScience - Chemistry by Muddasir Sir
https://youtu.be/S92loopmXls
Lec 3- Metals And Non Metals for JKSSB Exams Part 3 - #GeneralScience - Chemistry by Muddasir Sir
https://youtu.be/cS4_OdNoFus
Lec 2 - Metals And Non Metals for JKSSB Exams Part 2 - #GeneralScience - Chemistry by Muddasir Sir
https://youtu.be/m31I2h4v-Ps
Lec 1 - Metals And Non Metals for JKSSB Exams - #GeneralScience - Chemistry by Muddasir Sir 
https://youtu.be/Ay7NytH-tXQ
Important MCQs on Electric Current - Lec 4 #GeneralScience by Inayat Sir || JKSSB Finance Accounts Assist
#Physics
Lec 3 - Electric Current - #GeneralScience by Inayat Sir || JKSSB Finance Accounts Assist
https://youtu.be/Fn7qg6pta-E
Lec 2 - Electric Current - #GeneralScience by Inayat Sir || JKSSB Finance Accounts Assist.
https://youtu.be/wRKM-blLqHg
Lec 1 - Basics - Electric Current - #GeneralScience by Inayat Sir || JKSSB Finance Accounts Assist.
Best Sources - Books - PDF - Notes for Finance Accounts Assistant &amp; Graduate Level Post
https://youtu.be/A9rYzhxB-HU
Youtube Channel
https://www.youtube.com/ec/TRIPLESSumitPuri
#Facebookgroup
https://m.facebook.com/groups/2529061790444363/
Follow us on #Instagram for more questions and ask your queries
https://instagram.com/triples_sumitpuri?igshid=z30d7ny5u91xq
#Telegram - Triple S
https://t.me/SSStripleS
Or Download Telegram App
Search @SSSTRIPLES</t>
  </si>
  <si>
    <t>Why do We Fall Ill : CBSE Class 9 IX Science Video Lectures in English
Health, Disease and its Types, Causes of disease, Antibiotics, Principle of Treatment, Principles of Prevention, etc. topics are described in this video.
Health is a state of complete physical, mental and social well-being of an individual. Health is often affected by diseases. The disease is the unhealthy condition caused by microorganisms, improper diet or it is inherited. “Disease” literally means being uncomfortable. A person affected by the disease will have improper functioning of the organ systems. Different symptoms that could be established during the diseased condition include headache, cough, loose motion and wounds.
All the above-mentioned topics are described in an interactive and efficient manner so that the students could easily understand them.
Dear students for DronStudy Website,
Please visit: https://www.dronstudy.com/home/?utm_source=YT
For Complete courses,
Visit: https://www.dronstudy.com/m8/?video&amp;utm_source=YT_full_course
For DronStudy Live Tutoring,
Visit: https://www.dronstudy.com/live-tutoring/?utm_source=youtube
For CBSE Board Question Video Solutions,
Visit: https://video.dronstudy.com/?utm_source=WYT_papersolution
Social Media Links
Facebook: https://www.facebook.com/DronStudy/
Instagram: https://www.instagram.com/dronstudy/
TikTok: tiktok.com/@dronstudy.com
Call us at +91 8287971571 or 0261-4890016. 
You can also WhatsApp us on +91 90540 43867. Thank you. Learn Smartly with DronStudy.
_xD83D__xDD14_ SUBSCRIBE and GET it FREE: http://www.youtube.com/c/DronstudycomEducation?sub_confirmation=1</t>
  </si>
  <si>
    <t>Whatever you need a website for, create yours today with Wix: https://www.wix.com/go/infographics 
What are the happiest countries to live in? Where would you have the best quality of life?
SUBSCRIBE TO US -► http://bit.ly/TheInfographicsShow
--------------------------------------------------------------------------
WEBSITE (SUGGEST A TOPIC):
http://theinfographicsshow.com 
SUPPORT US: 
Patreon.......► https://www.patreon.com/theinfographi...
CHAT WITH ME: 
DISCORD.....►https://discord.gg/theinfographicsshow
SOCIAL:
Twitter........► https://twitter.com/TheInfoShow
Subreddit...► http://reddit.com/r/TheInfographicsShow
--------------------------------------------------------------------------
Sources for this episode: https://pastebin.com/yNWfjcra</t>
  </si>
  <si>
    <t>There are scientists right now who are working on experiments to answer the question - are we living in a simulation?
This future science short video documentary breaks down and explains the simulation theory. Along with why people such as Elon Musk believe in the theory, and is even funding work in the area. We also take a look at the math behind the simulation argument, showing the probability that we are living in a digital world. 
_____
The video mentioned in the video:
• Timelapse of Future Technology - 2022 - 4000+
https://youtu.be/wD6hyGXRcgk
_____
Books mentioned in the video (affiliate links):
• Superintelligence: Paths, Dangers, Strategies - https://amzn.to/2KRieon
• The Doomsday Calculation - https://amzn.to/2JcP9Ub
_____
Other topics covered in this video include: 
• How the development of video games can show future technology predictions in the field of the simulation theory. 
• Could a super quantum computer, or a Matrioshka brain with a Dyson Sphere, power a simulation for humanity. 
• Would a simulation for humanity, allow for more distant space travel.
• And the video also explains the works of Plato, Zhuang Zhou, Philip Kindred (Blade Runner, Minority Report), Elon Musk, Dr. Nick Bostrom, Dr. David Kipping, NASA engineer Thomas Campbell, Silas Beane, William Poundstone, and Sean Carrol.
Photo Credit (cc) Dr Nick Bostrom: Future of Humanity Institute</t>
  </si>
  <si>
    <t>Which country will rise to the top and become the next superpower nation? Can any country become more successful than United States? Can European Union, China, India or Russia become one?
SUBSCRIBE TO US -► http://bit.ly/TheInfographicsShow
WEBSITE (You can suggest a topic):
http://theinfographicsshow.com 
SUPPORT US: 
Patreon.......► https://www.patreon.com/theinfographicsshow
CHAT WITH ME: 
DISCORD.....►https://discord.gg/theinfographicsshow
SOCIAL:
Twitter........► https://twitter.com/TheInfoShow
Subreddit...► http://reddit.com/r/TheInfographicsShow
--------------------------------------------------------------------------
Sources for this episode:
https://pastebin.com/J5hwrvPp
Some Images used under license from Shutterstock.com
You can get graphics like ours from here ► http://shutterstock.7eer.net/c/1209709/42119/1305</t>
  </si>
  <si>
    <t>Economist Danielle DiMartino Booth Exposes China &amp; World Health Organization in a sit-down with Patrick Bet-David. Order the book Fed Up https://amzn.to/2UUxhQP
Follow her on Twitter: @DiMartinoBooth visit https://quillintelligence.com/
Link to full interview: https://youtu.be/jsV_YXq-1x4
About Danielle:  As Founder &amp; CEO of Quill Intelligence, DiMartino Booth set out to launch a #ResearchRevolution, redefining how markets intelligence is conceived and delivered. To build QI, she brought together a core team of investing veterans to analyze the trends and provide critical analysis on what is driving the markets – both in the United States and globally. A global thought leader on monetary policy, economics and finance, DiMartino Booth founded Quill Intelligence in 2018. 
She is the author of FED UP: An Insider’s Take on Why the Federal Reserve is Bad for America (Portfolio, Feb 2017), has a column on Bloomberg View, is a business speaker, and a commentator frequently featured on CNBC, Bloomberg, Fox News, Fox Business News, BNN Bloomberg, Yahoo Finance and other major media outlets
Share your thoughts with Patrick Bet-David by texting INTERVIEW 310.340.1132 
To reach the Valuetainment team you can email: info@valuetainment.com
Follow Patrick on social media:
Instagram: https://www.instagram.com/patrickbetdavid/
Twitter: https://twitter.com/patrickbetdavid</t>
  </si>
  <si>
    <t>HEAL while you SLEEP ~ With this UNBELIEVABLE POWER of the Mind
To help support this channel you can purchase this and other meditations here:
https://dauchsymeditations.com/collections/all
Welcome to Dauchsy meditations. This meditation was made to help you with the physical and emotional healing that you need. Many people do not realize that it is truly our own body and mind that contribute the most to the healing process. Even when we take medication given by a doctor to help with an illness, it is the body that transforms these chemicals into useful tools to heal. Even the most modern medicine has not been able to figure out how to kill a virus in the body. The only thing that can kill that virus is our own body. It has become easy to depend on some type of medicine to cure our illnesses. And because of this We have lost touch with the fact that, we can heal ourselves.  Now, this meditation will help you remember this fact.  It will show you how powerful your body and mind truly are at healing. By using this meditation, you will gain the ability to focus your intentions on healing. You will focus your powerful subconscious on healing yourself.   Do not worry if you fall asleep during the meditation, Your subconscious mind is most comfortable and open to suggestion when you are unconscious in a sleeping state. You may be asleep, but your subconscious mind is busy at work.  Following this meditation every night will make the body and mind a powerful force of healing. 
These last few minutes before you sleep, the time where you are in between being awake and asleep, it is the most important time for you to focus on the healing of the body. Your subconscious mind will take this information and use it for the next 8 hours of sleep. 
I am now healing 
I have the power to heal
I believe in my body’s innate ability to heal itself
I heal my body and mind with love and respect
I sleep soundly
My subconscious mind is now a tool for healing
I am now focusing my intention on healing
My body knows how to heal itself, and is doing so right now
My body is now attuned to the wisdom of the universe
My body is full of joy and vitality
Gratitude and peace flow through my body like a clear healing stream
I deserve to heal
I create an environment for health and healing
I am in alignment with my body’s ability to heal
I am so grateful now that I am healing
I can see now being completely healed 
ALL MEDITATION CHANNEL: https://www.youtube.com/channel/UCpFjnUgBboGkbnGp2DCp_YA
PREVIOUS VIDEOS:
★Beginner's Guided Meditation: https://www.youtube.com/watch?v=_29uTyLaPxM
★Manifest Meditation: https://www.youtube.com/watch?v=bdaFBuM1-8Y 
★Sleep Meditation: https://www.youtube.com/watch?v=L7CU2Ka3XX8 
★Lose Weight Meditation: https://www.youtube.com/watch?v=IYVfLvZfjQg 
★Stress Relief Meditation: https://www.youtube.com/watch?v=rj3CZNqDK7E 
WEBSITE:
★How to Meditate: http://bit.ly/2dTnPbg 
★Benefits of Meditation:  http://bit.ly/2deQpF9 
★What I learned From 13 Years Meditation: http://bit.ly/2eaqfjK 
SOCIAL MEDIA:
★Facebook: https://www.facebook.com/Dauchsy-Meditations-1485736465064303/ 
★Twitter: https://twitter.com/NewAgeEnlighten 
★Google+ Page: https://plus.google.com/106859791103348418828/posts 
Dauchsy23</t>
  </si>
  <si>
    <t>Vitamins for finance account assistant - vitamins (part-1) for finance account assistant, sub-inspector, jr. Exam 2021. vitamins mcq's for finance account assistant exam || science 10 marks || ajay sir || jkssb online tutorial. 
Well  in this video we will discuss about the most important vitamins for account assistant exam and this is the lecture of science for the upcoming exam finance account assistant exam in your own "jkssb online tutorial" YouTube channel. 
#vitaminsforfinanceaccountassistant #vitamins #financeaccountassistant
-----------------------------------------------------------------------
INSTALL OUR APP 
_xD83D__xDC49_Link: https://play.google.com/store/apps/details?id=co.nick.jkyye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Your Queries:
VITAMINS &amp; THEIR DEFICIENCIES FOR JKSSB PANCHAYAT QCCOUNTS ASSISTANT
Vitamins short tricks | vitamins and deficiency diseases
Vitamin Tricks ~ General Awareness Tricks || GK shortcuts JKSSB 
-----------------------------------------------------------------------------
Thanks for watching video
JKSSB JKPSC SSC ONLINE TUTORIAL</t>
  </si>
  <si>
    <t>Hope you enjoy listening!
Credits to them. Please subscribe to their channel as well. 
Please do not forget to subscribe, like and share this video. 
DISCLAIMER
No copyright infringement intended.
All credits go to the right owners, artist and their record company. I don't own this song.
Thank you!</t>
  </si>
  <si>
    <t>Food Chains  and Food webs for Finance Account Assistant &amp; Sub Inspector Exam || Food Chains &amp; Webs.
In this video, we discuss about the important topic of science that is food chains and food webs for the upcoming jkssb finance account assistant and sub inspector exam 2021.
-------------------------------------------------------------------------------------------------------------------------
INSTALL OUR APP 
_xD83D__xDC49_Link: https://play.google.com/store/apps/details?id=co.nick.jkyye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#foodchainsandfoodwebs
Thanks for watching video
JKSSB JKPSC SSC ONLINE TUTORIAL</t>
  </si>
  <si>
    <t>Communicable and Non-Communicable disease for FAA and S.I Exam || Part-2 || Ajay Sir.
About this Video:
In this video lecture; we  will discuss about the Communicable and Non-Communicable Disease (Part-2) for JKSSB FAA Finance account assistant and sub inspector jkssb phase 2 exams and will also discuss about the  difference between communicable and non communicable diseases by jkssb online tutorial (Ajay Sir).
-------------------------------------------------------------------------------------------------------------------------
INSTALL OUR APP 
_xD83D__xDC49_Link: https://play.google.com/store/apps/details?id=co.nick.jkyye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Your Queries:
Communicable and Non-Communicable disease for JKSSB Finance Account Assistant and Sub-Inspector Exam
Communicable and non communicable diseases by ajay sir
communicable and non communicable diseases jkssb faa
communicable and non communicable diseases by jkssb online tutorial
communicable and non communicable diseases mcqs jkssb
Thanks for watching video
JKSSB JKPSC SSC ONLINE TUTORIAL</t>
  </si>
  <si>
    <t>Hello Everyone.
Install Our Official Android App: https://play.google.com/store/apps/details?id=co.nick.jkyye
------------------------------------------------------------------------------------------------------------------------
Ozone layer and it's depletion for Finance Account Assistant- ozone layer and its depletion. Ihis video explains ozone layer and it's depletion including harmful effects with few important questions based on medical entrance exams.  skin cancer is the major problem due to ozone layer depletion  this video will also explain what is causes and effects of ozone layer depletion. 
what is the ozone layer depletion, this quick video discusses the role of the ozone layer and how cfcs can cause ozone depletion..
ozone layer depletion in hindi.
learn ozone layer depletion with tricks.  
-------------------------------------------------------------------------------------------------------------------------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#financeaccountassistantstudymaterial #financeaccountassistantlectures #accountassistantbeststudymaterialandlectures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Thanks for watching video
JKSSB JKPSC SSC ONLINE TUTORIAL</t>
  </si>
  <si>
    <t>Hello Everyone.
Install Our Official Android App: https://play.google.com/store/apps/details?id=co.nick.jkyye
How to Join Batch for FAA, SI, Jr Assistant: https://youtu.be/yMJaHed_kH8
Vitamins (Part-2) for Finance Account Assistant, Sub inspector, Junior Assistant - Science - Biology (Lecture-2) by Ajay sir in your own youtube channel that is JKSSB Online Tutorial.
Vitamins (Lecture Part-1): https://youtu.be/5xZuIh89_BI
#vitaminsforfinanceaccountassistant #vitamins #financeaccountassistant
-----------------------------------------------------------------------
Follow us on Social Media.
Join our Official Telegram Group: https://t.me/jkssbjkpscssconlinetutorial
Subscribe YT Channel: https://www.youtube.com/jkssbjkpscssconlinetutorial
Facebook: https://www.facebook.com/jkssbaspirants/
Instagram: https://www.instagram.com/jkssb_updates/
-----------------------------------------------------------------------------
Thanks for watching video
JKSSB JKPSC SSC ONLINE TUTORIAL</t>
  </si>
  <si>
    <t>Community Health Officer Exam MCQs on Demography Solved with Rationale By Raju Sir #Rajusir #CHO #HPSSSB #MP_CHO #COMMUNITY_HEALTH_OFFICER</t>
  </si>
  <si>
    <t>Randall Carlson is a master builder and architectural designer, teacher, geometrician, geomythologist, geological explorer and renegade scholar. This presentation takes a deep dive into the realm of sacred geometry, ancient stone monuments and the hidden mathematics that is embedded in things we use everyday. 
Randall Carlson's Podcast can be found here https://randallcarlson.com/
This lecture is from the "Cosmic Patterns and Cycles of Catastrophe" series. 
He also has several great podcasts with Joe Rogan and Graham Hancock
Get the After Skool Kid's Book - Why Don't Country Flags Use The Color Purple? - https://www.amazon.com/Dont-Country-Flags-Color-Purple/dp/0578489244
Get in touch via https://www.afterskool.net/
Please support on Patreon - https://www.patreon.com/AfterSkool
Music in the video by Stellardrone</t>
  </si>
  <si>
    <t>Table of Contents:
00:39 - Impact of Non-Communicable Disease
02:19 - 10 leading Causes of Death
05:36 - Heart Disease: Coronary Artery Disease
06:23 - Heart Disease: Heart Attack
07:23 - Heart Disease: Arrhythmia &amp;amp; CardioMyopathy
09:12 - 
10:25 - Cardiovascular Disease: Major Predictors
12:40 - Cardiovascular Disease: Major Predictors
14:38 - Cancer(s)
15:22 - Cancer(s)
16:05 - Common Cancers
16:39 - 
18:38 - 
20:33 - Stages of Cancer
24:55 - Cancer Prevention
26:36 - Other Key Diseases
30:42 - Take home Messages</t>
  </si>
  <si>
    <t>Use our affirmations for health, wealth and happiness. This Healthy, Wealthy &amp; Wise recording is a 30 day program to help you to consciously create a new life. Affirmations fade towards end for a peaceful sleep.  Join me for my FREE Masterclass and calm your mind and improve your sleep. https://www.jasonstephenson.net/lp/esf-masterclass/?utm_source=youtube-jason-stephenson-sleep-meditation-music-video-description&amp;utm_medium=social&amp;utm_campaign=esf-masterclass-landing-page
#affirmationsforhealth #wealthhappiness #jasonstephenson
Instant Calm: Affirmations for a calm mind https://www.youtube.com/watch?v=Lw6UTDx11xs _xD83D__xDCAB_
Affirmations for Health, Wealth, Happiness, Abundance "I AM" (21 days to a New You!) ✨
https://www.youtube.com/watch?v=GnWlERK0UJc&amp;list=PLwRp13WDIrMPzLqtyvvPrs7sMR_lvZ8Bf
Law Of Attraction Positive Affirmations for Success &amp; Abundance, Live A Prosperous Life _xD83D__xDC96_
https://www.youtube.com/watch?v=NrUzB3ChKDI&amp;list=PLwRp13WDIrMPzLqtyvvPrs7sMR_lvZ8Bf
"Pick Me Up" Affirmations | Law Of Attraction works wonders! | Inspiration Secret _xD83D__xDCAB_
https://www.youtube.com/watch?v=OqHavcUFPJU&amp;list=PLwRp13WDIrMPzLqtyvvPrs7sMR_lvZ8Bf
Get more great sleep - Subscribe: https://www.youtube.com/channel/UCqPYhcdFgrlUXiGmPRAej1w?sub_confirmation=1
© JASON STEPHENSON &amp; RELAX ME ONLINE AUSTRALIA PTY LTD Copyright 2019 All rights reserved.
This work is not intended to substitute for professional medical or counseling advice. If you suffer from a physical or mental illness, please always seek professional help.  
DO NOT DRIVE OR OPERATE MACHINERY WHILST LISTENING TO SLEEP MEDITATION MUSIC, BINAURAL BEATS OR GUIDED SLEEP RELAXATIONS.</t>
  </si>
  <si>
    <t>The COVID-19 situation globally is very dangerous with high levels of transmission driven by 4️⃣ major factors:
1️⃣ virus variants
2️⃣ increased social mixing and mobility of people
3️⃣ inappropriate use of public health &amp; social measures
4️⃣ vaccine inequity 
- Dr Maria Van Kerkhove
Watch the entire press briefing of 07 July 2021 here:
https://youtu.be/JThz6cjtqLI</t>
  </si>
  <si>
    <t>CHO Test Series http://rjcareerpoint.com/packages/cho-test-series   Rjcareerpoint  Free online video Classes and live Classes For Nursing  Competitive Exams and Test Series For Exams Preparation, Free Mock Test, Staff Nurse online Mock Test Series, AIIMS Nursing Officer and Staff Nurse, PGI Nursing Officer and Staff Nurse, ESIC Nursing Officer and Staff Nurse, DSSSB Nursing Officer and Staff Nurse, JIPMER Nursing Officer and Staff Nurse, GMCH Nursing Officer and Staff Nurse , BHU Nursing Officer and Staff Nurse, AMU Nursing Officer and Staff Nurse, RML Nursing Officer and Staff Nurse, CRPF Staff Nurse, (RRBNursing Officer and Staff Nurse), RAILWAY Staff Nurse, SAFDARJUNGNursing Officer and Staff Nurse ,  Nursing Officer, Nursing, and other exams  | Get Daily Updated Exams |  Notification | Study Notes &amp; Current Affairs | Nursing Competitive Online Coaching By Rj career point
rjcareerpoint. ? 
? Rj career point Contact Us:
Support No. 9024103614 
(Time 9: AM To 8PM, Mon-Sat)
? Rjcareerpoint YoutTube Official Channel:
https://www.youtube.com/Rjcareerpoint
? Rjcareerpoint Official Website:
https://www.rjcareerpoint.com/
? Rjcareerpoint Facebook Official Page:
https://www.facebook.com/ https://www.facebook.com/rjcareerpoint2019/
? Nursing Video Classes playlist:-
https://www.youtube.com/channel/UCIfvUcGteBU_m-htnnSVdaw/playlists 
? MSN Video Classes playlist:-
https://www.youtube.com/watch?v=ti5BMasjiWE&amp;list=PLjwNOS1Xzt6CVFsXFcKMyQm7NGuDGckGu
? OBG Video Classes playlist:-
https://www.youtube.com/watch?v=LXccno5Yjik&amp;list=PLjwNOS1Xzt6ANrSGFNrfUs0B8MmMMxyLF
? Fon Video Classes playlist:-
https://www.youtube.com/watch?v=WCXOoz_Gzl0&amp;list=PLjwNOS1Xzt6BvojhD7MpD3jNyY0QJ6rAh</t>
  </si>
  <si>
    <t>Prime Minister Narendra Modi interacted with the Indian diaspora at an event titled 'Bharat Ki Baat, Sabke Saath'.The mega Q&amp;A session lasted for a little over three hours. The event was broadcast live from the iconic Central Hall Westminster in London. The diaspora event, billed as the centrepiece of the 'Living Bridge' theme of the India-UK bilateral visit, involved Prime Minister Modi addressing questions which have already been received via social media.
NDTV is one of the leaders in the production and broadcasting of un-biased and comprehensive news and entertainment programmes in India and abroad. NDTV delivers reliable information across all platforms: TV, Internet and Mobile.
Subscribe for more videos: https://www.youtube.com/user/ndtv?sub_confirmation=1
Like us on Facebook: https://www.facebook.com/ndtv
Follow us on Twitter: https://twitter.com/ndtv
Download the NDTV Apps: http://www.ndtv.com/page/apps
Watch more videos: http://www.ndtv.com/video?yt</t>
  </si>
  <si>
    <t>COVID-19 is the pandemic that is occupying the global health community, but there are three other pandemics that are at least as deadly. These three have been around for a long time, are slower, much slower and are very predictable. These health assassins have been clearly identified by the WHO as overweight / obesity, diabetes and inactivity and each cause 7 to 9 times as many deaths as Covid-19 annually. This comparison does not detract from the severity of corona virus, but does clearly indicate that we are dealing with a much larger non-communicable disease, multi-pandemic.
Is it possible to challenge all four pandemics with one strategy? A healthy lifestyle, with physical activity at the heart of that lifestyle, is the solution we crave. The wonder drug providing the resilience we need to resist the impact of life-threatening viruses and to prevent and manage the complications of sedentary lifestyles.
This webinar is an acknowledgement of the value of healthy, active lifestyles and an insight into the solutions that are being instigated around Europe to promote these healthy lifestyles. How can we disseminate the right messages to communities who, as a result of Covid-19, are now more receptive to these messages than ever before. Where will the necessary army of healthy lifestyle promoters or health champions come from? How will they work within a health sector-led preventative strategy and how will they best communicate their message of hope for a healthier, happier life?
With:
• Julian Berriman, EuropeActive
• John van Heel (New Health Project, Netherlands)
• Colin Huffen (CIMSPA, UK)
• Alfonso Jimenez (GOfit Lab, Spain)</t>
  </si>
  <si>
    <t>#NORCET#DSSSB#ESIC#RIMS#PGIMER</t>
  </si>
  <si>
    <t>Human health is better now than at any time in history. Thanks to advancements in technology, industry, agriculture and public health, we are living longer and more prosperous lives than ever before. But since the start of the Anthropocene period – the geological epoch marked by humankind’s impact on the planet – unprecedented environmental challenges, such as climate change and biodiversity loss, are threatening our health and the health of our planet. Are we at risk of losing the significant gains we have made in planetary health over the years?
Join in on Twitter with #oxmartintalks
Oxford Martin School,
University of Oxford
www.oxfordmartin.ox.ac.uk</t>
  </si>
  <si>
    <t>This presentation will give you innovative and newer ways of reaching out to patients directly. Step-by-step approach on how to developing an online consultation platform for doctors.
More videos : https://www.youtube.com/DrMansoorAli</t>
  </si>
  <si>
    <t>#NORCET#AIIMS #ESIC#CHO</t>
  </si>
  <si>
    <t>To get updates about lectures,
Whatsapp us @ 9444139241
Instagram -  https://instagram.com/medu_sane?igshid=pbx9u4o4rl8x
Telegram  - https://t.me/medusane_discussion
DISCLAIMER:
These lectures are just supplementary for the Regular class room lectures and standard textbooks. Please attend your regular classes and postings for excelling in your exams.
Medusane does not own or  claim to own any of the media used in the following video/stream . The media belong to their respective owners who may have copyright over them.The media have been taken from various sources and are used for medical educational purposes only. The following video/stream may contain images that may not be suitable for all audiences , viewer discretion is advised .</t>
  </si>
  <si>
    <t>During this 1-hour event, hosted on 13 November 2020, WHO Director-General, Dr Tedros Adhanom Ghebreyesus, was joined by representatives of governments, nongovernmental organizations and people living with diabetes, to discuss the future of diabetes prevention and care. During the event, the WHO Global Diabetes Compact, to be launched in April 2021, was announced.
More information https://www.who.int/news-room/events/detail/2020/11/14/default-calendar/world-diabetes-day-2020-introducing-the-global-diabetes-compact</t>
  </si>
  <si>
    <t>In this Ask the Expert video, we met with Dr. Peter Van Dael, SVP Nutrition Science &amp; Advocacy at DSM, to discuss the growing problem of NCDs and the role that nutrition can play in aging populations.</t>
  </si>
  <si>
    <t>Chair: Annie Anderson
The world has entered a stage of the nutrition transition dominated by increasingly unhealthy diets and activity patterns. Body composition distribution and NCDs related to diet and activity are increasing, especially in low and middle-income countries(LMICs). LMICs face an accelerating shift as global food systems and technology have dramatically changed food supplies and physical activity patterns. Food processors, food services, retailers, and agribusinesses have assumed the major role in food provision, and their voluntary efforts have failed to improve global diets. The shifts in diet and activity patterns are discussed. Most major policy initiatives by LMICs have been utilizing large-scale regulatory strategies to improve diets with limited focus on physical activity. Two approaches are foremost. First is a combination of taxation and price subsidies that make unhealthy foods and beverages, especially sugar-sweetened beverages, expensive and healthy traditional foods and beverages, such as fresh produce and legumes, more affordable. Second is prohibition of marketing that does not promote healthy behaviors. In addition to controls on media aimed at children, which have limited value, some countries are implementing full controls on all media, sometimes in combination with front-of-the-package profiling and positive or negative logos on products that encourage consumers to make healthier food purchases. Another initiative is placing controls on foods and beverages in schools and other public institutions. Few countries have introduced national programs to promote physical activity, yet that lifestyle component cannot be ignored. Important evidence regarding the impacts of large-scale actions is emerging. We are entering for the first time an era where many large-scale regulatory approaches are being evaluated and we will finally begin to test and then refine approaches that are more likely to prevent obesity and improve our diets in a way that will reduce the risk of many noncommunicable diseases and intermediate cardiometabolic risk factors.</t>
  </si>
  <si>
    <t>The operators of Egypt's Suez Canal say technical or human error could have caused a huge container ship to run aground. Engineers are working round the clock to refloat the Ever Given. The vessel has been blocking one of the world's busiest shipping lanes for the last five days. The chairman of the canal authority hopes a dredging operation will free the ship in the next few days.
How did the Ever Given, one of the biggest container ships ever built, end up blocking one of the world’s busiest shipping lanes? And how long will it stay there? The chairman of the Suez Canal Authority is facing more questions than he can answer. But he says more than just strong winds caused the accident.
But while experts investigate further, the ship still has to be freed. 20,000 ton of sand have been removed from the area around the bow, and 9,000 tons of ballast water have been pumped out, in order to lighten the vessel. The operation has so far been unsuccessful - but two more tugs are on their way. If they can't move it, the next step will be to unload the cargo.
The German insurance group Allianz says the blockage is costing the global economy between 6 and 10 billion dollars a week. A tenth of the world's merchant shipping uses the canal.
Subscribe: https://www.youtube.com/user/deutschewelleenglish?sub_confirmation=1
For more news go to: http://www.dw.com/en/
Follow DW on social media:
►Facebook: https://www.facebook.com/deutschewellenews/
►Twitter: https://twitter.com/dwnews
►Instagram: https://www.instagram.com/dwnews
Für Videos in deutscher Sprache besuchen Sie: https://www.youtube.com/dwdeutsch
#SuezCanal #EverGiven #Egypt</t>
  </si>
  <si>
    <t>The global segment for operationalizing meaningful engagement of people living with diabetes (PLWDs) includes discussions led by individuals with lived experience on how PLWDs may be better included in the Global Diabetes Compact through governance, collaborations and partnerships, country implementation, advocacy and education. 
The segment builds on the WHO Informal Consultation on People Living with Diabetes and has been co-designed by PLWD. It will feature PLWDs, together with WHO, Member State, business and community partners from all around the world.
More information on the Global Diabetes Compact https://www.who.int/initiatives/the-who-global-diabetes-compact/
More information on the Nothing For Us, Without Us Report
http://bit.ly/plwncdreport​</t>
  </si>
  <si>
    <t>SDGHI’s Webinar Series on The Impact of COVID-19   and Health Equity in the ASEAN Region.
How has COVID-19 impacted Non-Communicable Diseases (NCDs) Programmes in the ASEAN region? 29 Jul 2020, 7pm-8pm SGT 
a. Overview of treatment and control of the leading NCDs: 
Cardiovascular Diseases and  Diabetes in the ASEAN region.
b. How has COVID-19 impacted the above mentioned NCDs?
c. How do we mitigate the impact of COVID019 on the treatment and control
of NCDs in the short as well as long term?
Moderator
Prof Carolyn Lam
Panel
Amina Mahmood Islam, Deputy Director, Programme Development  and Business Administration| SingHealth Duke-NUS Global Health Institute (SDGHI)
Deborah Gildea, Head of Novartis Social Business Asia
Adj Assoc Prof Tan Wei Chieh Jack, President, Asian Pacific Society of Cardiology and Deputy Head and Senior Consultant National Heart Centre Singapore
Feisul Mustapha, Malaysia
Borwornsom Ack Leerapan, Thailand</t>
  </si>
  <si>
    <t>How do we revitalize primary health care to make it relevant today and for future generations? At the 71st World Health Assembly, four distinguished experts – Dr Yelzhan Birtanov, Minister of Healthcare of Kazakhstan; Dr Hans Kluge, Director of the Division of Health Systems and Public Health at WHO Europe; Ms Vidhya Ganesh, Deputy Director of UNICEF Programme Division; and Dr Edward Kelley, Director, Service Delivery and Safety at WHO Headquarters, share their thoughts on the legacy of the Alma-Ata Declaration, their vision for primary health care, and encourage all to contribute to the Global Conference on Primary Health Care, taking place in Astana, Kazakhstan on 25-26 October 2018.</t>
  </si>
  <si>
    <t>Created by Vishal Punwani.
Watch the next lesson: https://www.khanacademy.org/test-prep/nclex-rn/rn-cardiovascular-diseases/rn-coronary-artery-disease/v/atherosclerosis?utm_source=YT&amp;utm_medium=Desc&amp;utm_campaign=Nclex-rn
Missed the previous lesson? https://www.khanacademy.org/test-prep/nclex-rn/rn-cardiovascular-diseases/rn-coronary-artery-disease/v/what-is-coronary-artery-disease?utm_source=YT&amp;utm_medium=Desc&amp;utm_campaign=Nclex-rn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</si>
  <si>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*Webinar recorded on 13 July 2020
*Co-hosted with the World Health Organization (WHO) and the Norwegian Ministry of Foreign Affairs
About the event:
Emergency preparedness - today and in the future - depends on strong health systems, a resilient, qualified, well-resourced health workforce, and healthy populations. COVID-19 and NCDs take lives indiscriminately, reinforcing one another and disproportionately impacting the poorest communities around the world and the most vulnerable people in every country. The fallout risks exacerbating inequalities.
In his address to the 73rd World Health Assembly on 18 May 2020, WHO Director-General Dr Tedros Adhanom Ghebreyesus said “COVID-19 is not just a global health emergency, it is a vivid demonstration of the fact that there is no health security without resilient health systems, or without addressing the social, economic, commercial and environmental determinants of health.”
This virtual high-level event will convene global thought leaders to:
- Explore the collision of NCDs and COVID-19 to demonstrate the need to prioritise NCDs in policy responses to health emergencies and humanitarian responses;
- Position investment in NCD prevention and treatment as an essential foundation for human security and preparedness for health emergencies;
- Inform ‘build back better’ agenda for resilience, recovery and rebuilding, including the opportunity of Universal Health Coverage (UHC) and health systems strengthening to break down silos across global health, at global and national levels and catalysing a holistic approach to health and the Sustainable Development Goals (SDGs).</t>
  </si>
  <si>
    <t>Check out our Patreon page: https://www.patreon.com/teded
View full lesson: http://ed.ted.com/lessons/what-would-happen-if-you-didn-t-drink-water-mia-nacamulli
Water is essentially everywhere in our world, and the average human is composed of between 55 and 60% water. So what role does water play in our bodies, and how much do we actually need to drink to stay healthy? Mia Nacamulli details the health benefits of hydration. 
Lesson by Mia Nacamulli, animation by Chris Bishop.</t>
  </si>
  <si>
    <t>When will we decide to conquer chronic disease? The moment we realize the future’s not only in our genes but also in our hands with the choices we make regarding food and nutrition. We now know how we grow before we are born, matters. A woman who is pregnant with a daughter is nourishing the egg that may someday become her grandchild. We must  remove the vulnerability for developing chronic disease before it starts. Through the right choices in Family, School, Workplace &amp; Policy - we can position humanity towards a sustainable, more livable answer.
Dr. Kent L. Thornburg received his PhD in Developmental Physiology and studied Cardiovascular Physiology as a National Institutes of Health (NIH) Postdoctoral Fellow at Oregon Health &amp; Science University (OHSU). He participates in co-funded projects with scientists in England, New Zealand, France, Finland and Australia. He serves regularly on advisory panels at the NIH, the American Heart Association and the Children’s Heart Foundation and recently served as Co-Chair of the task force to determine the 10-year vision of the developmental origins of health and disease for the National Institute of Child Health and Human Development.
This talk was given at a TEDx event using the TED conference format but independently organized by a local community. Learn more at http://ted.com/tedx</t>
  </si>
  <si>
    <t>A description of the causes of non-communicable diseases including a list of examples.  Specifically highlights asthma and heart disease as examples of non-communicable diseases.  Stresses the importance of disease management plans for chronic conditions.</t>
  </si>
  <si>
    <t>Dayaalu (HD) New Hindi Dubbed Movie | Nagarjuna Akkineni, Naga Chaitanya, Samantha Akkineni
Synopsis: Radha (Naga Chaitanya) and Krishna (Samantha) are a married couple with a kid Bittu in early 1980's. They die in an accident. Bittu (Nagarjuna) grows up and happens to see reincarnation of his father and his mother as youngsters. The rest of the story is all about how Bittu tries to unite these two youngsters. And there is another twist in the tale for which you must watch the movie on the big screen!
Director:  VIKRAM KUMAR
Producer:  AKKINENI FAMILY
Star Cast: Akkineni Nageswara Rao, Akkineni Nagarjuna, Akkineni Naga Chaitanya, Shriya Saran, Samantha Akkineni, Akhil Akkineni
Written By:  VIKRAM KUMAR
Film Title: MANAM
Music By: Anup Rubens
Cinematography: P. S. Vinod
Edited By: Prawin Pudi
Production Company: Annapurna Studios
Distributed By: Reliance Entertainment
#Dayaalu #Manam #NagarjunaAkkineni #NagaChaitanya #SamanthaAkkineni
Enjoy Super Hit Movies Collection :- 
Jaya Jaanki Nayaka Khoonkhar - https://youtu.be/1lFk1LSsI_c 
Phir Hera Pheri  - https://youtu.be/1FT6VOrFMLo 
SHER KA SHIKAAR - https://youtu.be/FE435iFT6jw 
Haseena Parkar - https://youtu.be/tKqo-4qAeJA 
For your favorite Bollywood Movies, Subscribe now: 
http://bit.ly/2VXistY
SUBSCRIBE for the best Bollywood clips, movies and scenes all in your PEN Multiplex channel 
http://bit.ly/2QxELp3
For your favorite Gujarati Movies, Subscribe now: http://bit.ly/2VZm9Q6
For Action-Packed Movies, Click on the below link now...
Pen Action: http://bit.ly/2XaSS6t
Download our App for latest news &amp; gossips: http://bit.ly/2HHJstA
Log On To Our Official Website: http://penindia.in/
Enjoy &amp; stay connected with us! 
Like us on Facebook: https://www.facebook.com/PenMovies
Follow us on Twitter: https://twitter.com/penmovies
Follow us on Instagram: https://www.instagram.com/penmovies
Missing Your Favourite Love Songs? 
Just Call your DTM/Cable Operator to activate "iLove" Music TV Channel.
DEN - 462 | SITI CABLE - 138/157 | HATHWAY - 302 | GTPL - 416 | INCABLE - 412 | FASTWAY - 327 | AIRTEL - 502 | TATASKY - 834</t>
  </si>
  <si>
    <t>#physical_division #himalayas #accountancy #partnership #jkssb #jkssb_recruitment #gk_with_special_reference_to_jk #jk_reorganisation_act_2019 #jkssb #jkssb_classes #finance_account_assistant
 YOU CAN FOLLOW US ON.._xD83D__xDC47__xD83D__xDC47_ 
TELEGRAM:
 https://t.me/ig_commerce_classes 
INSTAGRAM _xD83D__xDC47_
https://www.instagram.com/ig_classes1/
FACEBOOK : https://m.facebook.com/igcommerceclasses
ACCOUNTANCY 1000 MCQ _xD83D__xDC47__xD83D__xDC47_
https://youtube.com/playlist?list=PLWYlpUD_PYbArA-q-jTFA83wmbkLjJXaD
ACCOUNTANCY LECTURE _xD83D__xDC47__xD83D__xDC47_
https://youtube.com/playlist?list=PLWYlpUD_PYbDTtzlGC57Y1uAJnNwBPr5u
SCIENCE LECTURE _xD83D__xDC47__xD83D__xDC47_
https://youtube.com/playlist?list=PLWYlpUD_PYbD537_4ndgkBmupkWPLtjj4
COMPUTER LECTURES _xD83D__xDC47__xD83D__xDC47_
https://youtube.com/playlist?list=PLWYlpUD_PYbDk-bjo1Ggh5waqxA6Qlkma
THANK U ❤❤
_____________________________________________
BECOME A PART OF I. G. FAMILY BY CLICKING THE SUBSCRIBE BUTTON
_____________________________________________</t>
  </si>
  <si>
    <t>Subscribe ► http://goo.gl/WPKt5w
We love a good mystery. As fascinating as it is when an archaeologist pulls something out of the ground and is immediately able to tell us all about what it is, and what it says about the people who came before us, we're much more excited when they come across something they can't explain. Even with all our current technology, the amount of information we're missing about our ancestors and the way they lived is startling. Perhaps we'd understand them a little better if we correctly understood the purpose of the strange artifacts you're about to see in this video!
For all questions contact us at: amazingstockchannel@gmail.com</t>
  </si>
  <si>
    <t>Today we take a look at six misconceptions about cancer that seem plausible, but just don't hold up.
Annotations:
Oxygen is Killing You: https://youtu.be/VnAhAX98HY4
Do We Have To Give Up Bacon: https://youtu.be/UqvXc4q0NyM
Hosted by: Hank Green
Thumbnail Credit: David Pacey
----------
Dooblydoo thanks go to the following Patreon supporters -- we couldn't make SciShow without them! Shout out to Justin Ove, Justin Lentz, David Campos, Chris Peters, Philippe von Bergen, Fatima Iqbal, John Murrin, Linnea Boyev, and Kathy &amp; Tim Philip.
----------
Like SciShow? Want to help support us, and also get things to put on your walls, cover your torso and hold your liquids? Check out our awesome products over at DFTBA Records: http://dftba.com/scishow
Or help support us by becoming our patron on Patreon:
https://www.patreon.com/scishow
----------
Looking for SciShow elsewhere on the internet?
Facebook: http://www.facebook.com/scishow
Twitter: http://www.twitter.com/scishow
Tumblr: http://scishow.tumblr.com
Instagram: http://instagram.com/thescishow
Sources:
http://scienceblog.cancerresearchuk.org/2014/03/24/dont-believe-the-hype-10-persistent-cancer-myths-debunked/
http://scienceblogs.com/observations/2010/09/06/ocean-of-pseudoscience-sharks/
http://cancerres.aacrjournals.org/content/64/23/8485.full
http://www.ncbi.nlm.nih.gov/pubmed/25157892
https://anaximperator.wordpress.com/2012/09/13/sugar-depleted-diet-is-not-a-useful-cancer-cure/
http://www.nature.com/news/2003/031021/full/news031020-2.html
https://www.newscientist.com/article/dn19591-briefing-cancer-is-not-a-disease-of-the-modern-world/
http://scienceblog.cancerresearchuk.org/2015/02/04/why-are-cancer-rates-increasing/
http://www.chicagotribune.com/lifestyles/health/sc-hlth-1223-cancer-hot-spots-20160113-story.html
http://cancerres.aacrjournals.org/content/69/16/6500.long
http://oncology.jamanetwork.com/article.aspx?articleid=2294966
http://www.livescience.com/51425-cancer-rates-decline.html
http://www.cancerresearchuk.org/about-cancer/causes-of-cancer/cancer-controversies/cancer-clusters
https://www.maurerfoundation.org/high-long-island-breast-cancer-rates-fact-or-fiction/
http://www.cancer.gov/about-cancer/causes-prevention/risk/diet/antioxidants-fact-sheet
http://www.scientificamerican.com/article/antioxidants-may-make-cancer-worse/
http://www.ncbi.nlm.nih.gov/pmc/articles/PMC3473763/#b3
http://www.cancer.org/cancer/testicularcancer/detailedguide/testicular-cancer-diagnosis
https://en.wikipedia.org/wiki/Warburg_hypothesis
Images:
https://en.wikipedia.org/wiki/File:AflatoxinB1-balls.png
https://en.wikipedia.org/wiki/File:Otto_Warburg.jpg
https://en.wikipedia.org/wiki/File:DARK_CLOUDS_OF_FACTORY_SMOKE_OBSCURE_CLARK_AVENUE_BRIDGE_-_NARA_-_550179.jpg
https://commons.wikimedia.org/wiki/File:Cigarette_smoking.jpg
https://commons.wikimedia.org/wiki/File:Brain_biopsy_under_stereotaxy.jpg
https://commons.wikimedia.org/wiki/File:Sugar_Cubes_(7164573186).jpg</t>
  </si>
  <si>
    <t>People tend to associate an illness with something unpleasant and often dangerous, and they have their reasons to think so. But there are some diseases which, unlike a common cold, look like superpowers. At least at first sight.
In this video, you will get acquainted with some of them. These rare diseases not only leave scientists confused but also make their carriers similar to superheroes!
Have you caught a cold? Oh, how unlucky! All these nasty symptoms again: a runny nose, non-stop coughing, and also, it hurts to eat! But you know what? Quit nagging! Your illness will pass in (about) a week. But imagine the life of those who suffer from chronic diseases! 
TIMESTAMPS
Super memory 1:06
Insensibility to pain 2:28
Abilities to literally anything 3:47
Insensitivity to cold 5:01
The complete absence of fear 5:58
The Vampire disorder 7:03
Octopus people 8:38
Stone Man Syndrome 9:38
Werewolf Syndrome 10:20
Foreign accent syndrome 11:21
SUMMARY
- This condition is called hyperthymesia - a disruption of memory which causes a person to remember all the events of their life down to every last detail. There are just about 60 people in the world who have been diagnosed with such a unique disease. 
- In-born analgesia - that's a scientific name of the condition when a person doesn't feel pain. Like, at all. There is a surprising fact to think about: despite the rareness of this disease, as many as 40 cases of it have been registered in one of the villages in Sweden. 
-     Savant syndrome is a rare condition which might be typical for people with developmental disorders, such as autism or Asperger's syndrome. Patients with such condition are extremely talented in music, drawing and painting, calculations, cartography, and constructing 3D models. 
-     Besides people who don't react to pain, there are those who are indifferent to cold. A vivid example is Wim Hof - a man from the Netherlands who brought doctors to their wit's end.  The thing is Wim is able to stand very low temperatures. He managed to spend 120 minutes in a pipe with freezing water and ice, has climbed to the top of Mont Blanc wearing shorts (and his pen), and even swims under the ice of frozen lakes and rivers.
- Urbach-Wiethe disease is a rare genetic disorder which leads to the complete lack of fear. Only 300 cases are known, and a quarter of them have been registered in South Africa. 
- Hypohidrotic Ectodermal Dysplasia. People suffering from this condition frequently have eerily pointed teeth, therefore, looking similar to the legendary blood-feeding creatures from horror films. People with more prominent symptoms of this illness are extremely thin and pale; their eyes are outlined with dark circles.
- Polymelia is a strange disorder. People suffering from it are born with an unusual number of limbs. In some cases, these limbs are pretty useful, in others they are non-functioning. 
- This syndrome is genetic, what is more, it progresses throughout life. People with such a disease have the soft tissues of their bodies turning into bone. The mutation of the ACVR1 gene responsible for the development of different tissues of the human body leads to terrible consequences.
- The hair growth of such people is abnormal. All their bodies are covered with thick hair, it grows, long and lush, even on their faces. The reason for this condition which has gained the nickname "werewolf syndrome" is most likely to be the genetic mutation. 
- Foreign accent syndrome. The most common reason for this condition is a head injury or a stroke. The person with this condition changes the way they place their tongue during speaking. The most effective treatment, in this case, is the speech therapy. 
Which disease have you found the most shocking?  Have you ever met anybody with the conditions described in the video? 
Subscribe to Bright Side : https://goo.gl/rQTJZz
----------------------------------------------------------------------------------------
Our Social Media:
Facebook: https://www.facebook.com/brightside/
Instagram: https://www.instagram.com/brightgram/
SMART Youtube: https://goo.gl/JTfP6L
5-Minute Crafts Youtube: https://www.goo.gl/8JVmuC
Have you ever seen a talking slime? Here he is – Slick Slime Sam: https://goo.gl/zarVZo
----------------------------------------------------------------------------------------
For more videos and articles visit:
http://www.brightside.me/</t>
  </si>
  <si>
    <t>Communicable and Non-Communicable disease for JKSSB FAA and S.I Exam by Ajay Sir.
About this Video:
In this video lecture; we  will discuss about the Communicable and Non-Communicable Disease (Part-4) for JKSSB Finance account assistant and sub inspector jkssb phase 2 exams and will also discuss about the  difference between communicable and non communicable diseases by jkssb online tutorial (Ajay Sir).
-------------------------------------------------------------------------------------------------------------------------
INSTALL OUR APP 
_xD83D__xDC49_Link: https://play.google.com/store/apps/details?id=co.nick.jkyye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Your Queries:
Your Queries:
Communicable and Non-Communicable disease for JKSSB Finance Account Assistant and Sub-Inspector Exam
Communicable and non communicable diseases by ajay sir
communicable and non communicable diseases jkssb faa
communicable and non communicable diseases by jkssb online tutorial
communicable and non communicable diseases mcqs jkssb
Thanks for watching video
JKSSB JKPSC SSC ONLINE TUTORIAL</t>
  </si>
  <si>
    <t>INDIA'S ONE AND ONLY TRUSTED AND WORTH DISCOUNTED •JUNOON-BATCH• HAS ARRIVED IN JUST RS.999 ONLY  *(OFFER FOR LIMITED PERIOD)* 
•Live Science and Math's lectures throughout year 2021-2022 by our most efficient teachers• 
(Download our App here : https://bit.ly/3lmH9P1​​​)  
For Queries Contact: 8433543321, 8779670604
✔️ In Detail NCERT Chapters planned for 10 months ( Math's and Science)
✔️ Multiple revision lectures covering Exemplar and Extra questions
✔️ Timely doubt sessions
✔️ Weekly tests for Boosting Confidence
✔️ Top notch Notes for Science, Math and SST ( Summary, Mind Maps, PYQ's)
✔️ Sessions will go live, and recorded lecture of each and every session will be provided
✔️ All the content will be available to the students till their board exams in 2022
✔️ Timely motivation and strategy lectures will be conducted
-----------------------------------------------------------------------------------------------------------
⏱️ SCHEDULE -
• Monday : Math 
•Tuesday : Math 
•Wednesday : Math 
•Thursday :  Science
•Friday : Science
•Saturday : Science
 Please note-  This course is NON-REFUNDABLE, no refund policy exists 
-----------------------------------------------------------------------------------------------------------
Video Timeline:
0:00:00 Start
0:33 Introduction
2:35 Physical properties of metals &amp; Non-metals
18:23 Chemical properties of metals &amp; non-metals
27:00 Reaction of metals &amp; non-metals
29:34 Reaction of metals with water
43:20 Reaction of metals/non-metals with Oxygen
48:01 Reaction of metals with dilute acids
55:01 Reaction of metals with non-metals
1:01:34 Following general properties for ionic compound
1:06:10 Outro
METALS AND NON METALS- FULL CHAPTER || CLASS 10 CBSE SCIENCE CHAPTER 3, TARGET 95+ SERIES, LATEST VIDEO LECTURE AS PER 2021 BOARD EXAMS, AS PER NEW SYLLABUS REDUCTION, PHYSICAL PROPERTIES, CHEMICAL PROPERTIES, DIFFERENCE BETWEEN METALS AND NON METALS, DUCTILITY, MALLEABILITY, SONOROUS, CATION ANION, LUSTRE, SOFT MEYALS, METAL THAT EXIST IN LIQUID, REACTION OF METAL WITH WATER, REACTION WITH ACID, PHYSICAL PROPERTIES OF IONIC COMPOUNDS, AMPHOTERIC NATURE OF ALUMINIUM OXIDE AND ZINC OXIDE, FULL DETALIED AND BEST EXPLANATION ON SMARD BOARD, 1 SHOT CHAPTER BEST FOR REVISION
Complete Detail Explanation In Simple Words. BEST EXPLANATION IN 1 SHOT BY BEST TEACHERS OF INDIA
Here at EduMantra Our Focus Is To Provide Best Quality Education To All Students From India And Across The Globe.
------------------------------------------------------------------------------------------------------------
FOR UPDATES JOIN US ON TELEGRAM GROUP:
EDUMANSCLUB
 https://t.me/s/Edumansclub?before=2
Follow Us On Our Social Media Handles For Behind The Scenes Stuff And Important Updates....
FACEBOOK _xD83D__xDC47__xD83C__xDFFC_
https://www.facebook.com/EduMantra
INSTAGRAM _xD83D__xDC47__xD83C__xDFFC_
https://www.instagram.com/edu.mantra
-------------------------------------------------------------------------------------------------------------
If This Video Was Helpful Do Leave A Like Since It Encourages Us To Make More Videos For All You Wonderful Students.
Make Sure To Comment Your Views Below.
Lastly Make Sure To Subscribe Our Channel And Press The Bell Icon For All Notification Of Our Latest Videos.
-------------------------------------------------------------------------------------------------------------
Get Your Courses On Our Website : For A Distraction Free And Efficient Studies
-------------------------------------------------------------------------------------------------------------
EduMantra - Seekho Dil Se
#EDUMANTRA_FULLCHAPTERS 
#EDUMANTRA_TARGET95+
#EDUMANTRA_STUDENT_MOTIVATION</t>
  </si>
  <si>
    <t>_xD83C__xDF3F_Buy Your Green Beauty Products and Skincare DIY Ingredients at https://pureblendnaturals.com 
List of Top 100 Most Powerful Medicinal Herbs, Spices &amp; Plants Names,Their Health Benefits and  Medicinal Uses. 
_xD83D__xDFE2_Subscribe To NaturalSkincareSchool YouTube Channel at https://www.youtube.com/channel/UCLILyRkEkHoKqOwcKpUAJuA?sub_confirmation=1
_xD83D__xDFE2_Subscribe To Channel: https://www.youtube.com/c/NaturalHealingGuides?sub_confirmation=1
WHERE TO BUY THESE HERBS.
You can get any of these herbs in supplement form via Amazon at https://amzn.to/2IiTimz
These herbs are effective for treating all sort of medical conditions and diseases.
This video highlights World's most powerful herbs with medicinal value and what they are used for.
Clove.
Cloves have analgesic properties and great for treating pains and vomiting.
Calendula.
Due to its anti-microbial and anti-inflammatory properties, calendula is used for pain relief.
Elderberry.
The elderberry flower has antiviral properties which enable it to fight infections like colds and fever.
Ashwagandha.
This herbal root helps in relieving pains and for reducing anxiety.
Lavender.
Lavender has a soothing effect that makes it a major ingredient in cosmetic products. Moreover, the oil can be used for relieving body aches.
Aloe vera.
Aloe vera is a major component of many skin care products. It can be used for treating skin conditions like sunburns and zits. It can also be used for relieving constipation.
Chasteberry.
Chasteberry is a common herb used by women having PMS (Pre-Menstrual Syndrome). It is used in relieving the associated symptoms.
Garlic.
Garlic has strong antimicrobial properties that make it good in the treatment of colds and flu. In addition, it can be used as a soothing remedy for stress and anxiety due to its calming potential.
Dandelion.
Dandelion tea is a common remedy for stress relief and constipation. The dandelion is also effective in the treatment of inflammations and diabetes.
Peppermint.
Inhaling peppermint oil or using it to massage aching joints helps to reduce stress and to bring relief.
Nettle.
Drinking boiled water mixed with nettle leaves is a natural way of relieving constipation.
Ginger.
Ginger is used for treating vomiting and ginger tea helps to warm up the body during colds.
Cayenne.
Cayenne pepper is a common kitchen ingredient for the treatment of aches and arthritis.
Basil.
This herb can be used as a mild sedative and for treating bloating.
Turmeric.
Turmeric contains a chemical substance, curcumin, which gives the herb antioxidant and anti-inflammatory properties for relieving pains.
Yarrow.
This medicinal plant is used as a first aid to stop bleeding associated with cuts and bruises.
Ensure you watch this video in full to learn more about these 100 herbs and their medicinal uses.
HOW TO SUPPORT OUR CHANNEL.
Please support us on Patreon at https://www.patreon.com/naturalhealingguides
Subscribe To Channel: https://www.youtube.com/c/NaturalHealingGuides?sub_confirmation=1
OUR WEBSITE: https://naturalherbscure.com
Facebook: https://www.facebook.com/naturalherbcures
Twitter: https://twitter.com/naturalherbcure.</t>
  </si>
  <si>
    <t>Communicable and Non-Communicable disease for FAA and S.I Exam by Ajay Sir.
About this Video:
In this video lecture; we  will discuss about the Communicable and Non-Communicable Disease (Part-2) for JKSSB Finance account assistant and sub inspector jkssb phase 2 exams and will also discuss about the  difference between communicable and non communicable diseases by jkssb online tutorial (Ajay Sir).
-------------------------------------------------------------------------------------------------------------------------
INSTALL OUR APP 
_xD83D__xDC49_Link: https://play.google.com/store/apps/details?id=co.nick.jkyye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Your Queries:
Communicable and Non-Communicable disease for JKSSB Finance Account Assistant and Sub-Inspector Exam
Communicable and non communicable diseases by ajay sir
communicable and non communicable diseases jkssb faa
communicable and non communicable diseases by jkssb online tutorial
communicable and non communicable diseases mcqs jkssb
Thanks for watching video
JKSSB JKPSC SSC ONLINE TUTORIAL</t>
  </si>
  <si>
    <t>Class-2 Testpaperlive Free online video Classes and live Classes For Nursing  Competitive Exams and Test Series For Exams Preparation, Free Mock Test, Staff Nurse online Mock Test Series, AIIMS Nursing Officer and Staff Nurse, PGI Nursing Officer and Staff Nurse, ESIC Nursing Officer and Staff Nurse, DSSSB Nursing Officer and Staff Nurse, JIPMER Nursing Officer and Staff Nurse, GMCH Nursing Officer and Staff Nurse , BHU Nursing Officer and Staff Nurse, AMU Nursing Officer and Staff Nurse, RML Nursing Officer and Staff Nurse, CRPF Staff Nurse, (RRBNursing Officer and Staff Nurse), RAILWAY Staff Nurse, SAFDARJUNGNursing Officer and Staff Nurse ,  Nursing Officer, Nursing, and other exams  | Get Daily Updated Exams |  Notification | Study Notes &amp; Current Affairs | Nursing Competitive Online Coaching By Testpaperlive.
► Testpaperlive Contact Us:
Support No. 80786 86728 
( Time 10: AM To 6PM, Mon-Sat)
► Testpaperlive YoutTube Official Channel:
https://www.youtube.com/testpaperlive
► Testpaperlive Official Website:
https://www.testpaperlive.com/
► Testpaperlive Facebook Official Page:
https://www.facebook.com/testpaperlives/
► MSN Video Classes playlist:-
https://www.youtube.com/playlist?list=PLnbkQBs6YoiqjdQI4LcVlVvelCY7up0hQ
► Psychology Video Classes playlist:-
https://www.youtube.com/playlist?list=PLnbkQBs6YoipNXAo2h3qWiiG1lyv3oBot
► OBG Video Classes playlist:-
https://www.youtube.com/playlist?list=PLnbkQBs6YoiouGP5zRoObcW1TKhmMvtbR
► Nursing Video Classes playlist:-
https://www.youtube.com/playlist?list=PLnbkQBs6YoioaaQjFg1ZNQrovPUaQ9SzG
► Math Video Classes playlist :- 
https://www.youtube.com/playlist?list=PLnbkQBs6YoipBfVws21RnDubIw3y1iljF
► Reasoning Video Classes playlist:-
https://www.youtube.com/playlist?list=PLnbkQBs6YoiqHaSXfpsJANioLyel07fCv</t>
  </si>
  <si>
    <t>_xD83D__xDCA5__xD83D__xDCA5__xD83D__xDCA5__xD83D__xDCA5_ Testpaperlive 2.0 For Nursing MCQ  _xD83D__xDCA5__xD83D__xDCA5__xD83D__xDCA5__xD83D__xDCA5_
https://www.youtube.com/channel/UCIorVMSlyY6voEnLhIukF-Q
_xD83D__xDCA5__xD83D__xDCA5__xD83D__xDCA5__xD83D__xDCA5_ MP CHO Exams For Booster Test Series 10 Mock Test with PDF _xD83D__xDCA5__xD83D__xDCA5__xD83D__xDCA5__xD83D__xDCA5_
https://testpaperlive.com/exams/cho-nhm-staff-nurse
Testpaperlive Free online video Classes and live Classes For Nursing  Competitive Exams and Test Series For Exams Preparation, Free Mock Test, Staff Nurse online Mock Test Series, AIIMS Nursing Officer and Staff Nurse, PGI Nursing Officer and Staff Nurse, ESIC Nursing Officer and Staff Nurse, DSSSB Nursing Officer and Staff Nurse, JIPMER Nursing Officer and Staff Nurse, GMCH Nursing Officer and Staff Nurse , BHU Nursing Officer and Staff Nurse, AMU Nursing Officer and Staff Nurse, RML Nursing Officer and Staff Nurse, CRPF Staff Nurse, (RRBNursing Officer and Staff Nurse), RAILWAY Staff Nurse, SAFDARJUNGNursing Officer and Staff Nurse ,  Nursing Officer, Nursing, and other exams  | Get Daily Updated Exams |  Notification | Study Notes &amp; Current Affairs | Nursing Competitive Online Coaching By Testpaperlive.
#Communicable_Diseases #Measles #CHN #Community_health_nursing #Community_health_nursing_in_hindi #UP_NHM_Important_questions #up_nhm_important_mcq #Nursing_online_classes #Nursing #Nursing_officer #Nursing_staff #UP_NHM #NRHM #CHO #NHM_Staff_nurse_class #CHO_Staff_nurse_class #RRB_Staff_nurse_class #NRHM_Staff_nurse_class #Pgi_Staff_nurse_class #Staff_nurse_coching #Staff_nurse_class #Staff_nurse_online_classes #Staff_nurse #Patna_Aiims_Staff_nurse #Patna_Aiims_Nursing_Staff #Aiims 
► Testpaperlive Contact Us:
Support No. 80786 86728 
( Time 10: AM To 6PM, Mon-Sat)
► Testpaperlive YoutTube Official Channel:
https://www.youtube.com/testpaperlive
► Testpaperlive Official Website:
https://www.testpaperlive.com/
► Testpaperlive Facebook Official Page:
https://www.facebook.com/testpaperlives/
► MSN Video Classes playlist:-
https://www.youtube.com/playlist?list=PLnbkQBs6YoiqjdQI4LcVlVvelCY7up0hQ
► Psychology Video Classes playlist:-
https://www.youtube.com/playlist?list=PLnbkQBs6YoipNXAo2h3qWiiG1lyv3oBot
► OBG Video Classes playlist:-
https://www.youtube.com/playlist?list=PLnbkQBs6YoiouGP5zRoObcW1TKhmMvtbR
► Nursing Video Classes playlist:-
https://www.youtube.com/playlist?list=PLnbkQBs6YoioaaQjFg1ZNQrovPUaQ9SzG
► Math Video Classes playlist :- 
https://www.youtube.com/playlist?list=PLnbkQBs6YoipBfVws21RnDubIw3y1iljF
► Reasoning Video Classes playlist:-
https://www.youtube.com/playlist?list=PLnbkQBs6YoiqHaSXfpsJANioLyel07fCv</t>
  </si>
  <si>
    <t>CONTACT :- 9469860788 ,9906300788
** _xD83D__xDC49_JKSSB Complete Package (FAA, Finance Sub Inspector, Asst. Compiler &amp; Junior Assistant) @ Rs. 2499/- : http://on-app.in/app/oc/68539/qqcvv
** _xD83D__xDC49_JKSSB JUNIOR ASSISTANT COMPLETE COURSE 2021 @ Rs. 749 only/- : http://on-app.in/app/oc/71458/qqcvv
**_xD83D__xDC49_ JKSSB FINANCE ACCOUNTS ASSISTANT COMPLETE COURSE (VIDEOS + PDF) @ Rs. 1199/- : http://on-app.in/app/oc/72433/qqcvv
** _xD83D__xDC49_JKSSB ASSISTANT COMPILER COMPLETE COURSE (VIDEOS+PDFs) @ Rs. 999/- : http://on-app.in/app/oc/74291/qqcvv
** _xD83D__xDC49_JKSSB FINANCE SUB-INSPECTOR FULL COURSE 2021 @ Rs. 999/- : http://on-app.in/app/oc/72319/qqcvv
HURRY UP BUY NOW...CLICK ON LINK GIVEN ABOVE
FOR MORE VISIT OUR STORE...
#jkssb   
#jkssbphase2
#jkssbphase-IIrecruitment</t>
  </si>
  <si>
    <t>This lesson teaches students about origins and workings of command economies.</t>
  </si>
  <si>
    <t>This lesson compares the command economy of North Korea with the market economy of South Korea.</t>
  </si>
  <si>
    <t>App used Power director</t>
  </si>
  <si>
    <t>#MCQsOn_NonCommunicableDisease# MCQs on Non Communicable Disease | Rajasthan CHO, MP CHO &amp; Staff Nurse Exams 2020-2021| Imp for All
Part 1st 5000 MCQs series:- https://youtu.be/sPDCMpdd414
Part 2nd 5000 MCQs series :- https://youtu.be/Tq1MevgznZM
PART 3RD   5000 MCQs series:- https://youtu.be/4qG8a1my9SQ
part 4th 5000 MCQs series:- https://www.youtube.com/watch?v=xunrqq_agtk&amp;t=279s
These questions are very imp for upcoming 2020-2021 staff nurse, ANM, CHO exams ,
1000 MCQs series Playlist :- https://www.youtube.com/watch?v=6CAC8MJVPTk&amp;list=PLHtw0yn-P7CBK5qUARgwXAuPCNvNYrEj6
https://www.youtube.com/playlist?list=PLHtw0yn-P7CBK5qUARgwXAuPCNvNYrEj6</t>
  </si>
  <si>
    <t>#VIRTUALDEMO TEACHING #Education</t>
  </si>
  <si>
    <t>Communicable diseases affecting respiratory tract intestines | viral diseases | hookworms</t>
  </si>
  <si>
    <t>Download Android APP From Google Play Store to Read Online PDF and Join Test Series....
http://on-app.in/app/home?orgCode=bgcjo
________________________________________
Connect With me _xD83D__xDC47__xD83C__xDFFC_
On Facebook :- https://m.facebook.com/omnursingacademy/
On Twitter :- https://twitter.com/anukantiwal?s=08
On Instagram :- https://www.instagram.com/anukantiwal/
PREPARATION FOR AIIMS NURSING OFFICER EXAM, PGI, PGI NURSING OFFICER, NHM, NHM CHO, COMMUNITY HEALTH OFFICER, DSSSB NURSING OFFICER, NURSING EXAM, NURSING MCQS, NURSING OFFICER EXAM QUESTIONS ANDB ANSWERS, AIIMS NORCET, NORCET EXAM PREPARATION, NCL NURSING OFFICER EXAM, WCL NURSING OFFICER EXAM, TMC NURSING OFFICER EXAM, ESIC EXAM, ESIC NURSING EXAM
#COMMUNICABLE_DISEASE #COMMUNITY #CHO #CHO_EXAM #MP_CHO #COMMUNICABLE_DISEASE_MCQS #MP_CHO_EXAM #CHO2021 #COMMUNITY_HEALTH_NURSING</t>
  </si>
  <si>
    <t>_xD83D__xDCA5__xD83D__xDCA5__xD83D__xDCA5__xD83D__xDCA5_ Testpaperlive 2.0 For Nursing MCQ  _xD83D__xDCA5__xD83D__xDCA5__xD83D__xDCA5__xD83D__xDCA5_
https://www.youtube.com/channel/UCIorVMSlyY6voEnLhIukF-Q
_xD83D__xDCA5__xD83D__xDCA5__xD83D__xDCA5__xD83D__xDCA5_ MP CHO Exams For Booster Test Series 10 Mock Test with PDF _xD83D__xDCA5__xD83D__xDCA5__xD83D__xDCA5__xD83D__xDCA5_
https://testpaperlive.com/exams/cho-nhm-staff-nurse
Testpaperlive Free online video Classes and live Classes For Nursing  Competitive Exams and Test Series For Exams Preparation, Free Mock Test, Staff Nurse online Mock Test Series, AIIMS Nursing Officer and Staff Nurse, PGI Nursing Officer and Staff Nurse, ESIC Nursing Officer and Staff Nurse, DSSSB Nursing Officer and Staff Nurse, JIPMER Nursing Officer and Staff Nurse, GMCH Nursing Officer and Staff Nurse , BHU Nursing Officer and Staff Nurse, AMU Nursing Officer and Staff Nurse, RML Nursing Officer and Staff Nurse, CRPF Staff Nurse, (RRBNursing Officer and Staff Nurse), RAILWAY Staff Nurse, SAFDARJUNGNursing Officer and Staff Nurse ,  Nursing Officer, Nursing, and other exams  | Get Daily Updated Exams |  Notification | Study Notes &amp; Current Affairs | Nursing Competitive Online Coaching By Testpaperlive.
#Communicable_Disease #Diphtheria #CHN #Community_health_nursing #Community_health_nursing_in_hindi #UP_NHM_Important_questions #up_nhm_important_mcq #Nursing_online_classes #Nursing #Nursing_officer #Nursing_staff #UP_NHM #NRHM #CHO #NHM_Staff_nurse_class #CHO_Staff_nurse_class #RRB_Staff_nurse_class #NRHM_Staff_nurse_class #Pgi_Staff_nurse_class #Staff_nurse_coching #Staff_nurse_class #Staff_nurse_online_classes #Staff_nurse #Patna_Aiims_Staff_nurse #Patna_Aiims_Nursing_Staff #Aiims 
► Testpaperlive Contact Us:
Support No. 80786 86728 
( Time 10: AM To 6PM, Mon-Sat)
► Testpaperlive YoutTube Official Channel:
https://www.youtube.com/testpaperlive
► Testpaperlive Official Website:
https://www.testpaperlive.com/
► Testpaperlive Facebook Official Page:
https://www.facebook.com/testpaperlives/
► MSN Video Classes playlist:-
https://www.youtube.com/playlist?list=PLnbkQBs6YoiqjdQI4LcVlVvelCY7up0hQ
► Psychology Video Classes playlist:-
https://www.youtube.com/playlist?list=PLnbkQBs6YoipNXAo2h3qWiiG1lyv3oBot
► OBG Video Classes playlist:-
https://www.youtube.com/playlist?list=PLnbkQBs6YoiouGP5zRoObcW1TKhmMvtbR
► Nursing Video Classes playlist:-
https://www.youtube.com/playlist?list=PLnbkQBs6YoioaaQjFg1ZNQrovPUaQ9SzG
► Math Video Classes playlist :- 
https://www.youtube.com/playlist?list=PLnbkQBs6YoipBfVws21RnDubIw3y1iljF
► Reasoning Video Classes playlist:-
https://www.youtube.com/playlist?list=PLnbkQBs6YoiqHaSXfpsJANioLyel07fCv</t>
  </si>
  <si>
    <t>#Asthma #AsthmaTreatment #Health
Asthma is a chronic disease that affects breathing passage of lungs. It is caused by the inflammation of lungs passage. It makes breathing difficult. Today we have our expert Dr. Shikha J. Gupta, Chest Specialist, who will explain symptoms of Asthma, causes, and treatment. 
अस्थमा ( दमा ) एक गंभीर बिमारी है जो सांस की नली को प्रभावित करती है |  इसमें साँस की नाली में सुजन आ जाती है और साँस लेने में दिक्कत होती है | लेकिन ये लाइलाज नहीं है -  डॉक्टर शिखा जे गुप्ता, चेस्ट स्पेशलिस्ट आज हमें बताएंगी अस्थमा यानि दमा होने के कारण , लक्षण और बचाव | जानिए कैसे आप इस बीमारी से निजाद पा कर स्वस्थ जीवन जी सकते हैं | _________________________________________________________________
Subscribe to Kosh to stay tuned to stay healthy mentally and physically.
YouTube: https://bit.ly/2KOc5XI
Like us on Facebook
https://www.facebook.com/Kosh-112487213446835/
Follow us on Twitter
https://twitter.com/KoshMedia</t>
  </si>
  <si>
    <t>communicable diseases, communicable disease nursing, communicable diseases lecture, communicable and noncommunicable diseases, communicable diseases for class , communicable diseases class 5, communicable diseases nursing review, , communicable diseases mcqs with answers
#communicable_disease_mcq
#Commucable_disease_tricks
#Health_tips_medical_knowledge
Other video CHO syllabus:-
universal immunization:https://youtu.be/1L2zjvM_6DA
universal immunization part2:-https://youtu.be/couIXypZbWw
RBSK &amp; mission indradhanush: https://youtu.be/wNFtDeysmpI
jsky/janani surksha yojna:https://youtu.be/Leb-WTfg93A
RMNCH+ https://youtu.be/kNxDBrwmAJw
Essential care new born part1:https://youtu.be/kNxDBrwmAJw
adolscent health:
puberty: https://youtu.be/Wq8tC2c9spc
mentrrual cycle: https://youtu.be/TiGdRTa-s5Y
more video our play list!!
https://www.youtube.com/playlist?list=PLYjTRRYBzHraqBqQ5KMmk3We6y-XquHj9
EXAM, CHO Exam, MP CHO Exam, Rajasthan CHO Exam, Community Health Officer, Rajasthan Exam 2020, UP CHO Exam, Bihar CHO Exam, Assam CHO Exam, Chhatisgarh CHO Exam, CHO Exam Paper, CHO Exam MCQs, Community Health Officer Exam Preparation
CHO EXAM,RAJASTHAN CHO MCQS,RAJASTHAN EXAM QUESTION AND ANSWERS,RAJASTHAN COMMUNITY HEALTH OFFICER,COMMUNITY HEALTH OFFICER EXAM PREPARATION,CHO QUESTION PAPER,CHO EXAM PREPARATION,RAJASTHAN CHO 2020,NURSING,NURSING EDUCATION,CRPF,DSSSB,MP CHO,UP CHO,CHO,COMMUNITY HEALTH OFFICER,BAMS CHO
Connect to me:
Facebook: https://m.facebook.com/Medical-Nsgpha...
Gmail: healthtipsmedicalknowledge@gmail.com
Website: http://nursingoldpaper.blogspot.com
Subscribe: https://www.youtube.com/channel/UCHKf...
rajasthan cho important questions, rajasthan cho questions, gk for rajasthan cho, gk questions for rajasthan cho, rajasthan gk, rajasthan current affairs, rajasthan nhm gk, rajasthan cho question #Rajasthan_cho_gk #Rajasthan_cho_important_question #Rajasthan_cho_questions #Rajasthan_cho_gk_questions #gk_for_Rajasthan_cho #Rajasthan_gk #Rajasthan_current_affairs #NURSING_EXAM, CHO Exam, MP CHO Exam, Rajasthan CHO Exam, Community Health Officer, #Rajasthan_Exam_2020, #CHO Exam, Bihar CHO Exam, Assam CHO</t>
  </si>
  <si>
    <t>Explains the meaning of the word “violence” and describes common causes of violence.  Explains the various types of violence including physical, verbal, sexual, and emotional violence.  Gives advice on how to handle anger and to avoid violence.  Defines intimate partner violence and provides warning signs of abusive relationships.  Provides advice on how to find help when dealing with an abusive relationship.</t>
  </si>
  <si>
    <t>About the Video............
In this video we have explained vitamin sources, vitamin chemical name, vitamin deficiency diseases and also provided vitamins chart. We have explained the sources of different vitamins such as Vitamin A, B, C, D, E and K, their chemical name and the diseases caused by vitamin deficiency. Generally questions are asked from this topic in competitive exams including UPSC, SSC, Railway and others. #vitaminschart #vitamindeficiency #vitaminchemicalname
Please SUBSCRIBE my channel : http://bit.ly/2MlcqCL
Know Planet Mercury : https://youtu.be/ATv_N8KLJnQ
Know Planet Venus : https://youtu.be/qJ7-UVdrFBM
Know Planet Earth : https://youtu.be/UhCzrG_rWBU</t>
  </si>
  <si>
    <t>follow me on instagram for free study material
https://www.instagram.com/ofmylife09/
Hello Friends,
Welcome to our youtube channel 
"THE KNOWLEDGE RACE". It is an educational channel helpful for all the competitive exam like UPSC, PSC, SSC, RRB, CGL, CHSL, BANKING, JKSSB, IBPS etc. And also other Central and State exams.
About This Video
 In this video I have discussed Communicable disease useful for different competitive exams like JKSSB, SSC, and also other National and State Exams
For Pdf join our Telegram Channel
"The Knowledge Race"
____________________________________________
BIOLOGY_ JKSSB (GENERAL SCIENCE)
https://www.youtube.com/playlist?list=PLrnGz1XxJ7fgicgoNKPIaDfDsG_WIvb7Q
CHEMISTRY_JKSSB (GENERAL SCIENCE)
https://www.youtube.com/playlist?list=PLrnGz1XxJ7fhCfUoakTx9RBoEgahPDvdz
PHYSICS_JKSSB (GENERAL SCIENCE)
https://www.youtube.com/playlist?list=PLrnGz1XxJ7fiunApACw53PsA-oyuDsz6U
Constitution Formation || Making of Constitution
https://www.youtube.com/playlist?list=PLrnGz1XxJ7fgKzpS2yHJ2I1UhZhG_d2U8
Fundamental Rights Articles 12 to 35
https://www.youtube.com/playlist?list=PLrnGz1XxJ7fhBEtqZx8XP7CEOWcKFBiqM
Directive Principles Of State Policy (DPSP)
https://www.youtube.com/playlist?list=PLrnGz1XxJ7fi-zTRDsuI30jLiDyLnARM-
Indian Politics (Laxmikanth)
https://www.youtube.com/playlist?list=PLrnGz1XxJ7fj9HPG5_rGKM06Kvy052iBv
Jkssb Previous Solved Papers
https://www.youtube.com/playlist?list=PLrnGz1XxJ7fgUeZu-gWJ3dEXFWY9MXq9N
General Studies MCQ
https://www.youtube.com/playlist?list=PLrnGz1XxJ7fix3RyUKoxPG-971XLagrU3
____________________________________________
SOCIAL MEDIA
Facebook-Page:-https://www.facebook.com/theknowledgerace/
Telegram:-https://t.me/theknowledgerace
Instagram:-https://instagram.com/theknowledgerace?igshid=ji4qnbee6vqp
Blog:-https://theknowledgerace.blogspot.com/
#communicabledisease
#non-communicabledisease
#jkssbFAA</t>
  </si>
  <si>
    <t>Believe them or not, these old wives' tales are enduring. Join http://www.WatchMojo.com as we count down our picks for the top 10 superstitions.  Special thanks to our users "viliguns" and "simeon anderson" for submitting the idea for this video on our WatchMojo.com/suggest page!
Check out the voting page here, 
http://watchmojo.com/suggest/Top%2010%20Superstitions
If you want to suggest an idea for a WatchMojo video, check out our new interactive Suggestion Tool at http://www.WatchMojo.com/suggest :)
Check us out at Twitter.com/WatchMojo and Facebook.com/WatchMojo 
We have T-Shirts!  Be sure to check out http://www.WatchMojo.com/store for more info.
Help us caption &amp; translate this video!
http://amara.org/v/E7de/</t>
  </si>
  <si>
    <t>follow me on instagram for free study material
https://www.instagram.com/ofmylife09/
Hello Friends,
Welcome to our youtube channel 
"THE KNOWLEDGE RACE". It is an educational channel helpful for all the competitive exam like UPSC, PSC, SSC, RRB, CGL, CHSL, BANKING, JKSSB, IBPS etc. And also other Central and State exams.
About This Video
 In this video I have discussed Non-Communicable disease useful for different competitive exams like JKSSB, SSC, and also other National and State Exams
For Pdf join our Telegram Channel
"The Knowledge Race"
____________________________________________
BIOLOGY_ JKSSB (GENERAL SCIENCE)
https://www.youtube.com/playlist?list=PLrnGz1XxJ7fgicgoNKPIaDfDsG_WIvb7Q
CHEMISTRY_JKSSB (GENERAL SCIENCE)
https://www.youtube.com/playlist?list=PLrnGz1XxJ7fhCfUoakTx9RBoEgahPDvdz
PHYSICS_JKSSB (GENERAL SCIENCE)
https://www.youtube.com/playlist?list=PLrnGz1XxJ7fiunApACw53PsA-oyuDsz6U
Constitution Formation || Making of Constitution
https://www.youtube.com/playlist?list=PLrnGz1XxJ7fgKzpS2yHJ2I1UhZhG_d2U8
Fundamental Rights Articles 12 to 35
https://www.youtube.com/playlist?list=PLrnGz1XxJ7fhBEtqZx8XP7CEOWcKFBiqM
Directive Principles Of State Policy (DPSP)
https://www.youtube.com/playlist?list=PLrnGz1XxJ7fi-zTRDsuI30jLiDyLnARM-
Indian Politics (Laxmikanth)
https://www.youtube.com/playlist?list=PLrnGz1XxJ7fj9HPG5_rGKM06Kvy052iBv
Jkssb Previous Solved Papers
https://www.youtube.com/playlist?list=PLrnGz1XxJ7fgUeZu-gWJ3dEXFWY9MXq9N
General Studies MCQ
https://www.youtube.com/playlist?list=PLrnGz1XxJ7fix3RyUKoxPG-971XLagrU3
____________________________________________
SOCIAL MEDIA
Facebook-Page:-https://www.facebook.com/theknowledgerace/
Telegram:-https://t.me/theknowledgerace
Instagram:-https://instagram.com/theknowledgerace?igshid=ji4qnbee6vqp
Blog:-https://theknowledgerace.blogspot.com/
#communicabledisease
#non-communicabledisease
#jkssbFAA</t>
  </si>
  <si>
    <t>This is a video lecture on the " NON COMMUNICABLE DISEASES " Chapter from the PARK TEXTBOOK of COMMUNITY MEDICINE.
It covers the topics of 
-Stroke
-Rheumatic Heart Disease
-Cancer
-Diabetes Mellitus</t>
  </si>
  <si>
    <t>Lecture on Primary Health Care explained in an easy to understand manner</t>
  </si>
  <si>
    <t>This video is the Part 5 of the the community health nursing videos. In this I have added questions about communicable diseases, non communicable diseases and preventive medicine.
This is useful for nursing exams like RRB,CHO,MRB,NIMHANS,AIIMS etc
#communityhealthnursing
#communicablediseases</t>
  </si>
  <si>
    <t>#NORCET#ESIC#PGIMER#CHO</t>
  </si>
  <si>
    <t>About this video -
Topic -  Chapter-11 | Non- Communicable Disease  || Health Education &amp; Community Pharmacy 
Subject –  Health Education &amp; Community Pharmacy
Cancer- https://youtu.be/BwF15xVlHnU
Hypertension - https://youtu.be/Sc4pP2AqCZE
CHF - https://youtu.be/c0vIUST94R4
Diabetes - https://youtu.be/BcFM4wHTmy8
Kidney Faliure - https://youtu.be/giV7IeUlGis
B.Pharm – 
D.Pharm- 1st year
Typhoid Fever - https://youtu.be/VDZQph4uTME
Hepatitis - https://youtu.be/zQQC0shFhXU
FOR B.PHARM, D.PHARM  &amp; M.PHARM STUDENTS 
Hello Students
I am Anurag Jaiswal. I am working as Assistant Professor in a Pharmacy College and trainer in Vibgyor Laboratories.
By ANURAG JAISWAL
M.Pharm (GPAT Qualified)
For downloading pdf notes of this chapter on very easy language visit our website
Our Official Website 
www.kclpharmacy.com 
Facebook Page 
https://www.facebook.com/anurag.jaiswal.1291 
Youtube Channel
https://youtube.com/c/KclTutorial 
Email- rx.anurag@gmail.com 
Ask anything about this topic on comment section.About this video - Number =</t>
  </si>
  <si>
    <t>In 1994, we opened the world's largest biotech manufacturing facility. Take a 360-degree tour of the facility using your browser or smartphone. For the full effect, check it out using Google Cardboard.</t>
  </si>
  <si>
    <t>Juice Wrld - All Girls Are The Same 
Song Produced Nick Mira
Shot, Edited &amp; Directed by Cole Bennett
https://soundcloud.com/uiceheidd/all-girls-are-same-999-prod-nick-mira
Juice WRLD's Channel: http://bit.ly/Juice_WRLD
http://instagram.com/juicewrld999
http://twitter.com/juiceworlddd
—
Official Channel of Cole Bennett / Lyrical Lemonade
Subscribe for updates on music videos, interviews, performance videos, etc.
Cole Bennett
http://www.twitter.com/_colebennett_
http://www.instagram.com/_colebennett_
Lyrical Lemonade
http://www.twitter.com/lyricalemonade
http://www.instagram.com/lyricalemonade
http://www.lyricallemonade.com</t>
  </si>
  <si>
    <t>Welcome to our 360° VR tour of the LSHTM. Click and drag the video around to explore!  Visit our library and labs, drop in on a lecture and see for yourself what it's like to be a student here.
#360video</t>
  </si>
  <si>
    <t>JINC Jopdhpur</t>
  </si>
  <si>
    <t>Communicable and Non-communicable disease MCQs for CHO Examination important questions and answers Tripura NHM CHO exam
Syllabus wise CHO questions:-https://youtu.be/gZ9mdD1oJgg
Important MCQs for all nursing exam:-
https://youtu.be/6V4KID7dKbQ
Please subscribe like share and comments for more videos</t>
  </si>
  <si>
    <t>Learn what is essential thrombocythemia as well as how to identify its signs and symptoms, diagnose it, and treat it. By Raja Narayan. 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Raja Narayan.
Watch the next lesson: https://www.khanacademy.org/test-prep/nclex-rn/hematologic-system-diseases/rn-myeloproliferative-disorders/v/what-is-chronic-myelogenous-leukemia?utm_source=YT&amp;utm_medium=Desc&amp;utm_campaign=Nclex-rn
Missed the previous lesson? https://www.khanacademy.org/test-prep/nclex-rn/hematologic-system-diseases/rn-myeloproliferative-disorders/v/what-is-polycythemia-vera?utm_source=YT&amp;utm_medium=Desc&amp;utm_campaign=Nclex-rn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</si>
  <si>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Learn about 4 different cancers that involve the bone marrow and produce a large number of cells in the blood stream. By Raja Narayan. 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Raja Narayan.
Watch the next lesson: https://www.khanacademy.org/test-prep/nclex-rn/hematologic-system-diseases/rn-myeloproliferative-disorders/v/what-is-polycythemia-vera?utm_source=YT&amp;utm_medium=Desc&amp;utm_campaign=Nclex-rn
Missed the previous lesson? https://www.khanacademy.org/test-prep/nclex-rn/hematologic-system-diseases/rn-iron-deficiency-anemia-and-anemia-of-chronic-disease/v/iron-deficiency-and-anemia-of-chronic-disease-treatment?utm_source=YT&amp;utm_medium=Desc&amp;utm_campaign=Nclex-rn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</si>
  <si>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Are you aware that your child can be exposed to numerous contagious diseases at school? Watch this video on common communicable diseases in children that your child can pick up at school and how to treat them. 
School is not just a place of education, but where your child comes in contact with many other children. This increases the chances of coming into direct contact with parasites, viruses, and bacteria, making your child more susceptible to catching various kinds of contagious diseases in children. This video gives you information on common communicable diseases in schools, how to treat them, and ways to reduce exposure to harmful bacteria and viruses. 
#CommunicableDiseasesInChildren #ContagiousDiseasesInChildren
For More Information :
https://parenting.firstcry.com/articles/10-common-communicable-diseases-your-child-can-pick-up-at-school/
Like, comment, and share with family and friends.
FirstcryTV helps you through your journey of Getting Pregnant, Pregnancy &amp; Parenting. Happy Parenting!
Subscribe Now :  https://www.youtube.com/c/firstcryparenting
Connect with FirstCry Parenting
Download Our App
Android : https://bit.ly/2Vqtvjl
iOS : https://apple.co/2IKcmv0
Website : https://parenting.firstcry.com/
Like Us on Facebook @ 
https://facebook.com/FirstCryParenting/
Follow Us on Instagram @ https://www.instagram.com/firstcryParenting/
Follow Us on Twitter @ 
https://twitter.com/firstcryindia
Follow Us on Pinterest @ 
https://in.pinterest.com/FirstCryIN/
Disclaimer:
Content used in this video is for informational purpose only  and should not be considered as a substitute for advice from doctors or any health professional. We strongly recommend seeking medical advice before proceeding.</t>
  </si>
  <si>
    <t>Like this video? Sign up now on our website at https://www.DrNajeebLectures.com to access 800+ Exclusive videos on Basic Medical Sciences &amp; Clinical Medicine. These are premium videos (NOT FROM YOUTUBE). All these videos come with English subtitles &amp; download options. Sign up now! Get Lifetime Access for a one-time payment of $99 ONLY! 
Why sign up for premium membership? Here's why!
Membership Features for premium website members.
1. More than 800+ Medical Lectures. 
2. Basic Medical Sciences &amp; Clinical Medicine.
3. Mobile-friendly interface with android and iOS apps.
4. English subtitles and new videos every week.
5. Download option for offline video playback.
6. Fanatic customer support and that's 24/7.
7. Fast video playback option to learn faster.
8. Trusted by over 2M+ students in 190 countries.</t>
  </si>
  <si>
    <t>Alzheimer's doesn't have to be your brain's destiny, says neuroscientist and author of "Still Alice," Lisa Genova. She shares the latest science investigating the disease -- and some promising research on what each of us can do to build an Alzheimer's-resistant brain.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</si>
  <si>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http://armandoh.org/
https://www.facebook.com/ArmandoHasudungan
Support me: 
http://www.patreon.com/armando
Instagram:
http://instagram.com/armandohasudungan
Twitter:
https://twitter.com/Armando71021105
SPECIAL THANKS:
Patreon members</t>
  </si>
  <si>
    <t>We all know that we should have a balanced diet. But do you know what happens when you don't have one? You get diseases! Did you know there are two types of diseases that one falls prey to in the absence of a balanced diet? Do you want to know what happens to our bodies when we fall ill? Watch our video on 'Diseases' to find answers to these questions and more. 
Discover the new revolutionary way of learning with the world’s most valued learning program. Join the learning revolution today!
For more such engaging video Like, Share and Subscribe to BYJU'S.
#diseases #typesofdiseases #deficiencydiseases #lifestylediseases #biology #byjus 
_xD83D__xDC49_ Subscribe to BYJU'S - http://bit.ly/2IYECcw
_xD83D__xDC49_ Install the BYJU'S App - https://bit.ly/BYJUS-Install
_xD83D__xDC49_ Follow us on Facebook - https://www.facebook.com/byjuslearningapp/</t>
  </si>
  <si>
    <t>Joining forces to address a global health challenge:
A panel of leaders from the public and private sector gathered to discuss the growing challenge of non-communicable diseases (NCDs) such as heart disease, cancer, diabetes, respiratory diseases and mental health. We recognized the need for greater collaboration to bring our expertise and resources together in a concerted focus on patients.  The meeting coincided with the United Nations High-Level Meeting on Non-Communicable Diseases.
View highlights from the panel discussion in this video, and learn more about Teva's efforts to address the challenge of NCDs:
https://www.tevapharm.com/featuredsto... 
Teva would like to thank our event co-hosts, Intel and the International Association of Patient Organizations (IAPO), as well as our dynamic panel of public and private sector leaders to discuss the NCD Care Continuum:  
Amalia Adler-Waxman, Teva VP of Social Impact and Responsibility 
Dr. Sania Nishtar, Co-Chair, WHO High-Level Commission on Non-Communicable Diseases
Dr. Sandeep Kishore, Associate Director, Arnhold Institute for Global Health, Icahn School of Medicine, Mount Sinai Health
Penney Cowan, Chair of the International Association of Patient Organizations (IAPO)
David Barash, Chief Medical Officer, GE
Jennifer Esposito, General Manager, Global Health &amp; Life Sciences, Intel Corporation 
Sir George Alleyne, Director Emeritus, Pan American Health Organization (PAHO)</t>
  </si>
  <si>
    <t>נוטרילון מותג תזונת התינוקות במרקם הקליל, בעל כמות גבוהה של פרביוטיקה מסוג GOS ו- FOS.
נוטרילון הביטחון שבחרתם נכון. מבית טבע ונוטרישה. https://nutriclubisrael.co.il/
*לתשומת לב, חלב אם הוא המזון הטוב ביותר לתינוק
*בהתבסס על מחקר צרכנים שנערך בינואר 2021
*כמות פרביוטיקה מסוג GOS ו- FOS : 0.8 גרם עבור 100 מ"ל
*האמור מכוון לבחירה במותג תמ"ל</t>
  </si>
  <si>
    <t>Malnutrition 
Biology class 9 Chapter 8 - Nutrition
This lecture is all about malnutrition definition types of malnutrition effects of malnutrition also over nutrition its effects its types and effects
#malnutrition #whatismalnutrition #nutrition</t>
  </si>
  <si>
    <t>Definition of disease,and type of disease and communicable and non communicable diseases. Names of 19 communicable diseases.
Search for "communicable disease" found 112 unique keywords
Want More YouTube Views? Use Keyword Tool Pro To Find The Most Popular YouTube Keywords!
 Keywords Search VolumeTrendcommunicable diseases88,88888%communicable diseases lecture88,88888%communicable diseases psm88,88888%communicable diseases in hindi88,88888%communicable diseases in islam88,88888%communicable diseases for kids88,88888%communicable diseases and noncommunicable diseases88,88888%communicable diseases osmosis88,88888%communicable diseasehindi88,88888%communicable diseases gcse88,88888%communicable diseases and their prevention88,88888%communicable diseases and their prevention upsc88,88888%communicable diseases and its transmission88,88888%communicable diseases animated88,88888%communicable diseases and their causative agents88,88888%communicable diseases and noncommunicable diseases difference88,88888%communicable diseases and its transmission pdf88,88888%gcse biology - communicable disease #2688,88888%communicable diseases community medicine88,88888%communicable diseasecenter qatar88,88888%communicable diseasecenter88,88888%communicable diseases class 588,88888%communicable diseases class 888,88888%communicable diseases class 488,88888%communicable diseases cartoon88,88888%communicable diseases crash ccommunicable diseasedefinition in hindi88,88888%communicable diseasedefinition in malayalam88,88888%communicable diseasedefinition by who88,88888%communicable diseaseand non communicable disease88,88888%define communicable disease88,88888%communicable diseases d pharmacy88,88888%non communicable diseases d pharmacy88,88888%communicable diseaseepidemiology88,888</t>
  </si>
  <si>
    <t>http://sehut.com
http://infectioncontrolsociety.org 
Health awareness programme by I.C.S.P.</t>
  </si>
  <si>
    <t>It is a educational video about diseases for Grade 5</t>
  </si>
  <si>
    <t>Please subscribe to my channel.
Please share the channel.
Press the bell icon for more updates.
Thank you
#communicablediseases
#noncommunicablediseases
#diseases
#pathogens</t>
  </si>
  <si>
    <t>נוטרילון מותג תזונת התינוקות במרקם הקליל, בעל כמות גבוהה של פרביוטיקה מסוג GOS ו- FOS.
נוטרילון הביטחון שבחרתם נכון. מבית טבע ונוטרישה.
*לתשומת לב, חלב אם הוא המזון הטוב ביותר לתינוק
*בהתבסס על מחקר צרכנים שנערך בינואר 2021
*כמות פרביוטיקה מסוג GOS ו- FOS : 0.8 גרם עבור 100 מ"ל
*האמור מכוון לבחירה במותג תמ"ל
https://nutriclubisrael.co.il/</t>
  </si>
  <si>
    <t>Words: Naomi Ward Randall, 1908–2001. 
© 1957 IRI. Fourth verse © 1978 IRI
Music: Mildred Tanner Pettit, 1895–1977. 
© 1957 IRI. 
Arr. by Darwin Wolford, b. 1936. 
Arr. © 1989 IRI</t>
  </si>
  <si>
    <t>To download notes, click here NOW: http://bit.ly/2Z0rGZJ
SUBSCRIBE to Unacademy PLUS at: https://unacademy.com/plus/goal/YOTUH
Use Special Code :- "SACHINLIVE"
(To avail 10% DISCOUNT)
To know more about Unacademy Plus, watch this video: http://bit.ly/2Hg3g7u
Talk to us on TELEGRAM App- (First Install the Telegram App)
Enter the group using the link on your BROWSER: https://tinyurl.com/neetlivechat
Dr. Sachin Kapur Sir takes a LIVE lecture on Human Health and Disease for class 12 students on Unacademy NEET LIVE DAILY where he discusses Degenerative Diseases in detail.
Health does not simply mean ‘absence of disease’ or ‘physical
fitness’. It could be defined as a state of complete physical, mental and social well-being. When people are healthy, they are more efficient at work. This increases productivity and brings economic prosperity. Health also increases the longevity of people and reduces infant and maternal mortality.
Unacademy Plus Subscription Benefits: - 
1. Learn from your favourite teacher
2. Dedicated DOUBT sessions
3. One Subscription, Unlimited Access
4. Real time interaction with Teachers
5. You can ask doubts in live class
6. Limited students
7. Download the videos &amp; watch offline
#Plus_Subscription_In_Description #NEETLIVEDAILY #human_health_and_disease #UnacademyNEET #neetlivedaily #neet #unacademy</t>
  </si>
  <si>
    <t>Repro health |Xual repro in human beings|How do organisms reproduce|  10th |biology | ncert class 10 |science |cbse syllabus
This video explains Repro health in Humans from the lesson "How do organisms reproduce" a CBSE class 10 lesson from NCERT Science Text Book. 
How do organisms Reproduce class 10 #fullchapter : https://youtu.be/NHvtYmkjB5k
menstrual cycle
Do you know the functions of female repro system?
1. The ovary releases egg cell for fertilisation.
2. It also secretes some hormones to make changes in the uterus
3. The uterus gets prepared to host the embryo till it completely grown into a baby.
once the egg is released by the ovary, the hormones secreted by the ovary makes the uterus wall thick, and lined by blood and mucous. This would be required for nourishing the embryo if fertilization had
taken place.
If the egg is fertilized, it gets implanted in the cushioning of the uterus.
What happens if the egg is not fertilized?
If the egg is not fertilised, it lives for about one day. Then the blood lining of the uterus is no longer needed. Because if there is no fertilisation there will be no implantation.
So lining of blood along with mucous sheds out through the vagina. It may take two to eight days. 
This cycle of  events takes place every month periodically and is called menstruation . The span of menstrual cycles is about 28 days.
When do the menstruation begins in girls.
A girl can start her period anytime between the ages of 8 and 15. It all depends on the genetics and other factors.
That's all about the menstrual cycle.
#Menstruation
#Menstrual-cycle
#ncertclass10
#biology
#10th
#science
Dear Students,
GRADEBOOSTER presents smart videos of CBSE Mathematics and Science for Class 10th Students for Free. 
Good Luck to all.
Also don’t forget to leave us a comment and also share it with your friends. Thanks see you on the video. Grade Booster Team.
Playlists :
********CBSE 10th Biology : NCERT Syllabus : Free Online Science Smart Videos********
Control and Coordination : Biology : CBSE Syllabus 10th Science : https://www.youtube.com/watch?v=lpwjZcnkEME&amp;list=PLjygeTp52f7pht0QQbTCOIgvXaCrx6vUY
CBSE Syllabus 10th Biology in English (All Chapters) NCERT X Science : https://www.youtube.com/watch?v=QMlQmfgCpvM&amp;list=PLjygeTp52f7rIGQDbt7AzzrJS2OxdM4aI
Life Processes : Biology : CBSE Syllabus : NCERT 10th Science : https://www.youtube.com/watch?v=tDGKKn7guoA&amp;list=PLjygeTp52f7ozZnD0HudPNgp_R5nKUUE-
How do organisms Reproduce : Biology : CBSE Syllabus 10th Science : https://www.youtube.com/watch?v=rfEoPpsM60M&amp;list=PLjygeTp52f7rYer03whOjH2CWgz6_6z3z
******CBSE 10th Biology : NCERT Syllabus : Free Online Science Smart Videos in हिंदी HINDI *****
CBSE Syllabus 10th Biology in Hindi (All Chapters) NCERT X Science : https://www.youtube.com/watch?v=YPNOO7tQhUA&amp;list=PLjygeTp52f7pZiLy-WRUe0cZ_MXl2XoCq
Life Processes in Hindi : CBSE Syllabus 10th Biology : NCERT Science : https://www.youtube.com/watch?v=RIkL2Uq8Evg&amp;list=PLjygeTp52f7q4F-mOurZkhizqkGhW7LVZ
Drawings: 10th Biology Diagrams : CBSE Syllabus: All chapters : NCERT X Science : https://www.youtube.com/watch?v=lpwjZcnkEME&amp;list=PLjygeTp52f7qsjkYVc3myU8Ck5z98nHv0
Science Quizzes : Class 10th (Biology,Chemistry,Physics) : CBSE Syllabus : NCERT X Science : https://www.youtube.com/watch?v=GV8JHZsK5PM&amp;list=PLjygeTp52f7qFcT6ILaJPEFPAqdoFjlN9
How do organisms Reproduce in Hindi : Biology : CBSE Syllabus 10th Science : https://www.youtube.com/watch?v=DjZnCSK7qFU&amp;list=PLjygeTp52f7qDY2BaqA4R1-BKEi89Mlvb
Engage with us on
Youtube : https://www.youtube.com/channel/UCj1KaZtIXFBdc35sAVZzbLQ
Facebook : https://www.facebook.com/profile.php?id=100009902822447
Twitter: https://twitter.com/GradeBooster1
Google+: https://plus.google.com/u/0/111231082946548064780/posts gradebooster.in</t>
  </si>
  <si>
    <t>Cancer | cancer for neet | NEET | NEET 2020 | NEET Preparation 2020 | NEET 2020 Preparation | NEET Preparation | NEET Strategy 2020 | NEET Exam | NEET Online | Study plan for NEET 2020 | how to crack neet | how to prepare neet 2020 | how to study biology for neet 2020 | how to study biology for neet | neet biology preparation | neet 2020 tips | neet scoring tips | AIIMS | AIIMS 2020 | neet 2020 study plan | Vedantu NEET Preparations | Vedantu Neet | Vedantu made ejee | Best Channel for NEET | Best NEET Channel | NEET 2020 Preparation Channel | JIPMER 2020 | JIPMER Exam 
✅Get NEET Crash Course only @ Rs.13999 For Discount Use this CODE - GANCC➡️ https://www.vedantu.com/aio/5dd92d467ac05a563d24520a (Limited Time)
✅UNLIMITED IN-CLASS DOUBTS &amp; QUIZZES
visit - "vdnt.in/YTMICRO" Use code "GAMIC" to get 95% off
✅Playlist of Physics 12th Board Sprint  - https://www.youtube.com/playlist?list=PLzSTglXGeoUugxwYb6ld7PZk3h4PnrZxF
✅Playlist of Biology 12th Board Sprint - https://www.youtube.com/playlist?list=PLzSTglXGeoUtoY3gNevXXYS0RSKEB27NE
✅Playlist of Chemistry 12th Board Sprint - https://www.youtube.com/playlist?list=PLzSTglXGeoUt0g-qofWHYGpur7vm5mIsa
✅NEET 2020 Preparation Playlist - https://www.youtube.com/playlist?list=PLzSTglXGeoUtRSoM24kp_V6vU6FxzbRl4
✅How to Prepare for Board Exams Class 12 - https://www.youtube.com/playlist?list=PLzSTglXGeoUstLb4OdnFJzbjOvLS8MIHK
"Neet Mantra" is the new Infotainment Shows on vedantu neet youtube channel where our Vedantu Master teacher Garima Goel who is the host of NEET Mantra. In this show, you will able to clear all the doubts about biology topics that will help you in NEET 2020 exam.
Cancer is a group of diseases involving abnormal cell growth with the potential to invade or spread to other parts of the body. These contrast with benign tumors, which do not spread.
Cancer, also called malignancy, is an abnormal growth of cells. There are more than 100 types of cancer, including breast cancer, skin cancer, lung cancer, colon cancer, prostate cancer, and lymphoma. Symptoms vary depending on the type. Cancer treatment may include chemotherapy, radiation, and/or surgery
#Cancer #CancerForNEET  #NEET2020 #NEETExam #NEETStrategy #NEETBiology
------------------------------------------------------------------------------------
SUBSCRIBE Now by Clicking on the Subscribe Button                                                                                                                                                                                ------------------------------------------------------------------------------------
Access all the Session Mock tests, Click Here - https://vedantu.app.link/VpVerwhY9U
Clear your subject-oriented doubts on a one to one session with your favorite Teachers. So join the telegram group now, Click here -  https://vdnt.in/medicalv 
Follow us on Top Social Media Websites:
-------------------------------------------------------------------------------------------------
Facebook: https://www.facebook.com/VedantuInnovations/
Instagram: https://www.instagram.com/vedantu_learns/
-------------------------------------------------------------------------------------------------</t>
  </si>
  <si>
    <t>Instagram https://www.instagram.com/abdul_rehman.33/
Facebook https://web.facebook.com/abdul.jee.7
Obesity is a complex disease involving an excessive amount of body fat. Obesity isn't just a cosmetic concern. It is a medical problem that increases your risk of other diseases and health problems, such as heart disease, diabetes, high blood pressure and certain cancers.
There are many reasons why some people have difficulty avoiding obesity. Usually, obesity results from a combination of inherited factors, combined with the environment and personal diet and exercise choices.
The good news is that even modest weight loss can improve or prevent the health problems associated with obesity. Dietary changes, increased physical activity and behavior changes can help you lose weight. Prescription medications and weight-loss procedures are additional options for treating obesity.
Symptoms
Obesity is diagnosed when your body mass index (BMI) is 30 or higher. To determine your body mass index, divide your weight in pounds by your height in inches squared and multiply by 703. Or divide your weight in kilograms by your height in meters squared.
BMI Weight status
Below 18.5 Underweight
18.5-24.9 Normal
25.0-29.9 Overweight
30.0 and higher Obesity
For most people, BMI provides a reasonable estimate of body fat. However, BMI doesn't directly measure body fat, so some people, such as muscular athletes, may have a BMI in the obesity category even though they don't have excess body fat.
Causes
Although there are genetic, behavioral, metabolic and hormonal influences on body weight, obesity occurs when you take in more calories than you burn through exercise and normal daily activities. Your body stores these excess calories as fat.
Most Americans' diets are too high in calories — often from fast food and high-calorie beverages. People with obesity might eat more calories before feeling full, feel hungry sooner, or eat more due to stress or anxiety.
Risk factors
Obesity usually results from a combination of causes and contributing factors:
Family inheritance and influences
The genes you inherit from your parents may affect the amount of body fat you store, and where that fat is distributed. Genetics may also play a role in how efficiently your body converts food into energy, how your body regulates your appetite and how your body burns calories during exercise.
Obesity tends to run in families. That's not just because of the genes they share. Family members also tend to share similar eating and activity habits.
Lifestyle choices
Unhealthy diet. A diet that's high in calories, lacking in fruits and vegetables, full of fast food, and laden with high-calorie beverages and oversized portions contributes to weight gain.
Liquid calories. People can drink many calories without feeling full, especially calories from alcohol. Other high-calorie beverages, such as sugared soft drinks, can contribute to significant weight gain.
Inactivity. If you have a sedentary lifestyle, you can easily take in more calories every day than you burn through exercise and routine daily activities. Looking at computer, tablet and phone screens is a sedentary activity. The number of hours you spend in front of a screen is highly associated with weight gain.
Complications
People with obesity are more likely to develop a number of potentially serious health problems, including:
Heart disease and strokes. Obesity makes you more likely to have high blood pressure and abnormal cholesterol levels, which are risk factors for heart disease and strokes.
Type 2 diabetes. Obesity can affect the way your body uses insulin to control blood sugar levels. This raises your risk of insulin resistance and diabetes.
Certain cancers. Obesity may increase your risk of cancer of the uterus, cervix, endometrium, ovary, breast, colon, rectum, esophagus, liver, gallbladder, pancreas, kidney and prostate.
Digestive problems. Obesity increases the likelihood that you'll develop heartburn, gallbladder disease and liver problems.
Gynecological and sexual problems. Obesity may cause infertility and irregular periods in women. Obesity also can cause erectile dysfunction in men.
Sleep apnea. People with obesity are more likely to have sleep apnea, a potentially serious disorder in which breathing repeatedly stops and starts during sleep.
Osteoarthritis. Obesity increases the stress placed on weight-bearing joints, in addition to promoting inflammation within the body. These factors may lead to complications such as osteoarthritis.
Prevention
Exercise regularly.
Follow a healthy-eating plan.
Know and avoid the food traps that cause you to eat. 
Monitor your weight regularly. 
Be consistent.
#DigestivesystemDisorders
#Obesity
#EatingDisorderObesity</t>
  </si>
  <si>
    <t>This video talks about effect of various NCD, causes, symptoms and prevention strategies along with a recapitulation activity.
Follow us on 
     Twitter - https://twitter.com/fssaiindia
     Facebook - https://facebook.com/fssai/
     Instagram - https://instagram.com/fssai_safefood</t>
  </si>
  <si>
    <t>#Nursing_online_classes #Nursing #Nursing_officer #Nursing_staff #Nursing_MCQ_classes #CHO_MCQ_Classes
Communicable Disease की महत्वपूर्ण टिप्स और ट्रिक के साथ मैराथन लाइव क्लासेस Testpaperlive 2.0
Testpaperlive Free online video Classes and live Classes For Nursing  Competitive Exams and Test Series For Exams Preparation, Free Mock Test, Staff Nurse online Mock Test Series, AIIMS Nursing Officer and Staff Nurse, PGI Nursing Officer and Staff Nurse, ESIC Nursing Officer and Staff Nurse, DSSSB Nursing Officer and Staff Nurse, JIPMER Nursing Officer and Staff Nurse, GMCH Nursing Officer and Staff Nurse , BHU Nursing Officer and Staff Nurse, AMU Nursing Officer and Staff Nurse, RML Nursing Officer and Staff Nurse, CRPF Staff Nurse, (RRBNursing Officer and Staff Nurse), RAILWAY Staff Nurse, SAFDARJUNGNursing Officer and Staff Nurse ,  Nursing Officer, Nursing, and other exams  | Get Daily Updated Exams |  Notification | Study Notes &amp; Current Affairs | Nursing Competitive Online Coaching By Testpaperlive.
► Testpaperlive Contact Us:
Support No. 80786 86728 
( Time 10: AM To 6PM, Mon-Sat)
► Testpaperlive YoutTube Official Channel:
https://www.youtube.com/testpaperlive
► Testpaperlive Official Website:
https://www.testpaperlive.com/
► Testpaperlive Facebook Official Page:
https://www.facebook.com/testpaperlives/</t>
  </si>
  <si>
    <t>Your Money में आज: NCD है कमाई का मौका | 
क्या FD से बेहतर हैं NCD ?
किस अवधि के लिए कौन सा mutual Fund ?
CNBC Awaaz is India’s number one business channel and an undisputed leader in business news and information for the last ten years. Our channel aims to educate, inform and inspire consumers to go beyond limitations, with practical tips on personal finance, investing, technology, consumer goods and capital markets. Policymakers and business owners alike have grown to trust CNBC Awaaz as the most reliable source with its eye on India’s business climate. Our programming gives consumers a platform to make decisions with confidence.
Subscribe to the CNBC Awaaz YouTube channel here: https://goo.gl/g3rzrW
Follow CNBC Awaaz on Twitter: https://twitter.com/CNBC_Awaaz
Like us on our CNBC Awaaz Facebook page: https://hi-in.facebook.com/CNBCAwaazIndia</t>
  </si>
  <si>
    <t>This is a video lecture on the " NON COMMUNICABLE DISEASES " Chapter from the PARK TEXTBOOK of COMMUNITY MEDICINE.
It covers the topics of 
-Obesity</t>
  </si>
  <si>
    <t>Covid 19 Vaccine and Non Communicable Diseases - Why India should scan vaccine recipient for NDCs?
studyiq, study iq, study iq current affairs, February current affairs 2021
Covid 19 Vaccine, covid 19 vaccine reactions, covid 19 vaccine mutant side effects cbsn, covid 19 vaccine update
Click here https://bit.ly/2wJs0SV to Download our Android APP to have access to 1000's of Smart Courses covering length and breadth of almost all competitive exams in India.  
UPSC/CSE - This is our Flagship &amp; Most Selling Course. This course covered Length &amp; Breadth of UPSC vast syllabus and made by Elite &amp; Very best faculties from all over India with StudyIQ Trust. Download the app https://bit.ly/2wJs0SV to watch Demo Videos, Course Content, Authors, Etc. 
SSC &amp; Bank - This is our oldest Course, made by Founders of StudyIQ. 1000+ videos so far and new videos added every week. Download the app https://bit.ly/2wJs0SV to watch Demo Videos, Course Content, Authors, Etc.
UPSC Optionals - We have covered almost all major UPSC Optionals. Download the app https://bit.ly/2wJs0SV to watch Demo Videos, Course Content, Authors, Etc.
State Exams PSCs - Currently we have 18 States covered, More to come, Choose your state. Download the app https://bit.ly/2wJs0SV to watch Demo Videos, Course Content, Authors, Etc.
Defense Exams - CDS, NDA, CAPF, SSB, AFCAT, Airforce. Download the app https://bit.ly/2wJs0SV to watch Demo Videos, Course Content, Authors, Etc.
SSC JE Exams - Civil, Mechanical, Electrical, Electronics. Download the app https://bit.ly/2wJs0SV to watch Demo Videos, Course Content, Authors, Etc.
RBI Grade B - Grade B is the most popular Job after IAS. This course made by well-experienced faculties of Study IQ. Download the app https://bit.ly/2wJs0SV to watch Demo Videos, Course Content, Authors, Etc.
NTA NET - Start your preparation for UGC(NTA) NET prestigious exam. We have courses for both Paper 1 &amp; 2. Download the app https://bit.ly/2wJs0SV to watch Demo Videos, Course Content, Authors, Etc. 
UPSC Prelim Test Series 2020 - Our flagship test series for UPSC Prelims. More than 55-60% Success rate in 2018-19. Download the app https://bit.ly/2wJs0SV to watch Demo Videos, Course Content, Authors, Etc. 
DMRC Exams - Courses for Delhi Metro Technical &amp; Non-Technical Exams. Download the app https://bit.ly/2wJs0SV to watch Demo Videos, Course Content, Authors, Etc.
Insurance Exams - LIC, NICL, and other insurance exams. Download the app https://bit.ly/2wJs0SV to watch Demo Videos, Course Content, Authors, Etc.
Law Exams - Find courses for Undergraduate and Judiciary Exams. Download the app https://bit.ly/2wJs0SV to watch Demo Videos, Course Content, Authors, Etc.
Railway Jobs - More than 1.5 Lac jobs to come this year. Start your preparation with us for Tech or Non-Tech posts. Download the app https://bit.ly/2wJs0SV to watch Demo Videos, Course Content, Authors, Etc.
Teaching Jobs - CTET, DSSSB. Download the app https://bit.ly/2wJs0SV to watch Demo Videos, Course Content, Authors, Etc.
NABARD Grade A - Download the app https://bit.ly/2wJs0SV to watch Demo Videos, Course Content, Authors, Etc.
Have a doubt? Click here http://bit.ly/2qWhdOI to start instant Chat with our Sale team or you can call 95-8004-8004
Download POKET NEWS app - http://bit.ly/2J3IxV3
STUDYIQ on Instagram - http://bit.ly/2K0uXEH
STUDYIQ [OFFICIAL] Telegram - https://t.me/Studyiqeducation
UPSCIQ Magazine (For Serious UPSC Aspirants) - http://bit.ly/2DH1ZWq 
UPSC Mains Answer Writing Practice - http://bit.ly/2IB9LTo
Bank IQ Magazine - http://bit.ly/2QxyNmJ
Daily Current Affairs  - http://bit.ly/2t68FG1
Download All Videos PDFs - https://goo.gl/X8UMwF
Monthly Current Affairs - http://bit.ly/2GtcCuP
Topic Wise Current Affairs - http://bit.ly/2VHxiZw
Free PDFs - https://goo.gl/cJufZc 
Free Quiz - https://goo.gl/wCxZsy 
Free Video Courses - https://goo.gl/jtMKP9"
Follow us on Facebook - https://goo.gl/iAhPDJ
Telegram - https://t.me/Studyiqeducation
The Hindu Editorial Analysis - https://goo.gl/vmvHjG
Current Affairs by Dr Gaurav Garg - https://goo.gl/bqfkXe
UPSC/IAS Burning Issues analysis- https://goo.gl/2NG7vP
World History for UPSC - https://goo.gl/J7DLXv
Indian History  - https://goo.gl/kVwB79
UPSC/IAS past papers questions - https://goo.gl/F5gyWH
SSC CGL + IBPS Quantitative tricks - https://goo.gl/C6d9n8
English Vocabulary - https://goo.gl/G9e04H
Reasoning tricks for Bank PO + SSC CGL- https://goo.gl/a68WRN
Error spotting / Sentence correction  https://goo.gl/6RbdjC
Static GK complete- https://goo.gl/kB0uAo
Complete GK + Current Affairs for all exams- https://goo.gl/MKEoLy
World History - UPSC / IAS - https://goo.gl/kwU9jC
Learn English for SSC CGL, Bank PO https://goo.gl/MoL2it
Science and Technology for UPSC/IAS - https://goo.gl/Jm4h8j
Philosophy for UPSC/IAS - https://goo.gl/FH9p3n
Yojana Magazine analysis -https://goo.gl/8oK1gy
History for SSC CGL + Railways NTPC - https://goo.gl/7939eV
#Watch_Smart_Courses #Download_Our_App</t>
  </si>
  <si>
    <t>Hope you like the video and hope it helps you in better understanding of the concepts.
Happy studying and God bless your efforts.
Video lectures for medical students.
www.mdcrack.tv
MD CRACK
Founder - Dr. Milind J Avhad</t>
  </si>
  <si>
    <t>Troxevasin – 20 sec TV</t>
  </si>
  <si>
    <t>#hecpmcq #socialpharmacymcq #mcqsocialpharmacy Please Subscribe To Our Channel - https://bit.ly/32j1Zq1
Website : pharmacyinfoline.com
FB : facebook.com/pharmacyinfoline
Instagram : https://www.instagram.com/pharmacyinfoline
MCQ Non communicable diseases
A non-communicable disease (NCD) is a disease that is not transmissible directly from one person to another. NCDs include Parkinson's disease, autoimmune diseases, strokes, most heart diseases, most cancers, diabetes, chronic kidney disease, osteoarthritis, osteoporosis, Alzheimer's disease, cataracts, and others.
What are the 4 types of non-communicable disease?
The four main types of noncommunicable diseases are cardiovascular diseases (like heart attacks and stroke), cancer, chronic respiratory diseases (such as chronic obstructed pulmonary disease and asthma) and diabetes.
What are non-communicable diseases give examples?
Noncommunicable diseases (NCDs), including heart disease, stroke, cancer, diabetes and chronic lung disease, are collectively responsible for almost 70% of all deaths worldwide.
What are the non-communicable diseases and their causes?
Noncommunicable diseases (NCDs) are usually caused by genetic or lifestyle factors. Four types of NCDs – cardiovascular diseases, cancers, diabetes and chronic respiratory diseases – account for almost two-thirds of all deaths globally, with 80 per cent of these occurring in low- and middle-income countries.
What are the 12 communicable diseases?
List of Communicable Diseases
2019-nCoV.
CRE.
Ebola.
Enterovirus D68.
Flu.
Hantavirus.
Hepatitis A.
Hepatitis B.
What are the 5 non communicable diseases?
Alzheimer's Disease.
Cancer.
Epilepsy.
Osteoarthritis.
Osteoporosis.
Cerebrovascular Disease (Stroke)
Chronic Obstructive Pulmonary Disease (COPD)
Coronary Artery Disease.
What are 3 causes of non communicable diseases?
Four main NCDs and their common risk factors. The four leading NCDs (cardiovascular diseases, cancer, respiratory diseases, and diabetes) share four risk factors: tobacco use, harmful use of alcohol, unhealthy diet, and physical inactivity.
Who list of non-communicable diseases?
The main types of NCDs are cardiovascular diseases (like heart attacks and stroke), cancers, chronic respiratory diseases (such as chronic obstructive pulmonary disease and asthma) and diabetes.
mcq, non communicable diseases, mcq hecp, mcq social pharmacy, social pharmacy mcq, hecp mcq, non communicable diseases mcq</t>
  </si>
  <si>
    <t>The Saudi Public Health Guys</t>
  </si>
  <si>
    <t>In this video, Dr Sanjay Gupta discusses an interesting study that definitely shows a significant improvement in frequency of and symptoms from ectopic heart beats. You can speak with me via my website www.yorkcardiology.co.uk or my Facebook page: yorkcardiology@gmail.com. My name is Sanjay Gupta and i am a cardiologist in York Hospital</t>
  </si>
  <si>
    <t>http://www.einstein.yu.edu - K.M. Venkat Narayan, M.D., M.B.A., Ruth and OC Hubert professor of global health &amp; epidemiology at the Rollins School of Public Health, Emory University, discusses global non-communicable diseases at the Global Diabetes Symposium: Finding the Way to Global Action. The event, presented by the Global Health Center at Albert Einstein College of Medicine and the International Diabetes Federation, took place September 18, 2011.</t>
  </si>
  <si>
    <t>Communicable diseases refer to diseases that can be transmitted and make people ill. Non-communicable diseases (NCDs) are chronic medical conditions or diseases which are non-infectious. Common examples include stroke, heart attacks, diabetes, cancer, asthma and depression.
Grade 8 
Subject: Biology
Lesson :Common Diseases
Topic: CLASSIFICATION OF DISEASES
Useful for CBSE, ICSE, NCERT &amp; International Students</t>
  </si>
  <si>
    <t>"I Am a Child of God"
Piano instrumental with lyrics.
#301 in the 1985 edition of the LDS Hymnbook (The Church of Jesus Christ of Latter-day Saints).
The music to this hymn composed by Mildred T. Pettit (1895-1977)
The text is written by Naomi W. Randall (1908-2001)
This version recorded exclusively for the LDS Hymns channel in 2020.
#lds #ldshymns #ldsmusic</t>
  </si>
  <si>
    <t>Advising people on having a healthy lifestyle and importance of a regular health checkup she spread awareness on communicable and non-communicable diseases- the paradigm shift. MBBS, MD physiology, PG dip. Dietetics, PGDPC, Assistant Professor, Physiology at GMC Nagpur This talk was given at a TEDx event using the TED conference format but independently organized by a local community. Learn more at https://www.ted.com/tedx</t>
  </si>
  <si>
    <t>In this Tutirial we learned about 
1. Communicable &amp; Non Communicable Diseases.
2. Micro Organisms.
3. How diseases are spread    &amp;
4. Ways to prevent from Communicable Diseases.
We hope this tutorial will be helpful for you in your studies.
#learningmadeeasy
checkout some more evs tutorials on our channel here-
https://www.youtube.com/user/vj03091984/videos?view_as=subscriber
Watch other EVS Videos for Kids. Just click here ---
https://www.youtube.com/user/vj03091984/videos?view_as=subscriber
To Learn Multiplication Tricks see our this Video  ---
https://youtu.be/BT73WIRAg-4
Maths Subtraction Tricks Click Here --
https://www.youtube.com/watch?v=bhIr9oBmMD4</t>
  </si>
  <si>
    <t>A non-communicable disease (NCD) is a disease that is not transmissible directly from one person to another. NCDs include Parkinson's disease, autoimmune diseases, strokes, most heart diseases, most cancers, diabetes, chronic kidney disease, osteoarthritis, osteoporosis, Alzheimer's disease, cataracts, and others.</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</si>
  <si>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</si>
  <si>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COMMUNICABLE DISEASES : LECTURE PART-1 IMPORTANT TOPIC FOR ALL PHARMACY EXAMINATIONS 
PART-1 https://youtu.be/2stmdLe9k8w
PART-2 https://www.youtube.com/watch?v=prEjDSqr0wk&amp;t=63s
DISEASES COVERED ARE
CHICKEN POX   
MEASLES  
DIPHTHERIA
INFLUENZA
WHOOPING COUGH
PERTUSSIS
SARS
PART-1 https://youtu.be/2stmdLe9k8w
PART-2 https://www.youtube.com/watch?v=prEjDSqr0wk&amp;t=63s
_xD83D__xDC68__xD83C__xDFFC_‍_xD83C__xDFEB_ THIS EXPERT LECTURE BY _xD83D__xDC68__xD83C__xDFFC_‍_xD83C__xDFEB_
MR AMAR M RAVAL 
ASSISTANT PROFESSOR
FOUNDER PHARMAROCKS
PHD SCOLAR (GTU AHMEDABAD)
☎️ CONTACT: 9016312020
_xD83D__xDCF1_ PHARMAROCKS E-LEARNING APP 
_xD83D__xDCDA_ STUDY MATERIAL
_xD83D__xDC68__xD83C__xDFFC_‍_xD83C__xDFEB_ VIDEO LECTURE
_xD83D__xDCCA_ TEST SERIES
Available for Android and app iPhone &amp; ipad
_xD83D__xDCF1_ ANDROID APP LINK https://play.google.com/store/apps/details?id=co.april2019.pharma
_xD83D__xDCF2_ APPLE iPhone LINK
https://apps.apple.com/in/app/my-institute/id1472483563
_xD83D__xDCDD_ Org Code for iPhone =  PHARMA
☎️ HELPLINE 9426180836</t>
  </si>
  <si>
    <t>It is bitter truth that non- communicable diseases ( NCDs) – cardiovascular, diabetes, cancer and chronic respiratory diseases , already established themselves as global emergency and leading threat to human health and development all over the world. Conditions is much serious in developing and low-socio economic countries. To live life free of  100% preventable non communicable diseases (NCDs) is human right and we all should come forward to make people more aware about preventive measures from NCDs and prevent their early mortality and decrease health expenditure of individual and global economy.
Heart diseases,Cancer, diabetes, and stroke are no longer the diseases of the wealthy. Today, they hamper the people and the economies of the poorest populations even more than infectious diseases. This represents a public health emergency in slow motion.</t>
  </si>
  <si>
    <t>S K Sharma and more top educators are teaching live on Unacademy Plus.
Use Special Code “SSLIVE” to get 10% discount on your Unacademy Plus Subscription.
Subscribe today: https://unacademy.com/plus/goal/KSCGY
Unacademy Studios Feedback Form - http://bit.ly/2jZTAVE
Santhosh Sharma’s Plus Course: https://unacademy.com/plus/course/crash-course-on-science-technology-for-pcm/1EMS42VO
Watch the full playlist here: https://www.youtube.com/playlist?list=PLFiKKZWevLSzvim7N5cFYtEBH2GD_c_nV
This lesson starts with a discussion on Non - Communicable Diseases. It is a very important topic in Science &amp; Technology for the preparation of UPSC Exams. In this lesson, S K Sharma shares his various preparation strategies along with examples which will help you to crack the exam.
Join our Telegram Channel: https://t.me/joinchat/Joc7FxYcU4XEoltB5Ey1kA
Do Subscribe and be a part of the community for more such lessons here: https://www.youtube.com/channel/UC04e1vy95lGjggcYbwgbOfw?sub_confirmation=1
Unacademy Plus Subscription Benefits:
1. Learn from your favourite teacher
2. Dedicated DOUBT sessions
3. One Subscription, Unlimited Access
4. Real time interaction with Teachers
5. You can ask doubts in live class
6. Limited students
7. Download the videos &amp; watch offline
#Plus_Subscription_In_Description #Prabhav #UnacademyUPSC #UPSCCSE #UPSCHindi #unacademy</t>
  </si>
  <si>
    <t>#Non_CommunicableDiseaseMCQs##MCQs on Non Communicable disease &amp; Nutrition For CHO, AIIMS &amp; All 2019-2020 Exams.
Anatomy &amp; Physiology for CHO &amp; AIIMS :- https://youtu.be/XysTKGIvj8k
model paper:- 8th - https://youtu.be/RTYCtamHsxQ
National  Health Programme of India :- https://youtu.be/yCrXHXWW_kI
https://youtu.be/BcQ2o6ewM-I
Vital Statistics and Rate , ratio and proportion :- https://youtu.be/GYrhYa9A0YQ
Midwifery &amp; Gynecology :- https://www.youtube.com/playlist?list=PLHtw0yn-P7CApSOYG-1NmYRzFZb-kq0YP
Community  health nursing :-  https://www.youtube.com/playlist?list=PLHtw0yn-P7CB-SgU7fyK75PXUpU48AbGS
Child health nursing :- https://www.youtube.com/watch?v=vx8XHaAX8Jw&amp;list=PLHtw0yn-P7CC5rqu-0_RMqcbPnbVHRlEQ
series 5th for cho :- https://youtu.be/IBd4o-PupFU
series:- 6th - https://youtu.be/2BvOLUbV0hA
series 7th :- https://youtu.be/-2DwiRJfL40
it is also important for all RRB, AIIMS, Nursing tutor and all paramedical Exams..
Other Mock test series :-
CHo &amp; AIIMS first series :- https://youtu.be/1wkA1TB_2Js
Series 2nd :- https://youtu.be/BNjAGNjv8s8
series 3rd :- https://youtu.be/xC_5NoDAAtM &amp; 
https://youtu.be/5aN5AGTjU8s
Series 4rth:- https://youtu.be/UcO_LqU5bTU
series 5th:- https://youtu.be/y7Cv8Mgzxzk
series 6th:- https://youtu.be/3nZ89gO7jjM
series 7th:- https://youtu.be/5sON1SfHHZI
series 8:-https://youtu.be/hfKF5DnWsQU
series:-9:- https://youtu.be/Lz-6iq8Muyg
series:-10:-https://youtu.be/L1K3vEyivnI
there are all type of medical , nursing and pharmacology videos are available for entrance exams of AIIMS, JIPMER, RUHS , DSSSB, RPSC , ESIC and all type of nursing and medical exams like MD, MS, MSC Nursing and all of pharmacology .</t>
  </si>
  <si>
    <t>Virtual class Non communicable diseases</t>
  </si>
  <si>
    <t>Explains the difference between communicable and non-communicable diseases, and lists the causes and examples of each.  Describes the field of epidemiology.</t>
  </si>
  <si>
    <t>This is a video lecture on the " NON COMMUNICABLE DISEASES " Chapter from the PARK TEXTBOOK of COMMUNITY MEDICINE.
It covers the topics of 
1. Risk Factors for NON COMMUNICABLE DISEASES
2.Prevention of NON COMMUNICABLE DISEASES
3.Cardiovascular Diseases
4.Coronary Heart Disease
5.Hypertension</t>
  </si>
  <si>
    <t>Non-communicable diseases cause more deaths than infectious, or communicable, diseases every year. Complete tasks while you watch with my Studyalong Workbook and Mindmaps.
Workbook: https://emmatheteachie.com/product/studyalong-workbook-gcse-biology-topic-2-organisation/
Mindmap: https://emmatheteachie.com/product/mindmaps-organisation-topic/
In this video, we’ll look at the causal mechanisms for six communicable diseases / conditions. We’ll also cover the difference between correlation and causation.
We’ll cover some quick questions, including a graph question. It’s important to practice Maths and data analysis skills often as this is 10% of the AQA GCSE Biology / Combined Science paper. And it’s likely to come up in the diseases part of the specification.
I hope this video helped you learn something new! If you want to get the most out of it &amp; all of the other videos in this topic, head over to my website to view the Organisation Studyalong Workbook - it has tasks for every video and includes all of the graphics you see in my videos (for visual learning) - plus there are over 30 exam-style questions with full answers and a bonus fun activity! See it on www.emmatheteachie.com - shop.
Emma the teachie
www.emmatheteachie.com</t>
  </si>
  <si>
    <t>A list of strategies for preventing and managing non-communicable diseases.</t>
  </si>
  <si>
    <t>This video is about NPCDCS.  National Program for Prevention &amp; Control of Cancer, Diabetes, Cardiovascular diseases and stroke including all UPDATES &amp; INITIATIVES.
How body uses medicines.
Click the link below to find out!
http://youtube.com/channel/UC51SQXWlkoQAKPmCzQqSMQA</t>
  </si>
  <si>
    <t>This video takes a look at how infectious diseases are transmitted and a look at the different tools we have to control them. We take a quick look at how we can use behavior change, vaccines, surveillance, environmental changes, infection control and medication to control the spread of infectious diseases
This video was created by Ranil Appuhamy
Voiceover - James Clark
For more information about infectious diseases, have a look at these websites:
http://www.who.int/topics/infectious_diseases/en/
https://www.cdc.gov/diseasesconditions/ 
https://wwwnc.cdc.gov/eid/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</si>
  <si>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Dr. C. James Hospedales , the Executive Director of CARPHA, talks about preventing NCDs</t>
  </si>
  <si>
    <t>Presentation on The Challenge of Noncommunicable Disease in Resource-Poor Regions by the Senior Advisor for Global NCDs, Center for Global Health, CDC.</t>
  </si>
  <si>
    <t>On this weeks episode, we are joined by Jordan Jarvis of the Young Professionals Chronic Disease Network (YP-CDN) to discuss the growing burden of Non-Communicable Disease and the latest WHO status report on the issue.
-~-~~-~~~-~~-~-
Please watch: "Know how interpret an epidemic curve?" 
https://www.youtube.com/watch?v=7SM4PN7Yg1s
-~-~~-~~~-~~-~-</t>
  </si>
  <si>
    <t>Take a look at what Communicable diseases are, what causes them and how they are transmitted.
The National Institute for Communicable Diseases is a resource of knowledge and expertise in regionally relevant communicable diseases to the South African Government, to SADC countries and the African continent.
#CommunicableDiseases #InfectiousDiseases #NICD</t>
  </si>
  <si>
    <t>Walk the streets of Copenhagen, Denmark, as Sandro explains the Social Determinants of NCDs and Global Health</t>
  </si>
  <si>
    <t>This animated infographic highlights the need for countries to scale up implementation of the UN Political Declaration on the prevention and control of noncommunicable diseases, guided by the Regional framework for action. The framework is a road map that provides countries with strategic interventions to implement in four areas, and includes a set of indicators to measure progress made in these areas. The infographic also lists tools and guidance developed by WHO to facilitate action in each of the framework’s four areas of intervention.</t>
  </si>
  <si>
    <t>Dr. Ala Alwan and Silvana Luciani WHO's Regional Director, Eastern Mediterranean Regional Office, and Advisor, Department of Noncommunicable Diseases and Mental Health, PAHO, respectively, were interviewed on 21st of May during the World Health Assembly 2015, as part of the webcast entitled "World Health +SocialGood". Together they discuss how can we better protect against the #1 killer in the world.</t>
  </si>
  <si>
    <t>Nearly 70% of the world's population dies from non-communicable diseases such as cancer, diabetes, cardiovascular and respiratory disease. Health Sciences student Hannah Burgess asks the Liggins Institute's Professor Sir Peter Gluckman what we can do about the problem.
Find out more about the Liggins Institute: http://www.liggins.auckland.ac.nz
Find out more about LENScience - bringing students and scientists together: http://www.lenscience.auckland.ac.nz</t>
  </si>
  <si>
    <t>As world leaders gather at the United Nations General Assembly to assess efforts made since 2011 in controlling noncommunicable diseases (NCDs) like heart disease, cancer, diabetes and chronic lung disease, the new WHO "Noncommunicable diseases country profiles 2014" show insufficient and uneven progress. The report provides an updated overview of the NCD situation including recent trends and government responses in 194 countries.
Soundtrack for this video is by Dexter Britain - www.dexterbritain.co.uk
Disclaimer: This video may contain links and references to third party-websites. WHO is not responsible for, and does not endorse or promote, the content of any of these websites and the use thereof</t>
  </si>
  <si>
    <t>Joint mission to India - 08-12 December 2014</t>
  </si>
  <si>
    <t>WHO Director-General Dr Tedros Adhanom Ghebreyesus says intensified action is needed to respond to the global epidemics of noncommunicable diseases (NCDs), primarily heart and lung diseases, cancers and diabetes. The 18-20 October 2017 WHO Global Conference on NCDs in Uruguay will focus on ensuring government policies are geared to promoting health and preventing and treating NCDs, and to support achievement of Sustainable Development Goal target 3.4 to reduce premature deaths from NCDs by one-third by 2030.
More information: www.who.int/montevideo2017</t>
  </si>
  <si>
    <t>Fiji and the wider Pacific Region are facing a crisis of Non-Communicable Disease.  In Fiji there is one diabetic amputation every 12 hours.  This is devastating for a country with a population around 1 million.  
Dr Jone Hawea spent many years as a surgeon only to familiar with this this statistic.  During this time he began to explore more holistic options to prevention of diabetes and many other so called "life style" diseases.  Including options that have sustained the health of Pacific people for generations.
In this talk, Dr Jone takes us on his journey to find this more holistic preventative approach.  He offers a simple and refreshing idea on what we can do to give ourselves a better chance to beat the Non-Communicable Disease crisis we face in the Pacific and live better lives.
Dr Jone Hawea is a medical surgeon who has served in all major hospitals in Fiji.  Much of his work has revolved around diabetic amputations.  He has also served as Medical Officer in various Peace Keeping Missions and has done medical stints in Niue and in New Zealand.  
Dr Jone Hawea is currently the Medical Director of the SMILE Health Initiative of FRIEND, a home grown Fijian NGO.  He is also the associate Director of Foundation for Rural Integrated Enterprises &amp; Development, a local NGO that works towards empowering communities through social, economic and health programs. 
He is a keen rugby player and has been organizing a mix of sports in communities to ensure that men and women of all ages participate to ensure physical health.
Dr Jone is also a heartfulness meditation trainer and has been offering this service free of charge to ensure his patients find relief from stresses known to be contributing factors to non-communicable diseases.
This talk was given at a TEDx event using the TED conference format but independently organized by a local community. Learn more at http://ted.com/tedx</t>
  </si>
  <si>
    <t>https://www.paho.org/nmh
This video explains why noncommunicable diseases pose a threat to countries in the Region of the Americas and what are the main strategies to prevent them by reducing associated risk factors and improving the control and care of people who suffer from them .
Each year, approximately 5.2 million people die from noncommunicable diseases (NCDs), mainly cardiovascular diseases, cancer, diabetes and chronic respiratory diseases in the Region of the Americas. Of these, 35% occur in people who have not yet reached 70 years of age. These diseases have a major impact on life, well-being and the ability to work for people who suffer from them, while posing a major challenge to countries' health systems and economies.
The countries of the Region of the Americas have committed to reduce premature mortality by NCD by one third by 2030. To achieve this, there are cost-effective measures that have proven effective in reducing tobacco use and harmful Alcohol, promote healthy eating and physical activity and integrate interventions for the management of noncommunicable diseases in the health system at primary care level.</t>
  </si>
  <si>
    <t>MAHALAGANG PAALALA:
Muli po naming pinapaalala na hanggang ngayon ay SARADO PA RIN PO ANG AMING ACTION CENTER sa TV5 Media Center, Reliance Street, Mandaluyong City.
Hindi pa rin po maaaring pumunta nang personal ang mga complainant para magreklamo kay Idol Raffy dahil sa ating kinahaharap na pandemya at mahigpit pa ring ipinapatupad ang mga safety measures upang maging ligtas ang lahat.
Gayunpaman, puwede ninyong i-PM ang inyong mga sumbong sa OFFICIAL Facebook page ni Idol na RAFFY TULFO IN ACTION na may mahigit 10M followers. Nakahanda pong tumugon sa inyo ang RTIA researchers.
Maraming salamat sa inyong pag-unawa at mag-ingat po tayong lahat!</t>
  </si>
  <si>
    <t>This tutorial introduces the idea of variables and constants and how they are used in formulas. It then introduces a few basic axioms and discusses how their applications assistance in basic math.</t>
  </si>
  <si>
    <t>In this session, Dr. Meetu Bhawnani will be discussing Human Health and Disease. Dr. Meetu Bhawnani will also share various preparation strategies that will help you crack the neet exam.
Dr. Meetu Bhawnani and other top educators are teaching live on Unacademy Subscription.
Use this code "MB10" to get 10% off on your Unacademy Subscription.
Subscribe today - https://unacademy.com/subscribe/YOTUH
Unacademy Studios Feedback form link: http://bit.ly/2jZTAVE
Dr. Meetu Bhawnani's Unacademy profile: https://unacademy.com/@meetubhawnanidr
Watch the full playlist -https://www.youtube.com/playlist?list=PLyjWMictIvv3fLuDgwZOq6pLRkcX-wRqp
Download the Unacademy Learning App here:
Android: https://goo.gl/02OhYI 
iOS: https://goo.gl/efbytP
Join our Telegram channel: https://t.me/NEETPLACEBO
Do Subscribe and be a part of the community for more such lessons here:  https://www.youtube.com/channel/UCtKAQhsa1D_zKbc3yZmwARQ?view_as=subscriber?sub_confirmation=1 
Unacademy Subscription Benefits:
1. Learn from your favorite teacher
2. Dedicated DOUBT sessions
3. One Subscription, Unlimited Access
4. Real-time interaction with Teachers
5. You can ask doubts in a live class
6. Limited students
7. Download the videos &amp; watch offline</t>
  </si>
  <si>
    <t>_xD83C__xDF37_Hello Grade 7. I hope this video helps you to cope up with the new normal of learning.
‼️Watch and understand the lesson. Then answer the question at the end of the video. Type your answers on the comment box below.
_xD83D__xDC9C_If you find this video helpful, please don't forget to share and subscribe to my channel.
DISCLAIMER: No copyright infringement intended on the music and video clips used, for education purpose only.
___________________________________________________
❇️ VIDEO CHAPTERS:
00:00 - Introduction
00:46 - Table of Contents
01:09 - Geographical Location
01:50 - Vocal Music
06:20 - Gong Music
18:18 - Lute Music
23:40 - Bamboo Music
27:33 - Question Time
___________________________________________________
❇️ VIDEO CREDITS:
_xD83D__xDC9F_ POKPOK ALIMPAKO by Diponegoro University Choir (https://youtu.be/Xnus0EOY_04)
_xD83D__xDC9F_ AGUNG By Eugene Baylon Jaceldo (https://youtu.be/uOnIwhuUYgw)
_xD83D__xDC9F_ KULINTANG AND TALKING GONGS by passportM  (https://youtu.be/HBPS8pSrKNs)
_xD83D__xDC9F_ BINALIG 2 - TIN ORANTE (KULINTANG) by Philippine-Korea team 2014 (https://youtu.be/HY9FIjQTarc)
_xD83D__xDC9F_ PHILIPPINE KULINTANG - BINALIG ENSEMBLE by royalhartigan (https://youtu.be/TJC72ytyiPg)
_xD83D__xDC9F_ DABAKAN PART AYDAO DITAGAUNAN by Sarha Bautista (https://youtu.be/-gX063GUcpk)
_xD83D__xDC9F_ KULINTANG | BINALIG A MAMAYUG &amp; SINULOG A BAGU by Harold Andre (https://youtu.be/Czh1oqx0Bpw)
_xD83D__xDC9F_ KUDYAPI - MASTER SAMAON SULAIMAN by Bernadete April Canay (https://youtu.be/FqtEPoNEg-U)
_xD83D__xDC9F_ GABBANG by Philippine-Korea team 2014 (https://youtu.be/Ok83kx17aXg)
_xD83D__xDC9F_ SULING by Bangsamoro Entertainment -Instrument and Song (https://www.facebook.com/BMEntertainment414/videos/2416419941945111)
___________________________________________________
❇️ PHOTO CREDITS:
https://images.app.goo.gl/UYDrmMuzJ1qJQ6qFA
https://en.wikipedia.org/wiki/Mindanao
https://www.slideshare.net/charlhen1017/music-of-mindanao-118466693
https://www.encyclo.co.uk/meaning-of-Pok_Pok_Alimpako
https://mygrade7music.blogspot.com/2014/11/pok-pok-alimpako.html
https://images.app.goo.gl/Z5W3rpjcbtgBjzGL7
https://images.app.goo.gl/jPn2KMzwWLfyh2gJ8
https://images.app.goo.gl/9khqDHKXwEXfK5vz6
https://images.app.goo.gl/6qs8LVgsmEaYqsCN8
https://images.app.goo.gl/ZpgMTDxA2F28eoj18
https://images.app.goo.gl/Nj9AkiYswRtFY4mL8
http://www.royalhart.com/video/6077/
https://twitter.com/metmuseum/status/1295479775365079040/photo/1
https://bch.bangsamoro.gov.ph/samaon-sulaiman/
https://images.app.goo.gl/WFLhSdbbaSiCQG2f9
https://www.scribd.com/doc/254632484/Bamboo-Instruments-of-Mindanao
https://www.facebook.com/BMEntertainment414/videos/2416419941945111
https://www.slideshare.net/kimgravata/muslim-mindanao-instruments
___________________________________________________
❇️ RESOURCES:
K-12 MAPEH 7 book by St. Bernadette Publishing House Corporation
DepEd MELCs
MAPEH Grade 7 Life Skills: The Beginning of My Journey Module
___________________________________________________
❇️ OTHER VIDEOS:
Music 7 Q1 Lesson 1: Vocal Music of Lowland Luzon (https://youtu.be/cCS_WcuQbJI)
Music 7 Q1 Lesson 2: Characteristics of Vocal and Instrumental Music in the Lowland Luzon using Musical Elements (https://youtu.be/0EGbDwbcEG0)
Music 7 Q1 Lesson 3: Identification and Classification of Instruments in Lowland Luzon (https://youtu.be/P4xHSCsbVE8)
Music 7 Q2 Lesson 1: Vocal Music of Cordillera (https://youtu.be/D2ZRgL6rb6A)
Music 7 Q2 Lesson 2: Vocal Music of Mindoro, Palawan &amp; Visayas (https://youtu.be/xCGq_4cituk)
Music 7 Q2 Lesson 3: Musical Instruments of Cordillera, Mindoro, Palawan &amp; Visayas (https://youtu.be/gEzVsrd7TPg)
___________________________________________________
_xD83D__xDC49__xD83C__xDFFB_You can reach me through this email and social media accounts:
_xD83D__xDC8C_ G-mail - gracelastra08@gmail.com
_xD83C__xDF38_Facebook -  https://www.facebook.com/gracelastra08
_xD83D__xDC52_Instagram - https://www.instagram.com/gracelastra08
_xD83E__xDD8B_Twitter - https://twitter.com/gracelastra08
✏️Tumblr - https://www.tumblr.com/blog/gracelastra08
_xD83C__xDFB6_ TikTok - https://tiktok.com/@gracelastra08
___________________________________________________
❇️ MUSIC:
Track: Odessa — LiQWYD &amp; Scandinavianz [Audio Library Release]
Music provided by Audio Library Plus
Watch: https://youtu.be/jNy-Dp3lgcg
Free Download / Stream: https://alplus.io/odessa
___________________________________________________
❇️ VIDEO EDITOR:
VivaVideo, Kinemaster
#MaryGraceLastra #MusicOfMindanao #VocalMusicOfMindanao #MusicalInstrumentsOfMindanao</t>
  </si>
  <si>
    <t>¡Hola! ¡Te saludan Carolina y Pablo! 
En este video te enseñamos cómo hacer a SONIC, con pasta de goma, para decorar tortas.
¿Te gustó el video? SUSCRIBETE a nuestro canal y activa la campana _xD83D__xDD14_ para recibir notificaciones cuando subamos videos nuevos.
--------------------------------------------
Mira nuestra receta de PASTA DE GOMA en:  
https://youtu.be/bPpnlMZjtoQ
--------------------------------------------
► Tienda Virtual:
https://kaomishop.com
► Facebook:  
https://www.facebook.com/kaomitutoriales
► Blog: 
https://kaomitutoriales.blogspot.com
--------------------------------------------
⭐️ Visita nuestra tienda online https://kaomishop.com y verás la variedad de moldes de silicona que tenemos para ti. Con ellos, podrás hacer una infinidad de figuras. Además, siempre haremos tutoriales para que puedas aprovecharlos al máximo.
Todos los moldes de silicona que vendemos son creados y producidos por nosotros mismos.
Hacemos envíos internacionales ✈️</t>
  </si>
  <si>
    <t>For more Health slogans visit
https://sloganshub.org/health-slogans/
In this video you will find top ten health slogans.These slogans are on the importance of health.Hope these slogans would be helpful to you.</t>
  </si>
  <si>
    <t>Static GK- Diseases caused by different Microorganisms - Bacteria, Virus, Fungi, Protozoa - Static GK- Diseases caused by different Microorganisms - diseases caused by viruses, diseases caused by Bacteria,diseases caused by Fungi, Bacterial diseases list, diseases caused by Protozoa. The list of diseases and the microorganisms that cause the disease is as follows - 
Diseases caused by Bacteria
 Cholera- Vibrio cholera
 Anthrax- Bacillus Anthraces
 Diphtheria -Corynebacterium diphtheria
 Leprosy - Mycobacterium leprae
 Botulism - Clostridium botulinum
 Syphilis - Treponema pallidum
 Tetanus - Clostridium tetani
 Trachoma -Chlamydia trachomatis
 Tuberculosis -Mycobacterium tuberculosis
 Typhoid fever - Salmonella typhi.
 Whooping cough-Bordetella pertussis
 Diseases caused by Virus
 AIDS-Human Immunodeficiency Virus (HIV)
 Influenza - Influenza virus
 Mumps- Mumps Virus
 Polio -Polio Virus
 Chicken Pox -Varicella zoster virus
 Measles-Measles Virus
 Dengue fever -Dengue Virus
 Chikungunya -Chikungunya virus.
 Rabies -Rabies virus
 SARS - SARS coronavirus
 Diseases caused by Fungi
 Athlete's foot - caused by the mold Epidermophytonfloccosum
 Diseases caused by Protozoa
 Malaria -   Plasmodium vivax
 Amoebic dysentery - Entamoebahistolytica
Our website ( https://www.successcds.net ) is one of the leading portal on Entrance Exams and Admissions in India.
The video discusses the GK Topic of Human diseases caused by Microorganisms - Bacteria, Fungi, Virus and Protozoa. All types of questions asked in Competitive exams have been covered. There are tips to memorize the topic easily.
Also visit our Channel for Entrance Exams in India FAQs &amp; Application Process, GK &amp; Current Affairs, Communication Skills
Get Entrance Exam Alerts / Admission Alerts/ Study Tips on Whatsapp ! Register Now https://goo.gl/RSxXmW #examalerts #entranceexams #admission #cbse #class10 #class12
Follow us:
https://www.facebook.com/SuccessCD  
https://google.com/+successcds 
https://twitter.com/entranceexam  
https://twitter.com/successcds
https://www.youtube.com/successcds1
https://www.youtube.com/englishacademy1</t>
  </si>
  <si>
    <t>America: the greatest, richest, freest country in the world – or is it? David Cross, of Mr. Show, Arrested Development, and The Dark Divide, joins us to discuss why Americans, despite living in the wealthiest country in the history of the world, have a much worse standard of living than people who live in poorer countries. The "American Dream" isn't just dying: it's dead and buried. Cross tells us why.
Join us on Patreon, and help keep our videos free: https://www.patreon.com/gravelinstitute
Make a one-time contribution: https://secure.actblue.com/donate/gi-youtube/?refcode=cross&amp;amount=4.20 
Get Institute Merch: https://gravelinstitute.org/merch​ 
Twitter: https://twitter.com/GravelInstitute​
Instagram: https://www.instagram.com/gravelinstitute/
Facebook: https://www.facebook.com/GravelInstitute/​
Citations: https://rb.gy/bag6d5
0:00 Intro
3:17 Health
8:12 Work
9:02 American Collapse
12:10 Credits</t>
  </si>
  <si>
    <t>What do you know about your body? These 17 Facts About the Human Body Will Send Chills Down Your Spine. These amazing facts may still be hard to swallow, but you will absolutely be all ears to hear about them.
Did you love science at school? Let's face it, only a handful of us had the stomach for learning all the scientific stuff back then by heart. 
Today's topic will be easier to perceive. What is more, it will be much more exciting. We have 17 jaw-dropping facts about your body that may still be hard to swallow and digest, but you will be all ears to hear about them!
#humanbody #factsaboutbody #interestingfacts
TIMESTAMPS
Your brain generates enough electricity to power a light bulb. 0:49
Human teeth are roughly as strong as shark teeth. 1:25
Stomach acid can make a hole in your skin. 1:59
The human hair is virtually indestructible. 2:44
Humans can create up to 7,000 different facial expressions. 3:09
Babies have over 60 more bones in their bodies than adults. 3:33
The resolution of the eye is estimated to be around 500 megapixels. 3:55
An adult's skin weighs around 17,6 pounds on average. 4:26
The human skeleton regenerates itself every 10 years. 4:52
Your eyes stay closed for about 10% of your waking hours. 5:14
Your kidneys filter all of your blood about 25 times a day. 5:45
The pink corner of our eye is the third eyelid. 6:15
The liver is capable of fully regenerating its original size. 6:39
Your heartbeat synchronizes with the rhythm of the music you are listening to. 7:05
The enzymes that are responsible for digesting the food will begin to digest the human body itself after death. 7:32
Some of the atoms in our bodies are stardust that is billions of years old. 7:44
In an average lifetime, the heart pumps around 53 million gallons of blood. 8:14
SUMMARY
17 Jaw-Dropping Facts You Didn't Know About the Human Body:
-     When you are awake, your brain is known to generate electricity in the amount of about 15-25 watts. This power is quite enough to keep a low-wattage LED lamp shining!
- The fun part: the enamel which covers the top of your teeth is the hardest part of your whole body. 
- Hydrochloric acid is a typical "inhabitant" of a human stomach. This type of acid is industrial-grade and can, in fact, destroy metals! 
- Even the content of your bloodstreams such as vitamins, drugs, or alcohol, can be found out from a strand of hair analysis. 
- According to scientists, there are four main facial expressions: angry, afraid/surprised, happy, and sad. Based on these, all the rest of 7,000 expressions are performed. 
- Babies are born with as many as 270 bones. Later on, some of the bones start fusing together, for instance, the bones of the spine. 
- The resolution of the human eye is estimated to be around 500 megapixels. It makes them 72 times more precise than the rear camera of iPhone 6. 
- The skin weight makes lifting up another human being so difficult. Another interesting fact about your skin is that every square inch of it is covered with more than six hundred sweat glands.
- You always have a blend of old and new bones in your body. 
- A person blinks on average 15 times a minute, though it is proved that women do it twice as often as men. 
-     Only one percent of the blood they filter turn into the urine, the rest is redistributed throughout the body. A kidney of an adult isn't big at all, in fact, its size can be compared to that of a fist.
- Humans retain a tiny fold in the inner corner of the eye. It is what is left from a membrane birds, and mammals have had for protecting the eye and sweeping out debris, at the same time providing visibility. 
- People who donate part of their liver to those who are in need, don't have to worry about their health. Their liver will soon regenerate the part which has been donated.  
- Music, especially the one that contains a continuous increase in volume or tempo, makes your heartbeat synchronize with it. 
- The enzymes make human organs start to digest the body. And they then team up with microbes, and the process of decomposition begins.
- All plants, animals, your food, even your car contain pieces of distant stars.
- This fist-sized organ beats around 115 thousand times a day and pumps 2,000 gallons of blood. In a lifetime, the number of its beats can reach 3 billion!
Subscribe to Bright Side : https://goo.gl/rQTJZz
----------------------------------------------------------------------------------------
Our Social Media:
Facebook: https://www.facebook.com/brightside/
Instagram: https://www.instagram.com/brightgram/
SMART Youtube: https://goo.gl/JTfP6L
5-Minute Crafts Youtube: https://www.goo.gl/8JVmuC
----------------------------------------------------------------------------------------
For more videos and articles visit:
http://www.brightside.me/</t>
  </si>
  <si>
    <t>Que lindo DVD de la grande Adele!!!
La verdad es una presentación sorprendente.....</t>
  </si>
  <si>
    <t>Featuring the BEST town hall 6 attack strategies in 2021. We feature multiple great th6 3 star attack strategies. These compositions are composed of "giant goblin, mass balloon zap, giant wizard healer, and giant barch". This video is apart of my lets play series. These strategy are very useful for farming, regular attacks, war attacks and pushing trophies. I hope you enjoy the video!
Please leave a like and subscribe if you enjoyed! ~ Jsmith Gaming
Attack Strategy #1: https://youtu.be/Fbg924pRENo
Attack Strategy #2: https://youtu.be/7ueYUxmIaQk
Attack Strategy #3: https://youtu.be/xKPBLzS0SRU
Attack Strategy #4: https://youtu.be/teEOcXXg7MU
Join my discord! - https://discord.gg/PfkJvkR
Follow me on twitter! - https://twitter.com/gamingjsmith
Thumbnail Artist: HardKnox GRFX
Join His Discord: https://discord.gg/ncah8bt
TimeCodes:
0:00 Intro
0:48 Goblin Giant Farming
2:49 Mass Balloon 3 Star Strategy
5:40 Giant Wiz Healer Attack Strategy
7:21 Giant Barch Farming Strategy</t>
  </si>
  <si>
    <t>Morning vibes - Chill mix music morning ☕️ English songs chill vibes
Best English Song 2021 _xD83C__xDF52_ Top Hits 2021 : https://youtu.be/bVz4jKprUAE
English Song _xD83C__xDF3B_ Statue, At My Worst: https://youtu.be/bG30_qUbeeY
_xD83D__xDD14_ Subscribe &amp; Turn on the Bell to never miss a new video _xD83D__xDD14_
_xD83E__xDD70_ Suggested Video:
Best english songs of all time playlist: https://youtu.be/DHhLo8_WZaU
chill mix playlist ❤️ Top hits english songs: https://youtu.be/egEN-roUbes
chill vibes mix - English chill songs playlist: https://youtu.be/K92Olm_LCIw
Top Hits English songs - lauv,lany,keshi: https://youtu.be/WGzm5gK-wz0
Morning chill music english chill songs: https://youtu.be/YRutCzd5sao
Top Hits 2021 | English Chill Songs: https://youtu.be/5D-ucO2Pa4M
Pop RnB chill mix music w. English songs: https://youtu.be/aLKbiq5V4XQ
Best pop r&amp;b chill (relaxing/study/work): https://youtu.be/tr_SJmBwHhk
i miss u ❤️ Best English chill songs: https://youtu.be/VQslXbEGlHc
Beautiful songs to break your heart: https://youtu.be/QZuGOqNw-WM
Love is gone...English chill songs playlist: https://youtu.be/BzI8BkgKa3U
English chill songs | Sad chill vibes: https://youtu.be/A99P3xuhk9k
sad chill vibes mix pop/r&amp;b/sad songs: https://youtu.be/X5DbT7D9Hik
Choose Happy English chill songs playlist https://youtu.be/6LCclEmBllI
Morning chill vibes music playlist mix: https://youtu.be/bpC85cPmPjI
English Songs ❤️ At My Worst, Dynamite: https://youtu.be/8nUKx5Z2ka0
English songs pop r&amp;b chill mix: https://youtu.be/68WM0NavEXo
Chillin' morning ☕️ chill music:https://youtu.be/3QV_QgMk7wk
Top Hits 2021 - Chill out music mix: https://youtu.be/Dk-gjB9svE0
...really miss you - chill vibes music mix: https://youtu.be/SF46nMaFyL0
Saturday Nights _xD83C__xDF53_ Chill out music mix: https://youtu.be/pWe_Rg2QL_8
English Chill Songs (relaxing/study/work): https://youtu.be/jnz64PhXVsU
Wish you never left _xD83D__xDC94_ pop r&amp;b chill mix: https://youtu.be/UsWiszAsGQA
Be Like That _xD83D__xDC95_ R&amp;B cHiLL Mix: https://youtu.be/lMxd05XdlY4
English Chill Songs _xD83D__xDC95_ Love Me Like You: https://youtu.be/eOcVRgABANg
Sad chill mix - Lauv, Etham: https://youtu.be/raAL1BYMj50
English Chill Songs Playlist _xD83C__xDF3B_: https://youtu.be/zZ59r72UK2w
Best pop r&amp;b chill mix vibes: https://youtu.be/ogfUIbwnOn8
Be Like That _xD83D__xDC95_ English Chill Songs playlist: https://youtu.be/3EirURL-ulU
Chill out music mix ever: https://youtu.be/lW9FH_k_h00
English chill songs mix: https://youtu.be/YuMHnSRdI10
Chill-out music playlist 2021: https://youtu.be/SnLhyGcOkXU
❤️ C_xD835__xDE5D__xD835__xDE56__xD835__xDE63__xD835__xDE63__xD835__xDE5A__xD835__xDE61_ _xD835__xDE5E__xD835__xDE68_ _xD835__xDE5B__xD835__xDE64__xD835__xDE67_ _xD835__xDE65__xD835__xDE67__xD835__xDE64__xD835__xDE62__xD835__xDE64__xD835__xDE69__xD835__xDE5E__xD835__xDE63__xD835__xDE5C_ _xD835__xDE56__xD835__xDE67__xD835__xDE69__xD835__xDE5E__xD835__xDE68__xD835__xDE69__xD835__xDE68_
♪♪ On Time Music, every day I update the channel with videos of the newest pop, chill, chill songs, rnb, chill mix, chill playlist, chilled pop, indie pop, pop soul, pop r&amp;b, english chill songs playlist for my subscribers. Thank you so much for your support!
♪♪ So, chill with some lovely songs and tell me about your feelings in the comments.
✉ Please send your song or photo (background for videos) submissions to: hinches09@gmail.com
_xD83D__xDCF8_ pinterest
#morningvibes #chillmusic #englishsong #timemusic</t>
  </si>
  <si>
    <t>How To Make A Minecraft Spigot Server. In this video I show you how to create you own Spigot server in Minecraft to play with your friends. This will allow you to put plugins on your server. If you have questions feel free to leave a comment down below. I will do my best to read every single one. 
► Join Anarchy Server (MC 1.13.2): fmc.serveminecraft.net:25570 ◄
**TO PLAY WITH YOUR FRIENDS**
You need to give anyone outside your network your external IP address to join. To do this google "what is my ipv4 address" figure it out and give that to your friend along with the port. Now have your friend use that with the port to join. They would type it in this format 123.456.789.012:25565
Put this text in the batch file:
java -Xmx2048M -Xms1024M -jar spigot.jar
pause
substitute "spigot.jar" for whatever you spigot server .jar is named
You can edit the -Xmx and -Xms values to adjust your allocated ram. -Xmx is your maximum memory in megabytes and -Xms is your initial memory in megabytes. This is not required.
► Spigot JAR Download Page: https://getbukkit.org/download/spigot
► Java 64-bit Download: https://java.com/en/download/manual.jsp
~~~~~~~~~~
■ How To Host A Minecraft 1.14 Server: https://www.youtube.com/watch?v=4sQvJyrJaK8
■ How Get A Texture Pack: https://youtu.be/vVvGTCSzYRs
■ How To OP Yourself And Use Commands: https://youtu.be/rrrh4-UuqPM
■ How To Show File Extensions: https://youtu.be/Atp-KyozPXw
■ How To Fix The Console Closing (64-bit Java): https://www.youtube.com/watch?v=DRSHGPV5rY8
■ How To Connect To Your Own Server: https://youtu.be/pvVWzQyqy_s
■ How To Port Forward: https://www.youtube.com/watch?v=rkx1aGgz4Ig
■ Notepad++ Download Page: https://notepad-plus-plus.org/download/
~~~~~~~~~~
If you enjoyed this video or it helped you at any point be sure to leave a like and comment telling me what you think of my channel. Be sure to subscribe for future videos.
Join My Discord:
https://discord.gg/ejpmWAt
Follow the Stream:
http://www.twitch.tv/voizdev
Follow Me on Twitter:
http://www.twitter.com/voizdev</t>
  </si>
  <si>
    <t>Video Presentation on TLE  / Grade 7 and 8  Moncada Catholic School</t>
  </si>
  <si>
    <t>Communicable Disease | Biology | SSC CGL | SSC CPO  SSC CHSL | GS by Gurpreet Ma'am
Don't Miss It!! Set Reminder for Big Surprise &amp; Special Moment @ Guidely: https://www.youtube.com/watch?v=CISbgYZ5zuA
Click Here to Grab IBPS RRB PO/Clerk Live Class &amp; Mock Test Series (Pre + Mains): https://bit.ly/3jB2cff
Check here for Ultimate Banking Xpress Prelims &amp; Mains Video Course, Live Classes &amp; Yearly Mock Test Packages (All in One): https://bit.ly/3bSiQCA 
Register Here to Get Call Back From Our Guidely Mentors (within 48 hours): https://forms.gle/EfGCVx5AkXwT9nkm7 
Toll Free Number: 1800-313-4483 (Available Time: 9 AM – 11 PM) (Monday – Saturday)
======== Free Live Video Classes Schedule ========== 
✿ Morning Shows: 
05:00 AM – Maths to Fitness Show by Amit Sir 
06:00 AM – Power Shots Show by Sachin Sir 
07:00 AM - Current Affairs Show by Abhijeet Sir 
08:00 AM - The Hindu Editorial Analysis by Narendra Sir 
MARATHON CLASS 
✿ IBPS RRB PO/Clerk Prelims 2020: 
09:30 AM - English by Aparna Mam  
10:00 AM - Reasoning by Sachin Sir 
✿ SSC 2020: 
11:00 AM – Maths by Mahipal Sir 
5:00 PM – GS by Gurpreet Mam (Both SSC &amp; Railways)
8:00 PM – English by Naren Sir 
✿ Special Shows: 
3:00 PM – Maths by Amit Sir (Short Video)
9:00 PM – Maths by Amit Sir (Live Mock Test)
12:00 AM – Reasoning by Rohit Sir (All Prelims Exams)
✿ RRB/ Railways 2020: 
4:00 PM – Reasoning by Sachin Sir 
6:00 PM – Maths by Mahipal Sir 
✿ SBI PO Prelims 2020: 
12:00 PM – English by Naren Sir
✿ General Awareness 2020: 
2:00 PM – Mix Bag Show by Abhijeet Sir 
7:00 PM – Mix Bag Show by Gurpreet Mam 
Click Here for Faculties Free Video Classes PDF Download: http://bit.ly/2uWgens
Check Here for Faculties Class Schedule PDF: http://bit.ly/3aovwAk
This Video Course will be conducted for Free in Our Guidely YouTube Channel.
All your favourite faculties will come Live Daily to take classes and you can play the video later if you missed the Live Streaming.
Platinum Package - Access Unlimited Mock Test Series (1 Year Validity): http://bit.ly/3aFaBcv
⇒ Guys  visit http://bit.ly/2LFO8DM or banking study materials
1. Latest Current Affairs - http://bit.ly/30PafLt
2. SBI Clerk Mains - http://bit.ly/39Gbkd9
3. RBI Assistant Mains: http://bit.ly/3a4mv03
4. SSC CGl Tier 1: http://bit.ly/2P46Qot
5. SSC CHSLTier 1: http://bit.ly/328lfWe
Take Free Mock test: 
SBI Clerk Mains: http://bit.ly/39Gbkd9
RBI Assistant Mains: http://bit.ly/3a4mv03
RRB NTPC: http://bit.ly/30gbeoR
RRC Level 1: http://bit.ly/2TlJXQq
RRB NTPC: http://bit.ly/30gbeoR
RRC Level 1: http://bit.ly/2TlJXQq
Ultimate Offers: http://bit.ly/35N9MLK
Follow Us on Your Favorite Social Media:
Facebook: https://www.facebook.com/ibpsguidance
YouTube: http://bit.ly/2TdjuRZ
Telegram: https://t.me/ibpsguide
Twitter: https://twitter.com/GuideIbps
Instagram: https://www.instagram.com/ibpsguide
LinkedIn: https://www.linkedin.com/in/ibps-guide/
#GeneralScience #SSCCGL #Guidely</t>
  </si>
  <si>
    <t>Click the "Caption" button to activate subtitle!
------------------------------------------------
- Ep.95: [Every Day is a Surprise] The triplets have come to Gapyeong to enjoy a festival. They meet their favorite, dinosaurs, there. But suddenly a real dinosaur appears! Seoeon and Seojun transform in to martial artists! They try learning manners and kicking and using nunchucks. Sarang has come to meet Girls' Generation! Sarang is very excited to meet them after a long time! Jion is off to meet the horse Louis which has a special relationship with Taewoong. She has fun receiving the love from Louis. Seola, Sua and Daebak are still in Jeongju! They enjoy red bean shaved ice and have fun playing in the water.
------------------------------------------------
Subscribe KBS World Official YouTube: http://www.youtube.com/kbsworld
------------------------------------------------
KBS World is a TV channel for international audiences provided by KBS, the flagship public service broadcaster in Korea.  Enjoy Korea's latest and most popular K-Drama, K-Pop, K-Entertainment &amp; K-Documentary with multilingual subtitles, by subscribing KBS World official YouTube.
------------------------------------------------
대한민국 대표 해외채널 KBS World를 유튜브에서 만나세요. KBS World는 전세계 시청자에게 재미있고 유익한 한류 콘텐츠를 영어 자막과 함께 제공하는 No.1 한류 채널입니다. KBS World 유튜브 채널을 구독하고 최신 드라마, K-Pop, 예능, 다큐멘터리 정보를 받아보세요. 
------------------------------------------------
[Visit KBS World Official Pages]
Homepage: http://www.kbsworld.co.kr 
Facebook: http://www.facebook.com/kbsworld
Twitter: http://twitter.com/kbsworldtv 
Google+: http://plus.google.com/+kbsworldtv
KakaoTalk: @kbs_world (http://plus.kakao.com/friend/@kbs_world)
Instagram: @kbsworldtv
Tumblr: http://kbsworld.tumblr.com</t>
  </si>
  <si>
    <t>Sheds light on the transition of responsibility that occurs from adolescent to adult.  Acknowledges the contribution of caregivers in providing rules that prepare a growing youth for impending responsibilities of adulthood.  Defines self-responsibility as the ability to be self-sufficient in providing for one’s own physical needs, but also taking ownership for one’s circumstances.  Provides suggestions for enhancing self-responsibility by reflecting on personal contributions to problems, taking action for improvement, and creating a personal mission statement.</t>
  </si>
  <si>
    <t>MAPEH Grade 7
Health Fourth Quarter</t>
  </si>
  <si>
    <t>Cali asks why are their gaps in trust by people living with NCDs towards community Health Systems? She also asks why are patient care still silos rather that patient centered?
I further discuss what Kenyan ministry is doing to curb these gaps existing in primary healthcare for NCDs
https://allafrica.com/stories/201804050221.html
Sitawa Wafula's Opinion piece
https://accessaccelerated.org/pressroom/day-1world-bank-access-accelerated-county-pilots-launched-tackle-ncd-crisis/
World Bank Access Accelerated NCD County Pilots to intergrate NCD into primary health care
https://ncdalliance.org/resources/the-advocacy-agenda-of-people-living-with-ncds-in-kenya
Advocacy Agenda PLWNCDs Kenya
https://amref.org/news/amref-play-key-role-universal-health-coverage/
Amref and UHC at community level</t>
  </si>
  <si>
    <t>follow me on instagram for free study material
https://www.instagram.com/ofmylife09/
Hello Friends,
Welcome to our youtube channel 
"THE KNOWLEDGE RACE". It is an educational channel helpful for all the competitive exam like UPSC, PSC, SSC, RRB, CGL, CHSL, BANKING, JKSSB, IBPS etc. And also other Central and State exams.
About This Video
 In this video I have discussed Non-Communicable disease i.e Cancer and allergy useful for different competitive exams like JKSSB, SSC, and also other National and State Exams
For Pdf join our Telegram Channel
"The Knowledge Race"
____________________________________________
BIOLOGY_ JKSSB (GENERAL SCIENCE)
https://www.youtube.com/playlist?list=PLrnGz1XxJ7fgicgoNKPIaDfDsG_WIvb7Q
CHEMISTRY_JKSSB (GENERAL SCIENCE)
https://www.youtube.com/playlist?list=PLrnGz1XxJ7fhCfUoakTx9RBoEgahPDvdz
PHYSICS_JKSSB (GENERAL SCIENCE)
https://www.youtube.com/playlist?list=PLrnGz1XxJ7fiunApACw53PsA-oyuDsz6U
Constitution Formation || Making of Constitution
https://www.youtube.com/playlist?list=PLrnGz1XxJ7fgKzpS2yHJ2I1UhZhG_d2U8
Fundamental Rights Articles 12 to 35
https://www.youtube.com/playlist?list=PLrnGz1XxJ7fhBEtqZx8XP7CEOWcKFBiqM
Directive Principles Of State Policy (DPSP)
https://www.youtube.com/playlist?list=PLrnGz1XxJ7fi-zTRDsuI30jLiDyLnARM-
Indian Politics (Laxmikanth)
https://www.youtube.com/playlist?list=PLrnGz1XxJ7fj9HPG5_rGKM06Kvy052iBv
Jkssb Previous Solved Papers
https://www.youtube.com/playlist?list=PLrnGz1XxJ7fgUeZu-gWJ3dEXFWY9MXq9N
General Studies MCQ
https://www.youtube.com/playlist?list=PLrnGz1XxJ7fix3RyUKoxPG-971XLagrU3
____________________________________________
SOCIAL MEDIA
Facebook-Page:-https://www.facebook.com/theknowledgerace/
Telegram:-https://t.me/theknowledgerace
Instagram:-https://instagram.com/theknowledgerace?igshid=ji4qnbee6vqp
Blog:-https://theknowledgerace.blogspot.com
#non-communicabledisease
#jkssbFAA</t>
  </si>
  <si>
    <t>Watch the best episodes of Gandang Gabi Vice!
Subscribe to the ABS-CBN Entertainment channel! - http://bit.ly/ABS-CBNEntertainment
Watch your favorite Kapamilya shows LIVE! Book your tickets now at http://bit.ly/KTX-GandangGabiVice
Watch the full episodes of Gandang Gabi Vice on TFC.TV  
http://bit.ly/GGV-TFCTV
and on iWant for Philippine viewers, click: 
http://bit.ly/GGV-iWant
Visit our official websites! 
https://entertainment.abs-cbn.com/tv/shows/ggv/main
http://www.push.com.ph
Facebook: http://www.facebook.com/ABSCBNnetwork
Twitter: https://twitter.com/ABSCBN 
Instagram: http://instagram.com/abscbn
#GandangGabiVice
#ABSCBNGandangGabiVice
#BestOfGGV</t>
  </si>
  <si>
    <t>This video will give you information about the Community based assessment Checklist for early detection of Non-communicable diseases, Tuberculosis and Cancer. 
My other YouTube Channel (Hari theNursing Guru) : https://www.youtube.com/c/HariNagar050889
Other Social Links:
Facebook: facebook.com/hari.nagar.98031
Instagram: https://www.instagram.com/invites/contact/?i=1v3lvl60r26xd&amp;utm_content=2nga5if
Facebook page: https://www.facebook.com/Harinagar050889/
Merchandise: https://www.youtube.com/channel/UCHIGKZPUpEA4RWTVH3boF6w/store
Youyube Channel Membership: https://www.youtube.com/channel/UCHIGKZPUpEA4RWTVH3boF6w/join</t>
  </si>
  <si>
    <t>TLE Quarter 1:Module 1: Housekeeping 7 
Lesson 2: Practice Occupational Health and Safety Procedure part 1 (with voice over)
Instructions and Lesson</t>
  </si>
  <si>
    <t>Les Mills brings you a free 45-minute cardio workout! No equipment needed.
Go for the knockout today in your final workout, with 7 tracks of mixed martial arts-inspired magic, including a taste of Muay Thai. BODYCOMBAT is an energy-packed mix of martial arts moves that will get you fit, fast and strong – and leave you feeling fierce and empowered.
Try LES MILLS On Demand FREE for 14 days here: https://lmod.co/onlineworkouts
Try BODYCOMBAT at home with LES MILLS On Demand: https://www.lesmills.com/ondemand/workouts/cardio/bodycombat/
Shop Reebok x Les Mills: https://www.reebok.com/lesmills 
Sign-up to the free BODYCOMBAT 28 day training program: https://www.lesmills.com/trybodycombat
Find us on social:
https://www.instagram.com/lesmills
https://www.instagram.com/lesmillsondemand
https://www.facebook.com/lesmills</t>
  </si>
  <si>
    <t>Grade 10</t>
  </si>
  <si>
    <t>Join MRS. DOREN M. LATOZA as she discusses SELF-MONITORING FOR PREVENTING DISEASES of Grade 8 HEALTH.
Simultaneous broadcast at 98.3 Gold FM at 3:30 PM on February 25, 2021 (Thursday) in Salida TeleRadyo Eskwela. See you…
Edited by Ms. Jolly Mae Conchas with Mrs. Jermelyn Covita and Mrs. Jocelyn Quiachon.</t>
  </si>
  <si>
    <t>In the previous lesson, you have learned about mental health, understanding stress, common areas of stressors that affect adolescents coping with stress, dying and death. You also learned about types and management of common mental disorders. In the quest of healthy living, the next chapter deals with prevention and control diseases.
       Disease is a particular abnormal condition and a disorder of a structure or function, that affects part or all of an organism. It is often interpreted as a medical condition associated with specific symptoms and signs. There  are two categories of disease. Communicable diseases are caused by pathogen or disease –causing organisms and can be transmitted from one person to another or from animals to people. Examples include common cold, influenza, cholera, dengue fever, tuberculosis and warts. These diseases can be avoided by taking preventive measures. 
        On the other hand, non communicable disease (NCD) cannot be transmitted from one person to another. Many of these diseases are caused by unhealthy lifestyle. Some do not cause problems until the person is quite old. Examples of non-communicable disease include cardiovascular disease, cancer and diabetes.
    As a grade 7 student, it is your responsibility to impart knowledge and be an advocate for health to your fellow students, family and community that you live in. 
Are you now ready to shield yourself against diseases? 
 Credits to the following:
DepEd Physical Education and Health 7 Learning Materials
Video from Florida Pass Program 
Photos from Lamudi.com.ph
Sound from Bensound.com.ph
Thank you for watching please subscribe, like and share.</t>
  </si>
  <si>
    <t>เมื่อใบหน้าหล่อๆของ “พี่ต่อ” (นนน กรภัทร์) กลายเป็นต้นเหตุให้ดาวโรงเรียนสุดป๊อปอย่าง “หลินหลิน” (ใยไหม ชินารดี) ต้องถูกจดจำว่า “เคยช่วยตัวเองให้คนดูมาแล้วทั่วโลก”!!
.
พบปฐมบทของซีรีส์รวมภาพยนตร์สั้น ที่จะมาตีแผ่ด้านมืดแห่งโลกโซเชียล กับความจริงอันน่ากลัว ที่อาจอยู่ใกล้ตัวกว่าที่คุณคิดใน “หลุด (THE LEAKED)” Chapter 1 "น้องช่วยตัวเองเป็นมั้ย?"
.
นำแสดงโดย...
"ใยไหม" ชินารดี อนุพงษ์ภิชาติ (รับบท "หลินหลิน")
"นนน" กรภัทร์ เกิดพันธุ์ (รับบท "ต่อ")
"ถุงแป้ง" ภัทรวดี เหลาสา (รับบท "ขวัญ")
"ปังญ่า" ปัญจ์ลักษณ์ ภักดีวิจิตร (รับบท "ปังญ่า")
"ครีน" โคร์รีน โอโร๊ค (รับบท "น้ำฟ้า")
"ฟังก์ชั่น" วลัญช์ภัทร รัศมีเจริญธรรม (รับบท "สันติ")
"จ๊ะจ๋า" จินต์จุฑา ศิริเพ็ง (รับบท "ดาว")
#หลุด #TheLeaked #TheLeakedChapter1</t>
  </si>
  <si>
    <t>Disease has always plagued living things. Some diseases are passed from one person to the next through infections such as influenza. Others develop because of environmental problems such as smoking or through cellular mutation. The medical community works to understand and treat all forms of human disease.
Grade : 5 
Subject :  Environmental Science
Lesson : Organ Systems of the Body 
Topic: Diseases
Useful for CBSE, ICSE, NCERT &amp; International Students</t>
  </si>
  <si>
    <t>Register for FREE at http://deltastep.com or download our mobile app: https://bit.ly/3akrBoz to get all learning resources as per ICSE, CBSE, IB, Cambridge &amp; other curricula. To know more: call 9674645164 or write to us at info@deltastep.com
DeltaStep is a social initiative by graduates of IIM-Ahmedabad, IIM-Bangalore, IIT-Kharagpur, ISI-Kolkata, Columbia University (USA), NTU (Singapore) and other leading institutes. At DeltaStep, we understand that just like every child has a unique face, a unique fingerprint; she has a unique learning ability as well. Hence we have built an intelligent adaptive learning system that delivers a tailor-made learning solution and helps a student to learn at her own pace because when it comes to learning, one size does not fit all. 
Some of our salient features:
• Over 5000 amazing lectures across Maths, Physics, Chemistry, Biology, History, Geography and English. Our unique interactive video technology keeps you engaged and our iDictionary feature allows you to quickly revise any concept.
• Master each topic at your own pace with our adaptive practice technology &amp; 1 million + questions. Get instant answers &amp; detailed solutions.
• Be exam ready by taking unlimited mock tests.
• Performance analysis along with actionable feedback.
• Personal tutors to resolve your slightest of doubts.
That’s not all, you can also win amazing prizes like playstation, iPad, watches and many more along with certificates through our Earn as your Learn program. So at DeltaStep, learning is not just fun &amp; easy, it is rewarding too. 
So, register for FREE now.</t>
  </si>
  <si>
    <t>The overall goal of this first lecture in the Certificate of Professional Practice in the Epidemiology and Control of Non-communicable Diseases is to introduce you to epidemiology as a field of study, including critical concepts such as descriptive versus analytical epidemiology, as well as the role of epidemiology in the surveillance and control of NCDs.</t>
  </si>
  <si>
    <t>Crash Course A&amp;P continues the journey through sensory systems with a look at how your sense of hearing works. We follow sounds as they work there way into the ear where they are registered and transformed into action potentials. This mechanism not only helps you hear but also helps maintain your equilibrium.
Pssst... we made flashcards to help you review the content in this episode! Find them on the free Crash Course App! 
Download it here for Apple Devices: https://apple.co/3d4eyZo
Download it here for Android Devices: https://bit.ly/2SrDulJ
Table of Contents
Choclea, Basilar Membrane, and Hair Cells Register and Transduct Sound into Action Potentials
The Vestibular Apparatus Responds to Specific Motions
Keep Your Equilibrium 7:36
***
Crash Course is now on Patreon! You can support us directly by signing up at http://www.patreon.com/crashcourse
Thanks to the following Patrons for their generous monthly contributions that help keep Crash Course free for everyone forever:
Mark Brouwer, Jan Schmid, Steve MarshallAnna-Ester Volozh, Sandra Aft, Brad Wardell, Christian Ludvigsen, Robert Kunz, Jason, A Saslow, Jacob Ash, Jeffrey Thompson, Jessica Simmons, James Craver, Simun Niclasen, SR Foxley, Roger C. Rocha, Nevin, Spoljaric, Eric Knight, Elliot Beter, Jessica Wode
***SUBBABLE MESSAGES***
TO: My Student
FROM: Earle
Check out www.youtube.com/amorsciendi for supplementary content.
--
TO: Everyone
FROM: Magnus Krokstad
Keep dreaming!
***SUPPORTER THANK YOU!***
Thank you so much to all of our awesome supporters for their contributions to help make Crash Course possible and freely available for everyone forever:
Belinda Pearson
Caroline S.
Ariela Karp and Gavi Lazan
Elizabeth Gregory
Amelia Gorlick
Andrea Black
Bill Wolf
Patrick Audley
Caitrin McCullough
Brandi Gates
--
Want to find Crash Course elsewhere on the internet?
Facebook - http://www.facebook.com/YouTubeCrashCourse
Twitter - http://www.twitter.com/TheCrashCourse
Tumblr - http://thecrashcourse.tumblr.com 
Support Crash Course on Patreon: http://patreon.com/crashcourse
CC Kids: http://www.youtube.com/crashcoursekids</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</si>
  <si>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Vishal Punwani.
Watch the next lesson: https://www.khanacademy.org/test-prep/nclex-rn/rn-infectious-diseases/tuberculosis-rn/v/what-is-tb?utm_source=YT&amp;utm_medium=Desc&amp;utm_campaign=Nclex-rn
Missed the previous lesson? https://www.khanacademy.org/test-prep/nclex-rn/rn-infectious-diseases/malaria-rn/v/treatment-of-malaria?utm_source=YT&amp;utm_medium=Desc&amp;utm_campaign=Nclex-rn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</si>
  <si>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Learn more about how viruses spread from one person to the next, also known as the chain of infection.</t>
  </si>
  <si>
    <t>There are a number of ways that we can help to prevent TB from spreading, learn some of the most common ones. Rishi is a pediatric infectious disease physician and works at Khan Academy.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Stanford School of Medicine.
Watch the next lesson: https://www.khanacademy.org/test-prep/nclex-rn/rn-infectious-diseases/tuberculosis-rn/v/preventing-tb-using-the-4-i-s?utm_source=YT&amp;utm_medium=Desc&amp;utm_campaign=Nclex-rn
Missed the previous lesson? https://www.khanacademy.org/test-prep/nclex-rn/rn-infectious-diseases/tuberculosis-rn/v/diagnosing-active-tb?utm_source=YT&amp;utm_medium=Desc&amp;utm_campaign=Nclex-rn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</si>
  <si>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Support me: 
_xD83D__xDDBC_️ Buy PDFs: http://armandoh.org/shop 
_xD83D__xDCB5_ Patreon: http://www.patreon.com/armando
_xD83D__xDC55_ Buy shirts: https://teespring.com/stores/ah-7
Social media: 
_xD83D__xDCF7_ Instagram: http://instagram.com/armandohasudungan
_xD83D__xDC26_ Twitter: https://twitter.com/armandohasudung
_xD83D__xDCD4_ Facebook: https://www.facebook.com/ArmandoHasudungan
Resources:
_xD83D__xDCD5_ Books: http://armandoh.org/resource
_xD83C__xDF9E_️ Equipment: armandoh.org/armando-faigl
You can send me mail:
_xD83D__xDCEB_ PO BOX 166, Randwick NSW 2031, Australia</t>
  </si>
  <si>
    <t>In this video Paul Andersen answers the very simple question: What is cancer?  He explains how damage to the DNA can create uncontrolled cell growth.  He explains how malignant tumors can spread the disease throughout the body and gives possible treatments.
Do you speak another language?  Help me translate my videos:
http://www.bozemanscience.com/translations/
Music Attribution
Title: String Theory
Artist: Herman Jolly
http://sunsetvalley.bandcamp.com/track/string-theory
All of the images are licensed under creative commons and public domain licensing:
Asd.and.Rizzo. English: Cancer Cells Photographed by Camera Attached to Microscope in Time-Lapse Manner., July 23, 2008. Own work. http://commons.wikimedia.org/wiki/File:TimeLapseMicroscopyCancerCells.gif.
BruceBlaus. English: Epidermis. See a Full Animation of This Medical Topic., January 29, 2014. Own work. http://commons.wikimedia.org/wiki/File:Blausen_0353_Epidermis.png.
"File:Thorax Pa Peripheres Bronchialcarcinom Li OF Markiert.jpg." Wikipedia, the Free Encyclopedia. Accessed March 23, 2014. http://en.wikipedia.org/wiki/File:Thorax_pa_peripheres_Bronchialcarcinom_li_OF_markiert.jpg.
Häggström, Mikael. English: Image for Use in the Human Body Diagrams Project. To Discuss Image, Please See Talk:Human Body Diagrams, May 25, 2011. All used images are in public domain. http://commons.wikimedia.org/wiki/File:Man_shadow_with_organs.png.
Meyer, D. Glivec (Gleevec) Film Tablet Made by Novartis., July 2, 2006. Photo made by myself. http://commons.wikimedia.org/wiki/File:Glivec_tablet.jpg.
Sponk, Difference_DNA_RNA-EN svg: *Difference_DNA_RNA-DE svg: English: DNA in Eukaryote Cell, August 5, 2012. This file was derived from: Difference_DNA_RNA-EN.svg  Chromosome.svg  Animal_cell_structure_en.svg. http://commons.wikimedia.org/wiki/File:Eukaryote_DNA.svg.</t>
  </si>
  <si>
    <t>Current medical treatment boils down to six words: Have disease, take pill, kill something. But physician Siddhartha Mukherjee points to a future of medicine that will transform the way we heal.
TEDTalks is a daily video podcast of the best talks and performances from the TED Conference, where the world's leading thinkers and doers give the talk of their lives in 18 minutes (or less). Look for talks on Technology, Entertainment and Design -- plus science, business, global issues, the arts and much more.
Find closed captions and translated subtitles in many languages at http://www.ted.com/translate
Follow TED news on Twitter: http://www.twitter.com/tednews
Like TED on Facebook: https://www.facebook.com/TED
Subscribe to our channel: http://www.youtube.com/user/TEDtalksDirector</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</si>
  <si>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Vishal Punwani.
Watch the next lesson: https://www.khanacademy.org/test-prep/nclex-rn/rn-infectious-diseases/rn-hiv-and-aids/v/how-hiv-infects-us-mucous-membranes-dendritic-cells-and-lymph-nodes?utm_source=YT&amp;utm_medium=Desc&amp;utm_campaign=Nclex-rn
Missed the previous lesson? https://www.khanacademy.org/test-prep/nclex-rn/rn-infectious-diseases/rn-hiv-and-aids/v/how-hiv-infects-us-mucous-membranes-dendritic-cells-and-lymph-nodes?utm_source=YT&amp;utm_medium=Desc&amp;utm_campaign=Nclex-rn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</si>
  <si>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Many technologies have promised to revolutionize education, but so far none has. With that in mind, what could revolutionize education?
These ideas have been percolating since I wrote my PhD in physics education: http://www.physics.usyd.edu.au/super/theses/PhD(Muller).pdf
I have also discussed this topic with CGP Grey, whose view of the future of education differs significantly from mine: https://www.youtube.com/watch?v=7vsCAM17O-M
I think it is instructive that each new technology has appeared to be so transformative. You can imagine, for example, that motion pictures must have seemed like a revolutionary learning technology. After all they did revolutionize entertainment, yet failed to make significant inroads into the classroom. TV and video seem like a cheaper, scaled back film, but they too failed to live up to expectations. Now there is a glut of information and video on the internet so should we expect it to revolutionize education?
My view is that it won't, for two reasons: 1. Technology is not inherently superior, animations over static graphics, videoed presentations over live lectures etc. and 2. Learning is inherently a social activity, motivated and encouraged by interactions with others.
Filmed and edited by Pierce Cook
Supported by Screen Australia's Skip Ahead program.
Music By Kevin MacLeod, www.incompetech.com "The Builder" and by Amarante Music: http://www.amarantemusic.com</t>
  </si>
  <si>
    <t>www.tedxfremont.com What food habits do all great civilizations have in common? John McDougall suggests that starch-based diets are the foods humans were born to eat. He has been studying, writing, and speaking out about the effects of nutrition on disease for over 40 years and is a bestselling author of several titles, including The Starch Solution.
www.drmcdougall.com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</si>
  <si>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Emma Giles.
Watch the next lesson: https://www.khanacademy.org/test-prep/nclex-rn/rn-nervous-system-diseases/rn-parkinsons-disease/v/the-basal-ganglia-the-direct-pathway?utm_source=YT&amp;utm_medium=Desc&amp;utm_campaign=Nclex-rn
Missed the previous lesson? https://www.khanacademy.org/test-prep/nclex-rn/rn-nervous-system-diseases/rn-parkinsons-disease/v/movement-signs-and-symptoms-of-parkinsons-disease?utm_source=YT&amp;utm_medium=Desc&amp;utm_campaign=Nclex-rn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</si>
  <si>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Eliminating 90% of humanity’s ailments is simpler than we think – we just have to handle two things. Sadhguru explains.
To watch this video in Gujarati - https://youtu.be/UDoOCdVobb8
#Sadhguru
Yogi, mystic and visionary, Sadhguru is a spiritual master with a difference. An arresting blend of profundity and pragmatism, his life and work serves as a reminder that yoga is a contemporary science, vitally relevant to our times. 
Sadhguru Exclusive (Register Now)
⚡ http://isha.co/ex-yt 
Sadhguru App (Download)
_xD83D__xDCF1_http://onelink.to/sadhguru__app
Official Sadhguru Website 
_xD83C__xDF0E_ http://isha.sadhguru.org 
Donate Towards Crafting A Conscious Planet
_xD83D__xDE4F_ https://isha.sadhguru.org/sanghamitra
Offerings from Sadhguru in Challenging Times 
_xD83C__xDF3C_ https://isha.sadhguru.org/sadhana-support
Guided Yoga &amp; Meditations by Sadhguru (Free Online)
_xD83C__xDF3C_ http://isha.sadhguru.org/5-min-practices
_xD83C__xDF3C_ http://isha.sadhguru.org/IshaKriya
Inner Engineering Online Program
50% off  | FREE for COVID Warriors
_xD83C__xDF3C_ http://isha.co/IEO-YT (Register Now)
Official Social Profiles of Sadhguru  (Subscribe)
_xD83C__xDF10_ https://youtube.com/sadhguru?sub_confirmation=1
_xD83C__xDF10_ https://facebook.com/sadhguru
_xD83C__xDF10_ https://instagram.com/sadhguru
_xD83C__xDF10_ https://twitter.com/SadhguruJV
_xD83C__xDF10_ https://t.me/Sadhguru</t>
  </si>
  <si>
    <t>The World Health Organization estimates that Non Communicable Diseases (NCDs) will affect around 52 million people worldwide by 2030 - doubling the 1980 figures. Indonesia is also witnessing a rise in the number of NCD cases, with stroke, diabetes, ischemic heart disease, and chronic respiratory diseases being among the leading causes of death based on the country’s official mortality statistics.
In November’s edition of Colloqumotion, Dr. Budi Wiweko (an Obstetrics and Gynecology specialist) explained the relationship between NCDs and maternal health, neonatal and infant mortality; and Dr. Nunik Kusumawardani, S.Km, M.Sc from the Ministry of Health who discussed projects, policies and other steps the Indonesian Government were working to put in place to address the problem in line with SDG #3- Good Health and Well-Being.</t>
  </si>
  <si>
    <t>Fakultas Keperawatan</t>
  </si>
  <si>
    <t>High School Health Class - Flipped Classroom</t>
  </si>
  <si>
    <t>Dr.Tesfaye Yilma and Dr.Gizaw Erena explain the risk factors and preventions of noncommunicable diseases(hypertension and cardiovascular) on ETV's "Tenawo Bebetwo" live health show . Wondwosen Tilahun hosts the program.</t>
  </si>
  <si>
    <t>Joint Mission of the United Nations Inter-Agency Task Force</t>
  </si>
  <si>
    <t>For the past three years, we, at UN Global Pulse, have been working with UNOSAT to build a software tool that leverages artificial intelligence to identify and count structures from satellite images. From there, we expanded to a web-based toolkit that can be easily adapted to other remote sensing applications and which allows incorporation of models created by other users.
We already have three models loaded into the system - one that allows users to map structures in refugee settlements; a roof density detection model that can be used for example, to infer the type of neighborhood by looking at the size and proximity of its roofs; and a flood mapping model. 
Check out the microsite: https://www.unglobalpulse.org/microsite/pulsesatellite</t>
  </si>
  <si>
    <t>Foresight and futures thinking have long been integral parts of Science, Technology and Innovation (STI) policies. They are also core to the Agenda 2030 and the Sustainable Development Goals, as a means to define pathways and promote collective action towards a desired future. Over the past year, their importance has grown even more, as the COVID-19 pandemic has exposed the need to improve our ability to anticipate the future and prepare better for such crises.
The need to couple foresight capabilities and futures thinking more systematically in policy planning, implementation and monitoring has become evident. As the world prepares to build back better, we want to reinvigorate the discussion on how we can better harness futures and foresight as part of the STI agenda, for sustainable development, peace and humanitarian action.
This 1-hour side event is hosted by the Permanent Mission of Finland to the UN and UN Global Pulse. The dialogue will highlight and discuss how the role of futures thinking, innovative foresight practices and new tools for strategic anticipation plays into building back better and improving policy design to further implement the Agenda 2030. The event builds on Finland’s experience in systematically promoting a culture of foresight and institutionalizing foresight capabilities in its political and administrative structures.</t>
  </si>
  <si>
    <t>Pulse Satellite is our human-AI interaction tool for satellite image analysis. It was developed and refined over the last three years in collaboration with our colleagues in UNOSAT. It currently consists of three models: settlement mapping, roof density, and flood mapping. Here, we detail the first model that shows how the tool allows users to perform automated counts in refugee settlements.</t>
  </si>
  <si>
    <t>Qatalog is a multi-faceted tool for accessing and analyzing numerous data sources including PDF documents, radio, and historical social media data related to specific topics, themes, and discussions, developed by UN Global Pulse. The name QATAlog describes the main pipeline for data analysis: Query, Assign, Tag, and Analyse. The tool allows users to extract useful information from sources of big data and analyse it for topics of interest using a combination of optimized manual annotations techniques and automatic helpers that include translation, geolocation, and machine learning-driven text classification. Users can visualise the volumes of annotated content over time and space, and can download the raw data for further analysis.</t>
  </si>
  <si>
    <t>Published with permission from United Nations ESCAP
The use of modern technologies, such as mobile phones or social media generate data about people’s movements, activities and opinions. When analyzed in a privacy-preserving manner, these data could translate into valuable insights and statistics to inform public policy. National statistical offices in Asia-Pacific region have been exploring ways of generating social and demographic statistics from big data sources, with most pilots focusing on human mobility and migration statistics.
This session showcased several country examples in Asia-Pacific region of compiling social and demographic statistics using big data, in particular the mobile phone data. The discussions focused on data access and privacy, big data integration, and scaling up big data pilots.</t>
  </si>
  <si>
    <t>http://healthypets.mercola.com/sites/healthypets/archive/2011/01/18/causes-and-symptomes-of-respiratory-diseases-in-pet-cats.aspx - Dr. Karen Becker, a proactive and integrative wellness veterinarian, discusses the causes of respiratory diseases in cats and ways in which they can be treated.
Subscribe for the latest health news: http://bit.ly/2qLgWRW
Visit our website: http://bit.ly/2CA9VGn
Listen to our podcasts:  http://bit.ly/2X87Z18
Find us on Social Media
Facebook: https://www.facebook.com/doctor.health
MeWe: https://mewe.com/p-front/dr.josephmer...
Instagram: https://www.instagram.com/drmercola
Twitter: https://twitter.com/mercola</t>
  </si>
  <si>
    <t>At Pulse Lab Jakarta, we’ve been working with our government counterparts and others including UN agencies on a variety of fronts in relation to COVID-19. For the last several months, we have been working with Jabar Digital Service (JDS), the Ministry of National Development Planning (Bappenas) as well as UNICEF Indonesia to develop a COVID-19 risk assessment map for West Java province in Indonesia. From methodology to user testing, this video describes how we went about developing the map which identifies hotspots in West Java with higher risk for COVID-19 spread.</t>
  </si>
  <si>
    <t>This video was produced for the 60th anniversary of the World Health Organization. It features special guests and children as they breathe life into WHO Constitution and give us their ultimate wish for the future of health.
Featured in the video are:
Dr Suniti Soloman
Ban Ki-moon
Desmond Tutu
Luis Figo
Mehriban Aliyeva
Dr Julie Gerberding
Jackie Chan
Thoraya Ahmed Obaid
Dr Halfdan Mahler
Ted Turner
Jet Li
Dr Peter Piot
Dr Julian Lob-Levyt
Professor Peter Boyle
Markku Niskala
Children of the International School Geneva La Chataigneraie 
WHO Staff</t>
  </si>
  <si>
    <t>Inferring High Spatiotemporal Air Quality Index- A Study in Bangkok</t>
  </si>
  <si>
    <t>http://www.nucleushealth.com/ - This 3D medical animation depicts the anatomy and the layers of the meninges that cover the brain and spinal cord.  It shows how viruses might spread, infect, and cause viral meningitis.  The symptoms of viral meningitis between children and adults are listed, and treatments for the symptoms of viral meningitis are shown.
#ViralMeningitis #BrainInflammation #Meninges
ANH12083</t>
  </si>
  <si>
    <t>Countries can reduce the staggering burden of noncommunicable diseases (NCDs), and save and generate resources for health and other services, by investing in measures to prevent and treat conditions like heart and lung disease, cancer and diabetes. The UN Interagency Task Force on NCDs, co-led by WHO and UNDP, is conducting investment cases in countries to demonstrate the massive costs associated with NCDs and cost-effective measures that can be taken to promote health and reduce human suffering and economic losses from these diseases.
More information: www.who.int/ncds/un-task-force/en</t>
  </si>
  <si>
    <t>Thomas R. Frieden, director of U.S. Centers for Disease Control and Prevention and administrator of the Agency for Toxic Substances and Disease Registry, discusses the challenges facing low- and middle-income countries in combating non communicable diseases.
This session is part one of the two session meeting, Non Communicable Diseases and the New Global Health.
SPEAKER:
Thomas R. Frieden
PRESIDER:
Jo Ivey Boufford
http://www.cfr.org/global-health/rise-ncds-low--middle-income-countries-video/p28966</t>
  </si>
  <si>
    <t>Learn more: http://pulitzercenter.org/projects/asia-india-non-communicable-disease-infection-death-public-health-poverty-wealth-NCD
Non communicable diseases (NCD's) cause 63 percent of all cases of death in the world. In India heart attacks, diabetes and cancer are increasing within the wealthy and the poor. Martina Merten reports for the Pulitzer Center.
This report is part of the Pulitzer Center sponsored project: "Cause and Effects of the Increase of Non-communicable Diseases in India"</t>
  </si>
  <si>
    <t>Non-communicable diseases (NCDs) pose an enormous threat to global health and development. The amazing thing about them is that we can each act to improve our own lives.</t>
  </si>
  <si>
    <t>When you get the flu, viruses turn your cells into tiny factories that help spread the disease. In this animation, NPR's Robert Krulwich and medical animator David Bolinsky explain how a flu virus can trick a single cell into making a million more viruses.
See and hear the rest of the story on NPR.org: http://www.npr.org/templates/story/story.php?storyId=114075029
Credit: Robert Krulwich, David Bolinsky, Jason Orfanon
Copyright © 2009 NPR. All rights reserved. Visit our website terms of use for further information.
https://www.npr.org/about-npr/179876898/terms-of-use
For permission to reuse this video, visit our permissions pages at npr.org
https://www.npr.org/about-npr/179881519/rights-and-permissions-information</t>
  </si>
  <si>
    <t>We're going to be focusing on arms, abs, shoulders, and more! These exercises will have your torso toned in no time, and cardio will keep your body burning fat during this 10-minute workout! Not sure where to start? Kickstart your healthy lifestyle, enter your email to receive your FREE workout &amp; meal plan - https://rebecca-louise.com
★ The #1 Daily Fitness &amp; Nutrition App - BURN by Rebecca Louise. Get your 7-day FREE trial TODAY!Not sure what workout to do when or what to eat to get the fastest results? No problem, this will solve your questions and get you toned in no time!
Desktop - https://icanfeeltheburn.com
iOS - https://apple.co/2Kj3NYG
Android - http://bit.ly/burnbyrebecca
Join our community!
Instagram: https://www.instagram.com/rebeccalouisefitness
Facebook: https://www.facebook.com/rebeccalouisefitness
Website: http://rebecca-louise.com/
Podcast Channel: http://bit.ly/2uyjy5h
Have a question..? Drop it below!
Subscribe to the channel and always stay on track! - http://bit.ly/2voMxWO</t>
  </si>
  <si>
    <t>Noncommunicable diseases such as cancer, cardiovascular disease, and diabetes—the most common causes of deaths in wealthier countries—are increasingly common in developing countries. NCDs now account for most deaths and their prevalence is rising. Both the risk factors that contribute to and the positive health behaviors that can prevent NCDs typically start in youth. This video outlines the global rise in NCDs and what measures taken during youth can prevent future NCDs.
PRB informs people around the world about population, health and the environment, and empowers them to use that information to advance the well-being of current and future generations. Find out more about PRB at our website, www.prb.org.</t>
  </si>
  <si>
    <t>To license this video for patient education or content marketing, visit: https://healthcare.nucleusmedicalmedia.com/contact-nucleus  Ref: ANH13094
This video, created by Nucleus Medical Media, describes Hepatitis A and B.  This animation begins by showing a healthy liver and explaining its function. The animation then goes on to explain the causes of Hepatitis A and B, how these viruses may be transmitted, the effects the virus can have on the liver as well as possible treatments.
#HepatitisA #HepatitisB #Liver</t>
  </si>
  <si>
    <t>ORIGINALLY RECORDED July 21, 2011
Experts discuss the importance of prevention and control of  non-communicable diseases, as well as the need for the United States and  the United Nations to play a larger role.
SPEAKERS:
Nils Daulaire, U.S. Representative, Executive Board, World Health Organization; Director, Office of Global Affairs, Office of the Secretary,  U.S. Department of Health and Human Services
 Babatunde Osotimehin, Executive Director, United Nations Population Fund; Undersecretary-General, United Nations
 Derek Yach, Senior Vice President of Global Health and Agriculture Policy, PepsiCo
PRESIDER:
Sheri L. Fink, Bernard L. Schwartz Senior Fellow, New America Foundation
http://www.cfr.org/health-and-disease/challenge-non-communicable-diseases-video/p25526</t>
  </si>
  <si>
    <t>Some 18 million women of reproductive age die each year from non-communicable diseases (NCDs). The compounding effects of NCDs complicate women’s experiences in many unseen ways, and the rise and gravity of NCDs pose a growing and often overlooked challenge to maternal health worldwide. The CODE BLUE series will highlight seven NCDs most threatening to maternal health: cardiovascular disease, diabetes, hypertension, thyroid disease, cancer, multiple sclerosis, and mental health disorders. 
Please join the Wilson Center’s Maternal Health Initiative, in partnership with EMD Serono, a business of Merck KGaA, Darmstadt, Germany, in our first public event of the CODE BLUE series. Hear from experts on the effects of NCDs on women of reproductive age and maternal mortality, smart innovations and programs designed to reduce the burden of NCDs, as well as gaps in research, policy, and funding.</t>
  </si>
  <si>
    <t>Canadian Trade Minister Mary NG says that with simplified trade processes,  USMCA member nations will become  global leaders in the clean energy vehicle market.</t>
  </si>
  <si>
    <t>US Congressman Kevin Brady says IP theft and protectionist restrictions on data transfers are amongst the many challenges the United States, Mexico and Canada, will need to address.</t>
  </si>
  <si>
    <t>Mexican Secretary of the Economy Tatiana Clouthier credits the USMCA agreement for labor reforms.</t>
  </si>
  <si>
    <t>NFTs are Non-Fungible Tokens that everyone wants to know more about. Everyone is asking what is NFT, how does NFT works, Where can i buy NFT, people are searching for NFT explained videos.
In recent times, a digital artist has sold NFTs worth ~$70 M and the chatter about NFT has never been higher. In this video, I have discussed introductory information about few basic questions around NFTs.
if you like the video, do hit the like button. Let me know your thoughts about the video in the comment section. Share the video with your friends and subscribe for more such videos.
-------------------------------------------------------------------------------------------------------------------------
Visit CoinSwitch Kuber: https://coinswitch.co/in/refer?tag=gQDW
To stay updated with crypto related news subscribe to CoinSwitch Kuber YouTube Channel: https://www.youtube.com/channel/UCcut1207KRCj6McKa9AHA2g
-------------------------------------------------------------------------------------------------------------------------
Support my work: 
Patreon: https://patreon.com/AnOpenLetter
Join this channel: https://www.youtube.com/channel/UCPJ_UzD4PEC-_vwN32amlIQ/join
Instamojo: https://imjo.in/sVq9Dq
-------------------------------------------------------------------------------------------------------------------------
Timestamps: 
00:00 What are NFTs?
01:24 How do NFTs work?
01:35 Uses of NFTs?
02:29 Sponsor Segment
03:43 Where to buy NFTs?
04:11 Cryptocurrency's Rising Relevance
05:17 Is NFT a Bubble?
05:54 Environmental Impact of NFTs?
06:51 Outro
-------------------------------------------------------------------------------------------------------------------------
watch more videos here:
op-eds: https://youtube.com/playlist?list=PLZmNw8lPPS9G17mzs4hL6DdrkZwKI7oWJ
explainers: https://youtube.com/playlist?list=PLZmNw8lPPS9HyWpf2lbNFkuV-PFKsDLtL
-------------------------------------------------------------------------------------------------------------------------
Follow my handle @anopenletter001 on Facebook, Instagram, and Twitter.
Instagram: https://www.instagram.com/anopenletter001
Twitter: https://twitter.com/anopenletter001
Medium:  https://medium.com/@anopenletter001
Facebook: https://www.facebook.com/AnOpenLetter001
-------------------------------------------------------------------------------------------------------------------------
My gears - 
lapel Mic - https://amzn.to/3hdFurQ
blue yeti Mic - https://amzn.to/2WvkCo4
Laptop (I have AMD variant, this one is for intel) - https://amzn.to/32vbfZa
Tripod - https://amzn.to/3jfIc1G
Light Umbrella - https://amzn.to/39bjVFe
Light Stand - https://amzn.to/3983YQl
LED Light - https://amzn.to/3jeROd3
Camera - https://amzn.to/2ODRFle
Mic arm (blue yeti doesn't fit here though) - https://amzn.to/2WzJFGn
-------------------------------------------------------------------------------------------------------------------------
search queries:
NFTs
NFTs explained
What are Non Fungible Tokens
Non Fungible Tokens
NFT Cryptocurrency, Explained
-------------------------------------------------------------------------------------------------------------------------
#NFT #Cryptocurrency #Blockchain</t>
  </si>
  <si>
    <t>The Palestinian-Israeli conflict once again rose to the international agenda in May, as Israel and Hamas engaged in a bloody 11-day war. Following a tense confrontation between Israeli police and Palestinian protestors at the Al-Aqsa Mosque Compound, Hamas militants in Gaza fired long-range rockets toward Jerusalem. Over the next 11 days, Israel carried out air strikes aimed at Hamas military infrastructure and Hamas fired rockets into Israel – at least 230 Palestinians and 12 Israelis were killed.
On May 21, the fighting stopped when a ceasefire mediated by the Egyptian government took effect. This panel welcomes Ambassador Motaz Zahran, Ambassador of Egypt to the United States, to discuss Egypt’s role in brokering the negotiation and Acting Assistant Secretary Joey Hood to comment on the Biden administration’s reaction. The Washington Institute's David Makovsky joins to discuss his views based on just completed travel to Israel and the West Bank. Chair of the Middle East Program Ambassador James Jeffrey will discuss the geostrategic implications of the ceasefire and conflict.</t>
  </si>
  <si>
    <t>Presented by Dr. Robin DiAngelo during Highline College's MLK Week, January, 2016.</t>
  </si>
  <si>
    <t>It is a normal hygienic procedure to clean our ears once every few days. However, not all of us know that ear wax can also indicate the state of our health. With the help of a Q-tip, you can check the color of your ear wax and understand what it means. 
TIMESTAMPS
What do we know about the human ear? 0:35
Ear wax of a gray color 1:28
Ear wax with traces of blood 2:09
Ear wax of a brown color 3:02
Ear wax of a black color 3:40
Ear wax of a white color 4:25
Ear wax with an unpleasant smell 5:14
Liquid ear wax 6:03
Dry earwax 6:36
See a doctor if you have the following symptoms 7:06
What you shouldn't do to avoid any problems 8:14
Three most interesting facts about your ears 8:47
SUMMARY
Ear wax is not a body waste to get rid of regularly, quite the contrary - it's a kind of protection. It keeps the ear canal lubricated, therefore, prevents the ears from itching. Moreover, it prevents different pollutants from entering the inner ear. Even more surprisingly, this substance has antibacterial properties. 
Our body is a clever mechanism. Did you know that when we chew, the movement pushes ear wax to the outer part of the ear? This way, your ears self-clean!
If your ears tend to produce a big amount of ear wax creating a build-up, you can take some preventive measures yourself. 
- It's effective to use agents softening the wax. They can be mineral or baby oil, or ear drops. It is enough to put a few drops of these substances into your ear once a week to soften the ear wax and help it to come out faster and with ease. 
- Another way to take care of your ears is to buy a special at-home kit for their irrigation. Follow the instruction precisely step by step. 
Hit the like button and click subscribe to join us on the Bright Side! 
Subscribe to Bright Side : https://goo.gl/rQTJZz
----------------------------------------------------------------------------------------
Our Social Media:
Facebook: https://www.facebook.com/brightside/
Instagram: https://www.instagram.com/brightgram/
SMART Youtube: https://goo.gl/JTfP6L
5-Minute Crafts Youtube: https://www.goo.gl/8JVmuC
Have you ever seen a talking slime? Here he is – Slick Slime Sam: https://goo.gl/zarVZo
----------------------------------------------------------------------------------------
For more videos and articles visit:
http://www.brightside.me/</t>
  </si>
  <si>
    <t>A short animated film produced by the Global Health Media Project http://globalhealthmedia.org in collaboration with Yoni Goodman http://yonigoodman.com.
This film makes visible the invisible cholera germs as a young boy shows how to help the sick and guides his village in preventing the spread of cholera. 
The film shows how to make the basic homemade oral rehydration solution using sugar, salt , and safe water as these items were felt to be most widely available.  However, a solution prepared with a readymade ORS packet is the first choice if supplies are available. 
Director:  Yoni Goodman
Producer:  Deborah Van Dyke
Story:  Deborah Van Dyke,  Yoni Goodman 
Design:  Yoni Goodman
Animation:  Yoni Goodman, Sefi Gayego
Music and Sound Effects:  Uri Kalian
Special Thanks:  Mark Binder, Peter Cardellichio, Ron Koss</t>
  </si>
  <si>
    <t>Claim one week of free access to the MedCircle library to access hundreds of exclusive videos featuring Dr. Ramani: https://bit.ly/35Pu0a1
Here's how to spot the 9 traits of borderline personality disorder (BPD).
MedCircle host Kyle Kittleson sat down with Dr. Ramani Durvasula to discuss how to spot the 9 traits of a highly misunderstood mental health condition, borderline personality disorder.
She answers:
What are the trademarks of borderline personality disorder?
What does it feel like to have borderline personality disorder?
How is BPD different from other personality disorders?
How is BPD different than bipolar disorder?
What are the 9 traits of borderline personality disorder?
Do you have to have all 9 traits to receive a BPD diagnosis?
Dr. Ramani ends the interview with tips for helping a loved one who might have borderline personality disorder. 
If you think a friend or family member is considering suicide, express your concern and seek help immediately. If you are feeling suicidal, call 1-800-273-TALK in the U.S. or visit https://suicidepreventionlifeline.org/.
#BorderlinePersonalityDisorder #MentalHealth #MedCircle</t>
  </si>
  <si>
    <t>Millions of people worldwide participate in the growing phenomenon of esports, the activity where video games are played competitively, much like traditional sports. Thousands of students nationwide are participating in esports, both in K-12 and the collegiate scene. Yet how esports is fitted into educational environments varies. Esports in education can range from treating it as part of the athletics program, an extracurricular activity, a community-based effort, or aligning it to core curriculums. 
What remains consistent is the lack of diversity for both those who play esports and the spaces in which esports occur. Historically Black Colleges and Universities (HBCUs) are trying to change this by supporting the growth of clubs and teams on their campuses; creating curriculums around esports and promoting academic success; and reaching beyond their campus to support young K-12 students.
This programming will focus on how HBCUs are engaging with esports: What does it mean to “do” esports today for HBCUs? What is informing the shape of esports programming on HBCU campuses, and what does the future hold for esports? How can we make esports more diverse? In doing so, we hope to highlight ways to build capacity by showing what is needed to launch an esports program.</t>
  </si>
  <si>
    <t>David Makovsky, the Director of the Koret Program on Arab-Israel Relations at the Washington Institute for Near East Policy, says Hamas sees victory in recent Gaza-Israel escalation.</t>
  </si>
  <si>
    <t>Support and follow us on twitter https://twitter.com/CampaignTB
The Royal family has had many instances of unexplained illnesses and premature death during it's history - George III's 'madness', the downfall of Mary Queen of Scots and Rasputin bringing down the Russian throne, can all be linked back to Queen Victoria. 
This programme explores how, in trying to preserve the bloodline, the monarchy may have spread genetic disease far and wide - from Porphyria wreaking havoc with British royals to Haemophilia finding its way from Buckingham Palace, all the way to Moscow.
#InfectedBloodInquiry #ContaminatedBlood #Haemophilia #TaintedBlood #Hemophilia</t>
  </si>
  <si>
    <t>Wilson Center Director Mark Green recognizes Egypt's role in mediating the recent Israeli-Palestinian cease-fire</t>
  </si>
  <si>
    <t>The EU and the United States are at an impasse when it comes to transatlantic data transfers. After the invalidation of the EU-U.S. Privacy Shield negotiators on both sides of the Atlantic are trying to find a way forward to guarantee privacy rights and enable transatlantic data flows.
This session featuring Peter Swire, a leading U.S. scholar and former government official on these issues, follows the Wilson Center's June 24 discussion with Austrian privacy activist Max Schrems. Having heard perspectives from Europe, we now focus on U.S. perspectives. 
How do U.S. views on privacy rights and data flows compare with European understandings? What might a “comprehensive deal” look like between the U.S. and the EU? What are the fundamental roadblocks and how can they be overcome? Has the appetite for stricter regulations increased in the U.S.?</t>
  </si>
  <si>
    <t>In recent years, Venezuela has witnessed an economic, humanitarian, political, and social collapse. The COVID-19 pandemic has further devastated the Venezuelan economy, leading to even deeper poverty and deprivation.
In May 2021, numerous political parties and civil society organizations in Venezuela issued a call for a process of negotiations to “alleviate the suffering of our people, contribute to the re-institutionalization of the country, with an electoral timetable with conditions that permit Venezuelans to freely decide our future.” The announcement by the opposition Democratic Unity Platform thanked the government of Norway for its efforts to bring about negotiations as well as the international community for its support for a negotiated solution. 
Can negotiations resolve Venezuela’s overlapping crises?  How can the international community best support the efforts to achieve a peaceful, democratic outcome in Venezuela?</t>
  </si>
  <si>
    <t>Learn about some of the common and uncommon risks and benefits associated with the flu vaccine! Rishi is a pediatric infectious disease physician and works at Khan Academy.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Rishi Desai.
Watch the next lesson: https://www.khanacademy.org/science/health-and-medicine/infectious-diseases/influenza/v/making-flu-vaccine-each-year?utm_source=YT&amp;utm_medium=Desc&amp;utm_campaign=healthandmedicine 
Missed the previous lesson? https://www.khanacademy.org/science/health-and-medicine/infectious-diseases/influenza/v/two-flu-vaccines-tiv-and-laiv?utm_source=YT&amp;utm_medium=Desc&amp;utm_campaign=healthandmedicine
Health &amp; Medicine on Khan Academy: No organ quite symbolizes love like the heart. One reason may be that your heart helps you live, by moving ~5 liters (1.3 gallons) of blood through almost 100,000 kilometers (62,000 miles) of blood vessels every single minute! It has to do this all day, everyday, without ever taking a vacation! Now that is true love. Learn about how the heart works, how blood flows through the heart, where the blood goes after it leaves the heart, and what your heart is doing when it makes the sound “Lub Dub.”
About Khan Academy: Khan Academy is a nonprofit with a mission to provide a free, world-class education for anyone, anywhere. We believe learners of all ages should have unlimited access to free educational content they can master at their own pace. We use intelligent software, deep data analytics and intuitive user interfaces to help students and teachers around the world. Our resources cover preschool through early college education, including math, biology, chemistry, physics, economics, finance, history, grammar and more. We offer free personalized SAT test prep in partnership with the test developer, the College Board. Khan Academy has been translated into dozens of languages, and 100 million people use our platform worldwide every year. For more information, visit www.khanacademy.org, join us on Facebook or follow us on Twitter at @khanacademy. And remember, you can learn anything.  
For free. For everyone. Forever. #YouCanLearnAnything
Subscribe to Khan Academy’s Health &amp; Medicine channel: https://www.youtube.com/channel/UC1RAowgA3q8Gl7exSWJuDEw?sub_confirmation=1
Subscribe to Khan Academy: https://www.youtube.com/subscription_center?add_user=khanacademy</t>
  </si>
  <si>
    <t>Nicaragua’s President Daniel Ortega has alarmed the global community as he has moved to imprison potential rivals in advance of the lead up to the country’s November presidential election. Ortega has all but ensured his own victory by arresting five opposition pre-candidates, as well as civil society and private sector leaders, and even dissident members of his own Sandinista Party. Members of the Organization of American States (OAS), the UN Human Rights Council, and non-governmental organizations such as Human Rights Watch have strongly condemned the regime’s actions and the assault on the basic democratic rights of Nicaraguan citizens. Ortega, a leader of the 1979 revolution, came back to power in 2007. Since then, he has moved to silence the press, opposition politicians, independent organizations, and even his own former comrades in arms.</t>
  </si>
  <si>
    <t>April Larsen Oaks RN, EMT
Classic Aero-Medical Trauma Team</t>
  </si>
  <si>
    <t>Communicable Diseases Quiz- Community Health Nursing || ESIC Staff Nurse Recruitment Model Questions Series - 6
This video discusses questions from communicable Diseases like chicken pox, malaria, HIV, AIDS, Measles, mumps etc. Here we are tried to include a brief explanation and rationale to each answer.
Subscribe for weekly updates on Nursing exams and latest Question banks: http://bit.ly/The_Nurse_subscribe</t>
  </si>
  <si>
    <t>Video lectures for medical students.
www.mdcrack.tv
Owner: MD CRACK</t>
  </si>
  <si>
    <t>The Yeezy 380 Blue Oat Reflective a.k.a. the “BLOARF” arrives for Marissa’s first reflective pair.  We compare the reflective to the non-reflective and see that this may have snuck by as one of the nicest 380 colorways.  Could it be?  From BLOARF to grail?
CHAPTER SELECTION
0:00 Intro
2:30 Overview of the Yeezy 380 Blue Oat
7:00 Yeezy 380 Blue Oat: Reflective vs Non-Reflective
9:36 What’s Up, Yeezy?  You running for President?
11:11 How to Style the Yeezy 380 Blue Oat Reflective and Non-Reflective
14:34 Sizing and Fit of the Yeezy 380 Blue Oat Reflective and Non-Reflective
15:30 Current Resale on the Yeezy 380 Blue Oat Reflective and Non-Reflective
Collaborations and Sponsorships
contact@marissahillpr.com 
• Instagram - https://www.instagram.com/marissaehill
• HYPE Instagram - https://www.instagram.com/thehypemodel
• TikTok - @marissaehill
WATCH HYPE SNEAKERS HERE: https://bit.ly/2yv27Xy
WATCH YEEZY HERE: https://bit.ly/3foE6RJ
WATCH SUPREME HERE: https://bit.ly/2VKXMaO
Where to buy the YEEZY 380 BLUE OAT:
• Reflective: https://stockx.pvxt.net/qJEky
• Non-Reflective: https://stockx.pvxt.net/DPbAn
  -Kids: https://stockx.pvxt.net/QoNzA
  -Infants: https://stockx.pvxt.net/rZzeR
DOWNLOAD SUPLEXED for REAL-TIME PRICE INFORMATION on SHOES AND STREETWEAR
iOS: https://itunes.apple.com/us/app/suplexed/id1347704509?ls=1&amp;mt=8
Android: https://itunes.apple.com/us/app/suplexed/id1347704509?ls=1&amp;mt=8
Visit my AMAZON SHOP for Accessories and Kicks I like!: http://www.amazon.com/shop/shadetv
*This video contains affiliate links (FTC Disclosure below)*
AFFILIATE LINKS FTC DISCLOSURE
ShadeTV often showcases products that are exclusive, difficult to obtain and often do not sell at the original MSRP by the time of this video’s posting.  It is commonplace to find the product on secondary marketplaces only (e.g. StockX, GOAT or Ebay).  If you click through the convenient hyperlinks in the description above and make a purchase, I may receive a commission (at no additional cost to you).  Thanks for your support in keeping ShadeTV’s production and content at the highest quality.  We spend an extraordinary amount of time, planning and effort to continually create the best content we can!
--
Music by Keithian - Pillow Talk - https://thmatc.co/?l=44C31435
#MarissaHill #Yeezy380BlueOat #YeezyReflective #HypeSneakerReleases #Yeezy380BLOARF #GOAT #Hypebae #ShadeTV #BLOARF #SupremeSummerTees #SupremeWeek18SS20 #HowtoStyleYeezy #HowtoStyleSupreme #Yeexy380BlueOatReflective #Yeezy380OnFoot</t>
  </si>
  <si>
    <t>Hundreds of bills aiming to shape U.S.-China policy have been introduced on Capitol Hill over the past five years. The most ambitious, the US Innovation &amp; Competition Act (which includes the Strategic Competition Act), was passed by the Senate in early June, lending impetus to corresponding efforts in the House. With White House support, the bipartisan bill aims at increasing American competitiveness vis-à-vis China. It marks Congress’s most sustained and comprehensive attempt to frame and finance a bilateral relationship and touches on every aspect of U.S.-China relations.
While its legislative fate is unknown, Senate passage of the bill provides an excellent opportunity to analyze the bipartisan consensus on China and the many strategies American policymakers are considering as Sino-U.S. competition expands.</t>
  </si>
  <si>
    <t>The global pandemic has led to a reconsideration of how people live, work, and connect. It has also highlighted the risks of living in cities, and how they can become drivers of economic growth as well as hubs for sustainability. In its latest report Creating Livable Asian Cities, the Asian Development Bank (ADB) identifies five priority areas in meeting the challenges of urbanization; namely urban planning, transport, energy, financial innovation, and disaster as well as climate resilience.
Given that developing Asia is now home to 17 of the 33 megacities in the world, and with the region’s urbanization rate is projected to reach 64 percent by 2050, developing livable and sustainable cities is critical for Asia’s future growth. Policies that promote the use of technology, data, and innovation to make urban services including mobility, social infrastructure, and resilience management, inclusive and sustainable will be critical.
The ADB’s lead contributors to the report will be discussing their findings and address the challenges ahead in making cities more livable across the Asia and the Pacific Region.</t>
  </si>
  <si>
    <t>To receive credit, visit: http://www.freece.com/FreeCE/CECatalog_Details.aspx?ID=85967692-a805-4edc-9fff-7ddebbaa2fee
Program Overview 
Rheumatoid arthritis (RA) is an inflammatory type of arthritis characterized by severe joint pain, inflammation and loss of mobility -- particularly within the hands of middle age to elderly women. Symptoms often come and go and can affect other body parts, such as the eyes, mouth and lungs. The causes of RA is unknown, although it's categorized as an autoimmune disease because it appears that the immune system is attacking its own tissues. Genetics, hormones, environment, diet and gastrointestinal health are all related factors. An estimated 1.5 to 2 million American adults currently suffer from RA. There are natural remedies, lifestyle changes and pharmaceutical treatments that help reduce the symptoms of RA and slow its progression. 
Pharmacist Educational Objectives
- Describe the pathophysiology, frequency and implications of rheumatoid arthritis (RA)
-Outline the non-pharmacological methods used to treat RA
-Compare and contrast the most common pharmaceuticals used to treat RA, including mechanism of action and potential side effects
Accreditation 
Pharmacist 0798-0000-13-252-H01-P
Disclaimer:
The Content and Program Materials contained are provided by FreeCE/PharmCon as a service to its registrants and to the public.
THE INFORMATION OFFERED IS FOR GENERAL EDUCATIONAL AND INFORMATIONAL PURPOSES ONLY. THIS IS NOT INTENDED TO PROVIDE INFORMATION OR ADVICE CONCERNING SPECIFIC PROBLEMS OF SITUATIONS.
IT IS NOT INTENDED AS A SUBSTITUTE FOR THE PROFESSIONALS OWN RESEARCH, OR FOR HIS OWN PROFESSIONAL JUDGMENT OR ADVICE FOR A SPECIFIC PROBLEM OF SITUATION.
NEITHER FREECE/PHARMCON NOR ANY CONTENT PROVIDER INTENDS TO OR SHOULD BE CONSIDERED TO BE RENDERING MEDICAL, PHARMACEUTICAL OR OTHER PROFESSIONAL ADVICE. WHILE FREECE/PHARMCON AND ITS CONTENT PROVIDERS HAVE EXERCISED CARE IN PROVIDING INFORMATION, NO GUARANTEE OF ITS ACCURACY, TIMELINESS OR APPLICABILITY CAN BE OR IS MADE. YOU ASSUME ALL RISKS AND RESPONSIBILITIES WITH RESPECT TO ANY DECISIONS OR ADVICE MADE OR GIVEN AS A RESULT OF THE USE OF THE PROGRAM, PROGRAM MATERIALS, FREECE WEBSITE OR INTERACTION WITH CONTENT PROVIDERS.
IF MEDICAL OR OTHER EXPERT ASSISTANCE IS REQUIRED, YOU SHOULD OBTAIN THE SERVICES OF A COMPETENT PROFESSIONAL.
-----------------------------------------------------------------------------------------------
Learn more about freeCE:
Website: https://www.freece.com/
Webcasts: https://www.freece.com/Home/CECataLogOnDemand
Facebook - https://www.facebook.com/freeCEonline/
Twitter - https://twitter.com/freeCEonline
Instagram - https://www.instagram.com/freeceonline 
LinkedIn - https://www.linkedin.com/company/freece---a-subsidiary-of-pharmcon/
-----------------------------------------------------------------------------------------------</t>
  </si>
  <si>
    <t>BBC World News host Yalda Hakim interacts with Sadhguru. Their conversation covers a spectrum of issues relevant today including religious violence, political correctness and artificial intelligence.
#HeadTalks #YaldaHakim
#Sadhguru
Yogi, mystic and visionary, Sadhguru is a spiritual master with a difference. An arresting blend of profundity and pragmatism, his life and work serves as a reminder that yoga is a contemporary science, vitally relevant to our times. 
Sadhguru Exclusive (Register Now)
⚡ http://isha.co/ex-yt 
Sadhguru App (Download)
_xD83D__xDCF1_http://onelink.to/sadhguru__app
Official Sadhguru Website 
_xD83C__xDF0E_ http://isha.sadhguru.org 
Donate Towards Crafting A Conscious Planet
_xD83D__xDE4F_ https://isha.sadhguru.org/sanghamitra
Offerings from Sadhguru in Challenging Times 
_xD83C__xDF3C_ https://isha.sadhguru.org/sadhana-support
Guided Yoga &amp; Meditations by Sadhguru (Free Online)
_xD83C__xDF3C_ http://isha.sadhguru.org/5-min-practices
_xD83C__xDF3C_ http://isha.sadhguru.org/IshaKriya
Inner Engineering Online Program
50% off  | FREE for COVID Warriors
_xD83C__xDF3C_ http://isha.co/IEO-YT (Register Now)
Official Social Profiles of Sadhguru  (Subscribe)
_xD83C__xDF10_ https://youtube.com/sadhguru?sub_confirmation=1
_xD83C__xDF10_ https://facebook.com/sadhguru
_xD83C__xDF10_ https://instagram.com/sadhguru
_xD83C__xDF10_ https://twitter.com/SadhguruJV
_xD83C__xDF10_ https://t.me/Sadhguru</t>
  </si>
  <si>
    <t>Learn about the three types of influenza virus (Type A, Type B, and Type C) and what makes them differ from one another. Rishi is a pediatric infectious disease physician and works at Khan Academy.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Rishi Desai.
Watch the next lesson: https://www.khanacademy.org/science/health-and-medicine/infectious-diseases/influenza/v/naming-the-flu-h-something-n-something?utm_source=YT&amp;utm_medium=Desc&amp;utm_campaign=healthandmedicine 
Missed the previous lesson? https://www.khanacademy.org/science/health-and-medicine/infectious-diseases/influenza/v/when-flu-viruses-attack?utm_source=YT&amp;utm_medium=Desc&amp;utm_campaign=healthandmedicine
Health &amp; Medicine on Khan Academy: No organ quite symbolizes love like the heart. One reason may be that your heart helps you live, by moving ~5 liters (1.3 gallons) of blood through almost 100,000 kilometers (62,000 miles) of blood vessels every single minute! It has to do this all day, everyday, without ever taking a vacation! Now that is true love. Learn about how the heart works, how blood flows through the heart, where the blood goes after it leaves the heart, and what your heart is doing when it makes the sound “Lub Dub.”
About Khan Academy: Khan Academy is a nonprofit with a mission to provide a free, world-class education for anyone, anywhere. We believe learners of all ages should have unlimited access to free educational content they can master at their own pace. We use intelligent software, deep data analytics and intuitive user interfaces to help students and teachers around the world. Our resources cover preschool through early college education, including math, biology, chemistry, physics, economics, finance, history, grammar and more. We offer free personalized SAT test prep in partnership with the test developer, the College Board. Khan Academy has been translated into dozens of languages, and 100 million people use our platform worldwide every year. For more information, visit www.khanacademy.org, join us on Facebook or follow us on Twitter at @khanacademy. And remember, you can learn anything.  
For free. For everyone. Forever. #YouCanLearnAnything
Subscribe to Khan Academy’s Health &amp; Medicine channel: https://www.youtube.com/channel/UC1RAowgA3q8Gl7exSWJuDEw?sub_confirmation=1
Subscribe to Khan Academy: https://www.youtube.com/subscription_center?add_user=khanacademy</t>
  </si>
  <si>
    <t>10 Health presents "One on One: With a Rheumatologist".  Sit down with Dr. Melvin Churchill from Arthritis Center of Nebraska and learn more about rheumatoid arthritis.</t>
  </si>
  <si>
    <t>A Mitochondrial Etiology of Metabolic and Degenerative Diseases, Cancer and Aging
Air date: Wednesday, April 02, 2014, 3:00:00 PM
Category: Wednesday Afternoon Lectures
Runtime: 01:10:05 
Description: Wednesday Afternoon Lecture Series 
For half a millennium Western medicine has focused on anatomy and for the past century on nuclear DNA (nDNA), Mendelian, genetics. While these concepts have permitted many biomedical advances, they have proven insufficient for understanding the common "complex" diseases. Life requires energy, 90 percent of which comes from the mitochondrion. The mitochondrial genome consists of thousands of copies of the maternally inherited mitochondrial DNA (mtDNA) plus 1,000--2,000 nDNA genes. The mtDNA has a very high mutation rate, but the most deleterious mutations are removed by an ovarian prefertilization selection system. Hence, functional mtDNA variants are constantly being introduced into the human population, the more deleterious resulting in recent maternally inherited diseases. The milder mtDNA variants have accumulated sequentially as women spread throughout Africa and migrated out to colonize Eurasia and the Americas. Some ancient mtDNA variants alter mitochondrial energy metabolism in ways that were beneficial in different regional environments. In alternative environments and/or with age these same adaptive variants can be maladaptive and increase the risk for disease. For example, one variant increases the penetrance of mutations associated with an inherited form of vision loss, but is adaptive for survival at high altitudes. Mutations in the mtDNAs also accumulate with age in both stem and somatic tissue cells and can be associated with various forms of cancer. The introduction of mtDNA variants into the mouse germline via female embryonic stem cells has confirmed the causal role of mitochondrial deficiency in diseases. Hence, the pathophysiology of some common diseases may be bioenergetic dysfunction and their genetic complexity the result of thousands of nDNA and mtDNA bioenergetic gene variants interacting.
For more information go to http://wals.od.nih.gov
Author: Douglas Wallace, Perelman School of Medicine at the University of Pennsylvania 
Permanent link: http://videocast.nih.gov/launch.asp?18367</t>
  </si>
  <si>
    <t>As the United States-Mexico-Canada agreement celebrates its one year anniversary, US Trade Rep Katherine Tai says it sets the stage for a new generation of trade agreements.</t>
  </si>
  <si>
    <t>Stroke is the third leading cause of death in the United States. On The Doctors, Freda Lewis-Hall shares her thoughts on this important health issue and what we can do to prevent stroke. She also emphasizes how it's crucial to call 9-1-1 when you think someone's having a stroke. Act F-A-S-T. Check your local CBS listings to see the whole show. http://www.pfizer.com/health/
Stroke Signs</t>
  </si>
  <si>
    <t>In this edition of Wilson Center NOW we speak with Elizabeth M H Newbury, Director of the Serious Games Initiative for the Wilson Center, on how she leverages games as a tool for public communication of science and policy research. She discusses her works in progress, including serious games focused on cybsercurity and plastic pollution. Newbury also highlights current games such as the Fiscal Ship, which challenges the player to put the federal budget on a sustainable course.
Serious Games Link: https://www.wilsoncenter.org/program/serious-games-initiative</t>
  </si>
  <si>
    <t>(Visit: http://www.uctv.tv/) The discovery of evolution implies a profound revolution in human thinking and action. Ursula King, Professor Emerita of Theology and Religious Studies, University of Bristol, explores the implications of this new consciousness for religion, society, and consciousness. She describes the work of the French paleontologist and religious thinker Pierre Teilhard de Chardin who sought a new spirituality for a world in evolution. His prophetic thought about "the planetization of humanity" -- what is called "globalization" today -- relates to global interdependence in all areas of human endeavor, and bears on contemporary discussions about ecological and evolutionary spiritualities as well as international peace and social justice. Series: "Burke Lectureship on Religion &amp; Society" [1/2013] [Humanities] [Show ID: 24413]</t>
  </si>
  <si>
    <t>What are the warning signs of a heart attack or stroke? When every second counts, know the symptoms that require immediate medical attention. Two top Massachusetts cardiologists provide the life saving knowledge everyone should know before a medical emergency.
(Produced March 10, 2011)
For more information or to see a cardiologist in the Merrimack Valley, call: 
Haverhill, MA: (978) 521-3288
RiverWalk in Lawrence, MA: (978) 557-8900
Newburyport, MA: (978) 499-7400</t>
  </si>
  <si>
    <t>July 1 will mark the first year anniversary of the US-Mexico-Canada Agreement (USMCA). The COVID-19 pandemic made the implementation of the USMCA more challenging than previously hoped. However, this past year also highlighted the critical need for collaboration among the United States, Mexico, and Canada to implement the USMCA; a key component of the North American partnership.
As we approach the first anniversary of the USMCA, the Wilson Center's Mexico and Canada Institutes are pleased to host a conversation with the trade ministers from the United States, Mexico, and Canada on Wednesday, June 30, 2021 at 2:00pm Eastern time. This event will focus on the biggest lessons learned from the first year of USMCA, as well as on the top priorities for North American collaboration in the years ahead.</t>
  </si>
  <si>
    <t>On The Doctors,  Pfizer’s Chief Medical Officer Freda Lewis-Hall, M.D. discusses the differences between heartburn, acid reflux and GERD – conditions often confused for each other – and some do’s and don’ts that can help if you are experiencing symptoms.
Visit http://on.pfizer.com/1z17tDW to learn more.
Heartburn, Acid Reflux and GERD – The Differences Decoded</t>
  </si>
  <si>
    <t>Prof Cyndi Shannon Weickert (Neuroscience Research Australia) talks with ABC Radio National's Dr Norman Swan on the Health Report (Monday 12 November 2012) about her latest research into the link between schizophrenia and the immune system. Learn more at www.NeuRA.edu.au</t>
  </si>
  <si>
    <t>It often begins with a tingle in your throat or a single sneeze, followed by a headache, drowsiness, a runny nose and nagging cough. It’s official, you’ve caught a virus.
The question is, have you been infected by the constantly mutating influenza virus, known as the flu? Or is it one of the 200 strains of the common cold virus?
For more info, please go to https://globalnews.ca/?p=4927819
Subscribe to Global News Channel HERE: http://bit.ly/20fcXDc
Like Global News on Facebook HERE: http://bit.ly/255GMJQ
Follow Global News on Twitter HERE: http://bit.ly/1Toz8mt
Follow Global News on Instagram HERE: https://bit.ly/2QZaZIB
#GlobalNewsExplains #GlobalNewsOriginal #GlobalNews</t>
  </si>
  <si>
    <t>Join Warren Levinson to learn about the various agents that cause infectious diseases: bacteria, viruses, fungi, protozoa and worms, with a focus on how bacteria are transmitted and cause disease, and how exotoxins and endotoxins cause symptoms of disease. Series: "UCSF Mini Medical School for the Public" [2/2007] [Health and Medicine] [Show ID: 12104]</t>
  </si>
  <si>
    <t>This lecture is part of the IHMC Evening Lecture series.
https://www.ihmc.us/life/evening_lectures/
Human beings are colonized with a diverse collection of microorganisms that inhabit every surface and cavity of the body. This collection of microbes, known as the human microbiome, is made up of nearly one thousand different bacterial species and exists in a mutualistic relationship with us as its host. Indeed, we could not survive without our microbial partners.
Claire M. Fraser, Ph.D. is Director of the Institute for Genome Sciences at the University of Maryland School of Medicine in Baltimore, MD. She has joint faculty appointments at the University of Maryland School of Medicine in the department of Medicine and Microbiology/Immunology. 
She helped launch the new field of microbial genomics and revolutionized the way microbiology has been studied. Until 2007, she was President and Director of The Institute for Genomic Research (TIGR) in Rockville, MD, and led the teams that sequenced the genomes of several microbial organisms, including important human and animal pathogens. Her current research is focused on characterization of the human gut microbiome in health and disease. 
Her work on the Amerithrax investigation led to the identification of four genetic mutations in the anthrax spores that allowed the FBI to trace the material back to its original source. She is one of the world’s experts in microbial forensics and the growing concern about dual uses – research that can provide knowledge and technologies that could be misapplied. 
Dr. Fraser has authored more than 300 publications, edited three books, and served on the editorial boards of nine scientific journals. Between 1997 and 2008, she was the most highly cited investigator in the field of microbiology and has been recognized for numerous awards. 
She has served on many advisory panels for all of the major Federal funding agencies, the National Research Council, the Department of Defense, and the intelligence community. In addition, she has contributed her time as a Board member for universities, research institutes, and other non-profit groups because of her commitment to the education of our next generation of scientists.</t>
  </si>
  <si>
    <t>(April 6, 2010) Stanford University Professor of Medicine Mark Genovese address the different types of arthritis that are prevalent in today's society. He also discusses both possible preventative measures as well as treatment.
During the final quarter of the Stanford Mini Med School, some of the most timely and important topics in contemporary medicine and the biosciences are addressed.  
Stanford Mini Med School is a series arranged and directed by Stanford's School of Medicine and presented by the Stanford Continuing Studies program.  
Stanford University:
http://www.stanford.edu
Stanford Medical School:
http://med.stanford.edu/
Stanford Continuing Studies:
http://continuingstudies.stanford.edu/
Stanford University Channel on YouTube:
http://www.youtube.com/stanford/</t>
  </si>
  <si>
    <t>Avanir Pharmaceuticals, Inc. (NASDAQ: AVNR) today announced the initiation of production of The PBA Film Project (working title), the first-ever documentary to provide an intimate look at real people living with a little-known neurologic condition called PseudoBulbar Affect (PBA). The award-winning filmmaker team of The PBA Film Project includes co-directors Doug Blush and Lisa Klein (Of Two Minds) and producer Julian Cautherley (The Crash Reel). 
To view the Multimedia News Release, go to http://www.multivu.com/players/English/7266955-avanir-pharmaceuticals-pseudobulbar-affect-pba-documentary/</t>
  </si>
  <si>
    <t>Public confidence in the scientific community is higher than other groups, and yet public trust in technology companies has eroded, according to US-based studies by the Pew Research Center. How are changing perceptions about science and technology reshaping politics, business and public policy?
Speakers:
· Sarah bint Yousif Al Amiri, Minister of State for Advanced Sciences of the United Arab Emirates.
· Carlos Moedas, Commissioner for Research, Science and Innovation, European Commission, Brussels.
· Brian Schmidt, Vice-Chancellor, Australian National University, Australia.
· Lars Rebien Sorensen, Chairman of the Board of Directors, Novo Nordisk Foundation, Denmark.
· Ulrich Spiesshofer, President and Chief Executive Officer, ABB, Switzerland.
Moderated by:
· Magdalena Skipper, Editor-in-Chief, Nature, Nature Research, USA.
http://www.weforum.org/</t>
  </si>
  <si>
    <t>The American College of Rheumatology details the story of a child growing up with Juvenile Rheumatoid Arthritis.
To learn more about rheumatic diseases and the American College of Rheumatology's Simple Tasks campaign, please visit www.SimpleTasks.org.</t>
  </si>
  <si>
    <t>The Joker has been one of the Dark Knight's most iconic foes for decades. Everyone knows there's something wrong with the Joker, but is there actually a medical explanation to what makes him tick? Kyle checks into Arkham to investigate in this week's Because Science!
More science: http://nerdist.com/topic/science-tech/
Watch more Because Science: http://nerdi.st/BecSci
Follow Kyle Hill: https://twitter.com/Sci_Phile
Follow us on FB: https://www.facebook.com/BecauseScience
Follow us on Twitter: https://twitter.com/becausescience
Follow us on Instagram: https://www.instagram.com/becausescience
Follow Nerdist: https://twitter.com/Nerdist
Because Science every Thursday.
Learn More:
JOKER INFECTION: https://arkhamcity.fandom.com/wiki/Joker_Infection
PRION: https://en.wikipedia.org/wiki/Prion
CJD: https://en.wikipedia.org/wiki/Creutzfeldt–Jakob_disease
KURU: https://en.wikipedia.org/wiki/Kuru_(disease)
MECHANISMS OF TSES: https://smw.ch/en/article/doi/smw.2012.13505/
KURU SORCERY: https://books.google.ie/books?id=f0YeCwAAQBAJ&amp;lpg=PT104&amp;pg=PT105#v=onepage&amp;q&amp;f=false</t>
  </si>
  <si>
    <t>On The Doctors, Freda Lewis-Hall, M.D. and Travis Stork, M.D. talk about how chronic stress can impact your health. Check your local CBS Listings to see the whole show and learn more at http://www.GetHealthyStayHealthy.com.
Chronic Stress Can Damage Your Health</t>
  </si>
  <si>
    <t>Want more videos about psychology every Monday and Thursday? Check out our sister channel SciShow Psych at https://www.youtube.com/scishowpsych! 
***SUBBABLE MESSAGES***
To: Lola
From: Daddy
You are the best, I love you.
***
To: Future Lia
From: Mom and Dad
Remember that learning isn't just useful, but also really fun!
***
In this episode of Crash Course Psychology, Hank takes a look at how the treatment for Psychological Disorders has changed over the last hundred years and who is responsible for getting us on the path to getting us here. 
--
Table of Contents:
Defining Psychological Disorders 00:10:09
Perspectives on Mental Illness 03:16:10
Diagnosing Disorders with the DSM 07:09:09
DSM is Constantly Evolving 07:42:12
--
Want to find Crash Course elsewhere on the internet?
Facebook - http://www.facebook.com/YouTubeCrashCourse
Twitter - http://www.twitter.com/TheCrashCourse
Tumblr - http://thecrashcourse.tumblr.com 
Support CrashCourse on Subbable: http://subbable.com/crashcourse</t>
  </si>
  <si>
    <t>Dr. Gabor Maté talks about how hidden stress from childhood and beyond can impact overall health and even evoke diseases like cancer and multiple sclerosis.</t>
  </si>
  <si>
    <t>The inside scoop on NCDs.</t>
  </si>
  <si>
    <t>Queremos agradecer al personal de la salud, quienes todos los días también se ponen la celeste.
Gracias por el esfuerzo que están haciendo para cuidar la vida de todas y todos.
La mejor forma de ayudarlos es vacunándonos.
¡Vamos Uruguay!
#GraciasPersonalDeLaSalud
@ECavaniOfficial
Edi Cavani
Edinson Cavani
Matador Cavani
Covid-19
Coronavirus
Pandemia
Uruguay
Selección Uruguaya de Fútbol
Personal de la salud
Salud
Salud Uruguay
Ministerio de Salud Pública
Vacuna
Vacunación
Agradecimiento personal de la salud
La Celeste
MSP
Ministerio de Salud Pública
Uruguay Celeste
Copa América
Copa América 2021
Conmebol
OPS
OMS
OPS OMS Uruguay</t>
  </si>
  <si>
    <t>_xD83C__xDF37_Hello Grade 7. I hope this video helps you to cope up with the new normal of learning.
‼️Watch and understand the lesson. Then answer the question at the end of the video. Type your answers on the comment box below.
_xD83D__xDC9C_If you find this video helpful, please don't forget to share and subscribe to my channel.
DISCLAIMER: No copyright infringement intended on the photos used, for education purpose only. Credits to the owners.
___________________________________________________
❇️ VIDEO CHAPTERS:
00:00 - Introduction
00:53 - Table of Contents
01:11 - Philippine Festival Overview
03:25 - Religious Festivals
12:16 - Non-Religious Festivals
19:37 - Question Time
___________________________________________________
❇️ VIDEO CREDITS:
_xD83D__xDC9F_ BLACK NAZARENE OF QUIAPO by esmeralda sanchez (https://youtu.be/NTaxBMSH86A)
_xD83D__xDC9F_ ATI-ATIHAN FESTIVAL KALIBO, AKLAN, PHILIPPINES by Alliv Samson (https://youtu.be/0GddP5BdwFE)
_xD83D__xDC9F_ OBANDO DANCE RITES by Hanns (https://youtu.be/2qlzmUtKoO4)
_xD83D__xDC9F_ PAHIYAS FESTIVAL 2017 by Rappler (https://youtu.be/zAccfCOEWos)
_xD83D__xDC9F_ MORIONES FESTIVAL IN MARINDUQUE by bernard mercene (https://youtu.be/bR9VaRx8fRw)
_xD83D__xDC9F_ FLORES DE MAYO 2019 by MrRyebarley (https://youtu.be/VFFWqC7iwCY)
_xD83D__xDC9F_ PANAGBENGA GRAND FLOAT PARADE 2019 by Coshan Uncharted (https://youtu.be/-YGY4RkpV9E)
_xD83D__xDC9F_ BACOLOD MASSKARA FESTIVAL by Jay Tindall (https://youtu.be/9KBicqQ1gbQ)
_xD83D__xDC9F_ KADAYAWAN FESTIVAL 2017 by Crizor Photography (https://youtu.be/1WDmC7wZkHk)
_xD83D__xDC9F_ KAAMULAN FESTIVAL, BUKIDNON, MINDANAO, PHILIPPINES by Visayan751 (https://youtu.be/0s6nPLzBzjM)
___________________________________________________
❇️ PHOTO CREDITS:
https://www.facebook.com/watch/ThePhilippinesOfficial/
https://culture360.asef.org/magazine/reflections-philippine-festivals/
https://www.datacolor.com/colorful-festivals-philippines/
http://www.ph.net/htdocs/tourism/philfest.htm
https://images.app.goo.gl/Uq3pX3mxTfSuVUuM9
https://www.rappler.com/life-and-style/phtravel-festival-facts-sinulog-ati-atihan-dinagyang
https://images.app.goo.gl/fdAmiHf7kp3vJjG67
https://images.app.goo.gl/QqnUmiuL7ZrcHYi9A
https://images.app.goo.gl/zxVaHosSUPQ33J9A7
https://images.app.goo.gl/LwyDNTHr7Hx81RH49
https://images.app.goo.gl/TNr1pc6QVvGPziSUA
https://thehappytrip.com/list-of-festivals-in-the-philippines/
https://images.app.goo.gl/4Z7BZS6opgwwPK2k6
https://images.app.goo.gl/TZD6bYPPRDahV8X77
https://images.app.goo.gl/EcRKtxWh16VhWBXw9
https://www.davaocity.gov.ph/know-davao-city/gallery/events/kadayawan-festival/2017-2/
https://images.app.goo.gl/JnwgN6hwAfxhz15t6
https://images.app.goo.gl/awseejDRANdzi6R27
https://www.facebook.com/Binirayan2018/
https://images.app.goo.gl/3i1u2oqUeJQfoLFQA
https://images.app.goo.gl/R6dHMpPNGyTMkhgJ9
http://albay.gov.ph/festivals-of-albay/
___________________________________________________
❇️ RESOURCES:
K-12 MAPEH 7 book by St. Bernadette Publishing House Corporation
DepEd MELCs
MAPEH Grade 7 Life Skills: The Beginning of My Journey Module
___________________________________________________
❇️ OTHER VIDEOS:
ARTS 7 Q1 L1: Arts and Crafts of Ilocos Region (https://youtu.be/d_SyJm946MI)
ARTS 7 Q1 L2: Arts and Crafts of CAR Part 1 (https://youtu.be/_MQdGDYtqX0)
ARTS 7 Q1 L3: Arts and Crafts of CAR Part 2 (https://youtu.be/S1X0CCicAqE)
ARTS 7 Q1 L4: Arts and Crafts of Cagayan Valley (https://youtu.be/fXjBQF19C2Y)
ARTS 7 Q1 L5: Arts and Crafts of Central Luzon (https://youtu.be/gBxkbp9A3HI)
ARTS 7 Q1 L6: Arts and Crafts of CALABARZON Part 1 (https://youtu.be/_mifKSGp4V4)
ARTS 7 Q1 L7: Arts and Crafts of CALABARZON Part 2 (https://youtu.be/qhqiuwAz1og)
ARTS 7 Q1 L8: Arts and Crafts of Bicol Region (https://youtu.be/CiTdsqIxwoQ)
ARTS 7 Q2 L1-2: Arts and Crafts of MIMAROPA: Mindoro &amp; Marinduque (https://youtu.be/UVDUT6W6-QQ)
ARTS 7 Q2 L2-3: Arts and Crafts of MIMAROPA: Romblon &amp; Palawan (https://youtu.be/gGnYkG3ogw4)
ARTS 7 Q2 L4-8: Arts and Crafts of Visayas (https://youtu.be/GiDtQ0P9wdw)
ARTS 7 Q3 L1-8: Arts and Crafts of Mindanao (https://youtu.be/lO6NbsUdo78)
___________________________________________________
_xD83D__xDC49__xD83C__xDFFB_You can reach me through this email and social media accounts:
_xD83D__xDC8C_ G-mail - gracelastra08@gmail.com
_xD83C__xDF38_Facebook -  https://www.facebook.com/gracelastra08
_xD83D__xDC52_Instagram - https://www.instagram.com/gracelastra08
_xD83E__xDD8B_Twitter - https://twitter.com/gracelastra08
✏️Tumblr - https://www.tumblr.com/blog/gracelastra08
_xD83C__xDFB6_ TikTok - https://tiktok.com/@gracelastra08
___________________________________________________
❇️ MUSIC:
Music: Upbeat Drums | Background Music/Philippine Music Festival Remix (https://youtu.be/iotgjnUI6Kk)
___________________________________________________
❇️ VIDEO EDITOR:
VivaVideo, PowerPoint
 #MaryGraceLastra #Arts7 #PhilippineFestivals #MAPEH7</t>
  </si>
  <si>
    <t>_xD83C__xDF37_Hello Grade 7. I hope this video helps you to cope up with the new normal of learning.
‼️Watch and understand the lesson. Then answer the question at the end of the video. Type your answers on the comment box below.
_xD83D__xDC9C_If you find this video helpful, please don't forget to share and subscribe to my channel.
DISCLAIMER: No copyright infringement intended on the music and video clips used, for education purpose only.
___________________________________________________
❇️ VIDEO CHAPTERS:
00:00 - Introduction
00:44 - Table of Contents
01:04 - Philippine Theater
03:40 - Philippine Drama
06:29 - Philippine Musical Theater Forms
08:44 - Philippine Theatrical Musicians &amp; Composers
12:00 - Question Time
___________________________________________________
❇️ PHOTO CREDITS:
https://www.semanticscholar.org/paper/The-history-of-Philippine-theatre-THEATER/2343bed57b3a1f541ceb6444fef5c57e8ffd481d
https://images.app.goo.gl/y1fy2d5oJTEQRR889
https://images.app.goo.gl/YTfVpkJaisQqkbMf9
https://images.app.goo.gl/8TJjsDTp8e5dZwGDA
https://www.facebook.com/Early-Philippine-theater
https://images.app.goo.gl/rYJoELajT9SzCd4y5
https://www.facebook.com/manilasymphony/posts/10156167952031436
___________________________________________________
❇️ RESOURCES:
K-12 MAPEH 7 book by St. Bernadette Publishing House Corporation
DepEd MELCs
MAPEH Grade 7 Life Skills: The Beginning of My Journey Module
___________________________________________________
❇️ OTHER VIDEOS:
Music 7 Q1 Lesson 1: Vocal Music of Lowland Luzon (https://youtu.be/cCS_WcuQbJI)
Music 7 Q1 Lesson 2: Characteristics of Vocal and Instrumental Music in the Lowland Luzon using Musical Elements (https://youtu.be/0EGbDwbcEG0)
Music 7 Q1 Lesson 3: Identification and Classification of Instruments in Lowland Luzon (https://youtu.be/P4xHSCsbVE8)
Music 7 Q2 Lesson 2: Vocal Music of Cordillera (https://youtu.be/D2ZRgL6rb6A)
Music 7 Q2 Lesson 2: Vocal Music of Mindoro, Palawan &amp; Visayas (https://youtu.be/xCGq_4cituk)
Music 7 Q2 Lesson 3: Musical Instruments of Cordillera, Mindoro, Palawan &amp; Visayas (https://youtu.be/gEzVsrd7TPg)
Music 7 Q3 Lessons 1-8: Vocal and Instrumental Music of Mindanao (https://youtu.be/_9qLWY0SQCA)
___________________________________________________
_xD83D__xDC49__xD83C__xDFFB_You can reach me through this email and social media accounts:
_xD83D__xDC8C_ G-mail - gracelastra08@gmail.com
_xD83C__xDF38_Facebook -  https://www.facebook.com/gracelastra08
_xD83D__xDC52_Instagram - https://www.instagram.com/gracelastra08
_xD83E__xDD8B_Twitter - https://twitter.com/gracelastra08
✏️Tumblr - https://www.tumblr.com/blog/gracelastra08
_xD83C__xDFB6_ TikTok - https://tiktok.com/@gracelastra08
___________________________________________________
❇️ MUSIC:
Music | "Fresh" by LiQWYD (https://youtu.be/MltvTw4pd-I)
Music by LiQWYD:
http://www.soundcloud.com/liqwyd
http://www.bit.ly/liqwyd-youtube
http://www.instagram.com/liqwyd
http://www.spoti.fi/2RPd66h
http://www.apple.co/2TZtpeG
http://www.patreon.com/LiQWYD
___________________________________________________
❇️ VIDEO EDITOR:
VivaVideo, Kinemaster
#MaryGraceLastra #Music7 #PhilippineTheatricalForms #MAPEH7</t>
  </si>
  <si>
    <t>The Sinulog-Santo Niño Festival is an annual cultural and religious festival held on the third Sunday of January in Cebu City, and is the centre of the Santo Niño Catholic celebrations in the Philippines. 
Pit Senyor !!! _xD83C__xDF89__xD83C__xDDF5__xD83C__xDDED_
My social media accounts:
Facebook: https://www.facebook.com/taishan.chan.7 
Instagram: https://www.instagram.com/iamchan_ababa</t>
  </si>
  <si>
    <t>Join this channel to get access to perks:
https://www.youtube.com/channel/UCygNfv0DnxC_fWvd6OEfPvw/join
 Philippine FESTIVALS
PHILIPPINE THEATER FORMS
Culture and its impact on the communities it was born of is a beautiful, multifaceted entity which gives strength, identity and purpose to its people, and these culture quotes explore the reasons why we emphasise obtaining a true insight into the cultures we help brands to speak to.</t>
  </si>
  <si>
    <t>Classification of festivals
religious festival
non- religious festival
Film festival
Flower Festival
Locomotor and non-locomotor movements
elements of Dance</t>
  </si>
  <si>
    <t>How these diseases spread depends on the specific disease or infectious agent. Some ways in which communicable diseases spread are by: physical contact with an infected person, such as through touch (staphylococcus), sexual intercourse (gonorrhea, HIV), fecal/oral transmission (hepatitis A), or droplets (influenza, TB)</t>
  </si>
  <si>
    <t>myth and fallacies</t>
  </si>
  <si>
    <t>Communicable and Non-Communicable Disease for FAA &amp; S.I Exam.
About this Video:
In this video lecture; we  will discuss about the Communicable and Non-Communicable Disease for FAA Finance account assistant and sub inspector jkssb phase 2 exams and will also discuss about the  difference between communicable and non communicable diseases by jkssb online tutorial (Ajay Sir).
-------------------------------------------------------------------------------------------------------------------------
INSTALL OUR APP 
_xD83D__xDC49_Link: https://play.google.com/store/apps/details?id=co.nick.jkyye
_xD83D__xDED1_Free Lectures Playslist - for Finance Account Assistant Exam 2021.
✅Accountancy (Lecture Playlist): https://youtube.com/playlist?list=PL0d0nsErAwZVAXCT68Kk1aE6TFcvVd1_u
✅Science (Lecture Playlist): https://youtube.com/playlist?list=PL0d0nsErAwZWma4syyipWZCxhj28p5XJT
✅Economics (Lecture Playlist): https://youtube.com/playlist?list=PL0d0nsErAwZVTE8zYxJOU43NPaQkOnDNC
✅J&amp;K Gen. Knowledge (Lecture Playlist): https://youtube.com/playlist?list=PL0d0nsErAwZVED6058cg1VZamXFetU6cz
✅Computer (Lecture Playlist): https://youtube.com/playlist?list=PL0d0nsErAwZWgkUWi7HieLXnVP5yz6Gub
✅English (Lecture Playlist): https://youtube.com/playlist?list=PL0d0nsErAwZUOKgA9hTMl5I0ckwqFZUGX
✅Math (Lecture Playlist): https://youtube.com/playlist?list=PL0d0nsErAwZU6qqdTuARkweAmMz_TM-vS
-----------------------------------------------------------------------
_xD83C__xDFAF_Follow us on Social Media.
_xD83D__xDC49_Join our Official Telegram Group: https://t.me/jkssbjkpscssconlinetutorial
_xD83D__xDC49_Subscribe YT Channel: https://www.youtube.com/jkssbjkpscssconlinetutorial
_xD83D__xDC49_Facebook: https://www.facebook.com/jkssbaspirants/
_xD83D__xDC49_Instagram: https://www.instagram.com/jkssb_updates/
-----------------------------------------------------------------------------
Your Queries:
Communicable and Non-Communicable disease for FAA and Sub-Inspector Exam
Communicable and non communicable diseases by ajay sir
communicable and non communicable diseases jkssb faa
communicable and non communicable diseases by jkssb online tutorial
communicable and non communicable diseases mcqs jkssb
Thanks for watching video
JKSSB JKPSC SSC ONLINE TUTORIAL</t>
  </si>
  <si>
    <t>Take it   easy . .....its simple</t>
  </si>
  <si>
    <t>Non-Communicable Diseases: Asthma, Cardiovascular Disease, Cancer Etc. Grade-7 Quarter-4</t>
  </si>
  <si>
    <t>MCQs on Non Communicable Disease Model paper -3 Rajasthan CHO, MP CHO &amp; Staff Nurse Exams 2020-2021|#MCQsOn_NonCommunicableDisease# MCQs on Non Communicable Disease | Rajasthan CHO, MP CHO &amp; Staff Nurse Exams 2020-2021| Imp for All
Part 1st 5000 MCQs series:- https://youtu.be/sPDCMpdd414
Part 2nd 5000 MCQs series :- https://youtu.be/Tq1MevgznZM
PART 3RD   5000 MCQs series:- https://youtu.be/4qG8a1my9SQ
part 4th 5000 MCQs series:- https://www.youtube.com/watch?v=xunrqq_agtk&amp;t=279s
These questions are very imp for upcoming 2020-2021 staff nurse, ANM, CHO exams ,
1000 MCQs series Playlist :- https://www.youtube.com/watch?v=6CAC8MJVPTk&amp;list=PLHtw0yn-P7CBK5qUARgwXAuPCNvNYrEj6
https://www.youtube.com/playlist?list=PLHtw0yn-P7CBK5qUARgwXAuPCNvNYrEj6</t>
  </si>
  <si>
    <t>RRB NTPC 2020 General Science | Railway NTPC GS by Neeraj Sir | Biology | Nutrition in Plants | Nutrition in Human Beings | Nutrition in Animals | wifistudy
 RRB NTPC Playlist of Neeraj Sir:
_xD83D__xDC49_ https://www.youtube.com/playlist?list=PLT2PUxNJBoePeAHF7kJBrUc84aVnL6UYz
Follow Neeraj Sir on UNACADEMY
_xD83D__xDC49_ https://unacademy.com/@neerajjangid_11
For Unacademy Subscription Use Code 'NEERAJ11' &amp; Get 10% discount on any course.
Unacademy Educator's Feedback Form: _xD83D__xDC49__xD83C__xDFFB_ https://bit.ly/2STTD36
Subscribe Our New Channels:
✿ Bankers Way: https://www.youtube.com/channel/UCzdgWZfyWtkrlRUrLwWYfbw?sub_confirmation=1
✿ Speed Maths: https://www.youtube.com/channel/UCnSRI8q1KgOftVVXaFM8v1Q?sub_confirmation=1
✿ Maths Magic: https://www.youtube.com/channel/UCAHueV8GLLzhor6lqFwLBcg?sub_confirmation=1
✿ Just General Science: https://www.youtube.com/channel/UCU1a_eIElXW8fdFgR-AjZLw?sub_confirmation=1
✿ Hello Teachers: https://www.youtube.com/channel/UCoNrPU3AnFBSWQRqKju7_bw?sub_confirmation=1
✿ wifistudy State PSC’s: 
https://www.youtube.com/channel/UCEKJJeC4ejlQ9gbxmQIz7AA?sub_confirmation=1
wifistudy is a part of the Unacademy Group.
=== Live Classes Schedule (Mon-Fri) from 7th Sept ===
✿ Morning Shows:
05:00 AM - Current Affairs Quiz Show by Bhunesh Sir
05:30 AM - Maths Short Tricks by Prabal Sir
06:30 AM - One Word Substitution &amp; Idioms by Harsh Sir
07:00 AM - The Hindu Editorial by Harsh Sir
08:00 AM - Current Affairs Show by Bhunesh Sir
08:40 AM - Vocabulary Show by Harsh Sir
✿ RRB NTPC 2019-20 सफलता Batch:
09:00 AM - General Awareness by Rohit Sir
09:30 AM - General Science by Neeraj Sir
10:15 AM - Reasoning by Deepak Sir
11:00 AM - Maths by Sahil Sir
✿ RRB Group D 2019-20 Selection Batch:
12:00 PM - General Science by Priya Ma'am
12:30 PM - Maths by Sahil Sir
01:00 PM - General Awareness by Bhaskar Sir 
01:30 PM - Reasoning by Hitesh Sir
✿ UPSC CSE 2021 (Mon-Tue):
02:00 PM - Economics by Upendra Sir
06:00 PM - General Science &amp; Technology by Upendra Sir
✿ IBPS/SBI Exams 2020:
02:00 PM - Reasoning by Radhey Sir
03:00 PM - Math by Akash Sir
04:00 PM - English by Anchal Ma’am 
✿ All Exams Daily Live Quiz:
05:00 PM - General Awareness by Sushmita Ma'am
✿ SSC/Banking/All Exams:
05:00 PM - English by Aisha Ma'am
✿ SSC CGL 2020 Foundation Course:
06:00 PM - GS by Priya Ma'am
06:30 PM - Reasoning by Deepak Sir 
07:00 PM - GA/Current Affairs by Bhaskar Sir
07:30 PM - English by Sandeep Kesarwani Sir
08:00 PM - Maths by Dhasu Sir
✿ SSC JE 2019-20 (Technical) Crash Course:
03:00 PM - Mechanical Engg. by Neeraj Sir
10:00 PM - Electrical Engg. by Ashish Sir
10:00 PM - Civil Engg. by Sandeep Jyani Sir
✿ All Competitive Exams:
07:30 AM - Maths by Ajay Choudhary Sir
09:00 PM - Math by Rahul Sir
10:15 PM - Maths by Sajjan Sir
11:00 PM - GK by Praveen Sir
11:30 PM - Maths by Ayush Sir
12:00 AM - GK Quiz by Sushmita Ma'am
✤ Download the Unacademy Learning App Here:
➤ Android: https://goo.gl/02OhYI
➤ iOS: https://goo.gl/efbytP
✤ For More Such Classes Get Subscription Advantage:
_xD83D__xDC49_ Railway Exams: http://bit.ly/2XBGTCp
_xD83D__xDC49_ Banking Exams: http://bit.ly/2JfT7Y6
_xD83D__xDC49_ SSC Exams: http://bit.ly/2FLmoJ0
_xD83D__xDC49_ UPSC CSE: http://bit.ly/2YtKMX6
_xD83D__xDC49_ NDA/Air Force X &amp; Y/Navy: http://bit.ly/2XEWEsi
_xD83D__xDC49_ CDS/AFCAT/CAPF: http://bit.ly/2Xix1ZU
_xD83D__xDC49_ RPSC: http://bit.ly/304XBaJ
_xD83D__xDC49_ UPPSC-UPSSSC: http://bit.ly/2Xf14ld
_xD83D__xDC49_ GATE &amp; ESE: http://bit.ly/2uoyyVQ
_xD83D__xDC49_ SSC JE: http://bit.ly/2FLmoJ0
_xD83D__xDC49_ NTA-UGC NET: http://bit.ly/2KOiAel
_xD83D__xDC49_ IIT JEE: http://bit.ly/300BdPJ
_xD83D__xDC49_ CTET &amp; TET: http://bit.ly/2YsVRb0
➤ Use Referral Code: NEERAJ11
To Get 10% Discount on Unacademy Subscription
Unacademy Subscription Benefits: -
1. One Subscription, Unlimited Access
2. Learn from your favorite teacher
3. Real time interaction with teacher
4. You can ask doubts in live class
5. Limited students
6. Download the videos &amp; watch offline
_xD83D__xDC49_ Download wifistudy App: http://bit.ly/2IrolwJ
_xD83D__xDC49_ Follow us on Telegram: https://t.me/wifistudy
#Subscription_व_Live_Classes_Schedule_in_Description</t>
  </si>
  <si>
    <t>Bonds and Debentures are explained in hindi. Although a bond and a debenture work more or less the same way, there are few subtle differences. In this bonds vs debentures video, we will understand these differences on the basis of security, convertibility, risk etc.
Open your Free Bonds Account here: 
✔ https://bit.ly/startgoldenpi 
-------------------------------------------------------------------------------------------
*** Invest &amp; Trade in Stocks &amp; Mutual Funds ***
Open your Discount Demat Account here: 
✔ Zerodha - http://bit.ly/demat-zerodha 
✔ Angel Broking - https://tinyurl.com/yzmhe8fm
✔ Upstox - http://bit.ly/upstox-trading
-------------------------------------------------------------------------------------------
***Earn Fixed Returns upto 13% p.a.***
Start Covered Bonds Here:
✔ Wint Wealth - http://bit.ly/wintwealth 
Start Invoice Discounting Here:
✔ TradeCred - http://bit.ly/tradecred 
Start Bonds Investing Here:
✔ GoldenPi - https://bit.ly/startgoldenpi 
-------------------------------------------------------------------------------------------
Bond market can give you fixed income which has much lesser risk as compared to share market. You can invest in corporate bonds &amp; debentures, government bonds and Tax Saving Bonds. There are various types of bonds - convertible &amp; non convertible debentures, zero coupon bonds, callable bonds, secured &amp; unsecured debentures, redeemable a&amp; irredeemable bonds etc. 
Related Videos:
Shares vs Debentures (Bonds) - https://youtu.be/afSACc6c2c0
Types of Bonds &amp; Debentures - https://youtu.be/5YN_Uo7stms
How to Invest in Bonds &amp; Debentures - https://youtu.be/hC9OsIzAoEk
हिंदी में Bonds and Debentures के बीच तुलना। हालांकि एक bond और debenture एक ही तरह से कम या ज्यादा काम करते हैं, कुछ subtle differences हैं। इस bonds vs debentures वीडियो में, हम security, convertibility, risk etc के आधार पर इन differences को समझेंगे।
Share this video:
https://youtu.be/BdMg5RmMj_0
Subscribe To Our Channel and Get More Finance Tips:
https://www.youtube.com/channel/UCsNxHPbaCWL1tKw2hxGQD6g
To access more learning resources on finance, check out www.assetyogi.com
In this video, we have explained:
What is equity financing?
What is debt financing?
What is an example of debt financing?
What is the difference between a debenture and a bond?
What are debentures in simple terms?
What are bonds?
What are the similarities between bonds and debentures?
How do bonds work?
What are debenture holders?
How does a debenture work?
If there is a requirement of funds in any company then there are two options. First one is equity financing and the other one is debt financing. Equity financing is a risk capital in which company dilute its shareholding. On the other hand, if the company doesn't want to dilute its shareholding then company raises debt financing. So in this video, we will understand the differences between bonds and debentures on the basis of security, convertibility, risk etc. A bond is a financial instrument which highlights the debt taken of the issuing body towards the holders. A debenture is an instrument used for raising long term finances. 
Make sure to like and share this video.
Other Great Resources
AssetYogi – http://assetyogi.com/ 
Follow Us:
Instagram - http://instagram.com/assetyogi
Facebook – https://www.facebook.com/assetyogi
Linkedin - http://www.linkedin.com/company/asset-yogi
Twitter - http://twitter.com/assetyogi
Pinterest - http://pinterest.com/assetyogi/ 
Google Plus – https://plus.google.com/+assetyogi-ay
Hope you liked this video in Hindi on “Bonds vs Debentures"</t>
  </si>
  <si>
    <t>RRB NTPC 2020 General Science | Railway NTPC GS by Neeraj Sir | Biology | Diseases in Humans | Diseases and their Causes | wifistudy
Full Playlist of Neeraj Sir:
_xD83D__xDC49_ https://www.youtube.com/playlist?list=PLT2PUxNJBoePeAHF7kJBrUc84aVnL6UYz
Follow Neeraj Sir on UNACADEMY
_xD83D__xDC49_ https://unacademy.com/@neerajjangid_11
Unacademy Educator's Feedback Form: _xD83D__xDC49__xD83C__xDFFB_ https://bit.ly/2STTD36
Subscribe Our New Channels:
✿ Bank Ladder: https://www.youtube.com/channel/UC24RLzZdcUj-hj4WTmettwQ?sub_confirmation=1
✿ Bankers Way: https://www.youtube.com/channel/UCzdgWZfyWtkrlRUrLwWYfbw?sub_confirmation=1
✿ Speed Maths: https://www.youtube.com/channel/UCnSRI8q1KgOftVVXaFM8v1Q?sub_confirmation=1
✿ Maths Magic: https://www.youtube.com/channel/UCAHueV8GLLzhor6lqFwLBcg?sub_confirmation=1
✿ Just General Science: https://www.youtube.com/channel/UCU1a_eIElXW8fdFgR-AjZLw?sub_confirmation=1
✿ Hello Teachers: https://www.youtube.com/channel/UCoNrPU3AnFBSWQRqKju7_bw?sub_confirmation=1
✿ wifistudy State PSC’s: 
https://www.youtube.com/channel/UCEKJJeC4ejlQ9gbxmQIz7AA?sub_confirmation=1
wifistudy is a part of the Unacademy Group.
=== Live Classes Schedule (Mon-Fri) from 2nd Dec 2020 ===
✿ Morning Shows:
05:00 AM - Current Affairs Quiz Show by Bhunesh Sir
05:30 AM - Maths Short Tricks by Prabal Sir
06:30 AM - One Word Substitution &amp; Idioms by Harsh Sir
07:00 AM - The Hindu Editorial by Harsh Sir
08:00 AM - Current Affairs Show by Bhunesh Sir
08:40 AM - Vocabulary Show by Harsh Sir
✿ RRB NTPC 2019-20 सफलता Batch:
09:00 AM - General Awareness by Rohit Sir
09:30 AM - General Science by Neeraj Sir
10:15 AM - Reasoning by Deepak Sir
11:00 AM - Maths by Sahil Sir
✿ RRB Group D 2019-20 Selection Batch:
12:00 PM - General Science by Priya Ma'am
12:30 PM - Maths by Sahil Sir
01:00 PM - General Awareness by Bhaskar Sir 
01:30 PM - Reasoning by Hitesh Sir
✿ RRB NTPC &amp; Group D 2020:
02:00 PM - Current Affairs by Ankit Avasthi Sir
✿ UPSC CSE 2021 (Mon-Tue):
02:00 PM - Economics by Upendra Sir
06:00 PM - General Science &amp; Technology by Upendra Sir
✿ SSC &amp; Railway Exams:
03:00 PM - Maths by Pawan Rao Sir
✿ Bank Exams 2020-21:
02:00 PM - Maths By Amit Sir
03:00 PM - Reasoning  by Sachin Modi Sir
04:00 PM - Banking Awareness by Abhijeet Sir
05:00 PM - English by Narendra Sir
✿ SSC/Banking/All Exams:
05:00 PM - English by Aisha Ma'am
✿ SSC CGL 2020 Foundation Course:
06:00 PM - GS by Priya Ma'am
06:30 PM - Reasoning by Deepak Sir 
07:00 PM - GA/Current Affairs by Bhaskar Sir
07:30 PM - English by Sandeep Kesarwani Sir
08:00 PM - Maths by Dhasu Sir
✿ SSC JE 2019-20 (Technical) Crash Course:
03:00 PM - Mechanical Engg. by Neeraj Sir
10:00 PM - Electrical Engg. by Ashish Sir
10:00 PM - Civil Engg. by Sandeep Jyani Sir
✿ SSC CPO 2020:
11:00 PM - Maths by Naman Sir
✿ All Competitive Exams:
07:30 AM - Maths by Ajay Choudhary Sir
09:00 PM - Math by Rahul Sir
10:15 PM - Maths by Sajjan Sir
11:00 PM - GK by Praveen Sir
11:30 PM - Maths by Ayush Sir
✤ Download the Unacademy Learning App Here:
➤ Android: https://goo.gl/02OhYI
➤ iOS: https://goo.gl/efbytP
✤ For More Such Classes Get Subscription Advantage:
_xD83D__xDC49_ Railway Exams: http://bit.ly/2XBGTCp
_xD83D__xDC49_ Banking Exams: http://bit.ly/2JfT7Y6
_xD83D__xDC49_ SSC Exams: http://bit.ly/2FLmoJ0
_xD83D__xDC49_ UPSC CSE: http://bit.ly/2YtKMX6
_xD83D__xDC49_ NDA/Air Force X &amp; Y/Navy: http://bit.ly/2XEWEsi
_xD83D__xDC49_ CDS/AFCAT/CAPF: http://bit.ly/2Xix1ZU
_xD83D__xDC49_ RPSC: http://bit.ly/304XBaJ
_xD83D__xDC49_ UPPSC-UPSSSC: http://bit.ly/2Xf14ld
_xD83D__xDC49_ GATE &amp; ESE: http://bit.ly/2uoyyVQ
_xD83D__xDC49_ SSC JE: http://bit.ly/2FLmoJ0
_xD83D__xDC49_ NTA-UGC NET: http://bit.ly/2KOiAel
_xD83D__xDC49_ IIT JEE: http://bit.ly/300BdPJ
_xD83D__xDC49_ CTET &amp; TET: http://bit.ly/2YsVRb0
➤ Use Referral Code: NEERAJ11
To Get 10% Discount on Unacademy Subscription
Unacademy Subscription Benefits: -
1. One Subscription, Unlimited Access
2. Learn from your favorite teacher
3. Real time interaction with teacher
4. You can ask doubts in live class
5. Limited students
6. Download the videos &amp; watch offline
_xD83D__xDC49_ Download wifistudy App: http://bit.ly/2IrolwJ
_xD83D__xDC49_ Follow us on Telegram: https://t.me/wifistudy
#Subscription_व_Live_Classes_Schedule_in_Description</t>
  </si>
  <si>
    <t>communicable diseases, communicable disease nursing, communicable diseases lecture, communicable and noncommunicable diseases, communicable diseases for class , communicable diseases class 5, communicable diseases nursing review, , communicable diseases mcqs with answers
#communicable_disease_mcq
#Commucable_disease_tricks
#Health_tips_medical_knowledge
Other video CHO syllabus:-
universal immunization:https://youtu.be/1L2zjvM_6DA
universal immunization part2:-https://youtu.be/couIXypZbWw
RBSK &amp; mission indradhanush: https://youtu.be/wNFtDeysmpI
jsky/janani surksha yojna:https://youtu.be/Leb-WTfg93A
RMNCH+ https://youtu.be/kNxDBrwmAJw
Essential care new born part1:https://youtu.be/kNxDBrwmAJw
adolscent health:
puberty: https://youtu.be/Wq8tC2c9spc
mentrrual cycle: https://youtu.be/TiGdRTa-s5Y
more video our play list!!
https://www.youtube.com/playlist?list=PLYjTRRYBzHraqBqQ5KMmk3We6y-XquHj9
EXAM, CHO Exam, MP CHO Exam, Rajasthan CHO Exam, Community Health Officer, Rajasthan Exam 2020, UP CHO Exam, Bihar CHO Exam, Assam CHO Exam, Chhatisgarh CHO Exam, CHO Exam Paper, CHO Exam MCQs, Community Health Officer Exam Preparation
CHO EXAM,RAJASTHAN CHO MCQS,RAJASTHAN EXAM QUESTION AND ANSWERS,RAJASTHAN COMMUNITY HEALTH OFFICER,COMMUNITY HEALTH OFFICER EXAM PREPARATION,CHO QUESTION PAPER,CHO EXAM PREPARATION,RAJASTHAN CHO 2020,NURSING,NURSING EDUCATION,CRPF,DSSSB,MP CHO,UP CHO,CHO,COMMUNITY HEALTH OFFICER,BAMS CHO
Connect to me:
Facebook: https://m.facebook.com/Medical-Nsgpha...
Gmail: healthtipsmedicalknowledge@gmail.com
Website: http://nursingoldpaper.blogspot.com
Subscribe: https://www.youtube.com/channel/UCHKf...</t>
  </si>
  <si>
    <t>What is STD? What are the symptoms of STDs? How do STDs spread? How to prevent STDs? Common types of STDs: herpes(HSV-1, HSV-2), HPV, HIV, Hepatitis(A, B, C),Chlamydia, Thrush, Syphilis, Gonorrhea.Symptoms of those STDs: herpes symptoms, HIV symptoms, HPV symptoms, chlamydia syptoms, thrush symptoms, syphilis symptoms etc. Check more: http://www.positivesingles.com/
What is STD?
Sexually transmitted diseases (STDs) are infectious diseases that are most often spread by sexual intercourse. STDs can be spread through various ways. It is wrong if you think you can only be infected through sexual intercourse. 
How STDs Spread?
1) Have oral, vaginal and/or anal sex with someone who has the infection.
2) Have more than one sex partner or have sex with someone who has had many partners
3) Don't use a condom when having sex
4) Direct skin-to-skin contact with the mouth, anus or genitals.- 
5) Share needles or syringes for drug use, ear piercing, tattooing, etc.
How many people get STDs?
Over 110 million people are living with STDs in the U.S. alone, as well as an estimated 400 million people worldwide. 
In the United States about 19 million new infections are thought to occur each year. Almost half of new infections are among young people ages 15 to 24. 1 in 4 teenage American girls has STD. 
How to prevent STDs?
 Don’t have sex.
 Be faithful.
 Use condoms correctly when you have sex.
 Have a yearly pelvic exam.
Most common types of STDs
 HSV-1 (herpes type 1, usually cold sore)
 HSV-1 (herpes type 1, usually genital)
 HSV-2 (herpes type 2, usually genital)
 HSV-2 (herpes type 2, usually cold sore)…
 HPV (human papillomavirus)
 HIV (human immunodeficiency virus)
 Hepatitis A
 Hepatitis B
 Hepatitis C
 Chlamydia
 Thrush
 Syphilis
 Gonorrhea
a). HERPES (HSV-1 &amp; HSV-2)
Herpes simplex virus is known as herpes. The virus is categorized into two types of herpes. HSV-1 is usually oral herpes and HSV-2 is usually genital herpes. Over 45,000,000 have herpes in U.S. There is no cure for the infection.
Symptoms
1) A blister or multiple blisters on or around affected areas: inside the mouth, on the lips, around the lips, genitals, or rectum. 
2) HSV-1 causes sores around the mouth, inside the mouth and on the lips.
3) With HSV-2, the infected person may have cold sores or a rash around the genitals area.
b). HPV (human papillomavirus)
HPV vaccines are offered to males and females age 26 and under who don’t have HPV. Over 20,000,000 people have the disease. The vaccine is a series of three shots given during a six-month duration.
Symptoms
Often, people don't have any symptoms and the HPV infection goes away on its own. Some types of HPV can lead to cervical cancer or cancer of the anus or penis. 
c). HIV (human immunodeficiency virus) 
Over 1,200,000 people in the U.S are living with HIV. HIV is a virus that attacks the immune system. When HIV progresses it could cause AIDS (Acquired Immunodeficiency Syndrome).
Symptoms
Symptoms may appear from a few days to several weeks after a person is first infected. The early symptoms usually go away within 2 to 3 weeks.
After the early symptoms go away, an infected person may not have symptoms again for many years. After a certain point, symptoms reappear and then remain. These symptoms usually include:
 Swollen lymph nodes.
 Extreme tiredness.
 Weight loss.
 Fever.
 Night sweats.
d). Hepatitis B
Hepatitis B is a serious disease caused by a virus hepatitis B virus (HBV) that attacks the liver. It can cause lifelong infection, cirrhosis (scarring) of the liver, liver cancer, liver failure, and death.
Symptoms
 Jaundice (yellowing of the skin or whites of the eyes and/or a brownish or orange tint to the urine)
 Unusually light-colored stool
 Fever
 Unexplained fatigue that persists for weeks or months
 Gastrointestinal symptoms such as loss of appetite, nausea, and vomiting
 Abdominal pain
 Frequently there will be no symptoms, and it is only discovered in a blood test
Often, symptoms occur one to six months after exposure. An estimated 30% of those infected do not show typical signs or symptoms.
e). Hepatitis C
In the U.S, 3.2 million people have Hepatitis C. Hepatitis C is a virus that could cause inflammation of the liver. 
Symptoms
The majority of individuals with Hepatitis C don’t experience any signs or symptoms of the virus. If liver damage occurs the following symptoms may occur.
•   Jaundice (a condition that causes yellow eyes and skin, as well as dark urine)
•   Stomach pain
•   Loss of appetite
•   Nausea
•   Lethargic
•   Temperature</t>
  </si>
  <si>
    <t>About this video -
Topic -  Chapter-6 | Communicable Disease  || Health Education &amp; Community Pharmacy 
Subject –  Health Education &amp; Community Pharmacy
B.Pharm – 
D.Pharm- 1st year
Typhoid Fever - https://youtu.be/VDZQph4uTME
Hepatitis - https://youtu.be/zQQC0shFhXU
FOR B.PHARM, D.PHARM  &amp; M.PHARM STUDENTS 
Hello Students
I am Anurag Jaiswal. I am working as Assistant Professor in a Pharmacy College and trainer in Vibgyor Laboratories.
By ANURAG JAISWAL
M.Pharm (GPAT Qualified)
For downloading pdf notes of this chapter on very easy language visit our website
Our Official Website 
www.kclpharmacy.com 
Facebook Page 
https://www.facebook.com/anurag.jaiswal.1291 
Youtube Channel
https://youtube.com/c/KclTutorial 
Email- rx.anurag@gmail.com 
Ask anything about this topic on comment section.About this video - Number =</t>
  </si>
  <si>
    <t>FREE AIIMS Delhi MCQ Based  Crash Course</t>
  </si>
  <si>
    <t>_xD83D__xDE4B_ Hello everyone,
You will get to know about 
        " COMMUNICABLE DISEASES "
- How are these diseases spread? 
- Prevention from these diseases. 
This video mainly focusses on the concepts which make the students very clear with their topics and clear their douts. 
This video will be very helpful to those aspirants preparing for scholarships like OLYMPIAD etc.
Join google classroom class 5 _xD83D__xDC47__xD83D__xDC47_
https://classroom.google.com/c/MzAxNjA4NjU0NzEx?cjc=hgdfwf4
• Diseases caused due to lack of PROTEINS
https://youtu.be/QOM7IIr3IoA
• Diseases caused due to lack of VITAMINS
https://youtu.be/qPtc8HWXSl8
#diseasesclass5 #communicablediseases
#foodforhealthclass5 #scienceclass5 #class5science #Adityakidseducation</t>
  </si>
  <si>
    <t>Difference Between Communicable and Non Communicable disease
The disease spread from person to another, they are 'catching' disease and can be spread through the air, water, etc.
The disease which does not spread from one person to another through any mode.
For More Difference Between Video Click Below
https://www.youtube.com/playlist?list=PLba8yqVy07INgHVYkn9UDXaIjurHZfsJd
For More History Video Click Below
https://www.youtube.com/playlist?list=PLba8yqVy07IOE1WRdscu5PbRB_USXc76s
For More Geography Video Click Below
https://www.youtube.com/playlist?list=PLba8yqVy07IO3Ek8lejETG_Td0AgRE4iI
For More Enviornment Video Click Below
https://www.youtube.com/playlist?list=PLba8yqVy07INWJ_9TD_p-xRPZjicoOYEz
For More World History Video Click Below
https://www.youtube.com/playlist?list=PLba8yqVy07INqc2YoRpkssCghJmY0l6K-ht
For More World Economy Video Click Below
https://www.youtube.com/playlist?list=PLba8yqVy07INnKrhKY7vYgUzut8iTnetN
For More Tricks to remember Video Click Below
https://www.youtube.com/playlist?list=PLba8yqVy07IM7LzNEPXz6OxoHVhD6fkb1
For More Basic Question Video Click Below
https://www.youtube.com/playlist?list=PLba8yqVy07IO6hWX9S4OXIFey8fkpoTkO
#quikrexam
For website Click Below
http://quikrexam.com/
Follow on Facebook Page Click Below
https://www.facebook.com/Quikrexam/
Follow on Twitter Click Below
https://twitter.com/quikrexam
Difference Between Communicable and Non Communicable disease,Difference Between,Communicable,Non Communicable disease,quikr exam,neet,difference,disease,science,communicable diseases,non communicable disease,non communicable diseases,distinguish between communicable and non communicable disease,communicable,communicable and noncommunicable diseases,difference between communicable disease and non communicable disease,communicable and noncommunicable diseases in hindi</t>
  </si>
  <si>
    <t>In this video we discuss prevention and control strategies for NCDs, with a focus on integration of efforts across primary, secondary, and tertiary prevention efforts.</t>
  </si>
  <si>
    <t>This video lesson is for the learners of Grade 7 in MAPEH.</t>
  </si>
  <si>
    <t>Dialogue on research, knowledge, and action for health equity in the Americas after COVID-19 "A Special Issue of the Pan American Journal of Public Health"</t>
  </si>
  <si>
    <t>#mentalhealthawareness #prevention #mentalillness
A direct link to the CEU course is https://www.allceus.com/member/cart/index/search?q=Prevention+Mental+Illness
Strategies for the Prevention of Mental Illness
Instructor: Dr. Dawn-Elise Snipes, PhD, LPC-MHSP
Objectives
 Identify strategies for the prevention of mental illness including 
 Community education
 Early intervention services
 Community resource development
 Improving accessibility
 Improving cultural sensitivity
 Enhancing protective factors in the environment
 Drug and domestic violence courts to break the cycle 
What “causes” mental illness
Community Education
 Educate all individuals in the community about the effectiveness and social and economic benefits of prevention 
 Reduced health care costs
 Disease
 Weight
 Smoking
 Alcohol
 Chronic pain
 Reduced absenteeism
 Improved productivity
 Improved energy and mood
 Improved relationships
Principles of Child Education
 Children are curious and eager to learn. They have an inherent desire to make sense of themselves, the world and others.
 Children are active participants in their environment and learn through with all of their senses.
 Children learn and express themselves through play, which is central to their well-being and development.
 Each child has an individual pattern and timing of growth and development as well as individual styles of learning.
 Children need to experience challenge, success, positive direction and positive redirection more than failure or criticism to form a positive self-concept. 
 Children learn best when active and interested. When they engage in a meaningful and relevant way, they can experience the joy of learning and feelings of success.
 Children learn best when they experience warm and stable personal relationships with their caregivers.
 Children develop holistically and benefit from integrated experiences and education.
 The brain learns best when having fun. 
 When learning happens in a positive emotion environment, it is stored in the hippocampus. This is later transferred to the brain cortex, where long term memory happens- thus affecting our ability to remember. 
 Unpleasant events and fast learning, on the other hand are stored in the amygdala, the part of the brain that stores "what not to do".
 Children emulate positive models
Principles of Adult Education
 Adults are autonomous and self-directed
 Adults are goal and relevancy oriented
 How does this help me meet my goals and objectives
 Adults already have a wealth of knowledge
 How does prior learning impact current learning
 How does current learning enhance/build off of prior learning
 Adults are motivated to learn by:
 Social relationships
 External expectations
 Social welfare
 Personal advancement
 Escape/stimulation
 Cognitive interest
Principles of Adult Education
 Barriers to Adult Learning
 Responsibilities
 Lack of time 
 Lack of money
 Lack of confidence or interest
 Lack of information about opportunities
 Scheduling problems
 Problems with childcare or transportation
Community Resource Development
Improving Accessibility
Enhancing Protective Factors
Problem Solving Courts
Summary
 Prevention is accomplished by providing accessible, culturally appropriate, age-relevant education and screening services
 Top prevent mental illness people need safety, health, love and belonging and self-esteem needs met.
 Community opportunities for economic self-sufficiency, safe housing, community involvement and socialization are all beneficial.
 Communities that care promote greater growth and retention of residents.
 Prevention on average saves $8 for every dollar spent.
 Prevention activities benefit people physically, socially, emotionally and occupationally
 Problem solving courts ensure that people who have begun to develop problems are connected with recovery resources instead of just incarcerated.
AllCEUs provides #counseloreducation and CEUs for LPCs, LMHCs, LMFTs and LCSWs as well as #addiction counselor precertification training and continuing education.
Live, Interactive Webinars ($5): https://www.allceus.com/live-interactive-webinars/
Unlimited Counseling CEs for $59 https://www.allceus.com/
#AddictionCounselor and #RecoveryCoach https://www.allceus.com/certificate-tracks/
Pinterest: drsnipes
Podcast: https://www.allceus.com/counselortoolbox/
Nurses, addiction and #mentalhealth #counselors, #socialworkers and marriage and family#therapists can earn #CEUs for this and other presentations at AllCEUs.com
#AllCEUs courses are accepted in most states because we are approved as an education provider for NAADAC, the States of Florida and Texas Boards of Social Work and Mental Health/Professional Counseling, the California Consortium for Addiction Professionals and Professions.
This was recorded as part of a live #webinar</t>
  </si>
  <si>
    <t>Let's learn about infectious diseases &amp; more!
#Diseases
#Infectious diseases
#communicable diseases
#health disorders
#human health and diseases
#types of diseases
#non-infectious diseases
#non-communicable diseases
#types of human diseases
#different types of diseases
#human health</t>
  </si>
  <si>
    <t>_xD83C__xDF37_Hello Grade 7. I hope this video helps you to cope up with the new normal of learning.
‼️Watch and understand the lesson. Then answer the question at the end of the video. Type your answers on the comment box below.
_xD83D__xDC9C_If you find this video helpful, please don't forget to share and subscribe to my channel.
DISCLAIMER: No copyright infringement intended on the photos and videos used, for education purpose only. Credits to the owners.
___________________________________________________
❇️ RESOURCES:
K-12 MAPEH 7 book by St. Bernadette Publishing House Corporation
DepEd MELCs
MAPEH Grade 7 Life Skills: The Beginning of My Journey Module
___________________________________________________
❇️ VIDEO CHAPTERS:
00:00 - Introduction
00:44 - Table of Contents
01:01 - Disease and Illness
01:39 - Communicable Diseases
06:56 - Non-Communicable Diseases
13:58 - Prevention of Diseases
14:42 - Question Time
___________________________________________________
❇️ OTHER VIDEOS:
HEALTH 7 Q1 Lesson 1: Holistic Health (https://youtu.be/5JiyGmLN6mU)
HEALTH 7 Q1 Lesson 2: Healthy Habits to Achieve Holistic Health (https://youtu.be/dJmKKeZtGjw)
HEALTH 7 Q1 Lesson 3: Changes During Puberty -Physical &amp; Mental (https://youtu.be/l4H21b1E8sA)
HEALTH 7 Q1 Lesson 4: Changes During Puberty -Emotional, Social, Moral-Spiritual (https://youtu.be/OIsz8R6wkys)
HEALTH 7 Q1 Lessons 5-6: Health Appraisal Procedures During Adolescence Stage (https://youtu.be/PjrMkepoNhc)
HEALTH 7 Q1 Lessons 7-8: Health Services in The School and Community; Coping Skills in Dealing Adolescent’s Health Concerns (https://youtu.be/WQrRo6h7k6M)
HEALTH 7 Q2 Lessons 1-8: Nutrition (https://youtu.be/WoWH8T_lUzg)
HEALTH 7 Q3 Lessons 1-8: Mental Health (https://youtu.be/BcLn91noWLk)
___________________________________________________
_xD83D__xDC49__xD83C__xDFFB_You can reach me through this email and social media accounts:
_xD83D__xDC8C_ G-mail - gracelastra08@gmail.com
_xD83C__xDF38_Facebook -  https://www.facebook.com/gracelastra08
_xD83D__xDC52_Instagram - https://www.instagram.com/gracelastra08
_xD83E__xDD8B_Twitter - https://twitter.com/gracelastra08
✏️Tumblr - https://www.tumblr.com/blog/gracelastra08
_xD83C__xDFB6_ TikTok - https://tiktok.com/@gracelastra08
___________________________________________________
❇️ MUSIC:
Love Aside - Patrick Patrikios
___________________________________________________
❇️ VIDEO EDITOR:
VivaVideo, PowerPoint
#CommunicableDiseases #NonCommunicableDiseases #Health7 #MAPEH7 #PreventiveMeasures</t>
  </si>
  <si>
    <t>IGCSE Biology video podcast: Subscribe to the podcast on iTunes: https://itunes.apple.com/gb/podcast/biology-by-science-sauce/id1204827854?mt=2
Twitter: https://twitter.com/science_sauce
Pathogens are just disease-causing organisms. A transmissable disease is one which can spread from host to host. Disease can be spread in a number of ways and this can be reduced by good sewage treatment, hygienic food preparation practices etc.</t>
  </si>
  <si>
    <t>#CHO#MP#UP#VYAPAM#CRPF JINC Jodhpur</t>
  </si>
  <si>
    <t>Health and Diseases | Science for Kids | Grade 5 | Periwinkle
Watch our other videos:
English Stories for Kids: https://www.youtube.com/playlist?list=PLC1df0pCmadfRHdJ4Q1IYX58jTNFJL60o
English Poems for Kids: https://www.youtube.com/playlist?list=PLC1df0pCmadfdUZWKOgzL_tvEE9gnrO8_
English Grammar for Kids: https://www.youtube.com/playlist?list=PLC1df0pCmadeOXsk1AGM6TgMrIkxLQIGP
Hindi Stories: https://www.youtube.com/playlist?list=PLC1df0pCmade3ewXfVcrIdo0os76Epk1d
Science Videos: https://www.youtube.com/playlist?list=PLC1df0pCmadfv-D3JU1DiacOsAUhgWGwr
For more such videos on English Stories, English Grammar, English Stories, Poem &amp; Rhymes, Hindi Stories and Poems, Maths, Environmental Studies and Science @ https://www.youtube.com/PeriwinkleKids
Don't forget to subscribe!
Like us on Facebook: https://www.facebook.com/PeriwinkleKids/
Follow us on Twitter: https://twitter.com/Periwinkle_Kids
Follow us on Google Plus: https://plus.google.com/+PeriwinkleKids
Website: http://www.e-periwinkle.in/</t>
  </si>
  <si>
    <t>This lesson is going to provide you with an overview of the four WHO priority NCDs and their related risk factors. These include cardiovascular disease (CVD), type 2 diabetes, lifestyle-based cancers, and chronic respiratory diseases.  At the conclusion of this lecture, you should be able to describe the following elements for your country or region: the burden of disease of the four main NCDs; How risk factors affect the burden of disease; the definition and characteristics of NCDs; global trends in NCDs; definition of risk factors and metabolic risk factors; common risk factors for NCDs; and be able to define and discuss the global burden and health effects of the four leading NCDs, four lifestyle risk factors, and four metabolic risk factors.</t>
  </si>
  <si>
    <t>Learn 5 facts about non-communicable diseases you probably did not know.
For more information, download our app for free on the link below
https://play.google.com/store/apps/details?id=com.stowelink.mcure</t>
  </si>
  <si>
    <t>In the previous video we studied about types of Helminthic and Fungal disease.
https://youtu.be/-F6MWVdbSco
In this video we will study about types of Non-Communicable Disease and its types.
Types
1.Deficiency Disease
2.Degenerative Disease
3.Allergy
PLEASE SHARE THIS VIDEO TO ALL YOUR FRIEND TO SPREAD MY WORDS.
Video lead: Zoya Rahman
For more such biology video, please subscribe my channel - http://bit.ly/subscribeRBConline
--------------------------------------------
✸ NCERT CHAPTERS - Topic wise videos 
▶ Biotechnology: Principles and Processes | Chapter 11 ➧ https://www.youtube.com/watch?v=4AZqyoLz6uQ&amp;list=PLmd5sQ7Ktoaj2BeU3twg49ExqtpOkDc74
▶ Genetics ➧ https://www.youtube.com/playlist?list=PLmd5sQ7KtoajT6OlNQ2HM9sil86PVjyxh
▶ Human Reproduction ➧ https://www.youtube.com/playlist?list=PLmd5sQ7Ktoajb-JF2wGPBLriqyJDbqXe1
▶ Reproductive Health ➧ https://www.youtube.com/playlist?list=PLmd5sQ7KtoahuNI5IDk_9BjKIRrzy1GAC
▶ Sexual Reproduction in Flowering Plant | Chapter 2 ➧ https://www.youtube.com/playlist?list=PLmd5sQ7KtoajdA-DkuWXmq24kmwhfNUS2
▶ Human Health and Disease | Chapter 8 ➧ https://www.youtube.com/playlist?list=PLmd5sQ7KtoagmPX56KTWwaL5MROXghMWn
▶ Molecular Basis of Inheritance (GENETICS) | Chapter 6 ➧ https://www.youtube.com/playlist?list=PLmd5sQ7KtoaghyFEFt2I8s1Tf3CL5gDx5
▶ Reproduction in Organism | Chapter 1 ➧ https://www.youtube.com/playlist?list=PLmd5sQ7Ktoag1LJbRLKpfBYf47aNUYuSr
▶ Evolution | Chapter 7 ➧ https://www.youtube.com/playlist?list=PLmd5sQ7Ktoag2_nWkLzCxKEvzYAK9WLE5
▶ Microbes in Human Welfare | Chapter 10 ➧ https://www.youtube.com/playlist?list=PLmd5sQ7KtoaiBHADFXLKP1CSwJjLswK5E
▶ Strategies For Enhancement In Food Production | Chapter 9 ➧ https://www.youtube.com/playlist?list=PLmd5sQ7KtoahEuJMjH_5cKoJ82LFnit0p
--------------------------------------------
➧ Follow us on Facebook ➛ https://www.facebook.com/rahmanbiologyclasses
➧ Visit our Blog ➛ https://rahmanbiologyclasses.blogspot.co</t>
  </si>
  <si>
    <t>Click here https://bit.ly/2wJs0SV to Download our Android APP to have access to 1000's of #Smart_Courses covering length and breadth of almost all competitive exams in India.  
UPSC/CSE - This is our Flagship &amp; Most Selling Course. This course covered Length &amp; Breadth of UPSC vast syllabus and made by Elite &amp; Very best faculties from all over India with StudyIQ Trust. #Download_StudyIQ_APP https://bit.ly/2wJs0SV to watch Demo Videos, Course Content, Authors, Etc. 
SSC &amp; Bank - This is our oldest Course, made by Founders of StudyIQ. 1000+ videos so far and new videos added every week. Download the app https://bit.ly/2wJs0SV to watch Demo Videos, Course Content, Authors, Etc.
UPSC Optionals - We have covered almost all major UPSC Optionals. Download the app https://bit.ly/2wJs0SV to watch Demo Videos, Course Content, Authors, Etc.
State Exams PSCs - Currently we have 18 States covered, More to come, Choose your state. Download the app https://bit.ly/2wJs0SV to watch Demo Videos, Course Content, Authors, Etc.
Defense Exams - CDS, NDA, CAPF, SSB, AFCAT, Airforce. Download the app https://bit.ly/2wJs0SV to watch Demo Videos, Course Content, Authors, Etc.
SSC JE Exams - Civil, Mechanical, Electrical, Electronics. Download the app https://bit.ly/2wJs0SV to watch Demo Videos, Course Content, Authors, Etc.
RBI Grade B - Grade B is the most popular Job after IAS. This course made by well-experienced faculties of Study IQ. Download the app https://bit.ly/2wJs0SV to watch Demo Videos, Course Content, Authors, Etc.
NTA NET - Start your preparation for UGC(NTA) NET prestigious exam. We have courses for both Paper 1 &amp; 2. Download the app https://bit.ly/2wJs0SV to watch Demo Videos, Course Content, Authors, Etc. 
UPSC Prelim Test Series 2020 - Our flagship test series for UPSC Prelims. More than 55-60% Success rate in 2018-19. Download the app https://bit.ly/2wJs0SV to watch Demo Videos, Course Content, Authors, Etc. 
DMRC Exams - Courses for Delhi Metro Technical &amp; Non-Technical Exams. Download the app https://bit.ly/2wJs0SV to watch Demo Videos, Course Content, Authors, Etc.
Insurance Exams - LIC, NICL, and other insurance exams. Download the app https://bit.ly/2wJs0SV to watch Demo Videos, Course Content, Authors, Etc.
Law Exams - Find courses for Undergraduate and Judiciary Exams. Download the app https://bit.ly/2wJs0SV to watch Demo Videos, Course Content, Authors, Etc.
Railway Jobs - More than 1.5 Lac jobs to come this year. Start your preparation with us for Tech or Non-Tech posts. Download the app https://bit.ly/2wJs0SV to watch Demo Videos, Course Content, Authors, Etc.
Teaching Jobs - CTET, DSSSB. Download the app https://bit.ly/2wJs0SV to watch Demo Videos, Course Content, Authors, Etc.
NABARD Grade A - Download the app https://bit.ly/2wJs0SV to watch Demo Videos, Course Content, Authors, Etc.
Have a doubt? Click here http://bit.ly/2qWhdOI to start instant Chat with our Sale team or you can call 95-8004-8004
Download POKET NEWS app - http://bit.ly/2J3IxV3
STUDYIQ on Instagram - http://bit.ly/2K0uXEH
STUDYIQ [OFFICIAL] Telegram - https://t.me/Studyiqeducation
UPSCIQ Magazine (For Serious UPSC Aspirants) - http://bit.ly/2DH1ZWq 
UPSC Mains Answer Writing Practice - http://bit.ly/2IB9LTo
Bank IQ Magazine - http://bit.ly/2QxyNmJ
Daily Current Affairs  - http://bit.ly/2t68FG1
Download All Videos PDFs - https://goo.gl/X8UMwF
Monthly Current Affairs - http://bit.ly/2GtcCuP
Topic Wise Current Affairs - http://bit.ly/2VHxiZw
Free PDFs - https://goo.gl/cJufZc 
Free Quiz - https://goo.gl/wCxZsy 
Free Video Courses - https://goo.gl/jtMKP9"
Follow us on Facebook - https://goo.gl/iAhPDJ
Telegram - https://t.me/Studyiqeducation
The Hindu Editorial Analysis - https://goo.gl/vmvHjG
Current Affairs by Dr Gaurav Garg - https://goo.gl/bqfkXe
UPSC/IAS Burning Issues analysis- https://goo.gl/2NG7vP
World History for UPSC - https://goo.gl/J7DLXv
Indian History  - https://goo.gl/kVwB79
UPSC/IAS past papers questions - https://goo.gl/F5gyWH
SSC CGL + IBPS Quantitative tricks - https://goo.gl/C6d9n8
English Vocabulary - https://goo.gl/G9e04H
Reasoning tricks for Bank PO + SSC CGL- https://goo.gl/a68WRN
Error spotting / Sentence correction  https://goo.gl/6RbdjC
Static GK complete- https://goo.gl/kB0uAo
Complete GK + Current Affairs for all exams- https://goo.gl/MKEoLy
World History - UPSC / IAS - https://goo.gl/kwU9jC
Learn English for SSC CGL, Bank PO https://goo.gl/MoL2it
Science and Technology for UPSC/IAS - https://goo.gl/Jm4h8j
Philosophy for UPSC/IAS - https://goo.gl/FH9p3n
Yojana Magazine analysis -https://goo.gl/8oK1gy
History for SSC CGL + Railways NTPC - https://goo.gl/7939eV</t>
  </si>
  <si>
    <t>In this week's episode, we will look at how to prevent non-communicable diseases.
For more information, download our app for free on the link below
https://play.google.com/store/apps/details?id=com.stowelink.mcure
Music: https://www.bensound.com</t>
  </si>
  <si>
    <t>Protect your family today from vaccine preventable diseases.
Immunise today. Immunise for LIFE!</t>
  </si>
  <si>
    <t>A list and description of various strategies useful for preventing the spread of infectious diseases.</t>
  </si>
  <si>
    <t>A short introductory video to what non communicable diseases are.
For more information, download our app for free on the link below
https://play.google.com/store/apps/details?id=com.stowelink.mcure</t>
  </si>
  <si>
    <t>Frances is a poet and artist passionate about the state of education and development in the Pacific.  Her doctorate study explored the heritage art forms of tapa and tattooing in Samoa and Tonga as sites of knowing, learning being and becoming.
Frances’s talk encourages us to seriously consider the history and layers of meaning in the cultural motifs and symbols that surround us here in the Pacific.
Frances Cresantia Koya Vaka’uta is Associate Dean Research &amp; Internationalization at the Faculty of Arts, Law &amp; Education, at The University of the South Pacific. She teaches curriculum studies, education in small island developing states with a particular interest in Education for Sustainable Development and Rethinking Pacific island Education.
This talk was given at a TEDx event using the TED conference format but independently organized by a local community. Learn more at http://ted.com/tedx</t>
  </si>
  <si>
    <t>Communicable diseases are those that can spread from person to person, because they're caused by pathogens. This video considers what pathogens are, how they cause disease, the different ways they can spread, and how we can reduce that spread. 
Then over the next videos we'll take a closer look at:
- Viral disease 
- Bacterial disease 
- Protist and Fungal disease</t>
  </si>
  <si>
    <t>►SUPPORT/MEMBERSHIP: https://www.youtube.com/channel/UCZaDAUF7UEcRXIFvGZu3O9Q/join
►INSTAGRAM: https://www.instagram.com/dirty.medicine</t>
  </si>
  <si>
    <t>Ninja Nerds,
In this lecture, Zach Murphy, PA-C will present on Hypothyroidism. We will begin by discussing normal physiology on the production of thyroid hormone. Next, we move into the pathophysiology and clinical features of hypothyroidism. Finally, we conclude the lecture by discussing the diagnosis and treatment of hypothyroidism.
Table of Contents 
0:00- Introduction 
0:49- Physiology 
14:03- Pathophysiology of Hypothyroidism 
56:39- Diagnosis of Hypothyroidism 
1:12:10- Treatment of Hypothyroidism 
1:16:59- Myxedema Coma
BRAND NEW: PLEASE CLICK LINK BELOW FOR NOTES &amp; DIAGRAMS!
https://www.patreon.com/NinjaNerdScience
-You will notice our "Lecture Notes + Diagrams Bundle," with this you gain access to comprehensive PDF notes of the lecture, before and after photos of the whiteboard, and illustrated before and after diagrams of the lecture! All of these will be available for download!
Join this channel to get access to perks:
https://www.youtube.com/channel/UC6QYFutt9cluQ3uSM963_KQ/join
APPAREL |
Amazon  | https://www.amazon.com/Ninja-Nerd-Science/dp/B07N27WLDR/ref=sr_1_1?dchild=1&amp;keywords=ninja+nerd+science&amp;qid=1577670861&amp;sr=8-1
Teespring | teespring.com/stores/ninja-nerd 
DONATE
PATREON | https://www.patreon.com/NinjaNerdScience
PAYPAL | https://www.paypal.com/paypalme/ninjanerdscience
SOCIAL MEDIA
FACEBOOK | https://www.facebook.com/NinjaNerdScience
INSTAGRAM | https://www.instagram.com/ninjanerdscience
TWITTER | https://twitter.com/ninjanerdsci
@NinjaNerdSci</t>
  </si>
  <si>
    <t>How communicable diseases spread and prevented  
For Class  5
Series:  Science Success
Buy online from www.goyal-books.com</t>
  </si>
  <si>
    <t>Learn the difference between Arteriosclerosis, Arteriolosclerosis, and Atherosclerosis! Rishi is a pediatric infectious disease physician and works at Khan Academy. Created by Rishi Desai.
Watch the next lesson: https://www.khanacademy.org/science/health-and-medicine/circulatory-system-diseases/blood-vessel-diseases/v/atherosclerosis-part-1?utm_source=YT&amp;utm_medium=Desc&amp;utm_campaign=healthandmedicine 
Missed the previous lesson? https://www.khanacademy.org/science/health-and-medicine/circulatory-system-diseases/blood-vessel-diseases/v/arteries-vs-veins-what-s-the-difference?utm_source=YT&amp;utm_medium=Desc&amp;utm_campaign=healthandmedicine
Health &amp; Medicine on Khan Academy: No organ quite symbolizes love like the heart. One reason may be that your heart helps you live, by moving ~5 liters (1.3 gallons) of blood through almost 100,000 kilometers (62,000 miles) of blood vessels every single minute! It has to do this all day, everyday, without ever taking a vacation! Now that is true love. Learn about how the heart works, how blood flows through the heart, where the blood goes after it leaves the heart, and what your heart is doing when it makes the sound “Lub Dub.”
About Khan Academy: Khan Academy is a nonprofit with a mission to provide a free, world-class education for anyone, anywhere. We believe learners of all ages should have unlimited access to free educational content they can master at their own pace. We use intelligent software, deep data analytics and intuitive user interfaces to help students and teachers around the world. Our resources cover preschool through early college education, including math, biology, chemistry, physics, economics, finance, history, grammar and more. We offer free personalized SAT test prep in partnership with the test developer, the College Board. Khan Academy has been translated into dozens of languages, and 100 million people use our platform worldwide every year. For more information, visit www.khanacademy.org, join us on Facebook or follow us on Twitter at @khanacademy. And remember, you can learn anything.  
For free. For everyone. Forever. #YouCanLearnAnything
Subscribe to Khan Academy’s Health &amp; Medicine channel: https://www.youtube.com/channel/UC1RAowgA3q8Gl7exSWJuDEw?sub_confirmation=1
Subscribe to Khan Academy: https://www.youtube.com/subscription_center?add_user=khanacademy</t>
  </si>
  <si>
    <t>Understand key differences between the main acute and chronic liver diseases with this clear explanation from Dr. Roger Seheult of http://www.medcram.com. 
Includes a discussion of alcoholic liver disease, hepatitis A, hepatitis B, hepatitis C, ischemic liver disease, NASH, autoimmune liver disease, hemochromatosis, Wilson's, and alpha 1-antitrypsin deficiency.  This is video 3 of 4 in the MedCram Liver Series. 
Speaker: Roger Seheult, MD
Clinical and Exam Preparation Instructor
Board Certified in Internal Medicine, Pulmonary Disease, Critical Care, and Sleep Medicine.
MedCram: Medical topics explained clearly including: Asthma, COPD, Acute Renal Failure, Mechanical Ventilation,  Oxygen Hemoglobin Dissociation Curve, Hypertension, Shock, Diabetic Ketoacidosis (DKA), Medical Acid Base, VQ Mismatch, Hyponatremia, Liver Function Tests, Pulmonary Function Tests (PFTs), Adrenal Gland, Pneumonia Treatment, any many others.  New topics are often added weekly- please subscribe to help support MedCram and become notified when new videos have been uploaded.  
Subscribe: https://www.youtube.com/subscription_center?add_user=medcramvideos
Recommended Audience: Health care professionals and medical students: including physicians, nurse practitioners, physician assistants, nurses, respiratory therapists, EMT and paramedics, and many others. Review for USMLE, MCAT, PANCE, NCLEX, NAPLEX, NDBE, RN, RT, MD, DO, PA, NP school and board examinations. We also have over 40 hours of CME
More from MedCram:
Complete Video library: https://www.youtube.com/c/medcram
Facebook: https://www.facebook.com/MedCram
Google+: https://plus.google.com/u/1/+Medcram
Twitter: https://twitter.com/MedCramVideos
Produced by Kyle Allred PA-C
Please note: MedCram medical videos, medical lectures, medical illustrations, and medical animations are for medical educational and exam preparation purposes, and not intended to replace recommendations by your health care provider.</t>
  </si>
  <si>
    <t>Updated meiosis video. Join the Amoeba Sisters as they explore the meiosis stages with vocabulary including chromosomes, centromeres, centrioles, spindle fibers, and crossing over. Expand details to see table of contents _xD83D__xDC47_ This video also compares meiosis with mitosis. This video has a handout here: http://www.amoebasisters.com/handouts.html
Major Points in Table of Contents:
Intro 00:00
Mitosis vs. Meiosis Comparison 0:17
Gametes and Chromosome Count Compared to Body Cells 0:46
Interphase 1:44
Meiosis I 3:36
Crossing Over (in Prophase I) 3:56
Meiosis II 5:25
End Result of Meiosis 6:17
The Amoeba Sisters videos demystify science with humor and relevance. The videos center on Pinky's certification and experience in teaching biology at the high school level. For more information about The Amoeba Sisters, visit: 
http://www.amoebasisters.com/about-us.html
We cover the basics in biology concepts at the secondary level. If you are looking to discover more about biology and go into depth beyond these basics, our recommended reference is the FREE, peer reviewed, open source OpenStax biology textbook: https://openstax.org/details/books/biology
Support Us? https://www.amoebasisters.com/support-us
Our Resources:
Biology Playlist: https://www.youtube.com/playlist?list=PLwL0Myd7Dk1F0iQPGrjehze3eDpco1eVz
GIFs: https://www.amoebasisters.com/gifs.html
Handouts: https://www.amoebasisters.com/handouts.html
Comics: https://www.amoebasisters.com/parameciumparlorcomics
Unlectured Series: https://www.amoebasisters.com/unlectured
Connect with us!
Website: http://www.AmoebaSisters.com
Twitter: http://www.twitter.com/AmoebaSisters
Facebook: http://www.facebook.com/AmoebaSisters
Tumblr: http://www.amoebasisters.tumblr.com
Pinterest: http://www.pinterest.com/AmoebaSister­s
Instagram: https://www.instagram.com/amoebasistersofficial/
Visit our Redbubble store at https://www.amoebasisters.com/store
TIPS FOR VIEWING EDU YOUTUBE VIDEOS:
Want to learn tips for viewing edu YouTube videos including changing the speed, language, viewing the transcript, etc? https://www.amoebasisters.com/pinkys-ed-tech-favorites/10-youtube-tips-from-an-edu-youtuber-duo
MUSIC:
Music in this video is listed free to use/no attribution required from the YouTube audio library https://www.youtube.com/audiolibrary/music?feature=blog
COMMUNITY:
We take pride in our AWESOME community, and we welcome feedback and discussion.  However, please remember that this is an education channel. See YouTube's community guidelines and how YouTube handles comments that are reported by the community. We also reserve the right to remove comments.
TRANSLATIONS:
While we don't allow dubbing of our videos, we do gladly accept subtitle translations from our community. Some translated subtitles on our videos were translated by the community using YouTube's community-contributed subtitle feature. After the feature was discontinued by YouTube, we have another option for submitting translated subtitles here:  https://www.amoebasisters.com/pinkys-ed-tech-favorites/community-contributed-subtitles We want to thank our amazing community for the generosity of their time in continuing to create translated subtitles. If you have a concern about community contributed contributions, please contact us.</t>
  </si>
  <si>
    <t>Watch the interview with “Rhonda Rhinovirus” as she unwittingly shares with us how diseases are spread and how to prevent them. It is one in a series of safety videos from The Church of Jesus Christ of Latter-day Saints. See safety.ChurchofJesusChrist.org.</t>
  </si>
  <si>
    <t>Infectious Diseases | Coronavirus for Kids | What is Coronavirus | What is a virus?| Virus Explained
Visit www.learningmole.com for more educational lessons and videos in Maths, English, Crafts and Cooking.
LearningMole focuses on educating children of all ages. We offer advice and practical, interactive ideas to help parents challenge, homeschool, teach and develop their children’s skills at home. 
Help your child to explore the key concepts of number, counting, addition, subtraction, multiplication and division in Maths. Spelling, reading, writing and grammar in English. Help them to develop their imagination and creativity with crafts and to explore a range of skills to cook, bake and create tasty treats and snacks.
Easy to follow activities will support you and your child to learn and practice new concepts as well as enjoy spending time together. Help your child to progress and explore and most importantly - have fun!
https://www.youtube.com/watch?v=8KaqDCPF-CM
https://www.youtube.com/watch?v=nAc1YC0sqss
https://www.youtube.com/watch?v=Yta7ivF89bY
https://www.youtube.com/watch?v=ca153vdC0b8
https://www.youtube.com/watch?v=1q2yKaY8gr4
https://www.youtube.com/watch?v=lChlST2hO0c
https://www.youtube.com/watch?v=I9nMr4P843o
https://www.youtube.com/watch?v=tdF96FG_vy0
https://www.youtube.com/watch?v=SpXJFPK5ckE
https://www.youtube.com/watch?v=H6QCcRZK2yU
https://www.youtube.com/watch?v=lPNZ0Jblg_A
https://www.youtube.com/watch?v=b8elrAoIYlE
https://www.youtube.com/watch?v=hmRXia0yMgk
https://www.youtube.com/watch?v=4ea_xGBiw1o
https://www.youtube.com/watch?v=X-uRABe5sFE
https://www.youtube.com/watch?v=IQX2DoUolsg
https://www.youtube.com/watch?v=DmfCdqxTjEw
https://www.youtube.com/watch?v=C5gutmYmsaA
https://www.youtube.com/watch?v=SwDjm6Ra1W4
https://www.youtube.com/watch?v=XYmMjMBjMcI
https://www.youtube.com/edit?o=U&amp;video_id=GIUuxh2HLSQ
https://www.youtube.com/watch?v=hPZVK7qPnxo
https://www.youtube.com/watch?v=VU1x8oIcvT0
https://www.youtube.com/watch?v=B5HSmzhC5nw
https://www.youtube.com/watch?v=fZC_ScHpCg8
https://www.youtube.com/watch?v=RBaiG_7f7GQ
https://www.youtube.com/watch?v=pOCYMiDNlPk
https://www.youtube.com/watch?v=tZYrgEuvzk8</t>
  </si>
  <si>
    <t>Risk factors are things that increase the chance that a person will develop a certain disease. Lots of these are lifestyle choices that we make everyday. Learn the links you need to know, and how disease can affect society at large.</t>
  </si>
  <si>
    <t>Subtitles available in: Bulgarian, Czech, Danish, German, Greek, Italian, Lithuanian, Maltese, Portugese and Slovenian. 
Chronic diseases are everyone’s business. Nearly 1 in 4 Europeans suffer from a longstanding problem which restricts their daily activities. There are answers all across Europe that can reduce the burden of chronic diseases, by better using the existing knowledge and good practices on effective, efficient and holistic ways to manage chronic diseases. The European Joint Action CHRODIS brings together over 60 organisations across the EU that are working together to facilitate the exchange of good practices on the prevention and care of chronic diseases across Europe. 
More information about JA-CHRODIS here: www.chrodis.eu</t>
  </si>
  <si>
    <t>View full lesson: http://ed.ted.com/lessons/how-does-asthma-work-christopher-e-gaw
More than 300 million people around the world suffer from asthma, and around 250,000 people die from it each year. But why do people get asthma, and how can this disease be deadly? Christopher E. Gaw describes the main symptoms and treatments of asthma. 
Lesson by Christopher E. Gaw, animation by Zedem Media.</t>
  </si>
  <si>
    <t>Most cytomegalovirus (CMV) infection is asymptomatic, but it can cause a mono like syndrome and is the most important congenitally acquired infection. CMV is shed through many mechanisms making it difficult to prevent transmission. For more videos and questions, visit - https://www.macrophage.co. Subscribe - https://goo.gl/EMRlRa. Support us on Patreon - https://goo.gl/bhmrgJ.
CMV causes infection most commonly through the respiratory tract and the genital tract. It establishes latency in monocyte progenitor cells.
In addition to creating open-access educational videos like this one, Macrophage offers a free cutting-edge edge learning platform for medical education. We use short videos, questions, and machine learning to adapt our courses to your specific strengths and weaknesses. Make a free account at http://www.macropahge.co
http://www.macrophage.co
Subscribe to our channel - https://www.youtube.com/c/macrophagec...
Support us on Patreon - https://www.patreon.com/macrophage</t>
  </si>
  <si>
    <t>Find my revision workbooks here: https://www.freesciencelessons.co.uk/workbooks
In this video, we look at communicable and non-communicable diseases. We start by looking at the definitions of these and then explore examples where these diseases interact.
Music credit:
Deliberate Thought by Kevin MacLeod is licensed under a Creative Commons Attribution licence (https://creativecommons.org/licenses/by/4.0/)
Source: http://incompetech.com/music/royalty-free/?keywords=deliberate+thought
Artist: http://incompetech.com/
Image credits:
TB By NIAID - Mycobacterium tuberculosis Bacteria, the Cause of TB, CC BY 2.0, https://commons.wikimedia.org/w/index.php?curid=39933272
Asthma inhaler By No machine-readable author provided. Mendel assumed (based on copyright claims). - No machine-readable source provided. Own work assumed (based on copyright claims)., Public Domain, https://commons.wikimedia.org/w/index.php?curid=355712
Eczema By Jambula at English Wikipedia - Transferred from en.wikipedia to Commons., Public Domain, https://commons.wikimedia.org/w/index.php?curid=2042360
Arthritis
By James Heilman, MD - Own work, CC BY-SA 3.0, https://commons.wikimedia.org/w/index.php?curid=11110471</t>
  </si>
  <si>
    <t>Official Music Video 'I Will Not Fail' by Volney Morgan &amp; New-Ye
Lyrics:
I am chosen and not forsaken
I will not fail, I will not fail 
You go before me, You stand beside me
I will not fail, I will not fail 
Alabo wa, Alabo wa
Alagbara, Alabo wa
I am chosen and not forsaken
I will not fail, I will not fail 
You go before me, You stand beside me
I will not fail, I will not fail
Alabo wa, Alabo wa
Alagbara, Alabo wa
If God be for me, who can stand against me
I will not fail, I will not fail 
He fights my battles, yes all my battles
I will not fail, I will not fail 
I will not fail 
Jehovah keeps me
I will not fail
You will not fail 
Jehovah keeps you
You will not fail
Jehovah keeps you
__________________________
Available now on all digital platforms -
Spotify: https://open.spotify.com/album/5HBz5sMds0CkVLF0FPqxqe?highlight=spotify:track:466qUx0Mm5LVpg3FeDFCL0
Apple Music: https://music.apple.com/gb/album/crossover-live-ep/1559059265
Amazon Music: https://music.amazon.co.uk/albums/B08ZJRG76M?returnFromLogin=1&amp;
_________________________
Connect with Volney Morgan &amp; New-Ye !
Instagram: https://www.instagram.com/vmandnewye/?hl=en
Facebook: https://www.facebook.com/VMandNewYe/</t>
  </si>
  <si>
    <t>The Social Determinants of Health are the conditions in which people are born, grow, live and age. They have a large influence on our health. It also determines health inequities, which is the unfair and avoidable health difference between different groups of people In this video we take a look at the social determinants of health..what they are, how it impacts health and a useful framework to understand it.
This video was created by Ranil Appuhamy
Voiceover - James Clark
For more information have a look at these resources:
http://www.who.int/social_determinants/en/ 
http://www.who.int/social_determinants/thecommission/en/ 
https://www.cdc.gov/socialdeterminants/ 
http://www.ucl.ac.uk/whitehallII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</si>
  <si>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A quick explanation of noncommunicable diseases. Join the Healthy Lifestyle Community to learn more: https://ifrcstage.appspot.com.</t>
  </si>
  <si>
    <t>This video is a brief overview of Infectious Diseases. We will take a look at what they are, some terms used to describe characteristics of infectious diseases and different types. Historically, infectious diseases were the main cause of deaths around the world. Even now, they are a significant global public health issue leading to millions of deaths each year.
This video was created by Ranil Appuhamy
Voiceover - James Clark
For more information about infectious diseases, have a look at these websites:
http://www.who.int/topics/infectious_diseases/en/
https://www.cdc.gov/diseasesconditions/ 
https://wwwnc.cdc.gov/eid/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</si>
  <si>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Can gut bugs change the world? Join Warren Peters on a journey into understanding your microbiome and the new discoveries changing the way we understand diabetes, obesity, Alzheimer's disease, autism, and our everyday health and wellness.
If asked, he will tell you that the first part of his medical career was in general surgery, where “if something is wrong with you, I will cut it out."  The next was dedicated to lifestyle and natural medicines, where “if something is wrong with you, just try harder."  And finally, the last part is dedicated to the molecular and genetic basis of obesity, where "if something is wrong with you, it is the fault of your parents and the changing environment."  Within these three perspectives, reside the virtues of common sense and wisdom.
He obtained his medical degree from Loma Linda University, his surgical training at the Mason Clinic in Seattle Washington, and, his Master’s  degree in biostatistics and epidemiology from Loma Linda University.  He is privileged to travel and lecture nationally and internationally on topics of nutrition, wholeness, and wellness.  He has practiced surgical care, wholistic care, and, primary care in Washington, Maryland, Virginia, and California.
This talk was given at a TEDx event using the TED conference format but independently organized by a local community. Learn more at http://ted.com/tedx</t>
  </si>
  <si>
    <t>Our understanding of Alzheimer’s disease has come along way in the last century. In this animation, Nature Neuroscience takes us inside the brain to explore the cells, molecules and mechanisms involved in the onset and progression of this devastating condition - from the latest advances to the remaining gaps in our scientific knowledge.
Nature Neuroscience has full responsibility for all editorial content, including Nature Video content. This content is editorially independent of sponsors.</t>
  </si>
  <si>
    <t>Happiness? This is a short animated film, about the way we look at happiness, and how we trick ourselves all the way to the end...
Patreon: https://www.patreon.com/ProjectBetterSelf
Instagram: https://www.instagram.com/projectbetterself/
Proud supporters of Project Better Self:
Nicolas Berney, Michael Ferenčák.
Thank you!
If you want to be financially independent, learn new skills faster, be charismatic and likable, obtain life changing habits, learn how to read faster, become confident, inspire people - then subscribe!
SUBSCRIBE!
http://www.youtube.com/channel/UCugmVpDxOg-nmyLDdHcu04A?sub_confirmation=1
Music: http://www.incompetech.com
'Habanera' by Bizet
Thumbnail:
http://www.freepik.com
Videos twice a month</t>
  </si>
  <si>
    <t>Any idea why some Diseases spread easily through contact, while some do not spread at all? Why are some Diseases contagious while others do not get caught with mere communication? 
Watch this video to find the answers and to understand types of Diseases, Infectious diseases, non-infectious diseases, chronic diseases, and disorders. 
Don’t Memorise brings learning to life through its captivating educational videos. To Know More, visit https://DontMemorise.com
New videos every week. To stay updated, subscribe to our YouTube channel: http://bit.ly/DontMemoriseYouTube
Register on our website to gain access to all videos and quizzes:
https://dontmemorise.com/register/
Join us on Facebook: http://bit.ly/DontMemoriseFacebook
Follow us on Twitter: https://twitter.com/dontmemorise
Follow us: http://bit.ly/DontMemoriseBlog
#Diseases #InfectiousDiseases #NonInfectiousDiseases</t>
  </si>
  <si>
    <t>View full lesson: http://ed.ted.com/lessons/how-stress-affects-your-body-sharon-horesh-bergquist
 Our hard-wired stress response is designed to gives us the quick burst of heightened alertness and energy needed to perform our best. But stress isn’t all good. When activated too long or too often, stress can damage virtually every part of our body. Sharon Horesh Bergquist gives us a look at what goes on inside our body when we are chronically stressed.
Lesson by Sharon Horesh Bergquist, animation by Adriatic Animation.</t>
  </si>
  <si>
    <t>Featuring Dr. Hema Divaker, Senior Consultant and Medical Director, Divakers Speciality Hospital, India - Captured Live on Ustream at http://www.ustream.tv/channel/BTcsV9ecxMX with the Ustream Mobile App</t>
  </si>
  <si>
    <t>Série de webinaires sur l'Académie de plaidoyer
Briser les barrières et créer des passerelles pour améliorer la santé et les droits des filles et des femmes
13 Mai 2019
Modératrice: Maty Dia, Catalysts for Change
Notes de Fin:
https://womendeliver.org/publications/briser-les-barrieres-creer-des-passerelles/</t>
  </si>
  <si>
    <t>Recorded in May 2020, this webinar highlights opportunities to sustain momentum and action for gender equality in Universal Health Coverage (UHC), examine progress in building UHC systems that prioritize gender equality, and emphasize how health systems grounded in gender-responsive UHC – inclusive of sexual and reproductive health and rights (SRHR) – are stronger and more resilient for the long term.
The speakers discuss how health systems based on UHC will improve health outcomes for all and foster resiliency to withstand crises, such as the current COVID-19 pandemic, and deliver for the long term. They also underscore why continued commitments and investments for gender equality and SRHR in UHC are as critical now as ever.
Moderator: Deepa; Director, Sama Resource Group for Women and Health, India
Speakers:
Dr. Princess Nothemba (Nono) Simelela; Special Adviser to the Director-General, Strategic Programmatic Priorities, World Health Organization
Ms. Rosario Valdes Fernandez; President, Sindika Foundation and midwife, Chile
Dr. Lia Tadesse; Minister of Health, Ethiopia
Mr. Arush Lal; Board of Directors, Women in Global Health
Ms. Patricia Nudi Orawo; Advocacy and Policy Lead, Kisumu Medical and Education Trust (KMET), Kenya</t>
  </si>
  <si>
    <t>This webinar highlights perspectives on a people-centric and human rights-based approach to health security that is focused on delivering health for all through stronger health systems, a properly-equipped and financed health workforce, and responding to health crises while maintaining core women’s health services. Speakers shared recommendations and actions to propel advocacy to support investments in and commitments to women in the health workforce.
Speakers include:
•        Michèle Boccoz, World Health Organization (WHO)
•        Howard Catton, International Council of Nurses (ICN)
•        Dr. Gvantsa Khizanishvili, Tbilisi City Manager of the City Cancer Challenge (C/Can) (Georgia)
•        Opening remarks from Sarah Hillware, Women in Global Health
•        Closing remarks from Susan Papp, Women Deliver
•        Moderator: Mwenya Kasonde, Gender Equity Hub and Women in Global Health</t>
  </si>
  <si>
    <t>Los webinarios del Instituto de Incidencia: Coaliciones que transforman los derechos de la mujer
16 de Mayo 2019
Moderadora: Anca Matioc, Catalysts for Change
Recursos:
https://womendeliver.org/publications/coaliciones-que-transforman-los-derechos-de-la-mujer/</t>
  </si>
  <si>
    <t>In this research study, Women Deliver and Girl Effect worked together to understand how adolescent girls and young women in India, Malawi, and Rwanda are using digital platforms to learn about their sexual and reproductive health. The study found that adolescent girls and young women are using digital platforms as a one-stop shop to find information about their bodies, their health, and their relationships. However, they aren’t acting on the information partially due to a lack of trust and fear of social stigma. 
The study is especially unique because young people were meaningfully engaged throughout the whole process, including: in shaping the research questions, in collecting the data, discussing the results, and generating recommendations.
Read the report here: https://womendeliver.org/publications/going-online-for-sexual-and-reproductive-health-meaningfully-engaging-adolescent-girls-and-young-women-for-smarter-digital-interventions/</t>
  </si>
  <si>
    <t>A part of the Advocacy Academy Webinar Series, originally aired 14 May 2019. Moderated by Rachel Wilson of Catalysts for Change.
References:
https://womendeliver.org/publications/breaking-barriers-and-building-bridges-to-advance-girls-and-womens-health-and-rights/</t>
  </si>
  <si>
    <t>This webinar features advocates and leaders from organizations on the frontlines of upholding gender equality sexual and reproductive health and rights (SRHR) in Universal Health Coverage (UHC). Civil society organizations and other stakeholders have a vital role to play to hold governments accountable for established commitments, and to ensure gender equality and SRHR remain central in UHC discussions, decision-making, and action. Speakers share experiences, best practices, and tools to inspire and guide advocacy in global and national contexts.
Speakers include:
•                  Eleanor Blomstrom, International Women’s Health Coalition (USA)
•                  SM Shaikat, SERAC-Bangladesh (Bangladesh)
•                  Faridah Luyiga Mwanje, White Ribbon Alliance (Uganda)
•                  Deepa, Sama Resource Group for Women and Health (India)
•                  Moderator: Courtney Carson, Women Deliver (USA)
Resources:
0:02:48 &amp; 1:28:26
Data2x Gender and Data Resources: https://data2x.org/resource-center/gender-and-data-resources-related-to-covid-19/
0:21:23 and 1:28:26
Resources on gender equality and SRHR in UHC: From the Alliance for Gender Equality and UHC:
• 7th Ask: Commit to Gender Equality and Women’s Rights: https://www.dropbox.com/s/g7yk7hzz8yl60s1/Alliance%20for%20Gender%20Equality%20and%20UHC_7th%20Ask5.22.19.pdf?dl=0·
• UHC Policy Priorities: https://www.dropbox.com/s/ak0u3780jzxcsyw/Alliance%20for%20Gender%20Equality%20and%20UHC_Policy%20Prioirities5.22.19.pdf?dl=0·
• Link to join the Alliance: https://docs.google.com/forms/d/e/1FAIpQLScwQOpLD-lSnJ2BRlwJkHAzFKLCcfRFS0TSqJI45lQft4DQ0A/viewform
• From IWHC: UHC for Women and Girls Fact Sheet: https://iwhc.org/resources/uhc-women-and-girls/
• From IPPF: UHC Key Asks: https://www.ippf.org/sites/default/files/UHC%20HLM%20Key%20Asks%20IPPF%20%281%29.pdf
• From UN: UHC Political Declaration:
https://www.un.org/pga/73/wp-content/uploads/sites/53/2019/07/FINAL-draft-UHC-Political-Declaration.pdf</t>
  </si>
  <si>
    <t>The Power of Now will include a dynamic discussion between leaders from civil society, the UN, government, and private sector, on opportunities and challenges ahead in achieving the Sustainable Development Goals.</t>
  </si>
  <si>
    <t>We Have Always Been Here: The power of feminist civil society organizations in addressing compounded humanitarian crises
Today, nearly all crises are complex, founded on not just a single armed con­flict or natural disaster, but the compilation of multiple compounded crises. Local feminist civil society organizations (CSOs) have served as frontline responders during these crises, but still lack the support they need. They have always been there, at the heart of all humanitarian emergencies, and it’s time to shift more power and funding to them. Hear from feminist CSOs responding to two compounding crises – in Lebanon and Bangladesh – who share what a more feminist and localized approach to addressing complex humanitarian situations must look like.
Moderator:
Marcy Hersh, Senior Manager, Humanitarian Advocacy, Women Deliver
Welcome Remarks:
Vivian Onano, Gender Equality Advocate, Speaker, Entrepreneur, Women Deliver Board Member
Opening Keynote:
Diana Abou Abbas, Executive Director, Marsa Sexual Health Center
Lebanon Presenters:
Cecilia Chami, Programs Director, Lebanon Family Planning Association for Development + Family Empowerment (LFPADE)
Dr. Olfat Mahmoud, Founder, Palestinian Women's Humanitarian Organization
Rola Alrokbi, Country Manager, Women Now for Development
Hayat Mirshad, Head of Communications &amp; Campaigning, Lebanese Women Democratic Gathering (RDFL)
Bangladesh Presenters:
Tanjila Mazumder Drishti, Senior Manager, BRAC, Women Deliver Young Leader
Lipi Rahman, Executive Director, Badabon Sangho
Statements from Humanitarian Donors:
Valerie Nkamgang Bemo, Deputy Director of Emergency Response, Global Development, Bill &amp; Melinda Gates Foundation
Naved Chowdhury, Senior Policy Adviser, Civil Society Team, UK Foreign, Commonwealth, and Development Office
Closing Keynote:
Sarah Noble, Director of External Relations, The New Humanitarian</t>
  </si>
  <si>
    <t>Arushi Chowdhury Khanna, LoomKatha
India is home to the largest number of skilled handloom weavers and handicraft artisans in the world. While global demand for handicrafts and textiles is growing, the majority of these artisans live below the poverty line. Hear how LoomKatha plans to help bolster traditional supply chains and connect these rural artisans to the global market.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</si>
  <si>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International decision-making spaces – including global conferences and UN meetings – are powerful platforms to push for the localization of humanitarian aid, including greater support to grassroots women’s organizations in humanitarian settings. However, navigating and negotiating access to these global spaces can be challenging. This webinar for grassroots organizations in humanitarian settings will share best practices for international advocacy and storytelling with a gender lens, including how to craft compelling messages and campaigns to drive impact. It will also provide an opportunity to share strategies for continued advocacy during COVID-19, when travelling to international meetings is limited.</t>
  </si>
  <si>
    <t>Young Leaders Speak: Harnessing Creativity to Move the Needle for Girls and Women
Young people are at the forefront of addressing the issues that exist in their communities and countries. Women Deliver Young Leader Maram Barakat shares pivotal moments when she used creativity in her advocacy efforts for the health and rights of girls and women.</t>
  </si>
  <si>
    <t>On 28 January 2021, Women Deliver and Focus 2030 hosted a virtual launch event which brought together advocates from around the world to unveil the findings of a first-of-its-kind international survey on public perceptions of gender equality. 
This groundbreaking global public perception survey was launched in 17 countries against the backdrop of the COVID-19 pandemic. Together, these countries account for half of the world’s population and are home to more than half of the world’s girls and women. 
As the world sets the stage for a gender-equal future during 2021's Generation Equality Forum, this new data offers a roadmap for concrete actions that leaders in government, the private sector, and civil society must take together to galvanize the progress needed to advance girls and women’s rights and opportunities around the world.   
Watch the recording to hear from influential decision-makers and advocates, including: 
Phumzile Mlambo-Ngcuka, Executive Director of UN Women;  Ambassador Delphine O, French Ambassador and Secretary General of the Generation Equality Forum; Dr. Nadine Gasman, President of National Institute of Women (INMUJERES) in Mexico; Chouaib El Hajjaji, Women Deliver Young Leader and Vice President at Attalaki in Tunisia; and Wangechi Wachira, Executive Director of the Center for Rights Education and Awareness (CREAW) in Kenya.</t>
  </si>
  <si>
    <t>Young Leaders Speak: Harnessing Creativity to Move the Needle for Girls and Women
Young people are at the forefront of addressing the issues that exist in their communities and countries. Women Deliver Young Leader Kinga Wisniewska shares pivotal moments when she used creativity in her advocacy efforts for the health and rights of girls and women.</t>
  </si>
  <si>
    <t>Matt Dickson, Eggpreneur
Unemployment is high in rural communities in Kenya, particularly among women – which affects the health and welfare of entire families. Eggpreneur provides flexible yet stable income-generating opportunities to rural mothers with young children through small backyard poultry production.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</si>
  <si>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This webinar offers storytelling techniques for advocacy in humanitarian crises, specifically focusing on respectful, safe, and effective methods for sharing the lived experiences of girls and women in a way that promotes their agency, without highlighting victimization or risking re-traumatization.
SPEAKERS: 
- Aanjalie Roane, Senior Associate for Humanitarian Communications, Women Deliver 
- Sue Mbaya, African Union Director, Crisis Action 
- Elizabeth Ashamu Deng, Regional Rights in Crisis Advocacy Adviser, Oxfam (Horn, East and Central Africa Region) 
- Olivia Nightingale, Program Officer for Civil and Political Rights and Humanitarian Response, American Jewish World Service</t>
  </si>
  <si>
    <t>Dr. Hema Divakar, MD - Obstetrics &amp; Gynaecology, MBBS
Appointment booking number: 080 4085 3500
Consultant Obstetrician &amp; Gynaecologist
Divakars Speciality Hospital, Bangalore
Mon - Fri 
11:00 AM - 1:30 PM 
Dr. Hema Divakar is a Consultant Obstetrician &amp; Gynaecologist working in Divakars Speciality Hospital, Bangalore for the past 30 years. She is MD - Obstetrics &amp; Gynaecology, MBBS. She also happens to be on the technical advisory group to the Ministry of Heath, Government of India  and the family planning section and was also the President of the  Federation of Obstetrics &amp; Gynaecologists in India in the year 2013 and currently is an ambassador  to the international arena of Women’s health care. She has received Lifetime Achievement award by Karnataka State Gynaecologists Association, Lifetime Achievement award by Bengaluru Society of Obgyns  and The Honorary Fellowship by Royal College London, which is a rare honour for any Indian. She has also been awarded the Lifetime Achievement award by World Diabetic Foundation,  FIGO Women Achievers Award. She deals with High-Risk Pregnancy Care, Fetal medicine, fetal malformation, genetic counseling, Fibroid,  Infertility, Adolescent care, teenage care, Menopausal Care, Gestational Diabetes Management, Recurrent miscarriage care. Divakars Speciality Hospital gives a special edge to the patients who are seeking help for various gynecological issues.
Like us on Facebook: 
https://www.facebook.com/doctorscircleindia/
SUBSCRIBE to Doctors' Circle- 
https://www.youtube.com/user/DoctorsCircleindia
Please watch Dr. Hema Divakar’s Health videos
https://www.youtube.com/watch?v=KOsSUAm-fp8
https://www.youtube.com/watch?v=M-scKIP-gVI
Get to know your specialist personally
https://www.youtube.com/channel/UCkoWFmP6D0fZsfBbSJFyO-w</t>
  </si>
  <si>
    <t>Christelle Kwizera, Water Access Rwanda
Water scarcity and youth unemployment are two significant issues facing Rwanda. Water Access Rwanda is tackling both issues by employing young people to help revolutionize the country’s water sector with decentralized infrastructure that offers reliable, safe water at a fraction of the usual cost.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</si>
  <si>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Women-focused civil society organizations (CSOs) are unsung heroes in humanitarian settings. They are first responders, community leaders, and agents of change – but are still overlooked and underfunded when it matters most.
Women Deliver’s Humanitarian Advocates Program partners with five amazing women-focused civil society organizations from Lebanon who lead humanitarian activities for girls and women across the country. These five organizations receive training and speaking opportunities to become stronger and more visible advocates for girls and women in their communities.
More: https://womendeliver.org/humanitarianadvocates/</t>
  </si>
  <si>
    <t>Young Leaders Speak: Harnessing Creativity to Move the Needle for Girls and Women
Young people are at the forefront of addressing the issues that exist in their communities and countries. Women Deliver Young Leader Olaoluwa Abagun shares pivotal moments when she used creativity in her advocacy efforts for the health and rights of girls and women.</t>
  </si>
  <si>
    <t>- Captured Live on Ustream at http://www.ustream.tv/channel/BTcsV9ecxMX with the Ustream Mobile App</t>
  </si>
  <si>
    <t>41 million people die each year of non-communicable diseases (NCDs) such as heart disease, stroke, diabetes, kidney disease and cancer. More than three-quarters of these deaths occur in low and middle-income countries. Our workshop with the National Academy of Sciences of Sri Lanka looks at the problem and ways to tackle it. 
Worldwide the number of people dying from non-communicable diseases is rising as a result of urbanisation, diet, alcohol and tobacco use, sedentary lifestyles and population ageing. Tackling these root causes will be a key way to improve health for people around the world and meet the World Health Organisation’s Sustainable Development Goals. 
We need to focus on early life, diet, the risks of tobacco and alcohol, exercise and indoor and outdoor air pollution. Targeting these factors together, and collaboration for research across countries, has the potential to make a huge impact. 
Read more about the meeting and download the full report on our website:
https://acmedsci.ac.uk/policy/policy-projects/non-communicable-diseases-in-south-asia-and-beyond
This work is part of our Global Challenges Research Fund series of workshops on how scientific evidence can help improve health in developing countries. Find out more:
https://acmedsci.ac.uk/policy/policy-projects/gcrf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</si>
  <si>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communicable diseases communicable diseases in hindi what is a communicable disease communicable and non-communicable disease community health nursing CHN tuberculosis Malaria dengue chicken pox small pox measles mumps tuberculosis causes tb sign and symptoms TB treatment UP NHM AIIMS community health officer CHO Rj Career Point Siddhant Career Point UP NHM Exam Testpaperlive</t>
  </si>
  <si>
    <t>kerala news today elderly care robots elder care latest kerala news ന്യൂസ് 18 കേരളം ന്യൂസ് elderly home care ന്യൂസ് 18 കേരളം elderly care by youth elderly care home elderly care short film elderly care home care Asianet News18 Live caring for elderly patients elderly elderly parents elderly care at home care elderly day care in home elderly care senior care thailand elderly care elderly patients care news18 live Breaking News caring for the elderly</t>
  </si>
  <si>
    <t>News 18 Kannada Kannada online news Kannada live news karnataka latest news karnataka politics latest news trending news news18 kannada live news18 kannada hello doctor hello doctor hello doctor kannada hello doctor news18 kannada health tips in kannada heart attack kannada heart disease kannada health health tips health care tips in kannada health tips for heart disease in kannada health care heart attack causes kannada lifestyle tips in kannada</t>
  </si>
  <si>
    <t>American Museum Of Natural History Museum New York City Human Population Human Growth Human Evolution Evolution Earth Science AMNH Global Population Overpopulation 7 Billion Population Peak Humans People Time Future Long term Human Life Change</t>
  </si>
  <si>
    <t>مدهش ممتع مضحك طب تمريض جراحة عمليات جراحية جرح اسعاف نزيف دم جسم ابتسم اضحك من قلبك مروع مرعب مخيف يحبس الأنفاس لا تفوت المشاهدة مشاهدة ممتعة 2020 منوعات يوتيوب يوتيوبات مذهل لا يصدق خطر مشاهد مضحكة مقاطع مضحكة مسخرة ساخر كوميدي خدع مقالب مقلب كاميرا خفية مثير مشوق مشاهد شيقة فرفشة تجارب تجربة ضحك السنسن طبخ مطبخ شوي قلي فن الطبخ فنون فن رسم نحت حادث سير حوادث سير سيارات سفينة أطفال انفجار انهيار تفجير موت حيوانات غروب شمس ورد أزهار زهور ولادة علاج سقوط تسلية طائرة</t>
  </si>
  <si>
    <t>plague in hindi audio define plague in hindi types of plague in hindi pneumonic plague in hindi bubonic plague in hindi seoticemic plague in hindi nursing managment of plague in hindi managment of plague in hindi diagnosis of paluge in hindi mode of transmission of plague in hindi sign and symptoms of plague in hindi</t>
  </si>
  <si>
    <t>premiere pro malayalam tutorial premiere pro beginner tutorial 2020 premiere pro effects adobe adobe premiere pro premiere timeline adobe premiere pro basics malayalam video editing software video editing apps video editing tutorial best video editing software simple video editing software malayalam premiere pro premiere pro tutorial premiere pro basics video editing adobe premiere pro tutorial how to edit creative cloud premier tutorial colour grading</t>
  </si>
  <si>
    <t>female reproductive cycle menstrual cycle female reproductive system female reproductive system physiology female reproductive cycle in hindi female reproductive system in hindi menstrual cycle in hindi menstrual cycle physiology in hindi menstrual cycle physiology phases of menstrual cycle phases of menstrual cycle in hindi menstrual cycle phases hormones role in menstrual cycle what is menstrual cycle in hindi ovarian cycle in hindi ovulation in hindi mesnstrual</t>
  </si>
  <si>
    <t>United Nations UNIATF UN NCD NCDs WHO World Health Organization UN Task Force NCDs Noncommunicable Diseases Non-communicable Diseases Nick Banatvala Piet Vochten UNDP WFP ECOSOC UN General Assembly UNGA Bhutan BBS Bhutan Broadcasting Service</t>
  </si>
  <si>
    <t>how to make interactive PowerPoint tutorial interactive PowerPoints interactive PowerPoint</t>
  </si>
  <si>
    <t>aiims important questions aiims important questions 2019 aiims staff nurse important questions important questions for aiims 2019 aiims ldc important questions aiims biology questions aiims assertion reason questions biology aiims 2019 biology questions AIIMS assertion and reasons aiims assertion and reason assertion and reasoning tricks for aiims how to solve assertion and reason for aiims assertion and reason books for aiims allen assertion and reason for aiims pdf</t>
  </si>
  <si>
    <t>medical hub nursing videos medical videos Pharmacist exam Railway question Paper Lab technician questions AIIMS solved staff nurse question paper Lab technician question paper NIMHANS solved question paper AIIMS delhi solved question paper Safdarjung solved question paper for nursing officer staf nrurse solved quetsion paper Nursing officer solved question paper PGIMER solved question paper NHM up Staff nurse question paper CHO Solved question paper</t>
  </si>
  <si>
    <t>Types of Cancer cancer carinoma melanoma sarcoma leukemia lymphoma cancer biology oncology cancer care integrative cancer treatment integrative care chemotherapy radiation cancer information conventional cancer treatment cancer nutrition what is cancer how does cancer develop tumor metastasis immunotherapy magnet brains how cancer cell neet biology lectures neet questions neet aiims neet mcq class 12 biology tumorous Chemotherapy class 12 physics chapter 8</t>
  </si>
  <si>
    <t>Communicable diseases Non-communicable diseases Infectious diseases Non-infectious diseases Methods of transmission Route of transmission Example of communicable diseases Example of non-communicable diseases</t>
  </si>
  <si>
    <t>proctor compaction test proctor compaction test of soil proctor compaction proctor compaction test calculations 2020 proctor compaction test in sinhala astm proctor kosala madushan standard proctor test soil test construction compaction test road density dry density of soil calculation dry density of soil dry density test of soil wet density of soil moisture content civil engineering soil compaction test in field core cutter method for soil soil test compaction</t>
  </si>
  <si>
    <t>academy of medical sciences independent ECR laboratory newcastle shoba amarnath medical biomedical shutdown covid coronavirus clinical pivot research academia pressure stress anxiety staff leadership early career researcher early career researcher postdoc PhD support connections corona advice career covid-19 lockdown medicine job security leader group research group group leader resilient resilience optimism</t>
  </si>
  <si>
    <t>animation visual effects corporate films shooting effects 3D 2D motion graphics motion graphics kinetic typography modeling texturing shading rendering lighting production studio mauritius vfx simulation visualisation design character acting compositing character animation roto tracking AVARTS</t>
  </si>
  <si>
    <t>academy of medical sciences PhD student graduate time management time efficiency work life balance medscilife COVID pandemic career academia support planning scheduling work-life coronavirus COVID-19 postdoc ECR resarcher research conor scott york goals setting goals objectives time managment study postgrad science waste procrastination variety</t>
  </si>
  <si>
    <t>academy of medical sciences palliative irene higginson irene higginson death dying care palliative care end of life breathlessness NHS research clinical science hospice cicely saunders symptoms person disease quality quality of life final days caring nurse ageing medicine doctor cancer breathing breath symptom management psychology psychosocial treatment nursing die good death die well uk england world</t>
  </si>
  <si>
    <t>academy of medical sciences mentoring academia science research covid coronavirus covid-19 corona career ECR early career support advice gemma modinos europe shutdown lockdown lab laboratory coping expert medical clinical biomedical biomedicine schizophrenia postdoc leadership guidance PhD senior lecturer university job security contract</t>
  </si>
  <si>
    <t>risk factors risk risk communications risk communication moldova non-communicable diseases member states ministry of health EURO tobacco control anti tobacco stakeholder partnership</t>
  </si>
  <si>
    <t>academy of medical sciences health COVID-19 pandemic vaccine coronavirus international health vaccines public health masks covid lancet shattock leung Kickbusch horton global health international corona planning future china hong kong germany learn medicine doctor hospitals first wave second wave R number R rate exponential science research medical research epidemiology politics risk impact SARS MERS contagion mask disease vector transmission human</t>
  </si>
  <si>
    <t>Symptom Multiple Sclerosis Signs And Symptoms Multiple Sclerosis (Disease Or Medical Condition) Health (Industry)</t>
  </si>
  <si>
    <t>cgpgrey Technology (Industry) Robotics (Industry) Programming Language (Software Genre) Economics (Field Of Study) Education (TV Genre) Documentary (TV Genre) jobs work Unemployment (Quotation Subject) Unemployment Benefits (Legal Subject)</t>
  </si>
  <si>
    <t>TEDxTalks English United States Technology AIDS Bacteria Behavior Big Data Big problems Biology Biotech Communication Computers Data Death Disease Drugs Health HIV Illness Internet Microbiology Progress Public health Public Policy Research Science Sharing Society Vaccines Weather</t>
  </si>
  <si>
    <t>academy of medical sciences health PhD academia nonclinical phd student university stress coping strategies mental mental health jessica taylor york experiment research laboratory time postdoc career support study social media COVID pandemic coronavirus covid-19 failure success honesty communication talk talking supervisor degree</t>
  </si>
  <si>
    <t>study study motivation motivation motivational video motivational inspirational motivational speech motivational speaker focus on yourself not others focus focus motivation focus on yourself and not others motivation2study m2s best study motivation motivation compilation motivational video compilation motivation 2018 study hard motivation2study focus new study motivation motivation to study success motivation for success motivation for students students</t>
  </si>
  <si>
    <t>History time human history human era Anthropocene Archeology progress future interplanetary civilization generation ancestors agriculture transition neolithic revolution domesticate agricultural revolution hunter gatherers breeding livestock</t>
  </si>
  <si>
    <t>NCDs emergencies humanitarian cancer cardiovascular lung diseases diabetes tobacco insulin hypertension Syria #beatNCDs</t>
  </si>
  <si>
    <t>Gravitation Work Natural Class9 SA2 best online coaching for iit jee Why Do We Fall ill Science Sound English Energy iit jee video courses jee main iit jee Resources IX Video Lectures online coaching for iit jee Dronstudy Dronstudy.com</t>
  </si>
  <si>
    <t>education educational infographics show the infographics show happiest countries happy United Arab Emirates the united kingdom the united states luxembourg ireland germany costa rica austria israel australia sweden new zealand switzerland iceland canada norway finland life expecancy quality of life europe travel england united states usa geography facts countries united states of america united kingdom america us country</t>
  </si>
  <si>
    <t>Are we living in a simulation Elon Musk Documentary Short film Simulation Theory Simulation Argument Digital World Future Science Future Technology</t>
  </si>
  <si>
    <t>education educational infographics show the infographics show superpower super power super power nation superpower nations next superpower next next super power europe european union china india russia eu usa superpowers united states economy economic power united states of america power countries that may become superpowers real superpowers global powers usa superpower 2d animation animation science</t>
  </si>
  <si>
    <t>Entrepreneur valuetainment patrick bet david coronavirus danielle booth danielle dimartino booth economist pandemic Danielle DiMartino Booth exposes china and world health Danielle DiMartino Booth exposes china and world health Danielle DiMartino Booth aftermath of coronavirus economist explains coronavirus Economist Exposes China &amp; World Health Organization Economist Explains Aftermath of Coronavirus Economist Explains Aftermath of Coronavirus</t>
  </si>
  <si>
    <t>healing healing meditation meditation guided meditation universal energy dauchsy dauchsy meditations heal while you sleep sleep meditation sleep guided meditation meditation for sleep subconscious healing power manifest manifest healing sleep heal</t>
  </si>
  <si>
    <t>#Finance_account_assistant_books #Finance_account_assistant jkssb finance account assistant 2021 vitamins for Finance account assistant exam vitamins full lectures jkssb online tutorial jkssb science lectures vitamins jkssb science jkssb vitamins general science for jkssb finance account assistant vitamins diseases related to vitamin deficiency jkssb jkssb faa science jkssb science jkssb vitamins ajay sir science</t>
  </si>
  <si>
    <t>Food Chain and Food web for JKSSB Finance Account Assistant finance account assistant sub inspector UPSC JKPSC ENVIRONMENTAL STUDIES GENERAL STUDIES jkssb online tutorial #Finance_account_assistant</t>
  </si>
  <si>
    <t>Communicable and Non-Communicable Disease for JKSSB Finance account assistant communicable and non communicable diseases jkssb communicable and non communicable diseases finance accounts assistant jkssb communicable and non communicable diseases jkssb exams communicable and non-communicable disease for jkssb exams communicable and non-communicable disease jkssb communicable and noncommunicable diseases jkssb faa Part 2 Communicable and Non-Communicable disease for FAA</t>
  </si>
  <si>
    <t>finance account assistant exam best YouTube channel for jkssb finance account assistant exam ACCOUNTS ASSISTANT EXAM KAISE PASS KAREN Ozone layer and it's depletion for Finance Account Assistant notes Ozone Layer and How It is Getting Depleted Our Environment ozone layer explained ozone layer and how ozone layer and how it is getting depleted our enivronment</t>
  </si>
  <si>
    <t>Vitamins (Part-2) for Finance Account Assistant Sub-Inspector #Finance_account_assistant jkssb finance account assistant graduate eligible or not jkssb finance account assistant 2021 jkssb online tutorial science lecture for finance account assistant exam</t>
  </si>
  <si>
    <t>#rajusir rajusir rajusir07 CHO cho_exam community Health Officer</t>
  </si>
  <si>
    <t>randall carlson graham hancock ancient civilizations sacred geometry cosmic patterns cycles of catastrophe hidden number geology ancient wisdom pyramid</t>
  </si>
  <si>
    <t>Affirmations for Health Wealth Happiness Healthy Wealthy &amp; Wise 30 Day Program jason stephenson I am affirmations abundance health law of attraction the secret manifestation secret movie i am affirmations affirmations I am Jason abundance affirmations the secret affirmations affirmations I AM affirmations for a new life affirmations for wealth affirmations for making money i am meditation i am that i am affirmations for health and healing</t>
  </si>
  <si>
    <t>Nursing Officer &amp; Staff Nurse Online Classes testpaperlive Nursing classes nursing test series Rj career point nursing most question Aiims Image based question procedure question Aiims important mcq Free nursing classes nursing Online classes Nursing Exam Prepartion Nursing Online Coaching B.SC. Nursing GNM Nursing Mock Tests AIIMS NIMHANS PGI GMCH RRB ESIC RML CHO BHU DSSSB SAFDARJUNG Poliomylitis Communicable disease</t>
  </si>
  <si>
    <t>PM Modi PM Modi in London Narendra Modi PM Modi addresses Indian community Modi in London Westminister Hall Indian Diaspora Bharat ki baat bharat ki baat sabke saath London tour MOdi in London Queen Elizabeth Prince Charles Teresa May NDTV 24x7 Commonwealth pm modi latest spech narendra modi best speech</t>
  </si>
  <si>
    <t>EuropeActive CIMSPA Gofit University Healthy Lifestyle Promoter New Health Project Standards</t>
  </si>
  <si>
    <t>oxfordmartin</t>
  </si>
  <si>
    <t>online consultation online homoeopathy clinic online clinical practice telemedicine virtual clinic</t>
  </si>
  <si>
    <t>PSM Community Medicine NEET NEXT Medicine MBBS Nutrition Clinical</t>
  </si>
  <si>
    <t>medical nutrition DSM dsm NDCs non-communicable diseases nutrition for health aging healthy aging nutriiton solutions</t>
  </si>
  <si>
    <t>#ISBNPA2019 ISBNPA</t>
  </si>
  <si>
    <t>DW News</t>
  </si>
  <si>
    <t>APSC NCD COVID-19 Diabetes SGDHI jack tan wei chieh</t>
  </si>
  <si>
    <t>Coronary Artery Disease (Disease Or Medical Condition) Disease (Cause Of Death) Risk Factor Artery (Anatomical Structure) Coronary Circulation (Anatomical Structure) Khan Academy (Nonprofit Organization)</t>
  </si>
  <si>
    <t>NCD Alliance</t>
  </si>
  <si>
    <t>Primary Health Care PHC NCD Health</t>
  </si>
  <si>
    <t>Mia Nacamulli Chris Bishop Hydration H2o science of water TED TED-Ed TED Education TED Ed overhydration dehydration how much water do you need to drink water fresh water drinking water</t>
  </si>
  <si>
    <t>TEDxTalks English United States Health Big problems Decision making Disease Genetics Heart health Medicine Self Self improvement Self-help</t>
  </si>
  <si>
    <t>Non-communicable disease genetic disorder lifestyle behavior environment degenerative disease asthma heart disease health management plan</t>
  </si>
  <si>
    <t>dayaalu latest hindi dubbed movie dayaalu new hindi dubbed movie dayaalu new release hindi dubbed movie dayaalu full movie hindi dubbed dayaalu hindi dubbed full movie dayaalu hindi dubbed movie manam hindi dubbed movie manam nagarajuna full movie in hindi dubbed dayaalu new south hindi dubbed nagarjuna akkineni hindi dubbed movies new latest dubbed movies new south movie hindi dubbed south indian movies dubbed in hindi full movie samantha prabhu movies</t>
  </si>
  <si>
    <t>jkssb finance account assistant classes physical division of India the Himalayas physical division of India physical features of India physical map of India physical geography jkssb exams preparation jkssb preparation jkssb jkssb finance account assistant jkssb GK class jkssb accountancy physical division of India jkssb physical division of India geography physical division of India MCQ himalayan geography Indian geography himalayan range Himalayas</t>
  </si>
  <si>
    <t>12 Most Incredible Finds That Scientists Still Cant Explain incredible finds amazing discoveries scientist cant explain cant explain mystery mysterious things mysterious artifact ancient discoveries ancient artifacts 12 most top 12 most amazing</t>
  </si>
  <si>
    <t>Nursing Officer &amp; Staff Nurse Online Classes testpaperlive Nursing classes nursing test series Rj career point nursing most question Aiims Image based question procedure question Aiims important mcq Free nursing classes nursing Online classes Nursing Exam Prepartion Nursing Online Coaching B.SC. Nursing GNM Nursing Mock Tests AIIMS NIMHANS PGI GMCH RRB ESIC RML CHO BHU DSSSB SAFDARJUNG CHO spacial classes Immunization</t>
  </si>
  <si>
    <t>SciShow science Hank Green 6 Common Misconceptions About Cancer misconception myth cancer sharks superfoods cartilage supplement angiogenesis tumor aflatoxin b1 sugar glycolosis otto warburg antioxidants acai reactive oxygen species dna melanoma biopsy global burden</t>
  </si>
  <si>
    <t>interesting facts shocking facts facts about people rare diseases facts about human brain facts about human body super memory insensibility to pain ability to do anything octopus people stone man syndrome werewolf syndrome rare facts brain power unusual things things you won’t believe exist things you’ve never seen bright side bright side videos brightside rare diseases and disorders rare diseases that turn people into superheroes</t>
  </si>
  <si>
    <t>Communicable and Non-Communicable Disease for JKSSB Finance account assistant communicable and non communicable diseases jkssb communicable and non communicable diseases finance accounts assistant jkssb communicable and non communicable diseases jkssb exams communicable and non-communicable disease for jkssb exams communicable and non-communicable disease jkssb biology for finance account assistant science by ajay sir communicable and noncommunicable diseases jkssb faa</t>
  </si>
  <si>
    <t>CBSE ICSE STATEBOARD SSC NCERT UP BOARD PUNJAB BOARD BEST TEACHER OF INDIA FULL CHAPTER SANJIV SIR RGT CLASSES METALS AND NON METALS- FULL CHAPTER || CLASS 10 CBSE SCIENCE CHAPTER 3 TARGET 95+ SERIES LATEST VIDEO LECTURE AS PER 2021 BOARD EXAMS AS PER NEW SYLLABUS REDUCTION PHYSICAL PROPERTIES CHEMICAL PROPERTIES DIFFERENCE BETWEEN METALS AND NON METALS DUCTILITY MALLEABILITY SONOROUS CATION ANION LUSTRE</t>
  </si>
  <si>
    <t>herbs benefits health uses medicinal plants medicines spiritual different witch medicinal herbs for beginners medicinal herbs and their uses medicinal herbs and plants medicinal herbs natural healing medicinal plants and their uses medicinal plants and herbs gardening growing herbs how to grow herbs 100 herbs and spices 100 medicinal herbs herbs and their medicinal uses herbs and spices and their uses herbs and their benefits herbs and their purposes</t>
  </si>
  <si>
    <t>Communicable and Non-Communicable Disease for JKSSB Finance account assistant communicable and non communicable diseases jkssb communicable and non communicable diseases finance accounts assistant jkssb communicable and non communicable diseases jkssb exams communicable and non-communicable disease for jkssb exams communicable and non-communicable disease jkssb communicable and noncommunicable diseases jkssb faa Communicable and Non-Communicable disease for FAA</t>
  </si>
  <si>
    <t>Health Committee In India rjcareerpoint testpaperlive nursingonlineclasses nursingliveclasses Staff Nurse Nursing Officer Nursing Live classes Nursing online classes Free Test Testpaperlive online Nursing classes MSN OBG Reserch Managent Nursing all subject class Nursing MCQ MCQ video Nursing AIIMS DSSSB BHU RRB CHO NHM UP NHM ESIC Nursing test series nursing exam preparation Nursing mock test Free mock Test</t>
  </si>
  <si>
    <t>Nursing Officer Nursing online classes Testpaperlive 2.0 online Nursing classes Nursing MCQ AIIMS DSSSB BHU RRB CHO NHM ESIC Nursing test series nursing questions and answers Obg nursing classes Fundamental nursing classes Pediatric &amp; Chn nursing classes Msn nursing classes Pharmacology nursing classes Psychiatric nursing classes NHM online nursing classes CHO online nursing classes Staff nurse vacancy Gnm 1st 2nd 3rd year classes Bsc nursing online classes</t>
  </si>
  <si>
    <t>jkssb jk exam cracker jkssb exam jkssb panchayat account assistant jkpsc how to crack jkssb jkssb strategy jkssb crash course crash course jkssb jkssb questions jkssb exams</t>
  </si>
  <si>
    <t>command economic system command economy diversify Karl Marx nationalize subsidy</t>
  </si>
  <si>
    <t>capitalism command economy market economy North Korea South Korea</t>
  </si>
  <si>
    <t>Science class 5 grade 5 Reeta kumari non-communicable disease deficiency disease prevention if non-communicable disease different types of deficiency disease</t>
  </si>
  <si>
    <t>VIRTUAL DEMO TEACHING DEMO TEACHING</t>
  </si>
  <si>
    <t>OM Nursing Academy NURSING EXAM NURSING OFFICER EXAM AIIMS NURSING EXAM CHO EXAM MCQS MP CHO EXAM COMMUNICABLE DISEASES COMMUNICABLE DISEASE MCQS COMMUNICABLE DISEASE SHORT REVIEW COMMUNITY HEALTH NURSING COMMUNITY HEALTH OFFICER COMMUNITY MCQS CHO EXAM 2021 AIIMS NORCET EXAM NORCET 2021 EXAM</t>
  </si>
  <si>
    <t>jeevan kosh asthma treatment asthma attack asthma ka ilaj asthma symptoms asthma symptoms in children asthma symptoms diagnosis and treatment asthma precautions asthma precautions in hindi asthma precaution and treatment asthma treatment in hindi Doctor advice on asthma kosh health healthy lifestyle</t>
  </si>
  <si>
    <t>HEALTH TIPS MEDICAL KNOWLEDGE communicable disease communicable disease question and answer most important question of communicable disease and tricks incubation of disease memorize tricks communicable disease most important question c h o communicable disease MCQ community health officer nursing officer exam 2020 nursing online class Rajasthan CHO UP CHO MP CHO Norcet exam 2021 community diseases community disease question and answer PSM MCQS</t>
  </si>
  <si>
    <t>Nursing Officer &amp; Staff Nurse Online Classes testpaperlive Nursing classes nursing test series Rj career point nursing most question Aiims Image based question procedure question Aiims important mcq Free nursing classes nursing Online classes Nursing Exam Prepartion Nursing Online Coaching B.SC. Nursing GNM Nursing Mock Tests AIIMS NIMHANS PGI GMCH RRB ESIC RML CHO BHU DSSSB SAFDARJUNG CHO spacial classes</t>
  </si>
  <si>
    <t>Violence prevention domestic violence dating violence relationship violence intimate partner violence victim abuse abuser abusive physical weapon gun injury death intimidation threat fear vulnerable sexual harassment dominate control mistreat</t>
  </si>
  <si>
    <t>vitamins chart vitamin deficiency vitamin deficiency diseases vitamin chemical name vitamin sources</t>
  </si>
  <si>
    <t>communicable and non-communicable disease jkssb biology classes biology for finance account assistant biology for Jkssb sub inspector exam communicable disease for competitive exams Non-communicable disease for competitive exams the knowledge Race biology by Rajay sir communicable and non-communicable disease for Jkssb exams communicable disease for FAA disease communicable disease for Jkssb sub-inspector CBSE class 12 human health and disease</t>
  </si>
  <si>
    <t>superstitions good luck bad luck luck lucky charms mirrors Bloody Mary ladders walk under a ladder break a mirror black cats sneeze bless you numbers umbrellas Friday the 13th horseshoe rabbit's foot four-leaf clover salt most common</t>
  </si>
  <si>
    <t>jkssb biology biology for finance account assistant biology for sub-inspector exam the knowledge jkssb classes for FAA/SI jkssb lectures Non-Communicable disease communicable disease the knowledge Race biology class 12th cbse</t>
  </si>
  <si>
    <t>Non Communicable Diseases Part 3 Non Communicable Disease NCD abmbbs PSM Community Medicine PSM videos Community medicine lectures Stroke Rheumatic Heart Disease Cancer Diabetes mbbs mbbs lectures PARK videos Community Medicine Lecture videos</t>
  </si>
  <si>
    <t>Community Meducine elements of primary health care principles of primary health care equitable distribution community participation inter sectoral coordination appropriate technology examples of inter sectoral coordination benefits of community participation</t>
  </si>
  <si>
    <t>icu nurse icu medical nurse nursing mcq multiple choice questions nurses nurses exam questions staff nurse rrb mrb aiims nursing course nursing exam Community health nursing Community health officers Communicable diseases Non communicable diseases Communicable and non communicable diseases Communicable Community health nursing questions</t>
  </si>
  <si>
    <t>Chapter-11 | Non- Communicable Disease || Health Education &amp; Community Pharmacy</t>
  </si>
  <si>
    <t>genentech biotech biotechnology dna genome genetic science patients gene genes</t>
  </si>
  <si>
    <t>juice wrld juice world 999 all girls are the same all girls r the same nick mira cole bennett lyrical lemonade music video hip hop rap 2018 all girls are the same juice wrld juice wrld all girls are the same all girls are the same 2018 all girls are the same music all girls are the same cole bennett cole bennett all girls are the same all girls are the same lyrical lemonade juice wrld official juice wrld 2018 juice wrld music lyrical lemonade official</t>
  </si>
  <si>
    <t>lshtm london school of hygiene &amp; tropical medicine london study virtual reality public health global health</t>
  </si>
  <si>
    <t>Communicable and Non-communicable disease MCQs Communicable disease questions CHO questions and answers Important MCQs for CHO Questions and answers for nursing examination Important MCQs for nursing</t>
  </si>
  <si>
    <t>Essential Thrombocytosis (Disease Or Medical Condition) Thrombosis (Disease Or Medical Condition) Bleeding (Symptom) Thrombocyte Platelet Spleen Myeloproliferative Disorder Megakaryoblast Megakaryocyte JAK2 Plateletpheresis Hydroxyurea Interferon Aspirin (Drug)</t>
  </si>
  <si>
    <t>Myeloproliferative Neoplasm (Disease Or Medical Condition) Polcythemia Vera Chronic Myelogenous Leukemia Essential Thrombocythemia Myelofibrosis Hematopoietic Stem Cell Myeloid Lymphoid Bone Marrow Erythrocyte Red Blood Cells Platelets Thrombocyte</t>
  </si>
  <si>
    <t>communicable diseases in children common communicable diseases in children common communicable diseases in schools contagious diseases in children communicable diseases in kids</t>
  </si>
  <si>
    <t>ihd cad ischemic heart disease coronary artery disease heart myocardial infarction heart failure ischemia heart attack cardiology heart disease congestive heart failure dr najeeb dr najeeb lectures medical lectures armando hasudungan usmle usmle step 1 angina cardiovascular disease clinical medicine medschool medicine medical school chest pain signs symptoms treatment pathology khan academy medicine internal medicine</t>
  </si>
  <si>
    <t>TEDTalk TEDTalks Lisa Genova Still Alice Alzheimer's aging biomechanics disease future genetics health medical research mental health mind neuroscience science</t>
  </si>
  <si>
    <t>IBD bowel inflammation Crohn's Disease pathophysiology Ulcerative colitis pathophysiology pathogenesis aetiology mechanism of disease complications of IBD video animation Local complication systemic complication medicine surgery Managment Treatment Management of IBD</t>
  </si>
  <si>
    <t>diseases types of diseases kinds of diseases</t>
  </si>
  <si>
    <t>effects of malnutrition class 9 online biology lecture 9th class 9th class biology malnutrition what is malnutrition malnutrition in urdu malnutrition in hindi types of malnutrition over nutrition overnutrition what is overnutrition What Are the Causes of Malnutrition what is malnutrition and types of malnutrition what is malnutrition in hindi</t>
  </si>
  <si>
    <t>Rashid Rashid medical tips r.m khan disease diseases bemari what is diseases what is disease bemari kia h typhoid cholera aids communicable communicable disease non communicable disease measles minigytis influence influenza choot ki bemaria</t>
  </si>
  <si>
    <t>HEALTH EDUCATION INFECTION CONTROL ICSP URDU HINDI</t>
  </si>
  <si>
    <t>Animated Clip Free animation software Animated Videos Free Presentation software Animated Presentation Make your own animation Communicable-And-Non-Communicable-Diseases Presentation software Explainer video PowToon Grade 5 Diseases Communicable Non-Communicable</t>
  </si>
  <si>
    <t>communicable disease non communicable disease disease pathogens</t>
  </si>
  <si>
    <t>human health and disease degenerative disease human health and disease class 12 dr sachin kapur unacademy human health and disease neet 2020 unacademy neet human health and disease by sachin sir neet biology best biology channel for neet diabetes diabetes mellitus diabetes insipidus rheumatoid arthritis hypertension hypotension arteriosclerosis atherosclerosis cardiac failure heart failure cardiac arrest heart attack osteoarthritis</t>
  </si>
  <si>
    <t>repro health 10th class lesson repro health in human beings class 10 cbse repro health in human beings class 10 repro health class 10 cbse repro health class 10 repro health class 10 animation repro health class 10th repro health class 10 video repro health class 10 notes repro health in human beings class 10 biology repro health repro health repro health class 10 in english ncert class 10 heredity and evolution how do organisms reproduce class 10 science 10th</t>
  </si>
  <si>
    <t>vedantu neet vedantu made ejee neet 2020 neet preparation 2020 neet exam neet exam preparation neet preparation tips neet 2020 study plan neet strategy 2020 neet biology neet biology preparation neet scoring tips neet 2021 cancer cancer biology breast cancer leukemia prostate cancer chemotherapy brain tumor cervical cancer lymphoma mammogram lung cancer colon cancer multiple myeloma mouth cancer skin cancer blood cancer reasons for cancer</t>
  </si>
  <si>
    <t>obesity in urdu obesity treatment obesity meaning obesity and cancer obesity and diabetes obesity biology obesity disease obesity lecture class 11 power of knowledge chapter digestion obesity and its causes causes of obesity treatment of obesity BMI ration in obesity complication in obestiy obesity lecture in urdu obesity lecture in hindi lecture on obesity obesiity vs overweight</t>
  </si>
  <si>
    <t>fssai Food safety and standards authority of India Ministry of Health &amp; family welfare Non-Communicable Diseases Dr Bani Aeri Preventive healthcare healthcare lifestyle diseases</t>
  </si>
  <si>
    <t>Staff Nurse Nursing Officer Nursing Live classes Nursing online classes Free Test Testpaperlive online Nursing classes MSN OBG Reserch Managent Nursing all subject class Nursing MCQ MCQ video Nursing AIIMS DSSSB BHU RRB CHO NHM UP NHM ESIC Nursing test series nursing exam preparation Nursing mock test Free mock Test nursing guruji nursing course om nursing Rishikesh Aiims Punjab CHO UP CHO testpaperlive 2.0</t>
  </si>
  <si>
    <t>cnbc awaaz cnbz awaaz live hindi cnbc awaaz today share price cnbc awaaz live tv cnbc awaaz live cnbc awaaz hindi share market live cnbc awaaz hindi news cnbcawaaz live stock market live business news stock market india world stock market share bazar live aaj ka bazar share market india commodity market ncd in stock market mutual fund investment negotiable certificate of deposit your money invest in fd invest in mutual funds</t>
  </si>
  <si>
    <t>Non Communicable Diseases Non Communicable Diseases Part 2 abmbbs PSM videos psm Community Medicine Videos PARK videos SPM Community Medicine lecture PSM lecture Non Communicable Diseases lecture NCD Obesity BMR</t>
  </si>
  <si>
    <t>Covid 19 Vaccine covid 19 vaccine reactions covid 19 vaccine mutant side effects cbsn covid 19 vaccine update covid 19 vaccine explained covid 19 vaccine update news covid 19 vaccine how it works covid 19 vaccine pfizer covid 19 vaccine news coronavirus vaccine Non Communicable Diseases non communicable diseases prevention non communicable diseases lecture non communicable diseases list non communicable diseases examples disease health diabetes</t>
  </si>
  <si>
    <t>MD CRACK MD CRACK videos Dr. Milind J Avhad Video lectures for medical students Video lectures for MBBS students NEET PG prep video DNB prep video USMLE videos Community Medicine video PSM video lecture Communicable dieases Non communicable dieases Epidemiology video Maternal &amp; Child Health video Preventive &amp; Social Medicine vieo lecture</t>
  </si>
  <si>
    <t>mcq non communicable diseases mcq non communicable diseases mcq hecp mcq social pharmacy social pharmacy mcq hecp mcq non communicable diseases mcq staf nrurse solved quetsion paper aiims solved staff nurse question paper railway question paper lab technician questions non communicable diseases in hindi non communicable diseases class 5 hecp mcq questions hecp d pharmacy hecp communicable disease hecp pharmacy mcq hecp chapter 1 mcq hecp chapter 1</t>
  </si>
  <si>
    <t>#hangoutsonair Hangouts On Air #hoa magnesium how much dose magnesium pidolate pvcs ectopics thuds skips heart arrhythmia heart palpitations dr sanjay gupta cardiologist Cardiac Ectopy (Disease Or Medical Condition) magnesium taurate heart health heart disease eptopics Afib aF PACs heart rhythm problems</t>
  </si>
  <si>
    <t>Global Diabetes Obesity K.M. Venkat Narayan Type Non-communicable diseases cardiovascular disease public health global meeting international conference community council summit event education</t>
  </si>
  <si>
    <t>Classification of Diseases Common Diseases cbse cbse class 8 biology science</t>
  </si>
  <si>
    <t>i am a child of god lyrics piano lds hymns lds hymn lds lds music instrumental church of jesus christ latter day saints mormon music primary song naomi randall naomi w randall mildred pettit mildred t pettit</t>
  </si>
  <si>
    <t>TEDxTalks English Health Disease Medicine</t>
  </si>
  <si>
    <t>Communicable diseases communicable diseases hindi communicable and noncommunicable diseases communicable communicable diseases nursing communicable diseases for kids evs evs class 5 evs lesson in hindi evs lectures in hindi learning made easy evs for uptet evs for ctet in hindi evs hindi evs hindi medium evs hindi lesson plan evs gk hindi hindi evs ctet evs hindi club evs book evs class 5 hindi communicable diseases in hindi</t>
  </si>
  <si>
    <t>The Health Talk NCDs noncommunicable diseases cancer cardiovascular disease heart disease diabetes lung diseases tobacco alcohol diet physical activity health Uruguay</t>
  </si>
  <si>
    <t>Animated Clip Free animation software Animated Videos Free Presentation software Animated Presentation Make your own animation Presentation software Explainer video PowToon</t>
  </si>
  <si>
    <t>COMMUNICABLE DISEASES CHICKEN POX MEASLES DIPHTHERIA INFLUENZA WHOOPING COUGH PERTUSSIS SARS IMPORTANT TOPIC FOR ALL PHARMACY EXAMINATIONS</t>
  </si>
  <si>
    <t>Unacademy studios prabhav upsc upsc 2020 upsc cse upsc preparation upsc hindi exam upsc exam tips upsc topper ias upsc exam upsc hindi syllabus ias preparation non communicable diseases diseases non communicable diseases upsc non commnicable diseases in hindi basic science for upsc upsc general science in hindi sk sharma sk sharma upsc sk sharma prabhav</t>
  </si>
  <si>
    <t>medical hub nursing videos medical videos Pharmacist exam Railway question Paper Lab technician questions AIIMS solved staff nurse question paper Lab technician question paper NIMHANS solved question paper AIIMS delhi solved question paper staf nrurse solved quetsion paper Nursing officer solved question paper PGIMER solved question paper NHM up Staff nurse question paper CHO Solved question paper MCQs on Non communicable disease</t>
  </si>
  <si>
    <t>Communicable disease non-communicable disease pathogen contagious parasite virus bacterium protozoan fungus worm infectious vaccine immunization antibiotics epidemic epidemiologist epidemiology pandemic endemic genetic disorder</t>
  </si>
  <si>
    <t>Non Communicable Diseases Non Communicable Disease Non-Communicable Diseases Prevention of Non Communicable Diseases Community Medicine videos PARK abmbbs Non Communicable Diseases lecture Non Communicable Diseases video Non Communicable Diseases psm Non Communicable Diseases animation non communicable diseases and their prevention non communicable diseases causes and prevention non communicable diseases</t>
  </si>
  <si>
    <t>Gcse biology diseases gcse biology non-communicable gcse biology communicable biology revision gcse biology 9-1 gcse biology revision gcse communicable diseases gcse non-communicable diseases gcse biology lifestyle gcse biology organisation topic</t>
  </si>
  <si>
    <t>Non-communicable disease prevention diet nutrition exercise genetic conditions genetic counseling cancer screening test early detection health care warning signs</t>
  </si>
  <si>
    <t>NPCDCS nATIONAL PROGRAM FOR PREVENTION OF CANCER National program for prevention of cancer diabetes cardiovascular diseases stroke national health programs updates &amp; initiatives Vivek jain commun</t>
  </si>
  <si>
    <t>infectious diseases vector control environmental changes environmental health surveillance one health vaccines behaviour change health promotion communicable diseases anitbiotics antimicrobials antimicrobial resistance outbreaks</t>
  </si>
  <si>
    <t>global health NCD noncommunicable disease chronic disease resource-poor medical care Yale Global Health public health disease sickness illness medicine medical school grand rounds</t>
  </si>
  <si>
    <t>#hangoutsonair Hangouts On Air #hoa Non-communicable Disease (Disease Or Medical Condition) global health Public Health (Medical Specialty) World Health Organization (Membership Organization) This Week in Global Health #TWiGH Disease (Cause Of Death) Health (Industry)</t>
  </si>
  <si>
    <t>Social Determinants Of Health Health (Literary Genre) Copenhagen (City/Town/Village) Health Care (Issue) Denmark (Country) Non-communicable Disease (Disease Or Medical Condition) Medicine (Field Of Study) Disease (Organization Sector)</t>
  </si>
  <si>
    <t>Noncommunicable diseases NCDs WHO Regional Office Eastern Mediterranean Regional framework for action governance prevention reduction of risk factors surveillance health care cardiovascular diseases cancers diabetes chronic lung disease tobacco use physical inactivity unhealthy diet harmful use of alcohol cost-effective interventions best buys UN Political Declaration prevention and control strategic interventions progress indicators</t>
  </si>
  <si>
    <t>Non-communicable Disease (Disease Or Medical Condition) Disease (Cause Of Death) Obesity (Disease Or Medical Condition) Hypertension (Disease Or Medical Condition) Diabetes Mellitus (Disease Or Medical Condition) Tobacco Smoking (Disease Cause) Alcoholism (Disease Or Medical Condition) World Health Organization (Membership Organization)</t>
  </si>
  <si>
    <t>the university of auckland auckland uni auckland university uoa university of auckland liggins institue health sciences non-communicable diseases cancer diabetes cardiovascular disease respiratory disease Professor Sir Peter Gluckman health nutrition exercise</t>
  </si>
  <si>
    <t>Disease (Cause Of Death) United Nations (Membership Organization) Non-communicable Disease (Disease Or Medical Condition) Preventive Medicine (Medical Specialty) Health (Industry)</t>
  </si>
  <si>
    <t>Diabetes cancer cardiovascular disease heart disease chronic obstructed pulmonary disease lung disease NCDs noncommunicable diseases tobacco control physical activity healthy diets alcohol world health organization Uruguay united nations SDGs 3.4 Vazquez Tedros Montevideo</t>
  </si>
  <si>
    <t>TEDxTalks English Fiji Health Behavior Disability Disease Happiness Meditation Public health</t>
  </si>
  <si>
    <t>tulfo raffy tulfo raffy tulfo in action wanted sa radyo tv5 raffy tulfo 2020 raffy tulfo live raffy tulfo latest raffy tulfo latest 2020 raffy tulfo in action latest tulfo in action tulfo in action 2020 tulfo latest raffy tulfo in action latest 2020 raffy tulfo action raffy tulfo in action 2020 tulfo 2020 raffy tulfo in action 2020 latest tulfo in action latest 2020 tulfo latest 2020 raffy tulfo wanted sa radyo 2020 raffy tulfo wanted sa radyo latest</t>
  </si>
  <si>
    <t>Variable Formula Axiom constant</t>
  </si>
  <si>
    <t>neet neet 2020 neet ug neet exam human health and disease human health and disease class 12 human health and disease class 12 ncert human health and disease neet human health and disease crash course</t>
  </si>
  <si>
    <t>mary grace lastra mindanao music of mindanao vocal music of mindanao musical instruments of mindanao bamboo musical instruments of mindanao gong music of mindanao ppt lute music of mindanao lute music of mindanao ppt agung kulintang kulintang music kulintangan kulintang instrumental music palabunibunyan music of mindanao kudyapi of mindanao babendil instrument gabbang instrument suling kubing no te vayas de zamboanga mindanao music grade 7 music grade 7 samaon</t>
  </si>
  <si>
    <t>kaomi tutorial cake cupcakes toppers fondant gum paste how to make decorate step by step diy easy pastel torta masa elastica pasta de goma como hacer pastillaje decorar modelar facil pasta di zucchero come fare figuras sugar paste pasta di gomma sonic play station nintendo pelicula movie Miles tails Amy Rose prower shadow the hedgehog knuckles azul silver metal blaze Sega Sonic R xbox PC Lost world switch Team sonic racing ps4 xbox one Mario bros videojuegos</t>
  </si>
  <si>
    <t>Health Slogan slogans on health and hygiene funny health slogans health slogan in hindi slogans on healthy food health care slogans</t>
  </si>
  <si>
    <t>SuccessCDs Education SuccessCDs Videos successcds1 education cbse entrance exam Static GK Diseases caused by bacteria diseases caused by Fungi Diseases caused by protozoa diseases caused by Virus Diseases and Microorganisms for competitive exams Diseases caused by Microorganisms in humans influenza Diarrhoea diseases caused by viruses diseases caused by bacteria diseases caused by fungi bacterial diseases list diseases caused by protozoa</t>
  </si>
  <si>
    <t>david cross david cross tobias decline healthcare american dream tobias funke trump decline of america why is america so bad worst country ever overdose pessimism imperial collapse america is awful america is terrible arrested development david cross gun control david cross stand up specials david cross alvin and the chipmunks david cross interview david cross larry the cable guy David cross making america great again gravel institute the gravel institute</t>
  </si>
  <si>
    <t>acts about human body body hair third eyelid brain power human teeth stomach acid human hair facial expression body language how many bones human eye body weight human skeleton facts you didn’t know facts of life scientific facts bright side brightside bright side videos</t>
  </si>
  <si>
    <t>Someone Like You (musical) Rolling In The Deep Music</t>
  </si>
  <si>
    <t>town hall 6 attack strategy town hall 6 attack strategy 2021 town hall 6 farming strategy 2021 town hall 6 farming strategy th6 farming strategy th6 attack strategy th 6 attack strategy 2020 jsmith gaming th6 lets play town hall 6 lets play town hall 6 attack strategy clash of clans best town hall 6 attack strategies town hall 6 attack strategies th6 attack strategies top 6 th5 attack strategies th6 3star attack strategies town hall 6 3star attack strategies</t>
  </si>
  <si>
    <t>morning vibes chill mix morning vibes songs chill music morning music morning songs morning chill music morning vibes music morning song chill morning music morning playlist english songs chill songs chill song english song chill songs playlist morning chill songs chill vibes chill music playlist morning chill morning songs playlist chill vibes songs english chill songs wish you never left top hits chill vibes mix pop r&amp;b chill mix pop chill</t>
  </si>
  <si>
    <t>voizdev minecraft youtube voizdev.com server letsplay lets play fun with friends tutorials howto how to spigot minecraft server plugins setup install worldedit permissions 2019 free easy plugins folder</t>
  </si>
  <si>
    <t>communicable disease communicable diseases communicable diseases and their prevention communicable diseases in hindi biology diseases in humans human health and disease video biology lecture guidely ssc cgl ssc cgl biology ssc cgl 2020 ssc cgl science general science science ssc chsl science ssc cpo ssc chsl 2020 cgl science ssc cgl exam preparation general science for ssc cgl biology for ssc cgl ssc biology gs gs for ssc cgl gs by gurpreet ma'am</t>
  </si>
  <si>
    <t>KBS KBSWorld Korea 실시간 인기 동영상 한국 엔터테인먼트 Entertainment English subtitle TV Full HD 영어자막 자막 슈퍼맨이 돌아왔다 The Return of Superman superman 슈퍼맨 이휘재 추성훈 Lee Hwijae Choo Sunghoon twins 사랑 song triplets Sarang 쌍둥이 family baby child Superman Is Back 대한 민국 만세 송일국 triplets Song Ilguk 삼둥이 엄태웅 Uhm Tae-woong 엄지온 Uhm Ji-on 이동국 Soccer 오둥이 5 siblings siblings yt:cc=on SNSD 소녀시대 Girls' Generation 태연 효연 서현 수영 윤아 티파니 써니 유리 Taeyeon Hyoyeon Seohyun Sooyoung Yoona Tiffany Sunny Yuri 少女時代</t>
  </si>
  <si>
    <t>Responsibility life lesson caregiver rule habit mission statement values goals self-responsibility self-sufficient ownership proactive</t>
  </si>
  <si>
    <t>jkssb biology jkssb classes jkssb lectures general science for competitive exams Non-Communicable Disease diabetes paralysis Parkinson's Disease the knowledge Race biology for finance account assistant biology for Jkssb lab attendant exam biology for sub-inspector exam</t>
  </si>
  <si>
    <t>health systems community organizations non communicable diseases non communicable diseases video non communicable diseases lecture kenyan ministry of health ministry of health kenya gaps in Non Communicable Diseases patient centred approach sickle cell anaemia sickle cell disease people living with non communicable diseases health systems management health systems around the world health systems strengthening systems thinking for health systems strengthening</t>
  </si>
  <si>
    <t>jkssb biology classes jkssb lectures Non-Communicable disease human health and disease finance account assistant jkssb sub-inspector jkssb lab attendant jkssb laboratory assistant biology for competitive exams Cancer Allergy the knowledge Race</t>
  </si>
  <si>
    <t>ABS-CBN ABS-CBN Online ABS-CBN Philippines Philippines Entertainment Showbiz 20200302online March 2 2020 Gandang Gabi Vice GGV Vice Ganda Jose Mari Viceral GGV Vice Ganda lizquen ggv liza soberano enrique gil yorme aaron sunga isko moreno yorme ggv alex gonzaga mikee morado alex and mikee ggv momoland momoland ggv nancy mcdonie jooe momoland best of ggv lizquen isko and yorme ggv ryan bang ryan bang momoland ggv ryan bang nancy ggv alex g</t>
  </si>
  <si>
    <t>CBAC Performa Community Based Assessment Checklist Community Health officer NCD Tuberculosis &amp; Cancer detection performa How to fill CBAC Performa</t>
  </si>
  <si>
    <t>TLE OSH Practice Occupational Health and Safety Procedure TLE 7 Grade 7 Lesson 2</t>
  </si>
  <si>
    <t>Les Mills Lesmills Les Mills Group Fitness Group Fitness Health Fitness Workout Routines Fitness Class Fitness Classes weight loss bodycombat cardio cardioworkout freeworkout</t>
  </si>
  <si>
    <t>SEE Grade 10</t>
  </si>
  <si>
    <t>DepEd MP TV DepEdMPTV DepEdTV MPTV MP TV MPSDO TV</t>
  </si>
  <si>
    <t>นนน กรภัทร์ เกิดพันธุ์ แปง The Gifted Graduation ใยไหม ชินารดี อนุพงษ์ภิชาติ ถุงแป้ง ภัทรวดี ปังญ่า ปัญจ์ลักษณ์ ภักดีวิจิตร ครีน โคร์รีน โอโร๊ค ฟังก์ชั่น วลัญช์ภัทร ต่อ หลินหลิน ขวัญ น้ำฟ้า สันติ หลุด คลิปหลุด ดาวโรงเรียน คลิปโป๊ หนังโป๊ Pornhub The Leaked น้องช่วยตัวเองเป็นมั้ย ช่วยตัวเอง Nanon อาชญากรรมทางคอมพิวเตอร์ อาชญากรรมทางอินเทอร์เน็ต อาชญากรรมไซเบอร์ เซ็กซ์ Sex Internet crime Computer Crime Cybercrime Masturbation จ๊ะจ๋า จินต์จุฑา หนังใหม่ EP. 1 Chapter 1</t>
  </si>
  <si>
    <t>Environmental Science cbse cbse class 5 disease</t>
  </si>
  <si>
    <t>deltastep education</t>
  </si>
  <si>
    <t>#COMMUNICABLE DISEASE #PATHOGENS #DISEASE AGENTS #VIRUS #BACTERIA #FUNGI #PARASITE #CORONAVIRUS</t>
  </si>
  <si>
    <t>respiration in humans respiratory system respiration anatomy and physiology respiration cycle respiration explanation respiration gas exchange respiration human respiration lecture respiratory system anatomy and physiology physiology lecture physiology of respiratory system respiratory physiology respiration dr najeeb lectures what is respiration breathing anatomy physiology lungs carbon dioxide biology trachea bronchioles pharynx larynx bronchi alveoli dr najib</t>
  </si>
  <si>
    <t>Epidemiology NCDs Non-communicable Diseases Public Health Pacific</t>
  </si>
  <si>
    <t>John Green Hank Green vlogbrothers Crash Course crashcourse Anatomy Physiology Anatomy &amp; Physiology hearing balance equilibrium vestibular apparatus ears sound choclea basilar membrane hair cells</t>
  </si>
  <si>
    <t>Malaria (Disease Or Medical Condition) Health (Industry)</t>
  </si>
  <si>
    <t>cltcec ihss training caregivers</t>
  </si>
  <si>
    <t>TB tuberculosis death hospitalizations epidemiology LTBI latent active PPD Mantoux TST Tuberculin skin test skin test pulmonary lung infection disease mycobacteria bacteria INH chest medication tubercle transmission mask N95 negative pressure</t>
  </si>
  <si>
    <t>graves disease hyperthyroidism graves' graves opthalmopathy graves disease pathophysiology pathogenesis mechanism of disease pathology thyroid disease thyroid disorder overactive thyroid TSH Thyroid stimulating hormone antibody treatement management graves dermatopathy anatomy and physiology of the thyroid gland investigation medicine animation summary lecture signs and symptoms of graves disease clinical presentation manifestation hyper and hypothyroidism</t>
  </si>
  <si>
    <t>educational videos science videos high school science cancer cell cycle cells tumor malignant benign biology mitosis ap biology science High School (Degree)</t>
  </si>
  <si>
    <t>TEDTalk TEDTalks TED Talk TED Talks TED Talks (video) (Broadcast Content) Disease (Cause Of Death) Siddhartha Mukherjee TED2015</t>
  </si>
  <si>
    <t>Transmission Health (Industry)</t>
  </si>
  <si>
    <t>veritasium science education future teachers technology future of education revolutionize education revolutionize teaching learning School Teacher Lessons Student Students</t>
  </si>
  <si>
    <t>TEDxFremont English ted talk ted Food \United States (Country)\ tedx talks tedx talk ted talks Medicine tedx Health Science ted x</t>
  </si>
  <si>
    <t>Parkinson's Disease (Disease Or Medical Condition) Health (Industry) Disease (Cause Of Death)</t>
  </si>
  <si>
    <t>Sadhguru 2019 sad guru Sadguru satguru sathguru jaggi vasudev jakki isha yoga spirituality wisdom mysticism seeking</t>
  </si>
  <si>
    <t>Health Ethiopia (Country)</t>
  </si>
  <si>
    <t>dr becker veterinarian pets cats respiratory respiratory disease upper respiratory infections cat virus</t>
  </si>
  <si>
    <t>WHO disease malaria polio climate change HIV AIDS tb tuberculosis cancer vaccine World Health Organization (Membership Organization) History United Nations World War II (Military Conflict) Public Health (Medical Specialty)</t>
  </si>
  <si>
    <t>back backbone bacteria bacterial bacteriological bacterium bone bones brain cerebro-spinal cerebrospinal csf fever flow germ inflamed inflammation irritability medication meninges meningitis nausea neck sensitivity skull spinal spine spinous vertebrae vertebral viral virus vomiting 3d Medical Health health literacy spinal column spinal cord spinal fluid nucleus medical media</t>
  </si>
  <si>
    <t>Diabetes cancer cardiovascular disease heart disease chronic obstructed pulmonary disease lung disease NCDs noncommunicable diseases tobacco control physical activity healthy diets alcohol world health organization UNIATF united nations</t>
  </si>
  <si>
    <t>CFR Council on Foreign Relations Thomas R. Frieden Jo Ivey Boufford</t>
  </si>
  <si>
    <t>Pulitzer Center India NCD Non-communicable Disease (Disease Or Medical Condition) Diabetes Cancer Heart Attacks Martina Merten</t>
  </si>
  <si>
    <t>globalhealth health ncds non-communicable diseases diabetes cardiovascular illness ngo nonprofit development human rights charity community diet exercise</t>
  </si>
  <si>
    <t>Robert Krulwich NPR virus swine flu david bolinsky zirus xvivo science</t>
  </si>
  <si>
    <t>RL Healthy rebecca louise rebecca-louise workout workouts fitness rebecca rebecca workouts rlhealthy cardio cardio workout rebecca luis rebecca louis rebeccalouisefitness rebeccalouise upper body cardio workout fat burning exercises fat burning exercises fat burning upper body fat burning workouts fat burning workout upper body workout workout fat burning fat burning cardio fat burning exercise body upper cardio exercises cardio exercise workout cardio</t>
  </si>
  <si>
    <t>noncommunicable diseases NCDs youth health cancer diabetes obesity smoking alcohol demography demographics</t>
  </si>
  <si>
    <t>liver virus hep Hepatitis A Hepatitis B Hep A Hep B Hepatocytes sinusoids central hepatic venule macrophage chemical blood filter rbis red blood cells immune cells bacteria clotting nutrients bile gallbladder small intestine digestion vaccine hepatocytes apoptosis scar tissue fibroblasts collagen cirrhosis nodules 3d Medical Health Hepatitis (Disease Or Medical Condition) nucleus medical media health literacy health literacy video</t>
  </si>
  <si>
    <t>CFR Council on Foreign Relations Nils Daulaire Babatunde Osotimehin Derek Yach Sheri L. Fink Health and Disease</t>
  </si>
  <si>
    <t>Wilson Center foreign policy international affairs foreign affairs</t>
  </si>
  <si>
    <t>NFTs NFT Non Fungible Tokens Non Fungible Token Explained NFT explained cryptocurrency blockchain nfts crypto explained nfts crypto nfts animation nfts blockchain nfts in hindi nfts art non fungible token non fungible tokens explained non fungible token beeple non fungible token art non fungible token video non fungible token kya hain nft kya hai an open letter</t>
  </si>
  <si>
    <t>Highline College Martin Luther King</t>
  </si>
  <si>
    <t>facts about human body ears check your ears check your hearing ear wax color interesting facts human ear shocking facts life hacks health tips health hacks body care hygiene rules unhealthy habits things you do wrong ear care health care bright side health</t>
  </si>
  <si>
    <t>Cholera Animation Haiti Yoni Goodman Global Health Media Project Cholera prevention Cholera transmission Cholera epidemic Water and sanitation Hygiene Clinical training video Medical video</t>
  </si>
  <si>
    <t>medcircle kyle kittleson mental illness mental health discussion dr. ramani dr. ramani borderline bipolar borderline personality disorder borderline personality disorder interview ramani durvasula psychologist psychology expert identity disturbance identity bpd mood fear relationships behavior antisocial good evil emotion depression anxiety suicidal thoughts behaviors documentary podcast conversation talk show trait instability help anger eupd dr ramani ramani durvasula</t>
  </si>
  <si>
    <t>CampaignTB @CampaignTB TaintedBlood Haemophilia Hemophilia www.taintedblood.info Tainted Blood HIV AIDS Contaminated Blood Contaminated Blood Scandal Penrose Inquiry Archer Inquiry Factor 8 Factor 9 Hepatitis C NHS Politics (TV Genre) yt:quality=high Contaminated Haemophilia Blood Products Health (Industry) Andy Burnham MP BBC2 Haemophilia Society Tainted Blood Scandal Treloar College Contaminated Blood The Search for the Truth BBC Panorama NHS Blood Scandal</t>
  </si>
  <si>
    <t>flu influenza vaccine flu shot flu vaccine risk benefit danger febrile seizure GBS guillain barre guillane barre syndrome death hospitalization vaccine efficacy TIV LAIV autism thimerosal mercury herd immunity</t>
  </si>
  <si>
    <t>esic staff nurse exam model questions esic staff nurse previous questions and answers nursing questions and answers community health nursing questions</t>
  </si>
  <si>
    <t>Dr. Harshal Sabane MBBS MD (Community Medicine) medical lectures online lecture series for medical field Community Medicine MD CRACK</t>
  </si>
  <si>
    <t>yeezy 380 blue oat reflective vs non-reflective yeezy 380 blue oat reflective on foot review yeezy 380 on foot review yeezy bloarf yeezy 380 styling haul supreme week 18 ss20 summer tees supreme summer tees how to style supreme summer teeshow to style yeezy blue oat yeezy blue oat on foot review yeezy blue oat review yeezy reflective vs non reflective hypebae marissa hill shadetv yeezy reflective comparison yeezy reflective on foot sneaker review 2020</t>
  </si>
  <si>
    <t>CE pharmacy pharmacist technician healthcare pharmaceuticals continuing education pharmacy tech pharm tech what does a pharmacist do freeCE free ce online pharmacy education PharmCon online ce for pharmacists online ce for pharmacy technicians online ce for pharmacy techs pharmacy professional pharmacy careers Surgent CPE pharmacology careers continuing education for pharmacists ce for pharmacists webinar freece webinars rheumatoid arthritis autoimmune disease</t>
  </si>
  <si>
    <t>Sadhguru 2019 sad guru Sadguru satguru sathguru jaggi vasudev jakki isha yoga spirituality wisdom mysticism seeking head talks yalda hakim sadhguru yalda hakim bbc yalda hakim interview</t>
  </si>
  <si>
    <t>influenza flu viruses Type A Type B Type C respiratory epidemic pandemic genetic drift genetic shift animal vaccine flu vaccine mutation symptoms</t>
  </si>
  <si>
    <t>10 Health One on One Melvin Churchill rheumatoid arthritis Arthritis Center of Nebraska</t>
  </si>
  <si>
    <t>NIH</t>
  </si>
  <si>
    <t>Stroke Freda Lewis-Hall Dr. Lewis-Hall Travis Stork The Doctors and Pfizer Pfizer doctors stroke signs warning signs pfizer the doctors health wellness CBS</t>
  </si>
  <si>
    <t>Wilson Center foreign policy international affairs Serious Games Gaming Esports E Sports HBCU Fiscal Ship Congress Elizabeth Newbury STIP STEM STEAM Science and Technology Innovation Program Budget Budget Hero</t>
  </si>
  <si>
    <t>Teilhard de Chardin evolution philosophy Christianity religion globalization paleontology</t>
  </si>
  <si>
    <t>Heart Attack stroke symptoms chest pain shortness of breath Health</t>
  </si>
  <si>
    <t>Day In The Life of patient taking warfarin health ecp video Paul Clayton Tim Paine Warfarin Dr Sarah Jarvis Stroke</t>
  </si>
  <si>
    <t>Gastroesophageal Reflux Disease (Disease Or Medical Condition) Heartburn (Symptom) Pfizer (Business Operation) Dr. Freda Lewis-Hall Dr. Freda The Doctors (TV Program) Travis Lane Stork (TV Producer) Health (Industry) acid reflux GERD health wellness</t>
  </si>
  <si>
    <t>schizophrenia Health Sydney Research Psychiatry NeuRA Cyndi Shannon Weickert Neurobiology Neuroscience</t>
  </si>
  <si>
    <t>Cold Flu How to tell if you have a cold How to get rid of a cold How to tell if I have the flu Flu symptoms What are flu symptoms Difference between cold and flu flu symptoms 2019 flu 2019 flu season 2019 How to tell the flu from a cold How to tell a cold from the flu differences between the flu and a cold Sickness Cold season 2019 Best flu tips Best ways to beat the flu Best ways to beat a cold Health Health and wellness Global News Web MD WebMD</t>
  </si>
  <si>
    <t>bacteria disease health</t>
  </si>
  <si>
    <t>human health medicine science biology immune system arthritis joints inflammation autoimmune disease disability tissue bone density rheumatoid osteoarthritis medication therapy steroid deformity innate adaptive cartilage synov</t>
  </si>
  <si>
    <t>Avanir Pharmaceuticals PBA Film Project PseudoBulbar Affect PBA uncontrollable laughing crying neurologic conditions brain injury film documentary healthcare MultiVu MultiVu 7266955</t>
  </si>
  <si>
    <t>World Economic Forum Davos WEF2019 Davos 2019 politics finance economy news leadership democracy education 4IR technology tech AI automation work future</t>
  </si>
  <si>
    <t>Childhood simple tasks simple task easy task rheumatic diseases juvenile juvenile rheumatoid arthritis aches and pains joint pain disease and children children and disease american college college rheumatoid lupus gout RA rheumatoid arthritis in kids Health Medicine (Field Of Study) University</t>
  </si>
  <si>
    <t>Nerdist Because Science Kyle Hill Batman Joker CJD Psychology Mental Health DC DC Comics</t>
  </si>
  <si>
    <t>Freda Lewis-Hall The Doctors Pfizer Travis Stork stress chronic stress health wellness</t>
  </si>
  <si>
    <t>Mental Illness (Disease Or Medical Condition) Psychology (Field Of Study) Stress Crash Course Crash Course Psychology Mental Institutions Asylums Psychological Disorders DSM-5 DSM 5 David Rosenhan On Being Sane in Insane Places Nellie Bly Elizabeth Jane Cochran</t>
  </si>
  <si>
    <t>TVO TVOntario TVOKids TVOParents parents Cheryl Jackson your voice parenting teachers baby children toddlers preschoolers high school Parents &amp; Education Science &amp; Nature Health and Research physical health Health and Family body anxiety human body health and development attachment</t>
  </si>
  <si>
    <t>global health ncdfree NCDs mythbusting poverty development diabetes cancer heart disease mental health health</t>
  </si>
  <si>
    <t>mary grace lastra mary grace lastra filipino philippine festivals religious festivals non-religious festivals quiapo festival obando festival pahiyas festival moriones festival dinagyang festival sinulog festival kaamulan festival kadayawan festival ati-atihan festival sinigayan festival bahaghari festival higantes festival bangus festival binirayan festival malasimbo festival manggahan festival magayon festival flores de mayo arts grade 7 mapeh 7</t>
  </si>
  <si>
    <t>mary grace lastra mary grace lastra educational tutorial deped ncr deped tayo Philippine theatrical forms sarswela senakulo duplo karagatan moro moro philippine theatrical forms grade 7 philippine drama philippine theater philippine musical theater forms philippine theatrical musician and composers spanish colonial theater komedya drama simboliko forms of philippine drama carillo ladislao bonus nicanor abelardo levi celerio bonifacio abdon tanikalang ginto</t>
  </si>
  <si>
    <t>mapeh quarter 4.music quarter 4 tunog mindanao mindanao music maranao music tribal music philipphine festival kadayawan festival moriones festival ibalong festival philippine theater PETA lea salonga sinulog festival ati atihan festival</t>
  </si>
  <si>
    <t>Pe 7 mapeh7 pE 7 quarter 4 Philippine festival Festivals of Phlippines Sinulog Festival kalinlangan festival Film festoval flower festival dinagyang festival ati-atihan festival ibalong festival moriones festival locomor movements non-locomotor movements elements of dance</t>
  </si>
  <si>
    <t>The Health Talk Communicable disease infectious disease prevention hygiene immunization vaccine food safety cross-contamination risky behavior HIV AIDS</t>
  </si>
  <si>
    <t>wifistudy rrb rrb ntpc wifistudy rrb ntpc gs rrb ntpc gs by neeraj sir rrb ntpc 2020 rrb ntpc syllabus 2020 ntpc rrb ntpc rrb ntpc gs preparation gs rrb ntpc wifistudy ntpc gs rrb ntpc preparation gs by neeaj sir general science rrb ntpc gs mcq rrb ntpc gs wifistudy rrb ntpc gs question ntpc gs wifistudy neeraj sir wifistudy science biology biology by neeraj sir nutrition in plants nutrition food nutrition in animals nutrition in human beings nutrition</t>
  </si>
  <si>
    <t>bonds vs debentures bonds debentures bond debenture bond market share market corporate bonds government bonds types of bonds types of debentures tax saving bonds convertible debentures non convertible debentures perpetual bonds registered debentures bearer bonds bearer debentures callable bonds puttable bonds zero coupon bonds subordinated bonds participating debentures fixed income securities shares vs bonds shares vs debentures assetyogi asset yogi</t>
  </si>
  <si>
    <t>wifistudy rrb rrb ntpc wifistudy rrb ntpc gs rrb ntpc gs by neeraj sir rrb ntpc 2020 rrb ntpc syllabus 2020 ntpc rrb ntpc rrb ntpc gs preparation gs rrb ntpc wifistudy ntpc gs rrb ntpc preparation gs by neeaj sir general science rrb ntpc gs mcq rrb ntpc gs wifistudy rrb ntpc gs question ntpc gs wifistudy neeraj sir wifistudy science biology diseases by neeraj sir diseases diseases topic in hindi diseases questions in hindi diseases in humans disease</t>
  </si>
  <si>
    <t>std std symptoms signs of STD safe sex HERPES herpes symptoms hiv aids hiv symptoms hpv hpv symptoms hsv hsv symptoms Health (Industry) stds sti venereal disease types of STDs std types signs of STDs</t>
  </si>
  <si>
    <t>Chapter-6 | Communicable Disease || Health Education &amp; Community Pharmacy</t>
  </si>
  <si>
    <t>diseases class 5 class 5 diseases communicable diseases Class 5 class 5 communicable diseases food for health food for health class 5</t>
  </si>
  <si>
    <t>Difference Between Communicable and Non Communicable disease Difference Between Communicable Non Communicable disease quikr exam neet difference disease science communicable diseases non communicable disease non communicable diseases distinguish between communicable and non communicable disease communicable communicable and noncommunicable diseases difference between communicable disease and non communicable disease communicable and noncommunicable diseases in hindi</t>
  </si>
  <si>
    <t>NCDs Epidemiology Prevention Control Primary prevention secondary prevention tertiary prevention Pacific islands Obesity Hypertension Cancer</t>
  </si>
  <si>
    <t>Nature of NCDS Nature of Non-communicable Diseases nature of non-communicable diseases nature of ncds quarter 4 health 7 quarter 4 week 4 health 7 Q4 Health 7</t>
  </si>
  <si>
    <t>cheap ce unlimited CE ADACB addiction counselling counsellor cadc cap ccapp ccdc ce lcsw continuing education counseling Florida ladac ladc lcdc licensed counselor lmft lmhc lpc lpc ce lpc ceus naadac nbcc online training relapse prevention motivational interviewing mindfulness sex addiction quantum units ce4less cebynet online ceu homestudy coaching prevention mental illness prevention mental health awareness counseling skills case management ccm ccmc parenting</t>
  </si>
  <si>
    <t>Diseases Infectious diseases communicable diseases health disorders human health and diseases types of diseases non-infectious diseases non-communicable diseases types of human diseases different types of diseases human health</t>
  </si>
  <si>
    <t>mary grace lastra mary grace lastra teacher education mapeh manila vivavideo zepeto bitmoji canva canvaph canva for education filipino learning online class virtual classroom educational tutorial deped ncr deped tayo communicable diseases non-communicable diseases disease illness classification of diseases chickenpox measles asthma diabetes obesity influenza flu virus mumps heart attack stroke mosquito disease cardiovascular respiratory disease cancer mental disorders</t>
  </si>
  <si>
    <t>IGCSE biology biology revision science sauce science sauce online pathogen pathogens transmission disease disease and immunity transmissible disease 0610</t>
  </si>
  <si>
    <t>Periwinkle Elearning e-periwinkle periwinkle books learning videos for kids educational videos Science learning videos cbse biology disease Health and disease class 5 human health and disease Health and disease neet 2020 Health and disease biology how to be healthy immune system How to stay healthy Healthy lifestyle how to start a healthy lifestyle cartoons for children cartoon videos for kids Animated videos for kids</t>
  </si>
  <si>
    <t>Noncommunicable diseases Non-communicable diseases NCD NCDs Cardiovascular disease CVD Type 2 diabetes Diabetes Chronic respiratory disease Asthma COPD STroke Peripheral Vascular Disease Risk factors Metabolic risk factors Epidemiology Public Health Continuing Professional Development</t>
  </si>
  <si>
    <t>Health and disease RBC online by Zoya Mam Class 12th NCERT Non-Communicable disease</t>
  </si>
  <si>
    <t>communicable and non communicable disease Difference difference between communicable and non communicable disease GS by Dr Vipan Goyal Study IQ Coronavirus Hanta Virus Viral Diseases Bacterial Diseases protozoan Diseases Diseases Medicine Health upsc ssc pcs cds nda competitive exams vipin goyal gs Dr vipan goyal Study IQ communicable non communicable disease</t>
  </si>
  <si>
    <t>Communicable disease infectious disease prevention hygiene immunization vaccine food safety cross-contamination risky behavior HIV AIDS</t>
  </si>
  <si>
    <t>NCDs non communicable diseases</t>
  </si>
  <si>
    <t>TEDxTalks English Fiji Social Science Activism Art Arts education Beauty Body Community Culture Design Developing World Development Education Family Poetry Relationships Social Change</t>
  </si>
  <si>
    <t>gcse communicable disease gcse pathogens gcse how pathogens spread communicable disease gcse science gcse biology combined science how to reduce the spread of disease what is a pathogen aqa edexcel orc 9-1 gcse science revision</t>
  </si>
  <si>
    <t>USMLE COMLEX Step Boards Mnemonics High Yield DirtyUSMLE Hypersensitivity Type 1 Type 2 Type 3 Type 4 Immune Complex Lumpy Bumpy Cytotoxic Linear IgE Mediated Allergic Delayed CD8+ TH1 Macrophage IgG IgM Antibody Allergic Reaction Anaphylaxis Epinephrine Epi Pen Wheezing Mast Cells Basophils Histamine IgE Cross Link</t>
  </si>
  <si>
    <t>Ninja Nerd Lectures Ninja Nerd Ninja Nerd Science education whiteboard lectures medicine science hypothyroidism thyroid myxedema coma physiology treatment pathophysiology endocrinology thyroxine myxedema nursing</t>
  </si>
  <si>
    <t>elearning educational animation all subject</t>
  </si>
  <si>
    <t>BP hypertension health heart cardiac physiology arteries veins blood vessels volume pressure flow resistance tube vessel Arteriosclerosis Arteriolosclerosis Atherosclerosis</t>
  </si>
  <si>
    <t>bronze diabetes ANA kayser-fleischer HCV antiobody igm core antibody hepatits b core antibody hepatic disease liver disease animation pathophysiology of cirrhosis Medicine what is hepatitis vaccination chronic vs acute hepatitis ast vs alt alk phos COPD asthma IV liver disease hepatitis c usmle CME liver function tests ast liver function cirrhosis hepatitis b liver enzymes acute liver failure centers for disease control and prevention alkaline phosphatase</t>
  </si>
  <si>
    <t>Meiosis vs mitosis mitosis gametes sperm egg cells reproduction cell division how does meiosis work what is meiosis myosis miosis recombinant chromosomes phases of meiosis tutorial lesson animation cartoon anaphase telophase prophase metaphase chromosomes importance of meiosis interphase cytokinesis chromatids difference between meiosis and mitosis for kids crossing over meiose how sperm and egg cells are made comparing mitosis and meiosis meeosis mieosis</t>
  </si>
  <si>
    <t>safety</t>
  </si>
  <si>
    <t>infections for kids coronavirus for kids what is coronavirus for kids what is a virus for kids how to prevent coronavirus for kids coronavirus explained for kids what is coronavirus explaining coronavirus to kids coronavirus video for kids what is an infection for kids coronavirus information for kids coronavirus outbreak corona virus for kids covid-19 for kids how to explain coronavirus to kids how to explain a virus to kids coronavirus for children</t>
  </si>
  <si>
    <t>gcse risk factors gcse biology lifestyle and risk factors non-communicable diseases 9-1 gcse combined science gcse science lifestyle and environmental risk factors aqa edexcel ocr impact of disease</t>
  </si>
  <si>
    <t>Chronic Diseases JA-CHRODIS Europe European Commission Healthy Ageing Kroniska sjukdomar</t>
  </si>
  <si>
    <t>TED TED-Ed TED Education TED Ed Chris Gaw Zedem Media asthma breathing asthma attak respiratory system bronchioles smoke pollen lungs mucosa mucosal lining constriction wheezing chest tightness hyperinflation inhaler beta-agonist corticosteroids</t>
  </si>
  <si>
    <t>EBV herpesvirus HHV http://macrophage.co physiology medicine medical tutorial whiteboard video medical school learn medicine HSV herpes medical education macrophage biology CMV pathophysiology CMV infection cmv latent reservoir cmv mono</t>
  </si>
  <si>
    <t>gcse biology science revision TB HIV cervical cancer papilloma</t>
  </si>
  <si>
    <t>gospelmusic urbanmusic ukgospel volneymorgan volneymorganandnewye vmandnewye newye iwillnotfail crossover pjgreaves angelmorgan letsgo crossoverlive music urbangospelmusic goodmusic greatmusic gospelgroup gospelchoir choir</t>
  </si>
  <si>
    <t>social determinants of health health determinants public health health education</t>
  </si>
  <si>
    <t>join the healthy lifestyle community healthy lifestyle community Shaun's tobacco use story Reda's unhealthy diet story noncommunicable disease world health World Health Organization (Membership Organization) affects of an unhealthy diet health Health (Industry)</t>
  </si>
  <si>
    <t>infectious diseases communicable diseases vector borne diseases incubation ebola mers case fatality rate emerging infectious diseases pandemic</t>
  </si>
  <si>
    <t>TEDxTalks English United States Health Bacteria Behavior Biodiversity Biology Body Brain Cells Chemistry Cooking Curiosity Disability Disease Epidemiology Farming Food Genetics Illness Life Life Development Medicine Memory Mental health Microbiology Nature Neurology Neuroscience Nutrition Obesity Recovery Research Science Vaccines</t>
  </si>
  <si>
    <t>Alzheimer's Disease alzheimer alois alzheimer plaques tangles amyloid amyloid beta a beta tau protein misfold nerve neuroscience neurodegenration neurodegenerative condition neurons brain 3d animation</t>
  </si>
  <si>
    <t>happiness how to be happy how to be happy in life how to be happy all the time what is happiness what is happiness in life Project better Self short animated movie short animated film animated movies animated movie short animated movies</t>
  </si>
  <si>
    <t>Diseases Infectious diseases disease infectious disease communicable diseases infectious disease specialist health disorders human health and diseases what are types of diseases Disorders Top 5 Deadliest Diseases common diseases list of diseases types of diseases diseases types non-infectious diseases human diseases types of human diseases human diseases tricks different types of diseases disorders in human deadliest diseases chronic disease human health</t>
  </si>
  <si>
    <t>TED TED-Ed TEDx TED Animation Stress Health Body Mind Cortisol Epinephrine Norepinephrine (Drug) Hypertension Brain Weight Weight gain Obesity Fatigue Irritability Headache Adriatic Animation Sharon Horesh Bergquist</t>
  </si>
  <si>
    <t>storytelling webinar humanitarian advocacy gender girls women refugee crisis photography voices women deliver emergency response communications youth meaningful engagement speaking feminist</t>
  </si>
  <si>
    <t>Dr. Hema Divakar Consultant Obstetrician &amp; Gynaecologist Divakars Speciality Hospital High-Risk Pregnancy Care Fetal medicine fetal malformation genetic counseling Fibroid Infertility Adolescent care teenage care Menopausal Care Gestational Diabetes Management Recurrent miscarriage care best gynecologist in India famous gynecologist in India renowned gynecologist in India best gynecologist in Bangalore best gynecological hospital in bangalore</t>
  </si>
  <si>
    <t>humanitarian gender equality localization lebanon beirut women deliver unga csw feminist crisis emergency power real life heroes</t>
  </si>
  <si>
    <t>academy of medical sciences NCDs research South Asia Diabetes mental health GCRF LMICs science communicable non-communicable NCD disease diseases heart cardiac cancer kidney respiratory cardiovascular tobacco exercise environment health population Sri Lanka low-income middle-income LMIC diet ageing sedentary policy medical international</t>
  </si>
  <si>
    <t>Siddhant Career Point</t>
  </si>
  <si>
    <t>News18 Kerala</t>
  </si>
  <si>
    <t>News18 Kannada</t>
  </si>
  <si>
    <t>American Museum of Natural History</t>
  </si>
  <si>
    <t>يوتيوبات 2021</t>
  </si>
  <si>
    <t>The DRx family</t>
  </si>
  <si>
    <t>MANAKKOTTA</t>
  </si>
  <si>
    <t>RajNEET Medical Education</t>
  </si>
  <si>
    <t>UN Interagency Task Force on NCDs (UNIATF)</t>
  </si>
  <si>
    <t>CHUVIAN Channel</t>
  </si>
  <si>
    <t>Raju SIR</t>
  </si>
  <si>
    <t>Medical &amp; Nurses Hub</t>
  </si>
  <si>
    <t>JINC E-NURSING</t>
  </si>
  <si>
    <t>Magnet Brains</t>
  </si>
  <si>
    <t>Best Education Site</t>
  </si>
  <si>
    <t>Kosala Madushan</t>
  </si>
  <si>
    <t>Exam Learning</t>
  </si>
  <si>
    <t>acmedsci</t>
  </si>
  <si>
    <t>Avarts Mauritius</t>
  </si>
  <si>
    <t>World Health Organization (WHO)</t>
  </si>
  <si>
    <t>khanacademymedicine</t>
  </si>
  <si>
    <t>CGP Grey</t>
  </si>
  <si>
    <t>PHFICHANNEL</t>
  </si>
  <si>
    <t>TEDx Talks</t>
  </si>
  <si>
    <t>Jaw-Dropping Facts</t>
  </si>
  <si>
    <t>Motivation2Study</t>
  </si>
  <si>
    <t>Kurzgesagt – In a Nutshell</t>
  </si>
  <si>
    <t>TRIPLE S - StudyPlan Strategy Success</t>
  </si>
  <si>
    <t>Dronstudy.com</t>
  </si>
  <si>
    <t>The Infographics Show</t>
  </si>
  <si>
    <t>Venture City</t>
  </si>
  <si>
    <t>Valuetainment</t>
  </si>
  <si>
    <t>Dauchsy</t>
  </si>
  <si>
    <t>JKSSB JKPSC SSC Online Tutorial</t>
  </si>
  <si>
    <t>Les Diaries</t>
  </si>
  <si>
    <t>piyushoka</t>
  </si>
  <si>
    <t>Juan Gabriel Mix</t>
  </si>
  <si>
    <t>After Skool</t>
  </si>
  <si>
    <t>Chris Wade</t>
  </si>
  <si>
    <t>Jason Stephenson - Sleep Meditation Music</t>
  </si>
  <si>
    <t>Rj career point</t>
  </si>
  <si>
    <t>NDTV</t>
  </si>
  <si>
    <t>EuropeActive</t>
  </si>
  <si>
    <t>Oxford Martin School</t>
  </si>
  <si>
    <t>Dr Mansoor Ali</t>
  </si>
  <si>
    <t>Medusane Inc.</t>
  </si>
  <si>
    <t>Medical Channel</t>
  </si>
  <si>
    <t>Talking Nutrition</t>
  </si>
  <si>
    <t>ISBNPA youtube channel</t>
  </si>
  <si>
    <t>APSC Asian Pacific Society of Cardiology</t>
  </si>
  <si>
    <t>World Health Organization South-East Asia Region - WHO SEARO</t>
  </si>
  <si>
    <t>TED-Ed</t>
  </si>
  <si>
    <t>Florida PASS Program</t>
  </si>
  <si>
    <t>Pen Movies</t>
  </si>
  <si>
    <t>I.G. CLASSES</t>
  </si>
  <si>
    <t>Amazing Stock</t>
  </si>
  <si>
    <t>SciShow</t>
  </si>
  <si>
    <t>BRIGHT SIDE</t>
  </si>
  <si>
    <t>EDUMANTRA</t>
  </si>
  <si>
    <t>Natural Healing Guides, Self Care &amp; Gardening Tips</t>
  </si>
  <si>
    <t>Testpaperlive</t>
  </si>
  <si>
    <t>JK Exam Cracker</t>
  </si>
  <si>
    <t>Reeta Kumari</t>
  </si>
  <si>
    <t>Teacher Bunggay</t>
  </si>
  <si>
    <t>PHARMA NOTES</t>
  </si>
  <si>
    <t>OM Nursing Academy</t>
  </si>
  <si>
    <t>Jeevan Kosh</t>
  </si>
  <si>
    <t>HEALTH TIPS Medical knowledge</t>
  </si>
  <si>
    <t>Exam Prep</t>
  </si>
  <si>
    <t>The Knowledge Race</t>
  </si>
  <si>
    <t>WatchMojo.com</t>
  </si>
  <si>
    <t>AB Mbbs</t>
  </si>
  <si>
    <t>PSM Made Simple</t>
  </si>
  <si>
    <t>ICU Nurse</t>
  </si>
  <si>
    <t>Kcl Tutorials</t>
  </si>
  <si>
    <t>Genentech</t>
  </si>
  <si>
    <t>Lyrical Lemonade</t>
  </si>
  <si>
    <t>LSHTM</t>
  </si>
  <si>
    <t>GK &amp; Nursing Exam</t>
  </si>
  <si>
    <t>FirstCry Parenting</t>
  </si>
  <si>
    <t>Dr. Najeeb Lectures</t>
  </si>
  <si>
    <t>TED</t>
  </si>
  <si>
    <t>Armando Hasudungan</t>
  </si>
  <si>
    <t>BYJU'S</t>
  </si>
  <si>
    <t>Teva Pharmaceutical Industries Ltd.</t>
  </si>
  <si>
    <t>MyScienceAcademy</t>
  </si>
  <si>
    <t>Rashid medical tips</t>
  </si>
  <si>
    <t>icsp94</t>
  </si>
  <si>
    <t>Ahmad Roshan</t>
  </si>
  <si>
    <t>ALL YOU NEED TO KNOW</t>
  </si>
  <si>
    <t>LATTER DAY MUSIC</t>
  </si>
  <si>
    <t>Unacademy NEET</t>
  </si>
  <si>
    <t>Grade booster</t>
  </si>
  <si>
    <t>VEDANTU NEET MADE EJEE</t>
  </si>
  <si>
    <t>pOwer Of knOwledge</t>
  </si>
  <si>
    <t>Food Safety and Standards Authority of India</t>
  </si>
  <si>
    <t>Testpaperlive 2.0</t>
  </si>
  <si>
    <t>CNBC Awaaz</t>
  </si>
  <si>
    <t>Study IQ education</t>
  </si>
  <si>
    <t>MD CRACK</t>
  </si>
  <si>
    <t>Pharmacy Infoline</t>
  </si>
  <si>
    <t>York Cardiology</t>
  </si>
  <si>
    <t>Albert Einstein College of Medicine</t>
  </si>
  <si>
    <t>CBSE</t>
  </si>
  <si>
    <t>LDS Hymns Channel</t>
  </si>
  <si>
    <t>Vijay Sharma</t>
  </si>
  <si>
    <t>THE HEALTH TALK</t>
  </si>
  <si>
    <t>Rithvik Kesani</t>
  </si>
  <si>
    <t>PHARMAROCKS THE WAY OF SUCCESS</t>
  </si>
  <si>
    <t>Let's Crack UPSC CSE Hindi</t>
  </si>
  <si>
    <t>Metro College of Nursing</t>
  </si>
  <si>
    <t>emmatheteachie</t>
  </si>
  <si>
    <t>Dr Neha Taneja's Community Medicine</t>
  </si>
  <si>
    <t>Let's Learn Public Health</t>
  </si>
  <si>
    <t>CARPHACampus</t>
  </si>
  <si>
    <t>YaleUniversity</t>
  </si>
  <si>
    <t>Global Health with Greg Martin</t>
  </si>
  <si>
    <t>National Institute for Communicable Diseases</t>
  </si>
  <si>
    <t>Dr Sandro Demaio</t>
  </si>
  <si>
    <t>WHO Eastern Mediterranean Region</t>
  </si>
  <si>
    <t>University of Auckland</t>
  </si>
  <si>
    <t>PAHO TV</t>
  </si>
  <si>
    <t>Raffy Tulfo in Action</t>
  </si>
  <si>
    <t>Let's Crack NEET UG</t>
  </si>
  <si>
    <t>Mary Grace Lastra</t>
  </si>
  <si>
    <t>Kaomi Tutoriales</t>
  </si>
  <si>
    <t>Quotes &amp; Slogans</t>
  </si>
  <si>
    <t>SuccessCDs Education</t>
  </si>
  <si>
    <t>The Gravel Institute</t>
  </si>
  <si>
    <t>Tatan Wonka</t>
  </si>
  <si>
    <t>Jsmith Gaming</t>
  </si>
  <si>
    <t>Gerald Cabading</t>
  </si>
  <si>
    <t>Time Music</t>
  </si>
  <si>
    <t>Voizdev</t>
  </si>
  <si>
    <t>Leonardo Abella</t>
  </si>
  <si>
    <t>Guidely - Bank &amp; Insurance</t>
  </si>
  <si>
    <t>KBS WORLD TV</t>
  </si>
  <si>
    <t>arlene valenzuela</t>
  </si>
  <si>
    <t>Teacher Ruth</t>
  </si>
  <si>
    <t>SexySickleCell</t>
  </si>
  <si>
    <t>ABS-CBN Entertainment</t>
  </si>
  <si>
    <t>Community Health Officer</t>
  </si>
  <si>
    <t>Anne Q</t>
  </si>
  <si>
    <t>Abigail Ly Salvador</t>
  </si>
  <si>
    <t>Marianie R. Vargas</t>
  </si>
  <si>
    <t>Les Mills</t>
  </si>
  <si>
    <t>NCED Virtual</t>
  </si>
  <si>
    <t>La Filipina NHS Salida TV</t>
  </si>
  <si>
    <t>Marilou Sixson</t>
  </si>
  <si>
    <t>DepEdMP TV</t>
  </si>
  <si>
    <t>หลุด • THE LEAKED</t>
  </si>
  <si>
    <t>Steven Barnes</t>
  </si>
  <si>
    <t>DeltaStep</t>
  </si>
  <si>
    <t>Your ONLINE Teacher PH</t>
  </si>
  <si>
    <t>Brian P. Mangum</t>
  </si>
  <si>
    <t>CrashCourse</t>
  </si>
  <si>
    <t>California Long-Term Care Education Center</t>
  </si>
  <si>
    <t>WISH Qatar</t>
  </si>
  <si>
    <t>Bozeman Science</t>
  </si>
  <si>
    <t>Veritasium</t>
  </si>
  <si>
    <t>Sadhguru</t>
  </si>
  <si>
    <t>UN Global Pulse</t>
  </si>
  <si>
    <t>Oryza Tri Novita</t>
  </si>
  <si>
    <t>David McKinney</t>
  </si>
  <si>
    <t>Sergiy Lesnoi</t>
  </si>
  <si>
    <t>won851</t>
  </si>
  <si>
    <t>i Widanage</t>
  </si>
  <si>
    <t>Mike Sonnenberg</t>
  </si>
  <si>
    <t>Mercola</t>
  </si>
  <si>
    <t>Nucleus Medical Media</t>
  </si>
  <si>
    <t>Council on Foreign Relations</t>
  </si>
  <si>
    <t>Pulitzer Center</t>
  </si>
  <si>
    <t>ArogyaWorld</t>
  </si>
  <si>
    <t>NPR</t>
  </si>
  <si>
    <t>Rebecca-Louise</t>
  </si>
  <si>
    <t>Population Reference Bureau</t>
  </si>
  <si>
    <t>WoodrowWilsonCenter</t>
  </si>
  <si>
    <t>An Open Letter</t>
  </si>
  <si>
    <t>Highline College</t>
  </si>
  <si>
    <t>Global Health Media Project</t>
  </si>
  <si>
    <t>MedCircle</t>
  </si>
  <si>
    <t>CampaignTB</t>
  </si>
  <si>
    <t>Los Alamos Medical Center</t>
  </si>
  <si>
    <t>The Nurse</t>
  </si>
  <si>
    <t>Rajeev Ranjan Gupta</t>
  </si>
  <si>
    <t>ShadeTV</t>
  </si>
  <si>
    <t>freeCE</t>
  </si>
  <si>
    <t>LNKTV Health</t>
  </si>
  <si>
    <t>NIH VideoCast</t>
  </si>
  <si>
    <t>Pfizer</t>
  </si>
  <si>
    <t>University of California Television (UCTV)</t>
  </si>
  <si>
    <t>PentucketMA</t>
  </si>
  <si>
    <t>ECP Video</t>
  </si>
  <si>
    <t>GIHepatologyAcademy</t>
  </si>
  <si>
    <t>Neuroscience Research Australia - NeuRA</t>
  </si>
  <si>
    <t>Global News</t>
  </si>
  <si>
    <t>TheIHMC</t>
  </si>
  <si>
    <t>Stanford</t>
  </si>
  <si>
    <t>MultiVu</t>
  </si>
  <si>
    <t>World Economic Forum</t>
  </si>
  <si>
    <t>ACRSimpleTasks</t>
  </si>
  <si>
    <t>Because Science</t>
  </si>
  <si>
    <t>tvoparents</t>
  </si>
  <si>
    <t>NCDFREEtv</t>
  </si>
  <si>
    <t>Chan Ababa</t>
  </si>
  <si>
    <t>ThePortalMedia</t>
  </si>
  <si>
    <t>marivic alburo</t>
  </si>
  <si>
    <t>Master M.A</t>
  </si>
  <si>
    <t>Innocent traveler</t>
  </si>
  <si>
    <t>wifistudy</t>
  </si>
  <si>
    <t>Asset Yogi</t>
  </si>
  <si>
    <t>PositiveSingles.com</t>
  </si>
  <si>
    <t>Aditya Kids education</t>
  </si>
  <si>
    <t>Quikr Exam- Examupdates[dot]com</t>
  </si>
  <si>
    <t>ProLearnerPH</t>
  </si>
  <si>
    <t>AllCEUs Counseling Education</t>
  </si>
  <si>
    <t>JSE Science Hub</t>
  </si>
  <si>
    <t>Nursing Study</t>
  </si>
  <si>
    <t>Science Sauce</t>
  </si>
  <si>
    <t>Periwinkle</t>
  </si>
  <si>
    <t>NCDs Champions</t>
  </si>
  <si>
    <t>RBC online by Zoya Rahman</t>
  </si>
  <si>
    <t>Immunise4Life</t>
  </si>
  <si>
    <t>Cognito</t>
  </si>
  <si>
    <t>Dirty Medicine</t>
  </si>
  <si>
    <t>Ninja Nerd Lectures</t>
  </si>
  <si>
    <t>Goyal Brothers Prakashan</t>
  </si>
  <si>
    <t>MedCram - Medical Lectures Explained CLEARLY</t>
  </si>
  <si>
    <t>Amoeba Sisters</t>
  </si>
  <si>
    <t>LDS 365</t>
  </si>
  <si>
    <t>LearningMole</t>
  </si>
  <si>
    <t>EU CHRODISplus</t>
  </si>
  <si>
    <t>macrophage</t>
  </si>
  <si>
    <t>Freesciencelessons</t>
  </si>
  <si>
    <t>Volney Morgan And New-Ye</t>
  </si>
  <si>
    <t>Healthy Lifestyle Community</t>
  </si>
  <si>
    <t>nature video</t>
  </si>
  <si>
    <t>Project Better Self</t>
  </si>
  <si>
    <t>Don't Memorise</t>
  </si>
  <si>
    <t>Women Deliver</t>
  </si>
  <si>
    <t>Doctors' Circle - Know Your Doctor</t>
  </si>
  <si>
    <t>2021-01-22T11:09:34Z</t>
  </si>
  <si>
    <t>2018-10-01T10:51:47Z</t>
  </si>
  <si>
    <t>2018-04-30T12:11:24Z</t>
  </si>
  <si>
    <t>2016-11-04T15:40:02Z</t>
  </si>
  <si>
    <t>2021-02-05T11:03:57Z</t>
  </si>
  <si>
    <t>2018-03-19T08:47:57Z</t>
  </si>
  <si>
    <t>2020-04-09T05:00:11Z</t>
  </si>
  <si>
    <t>2020-06-07T02:23:40Z</t>
  </si>
  <si>
    <t>2017-03-03T12:53:28Z</t>
  </si>
  <si>
    <t>2020-06-04T09:26:02Z</t>
  </si>
  <si>
    <t>2020-05-19T14:32:06Z</t>
  </si>
  <si>
    <t>2020-03-26T03:50:39Z</t>
  </si>
  <si>
    <t>2020-12-07T11:52:30Z</t>
  </si>
  <si>
    <t>2019-09-25T09:51:37Z</t>
  </si>
  <si>
    <t>2017-04-14T06:28:59Z</t>
  </si>
  <si>
    <t>2020-11-29T03:37:41Z</t>
  </si>
  <si>
    <t>2020-04-09T09:49:07Z</t>
  </si>
  <si>
    <t>2021-01-08T10:55:56Z</t>
  </si>
  <si>
    <t>2019-06-13T10:18:53Z</t>
  </si>
  <si>
    <t>2021-01-08T10:55:52Z</t>
  </si>
  <si>
    <t>2020-12-14T08:42:12Z</t>
  </si>
  <si>
    <t>2021-01-22T05:20:36Z</t>
  </si>
  <si>
    <t>2020-12-09T09:51:36Z</t>
  </si>
  <si>
    <t>2013-11-20T17:40:29Z</t>
  </si>
  <si>
    <t>2020-11-03T15:44:01Z</t>
  </si>
  <si>
    <t>2015-06-23T18:21:35Z</t>
  </si>
  <si>
    <t>2014-08-13T12:00:03Z</t>
  </si>
  <si>
    <t>2020-01-15T10:18:31Z</t>
  </si>
  <si>
    <t>2016-01-19T18:21:38Z</t>
  </si>
  <si>
    <t>2020-09-13T14:15:01Z</t>
  </si>
  <si>
    <t>2021-01-13T11:00:30Z</t>
  </si>
  <si>
    <t>2018-11-05T02:30:05Z</t>
  </si>
  <si>
    <t>2020-10-06T14:00:12Z</t>
  </si>
  <si>
    <t>2017-10-18T13:51:58Z</t>
  </si>
  <si>
    <t>2021-04-13T11:30:16Z</t>
  </si>
  <si>
    <t>2021-07-02T13:40:18Z</t>
  </si>
  <si>
    <t>2016-12-15T06:17:18Z</t>
  </si>
  <si>
    <t>2018-08-05T14:00:04Z</t>
  </si>
  <si>
    <t>2020-12-26T15:30:02Z</t>
  </si>
  <si>
    <t>2018-03-25T16:27:54Z</t>
  </si>
  <si>
    <t>2020-04-09T12:50:17Z</t>
  </si>
  <si>
    <t>2017-08-30T00:49:23Z</t>
  </si>
  <si>
    <t>2021-01-15T05:21:08Z</t>
  </si>
  <si>
    <t>2020-04-16T15:42:25Z</t>
  </si>
  <si>
    <t>2021-04-01T16:30:14Z</t>
  </si>
  <si>
    <t>2021-04-04T15:00:15Z</t>
  </si>
  <si>
    <t>2021-03-13T01:45:18Z</t>
  </si>
  <si>
    <t>2021-01-18T12:30:03Z</t>
  </si>
  <si>
    <t>2020-09-27T03:01:25Z</t>
  </si>
  <si>
    <t>2017-07-24T18:21:51Z</t>
  </si>
  <si>
    <t>2018-07-25T19:30:01Z</t>
  </si>
  <si>
    <t>2020-12-08T17:00:33Z</t>
  </si>
  <si>
    <t>2018-02-11T21:02:05Z</t>
  </si>
  <si>
    <t>2019-12-16T02:45:02Z</t>
  </si>
  <si>
    <t>2021-07-09T13:08:56Z</t>
  </si>
  <si>
    <t>2019-11-30T09:45:25Z</t>
  </si>
  <si>
    <t>2018-04-18T19:42:07Z</t>
  </si>
  <si>
    <t>2020-06-11T13:09:35Z</t>
  </si>
  <si>
    <t>2021-05-01T12:30:24Z</t>
  </si>
  <si>
    <t>2018-03-08T18:40:01Z</t>
  </si>
  <si>
    <t>2020-08-03T02:30:15Z</t>
  </si>
  <si>
    <t>2021-05-10T12:42:21Z</t>
  </si>
  <si>
    <t>2020-10-05T13:00:13Z</t>
  </si>
  <si>
    <t>2020-05-04T00:25:05Z</t>
  </si>
  <si>
    <t>2020-11-13T13:13:01Z</t>
  </si>
  <si>
    <t>2019-04-03T17:05:57Z</t>
  </si>
  <si>
    <t>2019-06-13T17:47:16Z</t>
  </si>
  <si>
    <t>2021-03-28T09:28:30Z</t>
  </si>
  <si>
    <t>2021-04-14T20:13:39Z</t>
  </si>
  <si>
    <t>2020-08-05T13:59:35Z</t>
  </si>
  <si>
    <t>2018-05-24T15:22:02Z</t>
  </si>
  <si>
    <t>2014-10-22T20:40:31Z</t>
  </si>
  <si>
    <t>2020-07-14T16:24:13Z</t>
  </si>
  <si>
    <t>2016-09-13T08:40:58Z</t>
  </si>
  <si>
    <t>2016-03-29T15:10:06Z</t>
  </si>
  <si>
    <t>2015-07-28T18:55:21Z</t>
  </si>
  <si>
    <t>2017-01-12T21:01:50Z</t>
  </si>
  <si>
    <t>2019-07-07T06:33:15Z</t>
  </si>
  <si>
    <t>2021-05-15T06:30:04Z</t>
  </si>
  <si>
    <t>2020-01-24T17:55:05Z</t>
  </si>
  <si>
    <t>2019-11-23T08:13:58Z</t>
  </si>
  <si>
    <t>2016-01-27T23:42:45Z</t>
  </si>
  <si>
    <t>2017-12-09T17:00:04Z</t>
  </si>
  <si>
    <t>2021-04-08T05:15:15Z</t>
  </si>
  <si>
    <t>2020-07-30T05:25:23Z</t>
  </si>
  <si>
    <t>2018-07-09T22:08:37Z</t>
  </si>
  <si>
    <t>2021-04-07T06:45:15Z</t>
  </si>
  <si>
    <t>2019-09-28T08:39:18Z</t>
  </si>
  <si>
    <t>2019-11-21T11:19:26Z</t>
  </si>
  <si>
    <t>2021-04-24T07:30:17Z</t>
  </si>
  <si>
    <t>2021-02-08T18:41:25Z</t>
  </si>
  <si>
    <t>2021-02-09T20:25:33Z</t>
  </si>
  <si>
    <t>2020-06-16T02:01:27Z</t>
  </si>
  <si>
    <t>2020-11-05T12:42:50Z</t>
  </si>
  <si>
    <t>2020-08-19T00:54:45Z</t>
  </si>
  <si>
    <t>2019-06-01T18:14:13Z</t>
  </si>
  <si>
    <t>2021-06-01T04:30:15Z</t>
  </si>
  <si>
    <t>2019-11-27T09:26:48Z</t>
  </si>
  <si>
    <t>2019-08-31T11:52:37Z</t>
  </si>
  <si>
    <t>2020-11-05T04:45:19Z</t>
  </si>
  <si>
    <t>2019-11-24T08:32:17Z</t>
  </si>
  <si>
    <t>2021-02-22T19:34:46Z</t>
  </si>
  <si>
    <t>2018-11-20T07:30:01Z</t>
  </si>
  <si>
    <t>2021-02-19T13:17:29Z</t>
  </si>
  <si>
    <t>2014-01-17T15:00:23Z</t>
  </si>
  <si>
    <t>2021-03-02T12:03:19Z</t>
  </si>
  <si>
    <t>2017-11-03T20:21:20Z</t>
  </si>
  <si>
    <t>2018-07-20T08:52:21Z</t>
  </si>
  <si>
    <t>2019-06-21T08:14:54Z</t>
  </si>
  <si>
    <t>2021-05-09T13:09:06Z</t>
  </si>
  <si>
    <t>2020-04-11T10:02:03Z</t>
  </si>
  <si>
    <t>2016-11-04T17:30:58Z</t>
  </si>
  <si>
    <t>2018-02-26T04:33:17Z</t>
  </si>
  <si>
    <t>2018-03-12T11:35:34Z</t>
  </si>
  <si>
    <t>2020-12-01T11:39:38Z</t>
  </si>
  <si>
    <t>2021-03-01T10:26:51Z</t>
  </si>
  <si>
    <t>2015-05-12T03:12:30Z</t>
  </si>
  <si>
    <t>2015-05-12T02:56:04Z</t>
  </si>
  <si>
    <t>2019-09-23T13:30:05Z</t>
  </si>
  <si>
    <t>2018-12-06T12:11:31Z</t>
  </si>
  <si>
    <t>2017-05-19T16:25:18Z</t>
  </si>
  <si>
    <t>2016-02-29T10:20:33Z</t>
  </si>
  <si>
    <t>2019-09-19T12:30:52Z</t>
  </si>
  <si>
    <t>2018-12-12T22:40:28Z</t>
  </si>
  <si>
    <t>2021-06-30T11:27:59Z</t>
  </si>
  <si>
    <t>2020-06-24T08:51:35Z</t>
  </si>
  <si>
    <t>2020-05-16T03:12:26Z</t>
  </si>
  <si>
    <t>2012-08-04T06:24:06Z</t>
  </si>
  <si>
    <t>2014-09-29T18:14:11Z</t>
  </si>
  <si>
    <t>2020-12-23T11:46:37Z</t>
  </si>
  <si>
    <t>2021-06-08T15:15:31Z</t>
  </si>
  <si>
    <t>2021-06-13T09:16:28Z</t>
  </si>
  <si>
    <t>2020-03-09T22:36:49Z</t>
  </si>
  <si>
    <t>2019-12-08T10:30:12Z</t>
  </si>
  <si>
    <t>2018-12-31T12:57:34Z</t>
  </si>
  <si>
    <t>2019-12-28T05:30:11Z</t>
  </si>
  <si>
    <t>2020-04-07T15:00:08Z</t>
  </si>
  <si>
    <t>2019-06-06T12:00:43Z</t>
  </si>
  <si>
    <t>2019-11-29T07:30:03Z</t>
  </si>
  <si>
    <t>2018-05-21T14:22:05Z</t>
  </si>
  <si>
    <t>2017-11-03T16:20:37Z</t>
  </si>
  <si>
    <t>2021-02-06T12:00:14Z</t>
  </si>
  <si>
    <t>2020-06-17T12:37:50Z</t>
  </si>
  <si>
    <t>2021-05-20T18:17:59Z</t>
  </si>
  <si>
    <t>2021-05-27T09:00:45Z</t>
  </si>
  <si>
    <t>2021-04-03T02:00:17Z</t>
  </si>
  <si>
    <t>2017-12-09T06:32:22Z</t>
  </si>
  <si>
    <t>2015-07-20T21:39:02Z</t>
  </si>
  <si>
    <t>2011-09-26T19:13:13Z</t>
  </si>
  <si>
    <t>2015-12-18T13:37:06Z</t>
  </si>
  <si>
    <t>2020-05-03T08:45:39Z</t>
  </si>
  <si>
    <t>2019-03-13T14:16:32Z</t>
  </si>
  <si>
    <t>2018-11-17T23:11:44Z</t>
  </si>
  <si>
    <t>2020-06-12T09:32:05Z</t>
  </si>
  <si>
    <t>2016-05-14T11:07:46Z</t>
  </si>
  <si>
    <t>2019-05-11T08:01:58Z</t>
  </si>
  <si>
    <t>2016-10-16T18:36:05Z</t>
  </si>
  <si>
    <t>2019-09-13T06:53:48Z</t>
  </si>
  <si>
    <t>2019-11-28T17:25:35Z</t>
  </si>
  <si>
    <t>2020-04-20T08:56:52Z</t>
  </si>
  <si>
    <t>2016-12-01T22:42:59Z</t>
  </si>
  <si>
    <t>2017-04-24T19:28:47Z</t>
  </si>
  <si>
    <t>2019-10-27T12:33:22Z</t>
  </si>
  <si>
    <t>2016-12-06T22:47:10Z</t>
  </si>
  <si>
    <t>2019-07-24T03:04:54Z</t>
  </si>
  <si>
    <t>2017-02-26T09:44:22Z</t>
  </si>
  <si>
    <t>2014-07-09T16:17:55Z</t>
  </si>
  <si>
    <t>2013-07-09T13:52:39Z</t>
  </si>
  <si>
    <t>2015-02-18T19:40:50Z</t>
  </si>
  <si>
    <t>2019-02-01T09:15:19Z</t>
  </si>
  <si>
    <t>2014-05-09T16:37:10Z</t>
  </si>
  <si>
    <t>2016-06-10T11:27:14Z</t>
  </si>
  <si>
    <t>2015-05-28T13:54:40Z</t>
  </si>
  <si>
    <t>2012-10-04T01:48:31Z</t>
  </si>
  <si>
    <t>2014-07-11T09:23:17Z</t>
  </si>
  <si>
    <t>2015-06-12T04:50:48Z</t>
  </si>
  <si>
    <t>2017-09-07T04:38:02Z</t>
  </si>
  <si>
    <t>2016-05-31T16:10:11Z</t>
  </si>
  <si>
    <t>2017-04-11T17:45:32Z</t>
  </si>
  <si>
    <t>2020-05-08T08:37:45Z</t>
  </si>
  <si>
    <t>2021-06-16T16:41:17Z</t>
  </si>
  <si>
    <t>2020-05-28T14:30:10Z</t>
  </si>
  <si>
    <t>2021-02-13T23:46:58Z</t>
  </si>
  <si>
    <t>2020-03-20T17:19:04Z</t>
  </si>
  <si>
    <t>2019-02-07T16:06:10Z</t>
  </si>
  <si>
    <t>2017-12-22T10:19:20Z</t>
  </si>
  <si>
    <t>2021-03-12T18:02:26Z</t>
  </si>
  <si>
    <t>2017-10-16T11:00:03Z</t>
  </si>
  <si>
    <t>2012-03-14T21:34:48Z</t>
  </si>
  <si>
    <t>2021-02-11T08:42:30Z</t>
  </si>
  <si>
    <t>2020-11-08T09:31:24Z</t>
  </si>
  <si>
    <t>2021-02-11T01:18:18Z</t>
  </si>
  <si>
    <t>2019-09-28T22:49:18Z</t>
  </si>
  <si>
    <t>2020-09-08T01:17:39Z</t>
  </si>
  <si>
    <t>2020-08-14T10:11:42Z</t>
  </si>
  <si>
    <t>2015-09-21T04:00:00Z</t>
  </si>
  <si>
    <t>2021-02-23T15:13:53Z</t>
  </si>
  <si>
    <t>2021-04-13T05:48:38Z</t>
  </si>
  <si>
    <t>2021-03-06T03:14:08Z</t>
  </si>
  <si>
    <t>2021-05-27T13:28:07Z</t>
  </si>
  <si>
    <t>2019-02-13T16:42:14Z</t>
  </si>
  <si>
    <t>2021-03-10T02:37:30Z</t>
  </si>
  <si>
    <t>2020-03-02T14:29:32Z</t>
  </si>
  <si>
    <t>2021-01-18T07:00:25Z</t>
  </si>
  <si>
    <t>2020-10-12T04:54:06Z</t>
  </si>
  <si>
    <t>2020-07-14T05:31:49Z</t>
  </si>
  <si>
    <t>2021-02-16T17:27:58Z</t>
  </si>
  <si>
    <t>2019-11-03T20:06:52Z</t>
  </si>
  <si>
    <t>2017-09-13T10:10:34Z</t>
  </si>
  <si>
    <t>2021-02-25T07:30:12Z</t>
  </si>
  <si>
    <t>2021-05-24T04:28:38Z</t>
  </si>
  <si>
    <t>2021-06-14T12:41:55Z</t>
  </si>
  <si>
    <t>2020-12-04T12:01:34Z</t>
  </si>
  <si>
    <t>2016-01-11T13:32:08Z</t>
  </si>
  <si>
    <t>2017-08-23T09:22:38Z</t>
  </si>
  <si>
    <t>2018-04-26T09:04:35Z</t>
  </si>
  <si>
    <t>2021-01-03T15:26:42Z</t>
  </si>
  <si>
    <t>2020-06-14T11:06:19Z</t>
  </si>
  <si>
    <t>2016-02-11T20:29:06Z</t>
  </si>
  <si>
    <t>2015-05-05T00:36:22Z</t>
  </si>
  <si>
    <t>2015-09-04T22:25:29Z</t>
  </si>
  <si>
    <t>2021-01-28T22:54:15Z</t>
  </si>
  <si>
    <t>2013-06-09T09:41:53Z</t>
  </si>
  <si>
    <t>2016-11-12T07:41:23Z</t>
  </si>
  <si>
    <t>2019-05-30T07:56:13Z</t>
  </si>
  <si>
    <t>2014-04-12T11:00:00Z</t>
  </si>
  <si>
    <t>2015-10-28T15:52:13Z</t>
  </si>
  <si>
    <t>2015-06-26T18:28:12Z</t>
  </si>
  <si>
    <t>2014-12-01T15:30:03Z</t>
  </si>
  <si>
    <t>2012-12-04T23:46:44Z</t>
  </si>
  <si>
    <t>2015-05-15T17:57:23Z</t>
  </si>
  <si>
    <t>2019-11-30T15:25:41Z</t>
  </si>
  <si>
    <t>2018-12-11T11:22:31Z</t>
  </si>
  <si>
    <t>2020-10-23T03:50:35Z</t>
  </si>
  <si>
    <t>2012-09-24T22:44:26Z</t>
  </si>
  <si>
    <t>2018-04-14T11:56:45Z</t>
  </si>
  <si>
    <t>2021-04-12T08:24:22Z</t>
  </si>
  <si>
    <t>2012-07-02T17:00:31Z</t>
  </si>
  <si>
    <t>2015-12-13T08:52:38Z</t>
  </si>
  <si>
    <t>2013-10-15T04:07:17Z</t>
  </si>
  <si>
    <t>2020-02-07T21:13:51Z</t>
  </si>
  <si>
    <t>2021-05-06T01:43:25Z</t>
  </si>
  <si>
    <t>2020-02-24T21:38:28Z</t>
  </si>
  <si>
    <t>2020-09-14T13:42:48Z</t>
  </si>
  <si>
    <t>2020-11-05T07:26:58Z</t>
  </si>
  <si>
    <t>2010-11-19T20:44:02Z</t>
  </si>
  <si>
    <t>2021-07-09T04:10:46Z</t>
  </si>
  <si>
    <t>2008-05-20T12:10:08Z</t>
  </si>
  <si>
    <t>2020-11-30T06:25:48Z</t>
  </si>
  <si>
    <t>2013-01-04T21:28:05Z</t>
  </si>
  <si>
    <t>2017-07-11T09:03:37Z</t>
  </si>
  <si>
    <t>2012-09-11T14:21:06Z</t>
  </si>
  <si>
    <t>2014-01-06T16:26:07Z</t>
  </si>
  <si>
    <t>2012-09-04T15:06:37Z</t>
  </si>
  <si>
    <t>2009-10-23T18:19:33Z</t>
  </si>
  <si>
    <t>2017-10-08T19:00:19Z</t>
  </si>
  <si>
    <t>2012-07-18T20:53:12Z</t>
  </si>
  <si>
    <t>2013-05-01T15:28:18Z</t>
  </si>
  <si>
    <t>2011-07-26T20:38:46Z</t>
  </si>
  <si>
    <t>2019-11-06T19:16:59Z</t>
  </si>
  <si>
    <t>2021-06-30T21:23:41Z</t>
  </si>
  <si>
    <t>2021-06-30T21:32:48Z</t>
  </si>
  <si>
    <t>2021-06-30T21:36:28Z</t>
  </si>
  <si>
    <t>2021-04-09T04:00:46Z</t>
  </si>
  <si>
    <t>2021-07-06T19:48:26Z</t>
  </si>
  <si>
    <t>2016-01-26T23:29:26Z</t>
  </si>
  <si>
    <t>2017-12-03T11:30:00Z</t>
  </si>
  <si>
    <t>2011-12-10T22:17:42Z</t>
  </si>
  <si>
    <t>2018-08-19T20:30:50Z</t>
  </si>
  <si>
    <t>2021-07-08T18:54:21Z</t>
  </si>
  <si>
    <t>2021-07-06T17:43:23Z</t>
  </si>
  <si>
    <t>2011-05-01T14:35:07Z</t>
  </si>
  <si>
    <t>2021-07-06T17:17:08Z</t>
  </si>
  <si>
    <t>2021-07-06T15:29:00Z</t>
  </si>
  <si>
    <t>2021-07-01T13:29:38Z</t>
  </si>
  <si>
    <t>2013-01-18T22:33:04Z</t>
  </si>
  <si>
    <t>2021-07-02T19:23:52Z</t>
  </si>
  <si>
    <t>2014-11-10T22:53:18Z</t>
  </si>
  <si>
    <t>2019-01-31T04:27:42Z</t>
  </si>
  <si>
    <t>2017-10-14T21:06:42Z</t>
  </si>
  <si>
    <t>2013-10-08T11:13:34Z</t>
  </si>
  <si>
    <t>2020-08-04T01:30:02Z</t>
  </si>
  <si>
    <t>2021-07-01T21:42:42Z</t>
  </si>
  <si>
    <t>2021-07-08T16:46:47Z</t>
  </si>
  <si>
    <t>2014-07-22T14:02:16Z</t>
  </si>
  <si>
    <t>2019-05-05T18:58:16Z</t>
  </si>
  <si>
    <t>2013-01-11T17:47:48Z</t>
  </si>
  <si>
    <t>2012-04-23T15:21:02Z</t>
  </si>
  <si>
    <t>2014-04-04T20:18:47Z</t>
  </si>
  <si>
    <t>2021-06-30T21:14:18Z</t>
  </si>
  <si>
    <t>2011-11-01T21:31:02Z</t>
  </si>
  <si>
    <t>2021-07-02T13:15:43Z</t>
  </si>
  <si>
    <t>2012-12-20T18:01:52Z</t>
  </si>
  <si>
    <t>2012-03-12T22:11:18Z</t>
  </si>
  <si>
    <t>2021-06-30T21:08:21Z</t>
  </si>
  <si>
    <t>2009-11-06T10:02:06Z</t>
  </si>
  <si>
    <t>2015-04-24T15:03:34Z</t>
  </si>
  <si>
    <t>2013-05-23T18:39:58Z</t>
  </si>
  <si>
    <t>2012-11-12T08:02:42Z</t>
  </si>
  <si>
    <t>2019-02-07T11:00:00Z</t>
  </si>
  <si>
    <t>2008-02-29T20:32:24Z</t>
  </si>
  <si>
    <t>2017-02-13T17:31:21Z</t>
  </si>
  <si>
    <t>2010-07-16T04:52:05Z</t>
  </si>
  <si>
    <t>2014-12-09T23:36:50Z</t>
  </si>
  <si>
    <t>2019-02-09T18:19:30Z</t>
  </si>
  <si>
    <t>2013-01-14T15:37:13Z</t>
  </si>
  <si>
    <t>2019-08-01T15:00:13Z</t>
  </si>
  <si>
    <t>2013-04-30T13:59:28Z</t>
  </si>
  <si>
    <t>2014-08-25T18:28:39Z</t>
  </si>
  <si>
    <t>2012-05-09T16:54:35Z</t>
  </si>
  <si>
    <t>2014-02-07T04:15:28Z</t>
  </si>
  <si>
    <t>2021-07-02T11:01:07Z</t>
  </si>
  <si>
    <t>2021-05-09T05:30:12Z</t>
  </si>
  <si>
    <t>2021-04-30T23:00:26Z</t>
  </si>
  <si>
    <t>2018-01-05T04:30:15Z</t>
  </si>
  <si>
    <t>2016-12-02T11:15:53Z</t>
  </si>
  <si>
    <t>2021-04-10T13:30:17Z</t>
  </si>
  <si>
    <t>2021-04-28T10:00:23Z</t>
  </si>
  <si>
    <t>2018-08-24T15:54:35Z</t>
  </si>
  <si>
    <t>2021-05-05T10:00:15Z</t>
  </si>
  <si>
    <t>2021-04-03T15:00:17Z</t>
  </si>
  <si>
    <t>2017-01-03T23:06:03Z</t>
  </si>
  <si>
    <t>2021-05-21T07:09:12Z</t>
  </si>
  <si>
    <t>2020-11-06T13:02:10Z</t>
  </si>
  <si>
    <t>2020-11-22T05:21:11Z</t>
  </si>
  <si>
    <t>2018-11-03T13:30:01Z</t>
  </si>
  <si>
    <t>2020-12-11T05:01:25Z</t>
  </si>
  <si>
    <t>2020-11-04T01:48:49Z</t>
  </si>
  <si>
    <t>2015-04-02T08:10:57Z</t>
  </si>
  <si>
    <t>2021-07-07T16:27:47Z</t>
  </si>
  <si>
    <t>2020-04-03T01:58:37Z</t>
  </si>
  <si>
    <t>2020-08-05T06:06:49Z</t>
  </si>
  <si>
    <t>2020-08-08T07:53:57Z</t>
  </si>
  <si>
    <t>2019-10-13T16:41:53Z</t>
  </si>
  <si>
    <t>2016-10-17T19:47:23Z</t>
  </si>
  <si>
    <t>2021-06-05T00:14:18Z</t>
  </si>
  <si>
    <t>2021-07-01T16:42:57Z</t>
  </si>
  <si>
    <t>2018-02-16T20:21:32Z</t>
  </si>
  <si>
    <t>2020-07-29T06:01:22Z</t>
  </si>
  <si>
    <t>2021-06-06T08:00:12Z</t>
  </si>
  <si>
    <t>2021-07-01T15:49:35Z</t>
  </si>
  <si>
    <t>2020-09-08T04:01:19Z</t>
  </si>
  <si>
    <t>2017-03-07T05:47:45Z</t>
  </si>
  <si>
    <t>2020-11-30T11:35:09Z</t>
  </si>
  <si>
    <t>2020-04-16T14:46:29Z</t>
  </si>
  <si>
    <t>2016-03-10T20:59:54Z</t>
  </si>
  <si>
    <t>2021-01-13T16:56:45Z</t>
  </si>
  <si>
    <t>2020-06-02T04:30:14Z</t>
  </si>
  <si>
    <t>2020-03-25T03:47:59Z</t>
  </si>
  <si>
    <t>2021-01-27T18:02:11Z</t>
  </si>
  <si>
    <t>2018-12-05T09:25:39Z</t>
  </si>
  <si>
    <t>2016-12-06T22:20:52Z</t>
  </si>
  <si>
    <t>2021-01-06T17:18:25Z</t>
  </si>
  <si>
    <t>2016-07-06T18:10:19Z</t>
  </si>
  <si>
    <t>2018-11-30T13:03:57Z</t>
  </si>
  <si>
    <t>2017-11-03T13:53:55Z</t>
  </si>
  <si>
    <t>2021-03-15T14:00:15Z</t>
  </si>
  <si>
    <t>2016-07-23T09:27:09Z</t>
  </si>
  <si>
    <t>2012-09-13T06:13:24Z</t>
  </si>
  <si>
    <t>2013-04-17T15:58:16Z</t>
  </si>
  <si>
    <t>2017-07-11T17:48:40Z</t>
  </si>
  <si>
    <t>2019-06-14T15:58:00Z</t>
  </si>
  <si>
    <t>2020-04-13T23:09:39Z</t>
  </si>
  <si>
    <t>2018-11-26T13:08:31Z</t>
  </si>
  <si>
    <t>2015-09-02T11:14:26Z</t>
  </si>
  <si>
    <t>2017-05-11T15:01:09Z</t>
  </si>
  <si>
    <t>2017-02-03T04:04:31Z</t>
  </si>
  <si>
    <t>2017-09-17T17:04:29Z</t>
  </si>
  <si>
    <t>2021-04-01T23:00:19Z</t>
  </si>
  <si>
    <t>2017-06-25T09:22:14Z</t>
  </si>
  <si>
    <t>2014-09-22T09:08:24Z</t>
  </si>
  <si>
    <t>2017-02-26T09:43:47Z</t>
  </si>
  <si>
    <t>2016-06-27T19:33:17Z</t>
  </si>
  <si>
    <t>2017-01-03T10:56:04Z</t>
  </si>
  <si>
    <t>2019-04-14T16:59:44Z</t>
  </si>
  <si>
    <t>2020-04-13T11:30:01Z</t>
  </si>
  <si>
    <t>2015-10-22T15:09:39Z</t>
  </si>
  <si>
    <t>2016-07-06T20:58:03Z</t>
  </si>
  <si>
    <t>2020-07-08T20:27:53Z</t>
  </si>
  <si>
    <t>2020-05-22T14:05:34Z</t>
  </si>
  <si>
    <t>2020-04-09T16:52:14Z</t>
  </si>
  <si>
    <t>2020-07-08T20:28:54Z</t>
  </si>
  <si>
    <t>2020-08-10T11:45:01Z</t>
  </si>
  <si>
    <t>2020-07-08T20:26:44Z</t>
  </si>
  <si>
    <t>2020-04-03T19:38:43Z</t>
  </si>
  <si>
    <t>2019-07-11T21:11:34Z</t>
  </si>
  <si>
    <t>2020-10-15T13:47:24Z</t>
  </si>
  <si>
    <t>2019-07-09T22:53:37Z</t>
  </si>
  <si>
    <t>2020-04-17T17:44:36Z</t>
  </si>
  <si>
    <t>2019-07-11T14:59:11Z</t>
  </si>
  <si>
    <t>2021-03-11T17:45:36Z</t>
  </si>
  <si>
    <t>2019-07-11T14:59:16Z</t>
  </si>
  <si>
    <t>2019-07-09T22:53:45Z</t>
  </si>
  <si>
    <t>2019-09-09T14:24:44Z</t>
  </si>
  <si>
    <t>2018-12-04T09:11:26Z</t>
  </si>
  <si>
    <t>2019-07-09T22:54:02Z</t>
  </si>
  <si>
    <t>2021-05-10T21:27:28Z</t>
  </si>
  <si>
    <t>2020-08-17T20:53:49Z</t>
  </si>
  <si>
    <t>2019-07-11T14:59:21Z</t>
  </si>
  <si>
    <t>2016-07-06T21:17:49Z</t>
  </si>
  <si>
    <t>2020-08-11T08:00:13Z</t>
  </si>
  <si>
    <t>Play Video in Browser</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</si>
  <si>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</si>
  <si>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</si>
  <si>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</si>
  <si>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</si>
  <si>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</si>
  <si>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</si>
  <si>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</si>
  <si>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</si>
  <si>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</si>
  <si>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</si>
  <si>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</si>
  <si>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</si>
  <si>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</si>
  <si>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</si>
  <si>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</si>
  <si>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</si>
  <si>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</si>
  <si>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</si>
  <si>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</si>
  <si>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</si>
  <si>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</si>
  <si>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</si>
  <si>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</si>
  <si>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</si>
  <si>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</si>
  <si>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</si>
  <si>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</si>
  <si>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</si>
  <si>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</si>
  <si>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</si>
  <si>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communicable</t>
  </si>
  <si>
    <t>disease</t>
  </si>
  <si>
    <t>health</t>
  </si>
  <si>
    <t>diseases</t>
  </si>
  <si>
    <t>nursing</t>
  </si>
  <si>
    <t>jkssb</t>
  </si>
  <si>
    <t>science</t>
  </si>
  <si>
    <t>hindi</t>
  </si>
  <si>
    <t>medical</t>
  </si>
  <si>
    <t>biology</t>
  </si>
  <si>
    <t>question</t>
  </si>
  <si>
    <t>classes</t>
  </si>
  <si>
    <t>cancer</t>
  </si>
  <si>
    <t>online</t>
  </si>
  <si>
    <t>human</t>
  </si>
  <si>
    <t>paper</t>
  </si>
  <si>
    <t>exam</t>
  </si>
  <si>
    <t>class</t>
  </si>
  <si>
    <t>aiims</t>
  </si>
  <si>
    <t>community</t>
  </si>
  <si>
    <t>care</t>
  </si>
  <si>
    <t>medicine</t>
  </si>
  <si>
    <t>rrb</t>
  </si>
  <si>
    <t>solved</t>
  </si>
  <si>
    <t>foreign</t>
  </si>
  <si>
    <t>2020</t>
  </si>
  <si>
    <t>affairs</t>
  </si>
  <si>
    <t>festival</t>
  </si>
  <si>
    <t>cho</t>
  </si>
  <si>
    <t>assistant</t>
  </si>
  <si>
    <t>ntpc</t>
  </si>
  <si>
    <t>heart</t>
  </si>
  <si>
    <t>questions</t>
  </si>
  <si>
    <t>videos</t>
  </si>
  <si>
    <t>neet</t>
  </si>
  <si>
    <t>education</t>
  </si>
  <si>
    <t>finance</t>
  </si>
  <si>
    <t>diabetes</t>
  </si>
  <si>
    <t>music</t>
  </si>
  <si>
    <t>mcq</t>
  </si>
  <si>
    <t>account</t>
  </si>
  <si>
    <t>officer</t>
  </si>
  <si>
    <t>nurse</t>
  </si>
  <si>
    <t>coronavirus</t>
  </si>
  <si>
    <t>prevention</t>
  </si>
  <si>
    <t>obesity</t>
  </si>
  <si>
    <t>staff</t>
  </si>
  <si>
    <t>covid</t>
  </si>
  <si>
    <t>vaccine</t>
  </si>
  <si>
    <t>condition</t>
  </si>
  <si>
    <t>lecture</t>
  </si>
  <si>
    <t>kids</t>
  </si>
  <si>
    <t>international</t>
  </si>
  <si>
    <t>animation</t>
  </si>
  <si>
    <t>dr</t>
  </si>
  <si>
    <t>gcse</t>
  </si>
  <si>
    <t>tulfo</t>
  </si>
  <si>
    <t>flu</t>
  </si>
  <si>
    <t>symptoms</t>
  </si>
  <si>
    <t>policy</t>
  </si>
  <si>
    <t>attack</t>
  </si>
  <si>
    <t>types</t>
  </si>
  <si>
    <t>lectures</t>
  </si>
  <si>
    <t>exams</t>
  </si>
  <si>
    <t>ted</t>
  </si>
  <si>
    <t>center</t>
  </si>
  <si>
    <t>ncds</t>
  </si>
  <si>
    <t>life</t>
  </si>
  <si>
    <t>united</t>
  </si>
  <si>
    <t>india</t>
  </si>
  <si>
    <t>asthma</t>
  </si>
  <si>
    <t>news</t>
  </si>
  <si>
    <t>noncommunicable</t>
  </si>
  <si>
    <t>19</t>
  </si>
  <si>
    <t>study</t>
  </si>
  <si>
    <t>body</t>
  </si>
  <si>
    <t>chill</t>
  </si>
  <si>
    <t>wilson</t>
  </si>
  <si>
    <t>elderly</t>
  </si>
  <si>
    <t>tutorial</t>
  </si>
  <si>
    <t>physiology</t>
  </si>
  <si>
    <t>organization</t>
  </si>
  <si>
    <t>upsc</t>
  </si>
  <si>
    <t>healthy</t>
  </si>
  <si>
    <t>physical</t>
  </si>
  <si>
    <t>preparation</t>
  </si>
  <si>
    <t>mental</t>
  </si>
  <si>
    <t>nhm</t>
  </si>
  <si>
    <t>live</t>
  </si>
  <si>
    <t>kannada</t>
  </si>
  <si>
    <t>global</t>
  </si>
  <si>
    <t>cycle</t>
  </si>
  <si>
    <t>infectious</t>
  </si>
  <si>
    <t>risk</t>
  </si>
  <si>
    <t>sir</t>
  </si>
  <si>
    <t>movie</t>
  </si>
  <si>
    <t>hall</t>
  </si>
  <si>
    <t>ssc</t>
  </si>
  <si>
    <t>10</t>
  </si>
  <si>
    <t>herbs</t>
  </si>
  <si>
    <t>pharmacy</t>
  </si>
  <si>
    <t>evs</t>
  </si>
  <si>
    <t>respiratory</t>
  </si>
  <si>
    <t>cardiovascular</t>
  </si>
  <si>
    <t>treatment</t>
  </si>
  <si>
    <t>tips</t>
  </si>
  <si>
    <t>nutrition</t>
  </si>
  <si>
    <t>english</t>
  </si>
  <si>
    <t>dubbed</t>
  </si>
  <si>
    <t>repro</t>
  </si>
  <si>
    <t>raffy</t>
  </si>
  <si>
    <t>mindanao</t>
  </si>
  <si>
    <t>bonds</t>
  </si>
  <si>
    <t>ncd</t>
  </si>
  <si>
    <t>career</t>
  </si>
  <si>
    <t>lifestyle</t>
  </si>
  <si>
    <t>lab</t>
  </si>
  <si>
    <t>death</t>
  </si>
  <si>
    <t>public</t>
  </si>
  <si>
    <t>industry</t>
  </si>
  <si>
    <t>cbse</t>
  </si>
  <si>
    <t>blood</t>
  </si>
  <si>
    <t>animated</t>
  </si>
  <si>
    <t>morning</t>
  </si>
  <si>
    <t>2019</t>
  </si>
  <si>
    <t>david</t>
  </si>
  <si>
    <t>food</t>
  </si>
  <si>
    <t>affirmations</t>
  </si>
  <si>
    <t>virus</t>
  </si>
  <si>
    <t>cross</t>
  </si>
  <si>
    <t>yeezy</t>
  </si>
  <si>
    <t>academy</t>
  </si>
  <si>
    <t>tobacco</t>
  </si>
  <si>
    <t>testpaperlive</t>
  </si>
  <si>
    <t>plague</t>
  </si>
  <si>
    <t>premiere</t>
  </si>
  <si>
    <t>software</t>
  </si>
  <si>
    <t>technician</t>
  </si>
  <si>
    <t>chapter</t>
  </si>
  <si>
    <t>control</t>
  </si>
  <si>
    <t>motivation</t>
  </si>
  <si>
    <t>power</t>
  </si>
  <si>
    <t>2021</t>
  </si>
  <si>
    <t>faa</t>
  </si>
  <si>
    <t>psm</t>
  </si>
  <si>
    <t>strategy</t>
  </si>
  <si>
    <t>market</t>
  </si>
  <si>
    <t>girls</t>
  </si>
  <si>
    <t>chronic</t>
  </si>
  <si>
    <t>malnutrition</t>
  </si>
  <si>
    <t>town</t>
  </si>
  <si>
    <t>action</t>
  </si>
  <si>
    <t>ggv</t>
  </si>
  <si>
    <t>ce</t>
  </si>
  <si>
    <t>philippine</t>
  </si>
  <si>
    <t>future</t>
  </si>
  <si>
    <t>pro</t>
  </si>
  <si>
    <t>menstrual</t>
  </si>
  <si>
    <t>12</t>
  </si>
  <si>
    <t>soil</t>
  </si>
  <si>
    <t>series</t>
  </si>
  <si>
    <t>esic</t>
  </si>
  <si>
    <t>brain</t>
  </si>
  <si>
    <t>difference</t>
  </si>
  <si>
    <t>medicinal</t>
  </si>
  <si>
    <t>mcqs</t>
  </si>
  <si>
    <t>children</t>
  </si>
  <si>
    <t>cells</t>
  </si>
  <si>
    <t>type</t>
  </si>
  <si>
    <t>caused</t>
  </si>
  <si>
    <t>songs</t>
  </si>
  <si>
    <t>cgl</t>
  </si>
  <si>
    <t>respiration</t>
  </si>
  <si>
    <t>cold</t>
  </si>
  <si>
    <t>debentures</t>
  </si>
  <si>
    <t>sciences</t>
  </si>
  <si>
    <t>transmission</t>
  </si>
  <si>
    <t>compaction</t>
  </si>
  <si>
    <t>clinical</t>
  </si>
  <si>
    <t>management</t>
  </si>
  <si>
    <t>epidemiology</t>
  </si>
  <si>
    <t>signs</t>
  </si>
  <si>
    <t>bacteria</t>
  </si>
  <si>
    <t>hiv</t>
  </si>
  <si>
    <t>illness</t>
  </si>
  <si>
    <t>social</t>
  </si>
  <si>
    <t>america</t>
  </si>
  <si>
    <t>meditation</t>
  </si>
  <si>
    <t>vitamins</t>
  </si>
  <si>
    <t>modi</t>
  </si>
  <si>
    <t>genetic</t>
  </si>
  <si>
    <t>grade</t>
  </si>
  <si>
    <t>knowledge</t>
  </si>
  <si>
    <t>mary</t>
  </si>
  <si>
    <t>stroke</t>
  </si>
  <si>
    <t>school</t>
  </si>
  <si>
    <t>hecp</t>
  </si>
  <si>
    <t>workout</t>
  </si>
  <si>
    <t>cardio</t>
  </si>
  <si>
    <t>fat</t>
  </si>
  <si>
    <t>burning</t>
  </si>
  <si>
    <t>hepatitis</t>
  </si>
  <si>
    <t>fungible</t>
  </si>
  <si>
    <t>diet</t>
  </si>
  <si>
    <t>doctor</t>
  </si>
  <si>
    <t>time</t>
  </si>
  <si>
    <t>assertion</t>
  </si>
  <si>
    <t>nimhans</t>
  </si>
  <si>
    <t>proctor</t>
  </si>
  <si>
    <t>pandemic</t>
  </si>
  <si>
    <t>university</t>
  </si>
  <si>
    <t>factors</t>
  </si>
  <si>
    <t>technology</t>
  </si>
  <si>
    <t>aids</t>
  </si>
  <si>
    <t>behavior</t>
  </si>
  <si>
    <t>strategies</t>
  </si>
  <si>
    <t>talk</t>
  </si>
  <si>
    <t>lung</t>
  </si>
  <si>
    <t>educational</t>
  </si>
  <si>
    <t>inspector</t>
  </si>
  <si>
    <t>explained</t>
  </si>
  <si>
    <t>mock</t>
  </si>
  <si>
    <t>bhu</t>
  </si>
  <si>
    <t>dsssb</t>
  </si>
  <si>
    <t>dayaalu</t>
  </si>
  <si>
    <t>disorders</t>
  </si>
  <si>
    <t>juice</t>
  </si>
  <si>
    <t>presentation</t>
  </si>
  <si>
    <t>rheumatoid</t>
  </si>
  <si>
    <t>arthritis</t>
  </si>
  <si>
    <t>awaaz</t>
  </si>
  <si>
    <t>grace</t>
  </si>
  <si>
    <t>lastra</t>
  </si>
  <si>
    <t>development</t>
  </si>
  <si>
    <t>liver</t>
  </si>
  <si>
    <t>nfts</t>
  </si>
  <si>
    <t>reflective</t>
  </si>
  <si>
    <t>meiosis</t>
  </si>
  <si>
    <t>exercise</t>
  </si>
  <si>
    <t>short</t>
  </si>
  <si>
    <t>film</t>
  </si>
  <si>
    <t>editing</t>
  </si>
  <si>
    <t>nations</t>
  </si>
  <si>
    <t>tricks</t>
  </si>
  <si>
    <t>pharmacist</t>
  </si>
  <si>
    <t>safdarjung</t>
  </si>
  <si>
    <t>cell</t>
  </si>
  <si>
    <t>density</t>
  </si>
  <si>
    <t>field</t>
  </si>
  <si>
    <t>stress</t>
  </si>
  <si>
    <t>tedxtalks</t>
  </si>
  <si>
    <t>failure</t>
  </si>
  <si>
    <t>motivational</t>
  </si>
  <si>
    <t>hypertension</t>
  </si>
  <si>
    <t>coaching</t>
  </si>
  <si>
    <t>healing</t>
  </si>
  <si>
    <t>london</t>
  </si>
  <si>
    <t>water</t>
  </si>
  <si>
    <t>disorder</t>
  </si>
  <si>
    <t>movies</t>
  </si>
  <si>
    <t>division</t>
  </si>
  <si>
    <t>common</t>
  </si>
  <si>
    <t>answers</t>
  </si>
  <si>
    <t>crash</t>
  </si>
  <si>
    <t>review</t>
  </si>
  <si>
    <t>competitive</t>
  </si>
  <si>
    <t>wrld</t>
  </si>
  <si>
    <t>hygiene</t>
  </si>
  <si>
    <t>pathophysiology</t>
  </si>
  <si>
    <t>influenza</t>
  </si>
  <si>
    <t>lesson</t>
  </si>
  <si>
    <t>cnbc</t>
  </si>
  <si>
    <t>pfizer</t>
  </si>
  <si>
    <t>song</t>
  </si>
  <si>
    <t>vibes</t>
  </si>
  <si>
    <t>systems</t>
  </si>
  <si>
    <t>fitness</t>
  </si>
  <si>
    <t>น</t>
  </si>
  <si>
    <t>anatomy</t>
  </si>
  <si>
    <t>thyroid</t>
  </si>
  <si>
    <t>rebecca</t>
  </si>
  <si>
    <t>token</t>
  </si>
  <si>
    <t>nature</t>
  </si>
  <si>
    <t>neeraj</t>
  </si>
  <si>
    <t>south</t>
  </si>
  <si>
    <t>cardiac</t>
  </si>
  <si>
    <t>tuberculosis</t>
  </si>
  <si>
    <t>tb</t>
  </si>
  <si>
    <t>news18</t>
  </si>
  <si>
    <t>humans</t>
  </si>
  <si>
    <t>people</t>
  </si>
  <si>
    <t>effects</t>
  </si>
  <si>
    <t>female</t>
  </si>
  <si>
    <t>reproductive</t>
  </si>
  <si>
    <t>reason</t>
  </si>
  <si>
    <t>railway</t>
  </si>
  <si>
    <t>staf</t>
  </si>
  <si>
    <t>nrurse</t>
  </si>
  <si>
    <t>quetsion</t>
  </si>
  <si>
    <t>phd</t>
  </si>
  <si>
    <t>psychology</t>
  </si>
  <si>
    <t>china</t>
  </si>
  <si>
    <t>genre</t>
  </si>
  <si>
    <t>subject</t>
  </si>
  <si>
    <t>media</t>
  </si>
  <si>
    <t>focus</t>
  </si>
  <si>
    <t>students</t>
  </si>
  <si>
    <t>jee</t>
  </si>
  <si>
    <t>geography</t>
  </si>
  <si>
    <t>country</t>
  </si>
  <si>
    <t>economy</t>
  </si>
  <si>
    <t>danielle</t>
  </si>
  <si>
    <t>booth</t>
  </si>
  <si>
    <t>economist</t>
  </si>
  <si>
    <t>sleep</t>
  </si>
  <si>
    <t>vitamin</t>
  </si>
  <si>
    <t>deficiency</t>
  </si>
  <si>
    <t>environmental</t>
  </si>
  <si>
    <t>accounts</t>
  </si>
  <si>
    <t>ozone</t>
  </si>
  <si>
    <t>layer</t>
  </si>
  <si>
    <t>happiness</t>
  </si>
  <si>
    <t>program</t>
  </si>
  <si>
    <t>gnm</t>
  </si>
  <si>
    <t>mbbs</t>
  </si>
  <si>
    <t>primary</t>
  </si>
  <si>
    <t>explain</t>
  </si>
  <si>
    <t>bright</t>
  </si>
  <si>
    <t>plants</t>
  </si>
  <si>
    <t>violence</t>
  </si>
  <si>
    <t>foot</t>
  </si>
  <si>
    <t>usmle</t>
  </si>
  <si>
    <t>cholera</t>
  </si>
  <si>
    <t>healthcare</t>
  </si>
  <si>
    <t>share</t>
  </si>
  <si>
    <t>learning</t>
  </si>
  <si>
    <t>alcohol</t>
  </si>
  <si>
    <t>revision</t>
  </si>
  <si>
    <t>membership</t>
  </si>
  <si>
    <t>th6</t>
  </si>
  <si>
    <t>deped</t>
  </si>
  <si>
    <t>graves</t>
  </si>
  <si>
    <t>mitosis</t>
  </si>
  <si>
    <t>talks</t>
  </si>
  <si>
    <t>upper</t>
  </si>
  <si>
    <t>spinal</t>
  </si>
  <si>
    <t>ramani</t>
  </si>
  <si>
    <t>blue</t>
  </si>
  <si>
    <t>oat</t>
  </si>
  <si>
    <t>doctors</t>
  </si>
  <si>
    <t>quarter</t>
  </si>
  <si>
    <t>population</t>
  </si>
  <si>
    <t>measles</t>
  </si>
  <si>
    <t>rj</t>
  </si>
  <si>
    <t>18</t>
  </si>
  <si>
    <t>day</t>
  </si>
  <si>
    <t>politics</t>
  </si>
  <si>
    <t>history</t>
  </si>
  <si>
    <t>evolution</t>
  </si>
  <si>
    <t>change</t>
  </si>
  <si>
    <t>managment</t>
  </si>
  <si>
    <t>adobe</t>
  </si>
  <si>
    <t>phases</t>
  </si>
  <si>
    <t>hub</t>
  </si>
  <si>
    <t>delhi</t>
  </si>
  <si>
    <t>pgimer</t>
  </si>
  <si>
    <t>tumor</t>
  </si>
  <si>
    <t>laboratory</t>
  </si>
  <si>
    <t>academia</t>
  </si>
  <si>
    <t>postdoc</t>
  </si>
  <si>
    <t>support</t>
  </si>
  <si>
    <t>corona</t>
  </si>
  <si>
    <t>3d</t>
  </si>
  <si>
    <t>simulation</t>
  </si>
  <si>
    <t>quality</t>
  </si>
  <si>
    <t>symptom</t>
  </si>
  <si>
    <t>europe</t>
  </si>
  <si>
    <t>ministry</t>
  </si>
  <si>
    <t>vaccines</t>
  </si>
  <si>
    <t>multiple</t>
  </si>
  <si>
    <t>documentary</t>
  </si>
  <si>
    <t>benefits</t>
  </si>
  <si>
    <t>2018</t>
  </si>
  <si>
    <t>iit</t>
  </si>
  <si>
    <t>infographics</t>
  </si>
  <si>
    <t>happy</t>
  </si>
  <si>
    <t>superpower</t>
  </si>
  <si>
    <t>super</t>
  </si>
  <si>
    <t>dimartino</t>
  </si>
  <si>
    <t>ancient</t>
  </si>
  <si>
    <t>based</t>
  </si>
  <si>
    <t>procedure</t>
  </si>
  <si>
    <t>tests</t>
  </si>
  <si>
    <t>indian</t>
  </si>
  <si>
    <t>project</t>
  </si>
  <si>
    <t>virtual</t>
  </si>
  <si>
    <t>dsm</t>
  </si>
  <si>
    <t>immunization</t>
  </si>
  <si>
    <t>rare</t>
  </si>
  <si>
    <t>pain</t>
  </si>
  <si>
    <t>ncert</t>
  </si>
  <si>
    <t>metals</t>
  </si>
  <si>
    <t>syllabus</t>
  </si>
  <si>
    <t>msn</t>
  </si>
  <si>
    <t>obg</t>
  </si>
  <si>
    <t>crack</t>
  </si>
  <si>
    <t>norcet</t>
  </si>
  <si>
    <t>answer</t>
  </si>
  <si>
    <t>race</t>
  </si>
  <si>
    <t>step</t>
  </si>
  <si>
    <t>chest</t>
  </si>
  <si>
    <t>neuroscience</t>
  </si>
  <si>
    <t>urdu</t>
  </si>
  <si>
    <t>infection</t>
  </si>
  <si>
    <t>pathogens</t>
  </si>
  <si>
    <t>family</t>
  </si>
  <si>
    <t>stock</t>
  </si>
  <si>
    <t>lds</t>
  </si>
  <si>
    <t>easy</t>
  </si>
  <si>
    <t>counseling</t>
  </si>
  <si>
    <t>unhealthy</t>
  </si>
  <si>
    <t>auckland</t>
  </si>
  <si>
    <t>musical</t>
  </si>
  <si>
    <t>play</t>
  </si>
  <si>
    <t>slogans</t>
  </si>
  <si>
    <t>weight</t>
  </si>
  <si>
    <t>farming</t>
  </si>
  <si>
    <t>playlist</t>
  </si>
  <si>
    <t>momoland</t>
  </si>
  <si>
    <t>ภ</t>
  </si>
  <si>
    <t>จ</t>
  </si>
  <si>
    <t>antibody</t>
  </si>
  <si>
    <t>tedx</t>
  </si>
  <si>
    <t>immune</t>
  </si>
  <si>
    <t>college</t>
  </si>
  <si>
    <t>contaminated</t>
  </si>
  <si>
    <t>380</t>
  </si>
  <si>
    <t>continuing</t>
  </si>
  <si>
    <t>freda</t>
  </si>
  <si>
    <t>lewis</t>
  </si>
  <si>
    <t>wellness</t>
  </si>
  <si>
    <t>festivals</t>
  </si>
  <si>
    <t>forms</t>
  </si>
  <si>
    <t>theater</t>
  </si>
  <si>
    <t>std</t>
  </si>
  <si>
    <t>cmv</t>
  </si>
  <si>
    <t>gynecologist</t>
  </si>
  <si>
    <t>environment</t>
  </si>
  <si>
    <t>income</t>
  </si>
  <si>
    <t>ageing</t>
  </si>
  <si>
    <t>chn</t>
  </si>
  <si>
    <t>malaria</t>
  </si>
  <si>
    <t>pox</t>
  </si>
  <si>
    <t>ന</t>
  </si>
  <si>
    <t>യ</t>
  </si>
  <si>
    <t>സ</t>
  </si>
  <si>
    <t>youth</t>
  </si>
  <si>
    <t>caring</t>
  </si>
  <si>
    <t>patients</t>
  </si>
  <si>
    <t>parents</t>
  </si>
  <si>
    <t>american</t>
  </si>
  <si>
    <t>natural</t>
  </si>
  <si>
    <t>york</t>
  </si>
  <si>
    <t>malayalam</t>
  </si>
  <si>
    <t>simple</t>
  </si>
  <si>
    <t>task</t>
  </si>
  <si>
    <t>interactive</t>
  </si>
  <si>
    <t>leukemia</t>
  </si>
  <si>
    <t>chemotherapy</t>
  </si>
  <si>
    <t>dry</t>
  </si>
  <si>
    <t>core</t>
  </si>
  <si>
    <t>ecr</t>
  </si>
  <si>
    <t>pressure</t>
  </si>
  <si>
    <t>anxiety</t>
  </si>
  <si>
    <t>leadership</t>
  </si>
  <si>
    <t>advice</t>
  </si>
  <si>
    <t>student</t>
  </si>
  <si>
    <t>goals</t>
  </si>
  <si>
    <t>nhs</t>
  </si>
  <si>
    <t>breathing</t>
  </si>
  <si>
    <t>communication</t>
  </si>
  <si>
    <t>vector</t>
  </si>
  <si>
    <t>progress</t>
  </si>
  <si>
    <t>success</t>
  </si>
  <si>
    <t>humanitarian</t>
  </si>
  <si>
    <t>countries</t>
  </si>
  <si>
    <t>usa</t>
  </si>
  <si>
    <t>superpowers</t>
  </si>
  <si>
    <t>economic</t>
  </si>
  <si>
    <t>exposes</t>
  </si>
  <si>
    <t>aftermath</t>
  </si>
  <si>
    <t>explains</t>
  </si>
  <si>
    <t>#finance_account_assistant</t>
  </si>
  <si>
    <t>randall</t>
  </si>
  <si>
    <t>wisdom</t>
  </si>
  <si>
    <t>secret</t>
  </si>
  <si>
    <t>image</t>
  </si>
  <si>
    <t>prepartion</t>
  </si>
  <si>
    <t>pgi</t>
  </si>
  <si>
    <t>gmch</t>
  </si>
  <si>
    <t>rml</t>
  </si>
  <si>
    <t>elizabeth</t>
  </si>
  <si>
    <t>aging</t>
  </si>
  <si>
    <t>coronary</t>
  </si>
  <si>
    <t>artery</t>
  </si>
  <si>
    <t>factor</t>
  </si>
  <si>
    <t>khan</t>
  </si>
  <si>
    <t>genetics</t>
  </si>
  <si>
    <t>plan</t>
  </si>
  <si>
    <t>gk</t>
  </si>
  <si>
    <t>green</t>
  </si>
  <si>
    <t>syndrome</t>
  </si>
  <si>
    <t>board</t>
  </si>
  <si>
    <t>teacher</t>
  </si>
  <si>
    <t>chemical</t>
  </si>
  <si>
    <t>pharmacology</t>
  </si>
  <si>
    <t>command</t>
  </si>
  <si>
    <t>korea</t>
  </si>
  <si>
    <t>teaching</t>
  </si>
  <si>
    <t>incubation</t>
  </si>
  <si>
    <t>luck</t>
  </si>
  <si>
    <t>abmbbs</t>
  </si>
  <si>
    <t>park</t>
  </si>
  <si>
    <t>cole</t>
  </si>
  <si>
    <t>bennett</t>
  </si>
  <si>
    <t>lyrical</t>
  </si>
  <si>
    <t>lemonade</t>
  </si>
  <si>
    <t>bone</t>
  </si>
  <si>
    <t>najeeb</t>
  </si>
  <si>
    <t>ibd</t>
  </si>
  <si>
    <t>inflammation</t>
  </si>
  <si>
    <t>complication</t>
  </si>
  <si>
    <t>unacademy</t>
  </si>
  <si>
    <t>10th</t>
  </si>
  <si>
    <t>skin</t>
  </si>
  <si>
    <t>preventive</t>
  </si>
  <si>
    <t>list</t>
  </si>
  <si>
    <t>child</t>
  </si>
  <si>
    <t>magnesium</t>
  </si>
  <si>
    <t>council</t>
  </si>
  <si>
    <t>activity</t>
  </si>
  <si>
    <t>topic</t>
  </si>
  <si>
    <t>sharma</t>
  </si>
  <si>
    <t>pathogen</t>
  </si>
  <si>
    <t>epidemic</t>
  </si>
  <si>
    <t>national</t>
  </si>
  <si>
    <t>specialty</t>
  </si>
  <si>
    <t>week</t>
  </si>
  <si>
    <t>determinants</t>
  </si>
  <si>
    <t>pulmonary</t>
  </si>
  <si>
    <t>disability</t>
  </si>
  <si>
    <t>radyo</t>
  </si>
  <si>
    <t>kulintang</t>
  </si>
  <si>
    <t>pasta</t>
  </si>
  <si>
    <t>sonic</t>
  </si>
  <si>
    <t>bacterial</t>
  </si>
  <si>
    <t>interview</t>
  </si>
  <si>
    <t>hair</t>
  </si>
  <si>
    <t>mix</t>
  </si>
  <si>
    <t>superman</t>
  </si>
  <si>
    <t>abs</t>
  </si>
  <si>
    <t>cbn</t>
  </si>
  <si>
    <t>vice</t>
  </si>
  <si>
    <t>yorme</t>
  </si>
  <si>
    <t>alex</t>
  </si>
  <si>
    <t>ryan</t>
  </si>
  <si>
    <t>bang</t>
  </si>
  <si>
    <t>performa</t>
  </si>
  <si>
    <t>ช</t>
  </si>
  <si>
    <t>า</t>
  </si>
  <si>
    <t>sex</t>
  </si>
  <si>
    <t>ears</t>
  </si>
  <si>
    <t>training</t>
  </si>
  <si>
    <t>medication</t>
  </si>
  <si>
    <t>sadhguru</t>
  </si>
  <si>
    <t>literacy</t>
  </si>
  <si>
    <t>workouts</t>
  </si>
  <si>
    <t>exercises</t>
  </si>
  <si>
    <t>hep</t>
  </si>
  <si>
    <t>cirrhosis</t>
  </si>
  <si>
    <t>nft</t>
  </si>
  <si>
    <t>art</t>
  </si>
  <si>
    <t>ear</t>
  </si>
  <si>
    <t>borderline</t>
  </si>
  <si>
    <t>haemophilia</t>
  </si>
  <si>
    <t>scandal</t>
  </si>
  <si>
    <t>supreme</t>
  </si>
  <si>
    <t>summer</t>
  </si>
  <si>
    <t>tech</t>
  </si>
  <si>
    <t>pharmacists</t>
  </si>
  <si>
    <t>yalda</t>
  </si>
  <si>
    <t>hakim</t>
  </si>
  <si>
    <t>travis</t>
  </si>
  <si>
    <t>stork</t>
  </si>
  <si>
    <t>moriones</t>
  </si>
  <si>
    <t>sinulog</t>
  </si>
  <si>
    <t>ati</t>
  </si>
  <si>
    <t>atihan</t>
  </si>
  <si>
    <t>mapeh</t>
  </si>
  <si>
    <t>theatrical</t>
  </si>
  <si>
    <t>drama</t>
  </si>
  <si>
    <t>herpes</t>
  </si>
  <si>
    <t>hsv</t>
  </si>
  <si>
    <t>stds</t>
  </si>
  <si>
    <t>lpc</t>
  </si>
  <si>
    <t>periwinkle</t>
  </si>
  <si>
    <t>goyal</t>
  </si>
  <si>
    <t>ninja</t>
  </si>
  <si>
    <t>nerd</t>
  </si>
  <si>
    <t>beta</t>
  </si>
  <si>
    <t>women</t>
  </si>
  <si>
    <t>chicken</t>
  </si>
  <si>
    <t>mumps</t>
  </si>
  <si>
    <t>sign</t>
  </si>
  <si>
    <t>kerala</t>
  </si>
  <si>
    <t>ക</t>
  </si>
  <si>
    <t>രള</t>
  </si>
  <si>
    <t>senior</t>
  </si>
  <si>
    <t>karnataka</t>
  </si>
  <si>
    <t>museum</t>
  </si>
  <si>
    <t>city</t>
  </si>
  <si>
    <t>لا</t>
  </si>
  <si>
    <t>مشاهد</t>
  </si>
  <si>
    <t>مضحكة</t>
  </si>
  <si>
    <t>فن</t>
  </si>
  <si>
    <t>سير</t>
  </si>
  <si>
    <t>diagnosis</t>
  </si>
  <si>
    <t>basics</t>
  </si>
  <si>
    <t>uniatf</t>
  </si>
  <si>
    <t>nick</t>
  </si>
  <si>
    <t>unga</t>
  </si>
  <si>
    <t>bhutan</t>
  </si>
  <si>
    <t>powerpoint</t>
  </si>
  <si>
    <t>reasons</t>
  </si>
  <si>
    <t>books</t>
  </si>
  <si>
    <t>melanoma</t>
  </si>
  <si>
    <t>lymphoma</t>
  </si>
  <si>
    <t>integrative</t>
  </si>
  <si>
    <t>content</t>
  </si>
  <si>
    <t>biomedical</t>
  </si>
  <si>
    <t>shutdown</t>
  </si>
  <si>
    <t>researcher</t>
  </si>
  <si>
    <t>lockdown</t>
  </si>
  <si>
    <t>job</t>
  </si>
  <si>
    <t>security</t>
  </si>
  <si>
    <t>leader</t>
  </si>
  <si>
    <t>corporate</t>
  </si>
  <si>
    <t>2d</t>
  </si>
  <si>
    <t>motion</t>
  </si>
  <si>
    <t>graphics</t>
  </si>
  <si>
    <t>design</t>
  </si>
  <si>
    <t>character</t>
  </si>
  <si>
    <t>graduate</t>
  </si>
  <si>
    <t>balance</t>
  </si>
  <si>
    <t>planning</t>
  </si>
  <si>
    <t>palliative</t>
  </si>
  <si>
    <t>irene</t>
  </si>
  <si>
    <t>higginson</t>
  </si>
  <si>
    <t>breath</t>
  </si>
  <si>
    <t>die</t>
  </si>
  <si>
    <t>england</t>
  </si>
  <si>
    <t>coping</t>
  </si>
  <si>
    <t>expert</t>
  </si>
  <si>
    <t>schizophrenia</t>
  </si>
  <si>
    <t>communications</t>
  </si>
  <si>
    <t>germany</t>
  </si>
  <si>
    <t>learn</t>
  </si>
  <si>
    <t>wave</t>
  </si>
  <si>
    <t>rate</t>
  </si>
  <si>
    <t>impact</t>
  </si>
  <si>
    <t>sars</t>
  </si>
  <si>
    <t>mers</t>
  </si>
  <si>
    <t>mask</t>
  </si>
  <si>
    <t>sclerosis</t>
  </si>
  <si>
    <t>language</t>
  </si>
  <si>
    <t>unemployment</t>
  </si>
  <si>
    <t>data</t>
  </si>
  <si>
    <t>biotech</t>
  </si>
  <si>
    <t>internet</t>
  </si>
  <si>
    <t>microbiology</t>
  </si>
  <si>
    <t>society</t>
  </si>
  <si>
    <t>degree</t>
  </si>
  <si>
    <t>speech</t>
  </si>
  <si>
    <t>motivation2study</t>
  </si>
  <si>
    <t>compilation</t>
  </si>
  <si>
    <t>generation</t>
  </si>
  <si>
    <t>revolution</t>
  </si>
  <si>
    <t>sound</t>
  </si>
  <si>
    <t>energy</t>
  </si>
  <si>
    <t>dronstudy</t>
  </si>
  <si>
    <t>kingdom</t>
  </si>
  <si>
    <t>living</t>
  </si>
  <si>
    <t>european</t>
  </si>
  <si>
    <t>real</t>
  </si>
  <si>
    <t>guided</t>
  </si>
  <si>
    <t>dauchsy</t>
  </si>
  <si>
    <t>heal</t>
  </si>
  <si>
    <t>manifest</t>
  </si>
  <si>
    <t>ajay</t>
  </si>
  <si>
    <t>jkpsc</t>
  </si>
  <si>
    <t>studies</t>
  </si>
  <si>
    <t>notes</t>
  </si>
  <si>
    <t>depleted</t>
  </si>
  <si>
    <t>wealth</t>
  </si>
  <si>
    <t>jason</t>
  </si>
  <si>
    <t>abundance</t>
  </si>
  <si>
    <t>manifestation</t>
  </si>
  <si>
    <t>money</t>
  </si>
  <si>
    <t>narendra</t>
  </si>
  <si>
    <t>bharat</t>
  </si>
  <si>
    <t>baat</t>
  </si>
  <si>
    <t>standards</t>
  </si>
  <si>
    <t>clinic</t>
  </si>
  <si>
    <t>practice</t>
  </si>
  <si>
    <t>anatomical</t>
  </si>
  <si>
    <t>structure</t>
  </si>
  <si>
    <t>nonprofit</t>
  </si>
  <si>
    <t>chris</t>
  </si>
  <si>
    <t>degenerative</t>
  </si>
  <si>
    <t>manam</t>
  </si>
  <si>
    <t>himalayas</t>
  </si>
  <si>
    <t>himalayan</t>
  </si>
  <si>
    <t>incredible</t>
  </si>
  <si>
    <t>amazing</t>
  </si>
  <si>
    <t>discoveries</t>
  </si>
  <si>
    <t>mysterious</t>
  </si>
  <si>
    <t>spacial</t>
  </si>
  <si>
    <t>hank</t>
  </si>
  <si>
    <t>cartilage</t>
  </si>
  <si>
    <t>sugar</t>
  </si>
  <si>
    <t>dna</t>
  </si>
  <si>
    <t>shocking</t>
  </si>
  <si>
    <t>memory</t>
  </si>
  <si>
    <t>brightside</t>
  </si>
  <si>
    <t>punjab</t>
  </si>
  <si>
    <t>reduction</t>
  </si>
  <si>
    <t>properties</t>
  </si>
  <si>
    <t>100</t>
  </si>
  <si>
    <t>spices</t>
  </si>
  <si>
    <t>reserch</t>
  </si>
  <si>
    <t>managent</t>
  </si>
  <si>
    <t>fundamental</t>
  </si>
  <si>
    <t>pediatric</t>
  </si>
  <si>
    <t>psychiatric</t>
  </si>
  <si>
    <t>vacancy</t>
  </si>
  <si>
    <t>1st</t>
  </si>
  <si>
    <t>2nd</t>
  </si>
  <si>
    <t>3rd</t>
  </si>
  <si>
    <t>bsc</t>
  </si>
  <si>
    <t>demo</t>
  </si>
  <si>
    <t>kosh</t>
  </si>
  <si>
    <t>ka</t>
  </si>
  <si>
    <t>precautions</t>
  </si>
  <si>
    <t>memorize</t>
  </si>
  <si>
    <t>rajasthan</t>
  </si>
  <si>
    <t>gun</t>
  </si>
  <si>
    <t>injury</t>
  </si>
  <si>
    <t>fear</t>
  </si>
  <si>
    <t>bad</t>
  </si>
  <si>
    <t>cats</t>
  </si>
  <si>
    <t>12th</t>
  </si>
  <si>
    <t>rheumatic</t>
  </si>
  <si>
    <t>elements</t>
  </si>
  <si>
    <t>participation</t>
  </si>
  <si>
    <t>inter</t>
  </si>
  <si>
    <t>sectoral</t>
  </si>
  <si>
    <t>coordination</t>
  </si>
  <si>
    <t>examples</t>
  </si>
  <si>
    <t>icu</t>
  </si>
  <si>
    <t>nurses</t>
  </si>
  <si>
    <t>11</t>
  </si>
  <si>
    <t>essential</t>
  </si>
  <si>
    <t>thrombocyte</t>
  </si>
  <si>
    <t>myeloproliferative</t>
  </si>
  <si>
    <t>drug</t>
  </si>
  <si>
    <t>stem</t>
  </si>
  <si>
    <t>red</t>
  </si>
  <si>
    <t>contagious</t>
  </si>
  <si>
    <t>pathology</t>
  </si>
  <si>
    <t>tedtalk</t>
  </si>
  <si>
    <t>tedtalks</t>
  </si>
  <si>
    <t>alzheimer's</t>
  </si>
  <si>
    <t>mind</t>
  </si>
  <si>
    <t>pathogenesis</t>
  </si>
  <si>
    <t>mechanism</t>
  </si>
  <si>
    <t>9th</t>
  </si>
  <si>
    <t>overnutrition</t>
  </si>
  <si>
    <t>rashid</t>
  </si>
  <si>
    <t>bemari</t>
  </si>
  <si>
    <t>clip</t>
  </si>
  <si>
    <t>explainer</t>
  </si>
  <si>
    <t>powtoon</t>
  </si>
  <si>
    <t>sachin</t>
  </si>
  <si>
    <t>mellitus</t>
  </si>
  <si>
    <t>arteriosclerosis</t>
  </si>
  <si>
    <t>atherosclerosis</t>
  </si>
  <si>
    <t>osteoarthritis</t>
  </si>
  <si>
    <t>vedantu</t>
  </si>
  <si>
    <t>cervical</t>
  </si>
  <si>
    <t>digestion</t>
  </si>
  <si>
    <t>business</t>
  </si>
  <si>
    <t>bazar</t>
  </si>
  <si>
    <t>mutual</t>
  </si>
  <si>
    <t>invest</t>
  </si>
  <si>
    <t>update</t>
  </si>
  <si>
    <t>prep</t>
  </si>
  <si>
    <t>dieases</t>
  </si>
  <si>
    <t>#hangoutsonair</t>
  </si>
  <si>
    <t>hangouts</t>
  </si>
  <si>
    <t>air</t>
  </si>
  <si>
    <t>#hoa</t>
  </si>
  <si>
    <t>classification</t>
  </si>
  <si>
    <t>instrumental</t>
  </si>
  <si>
    <t>naomi</t>
  </si>
  <si>
    <t>mildred</t>
  </si>
  <si>
    <t>pettit</t>
  </si>
  <si>
    <t>ctet</t>
  </si>
  <si>
    <t>uruguay</t>
  </si>
  <si>
    <t>prabhav</t>
  </si>
  <si>
    <t>ias</t>
  </si>
  <si>
    <t>bacterium</t>
  </si>
  <si>
    <t>protozoan</t>
  </si>
  <si>
    <t>conditions</t>
  </si>
  <si>
    <t>detection</t>
  </si>
  <si>
    <t>warning</t>
  </si>
  <si>
    <t>surveillance</t>
  </si>
  <si>
    <t>resistance</t>
  </si>
  <si>
    <t>sickness</t>
  </si>
  <si>
    <t>regional</t>
  </si>
  <si>
    <t>interventions</t>
  </si>
  <si>
    <t>smoking</t>
  </si>
  <si>
    <t>obstructed</t>
  </si>
  <si>
    <t>diets</t>
  </si>
  <si>
    <t>fiji</t>
  </si>
  <si>
    <t>instruments</t>
  </si>
  <si>
    <t>ppt</t>
  </si>
  <si>
    <t>lute</t>
  </si>
  <si>
    <t>instrument</t>
  </si>
  <si>
    <t>paste</t>
  </si>
  <si>
    <t>di</t>
  </si>
  <si>
    <t>xbox</t>
  </si>
  <si>
    <t>slogan</t>
  </si>
  <si>
    <t>successcds</t>
  </si>
  <si>
    <t>fungi</t>
  </si>
  <si>
    <t>protozoa</t>
  </si>
  <si>
    <t>microorganisms</t>
  </si>
  <si>
    <t>viruses</t>
  </si>
  <si>
    <t>tobias</t>
  </si>
  <si>
    <t>decline</t>
  </si>
  <si>
    <t>gravel</t>
  </si>
  <si>
    <t>institute</t>
  </si>
  <si>
    <t>acid</t>
  </si>
  <si>
    <t>bones</t>
  </si>
  <si>
    <t>gaming</t>
  </si>
  <si>
    <t>3star</t>
  </si>
  <si>
    <t>pop</t>
  </si>
  <si>
    <t>voizdev</t>
  </si>
  <si>
    <t>minecraft</t>
  </si>
  <si>
    <t>server</t>
  </si>
  <si>
    <t>plugins</t>
  </si>
  <si>
    <t>chsl</t>
  </si>
  <si>
    <t>entertainment</t>
  </si>
  <si>
    <t>triplets</t>
  </si>
  <si>
    <t>baby</t>
  </si>
  <si>
    <t>uhm</t>
  </si>
  <si>
    <t>siblings</t>
  </si>
  <si>
    <t>responsibility</t>
  </si>
  <si>
    <t>parkinson's</t>
  </si>
  <si>
    <t>attendant</t>
  </si>
  <si>
    <t>patient</t>
  </si>
  <si>
    <t>sickle</t>
  </si>
  <si>
    <t>strengthening</t>
  </si>
  <si>
    <t>philippines</t>
  </si>
  <si>
    <t>ganda</t>
  </si>
  <si>
    <t>lizquen</t>
  </si>
  <si>
    <t>isko</t>
  </si>
  <si>
    <t>mikee</t>
  </si>
  <si>
    <t>nancy</t>
  </si>
  <si>
    <t>cbac</t>
  </si>
  <si>
    <t>tle</t>
  </si>
  <si>
    <t>les</t>
  </si>
  <si>
    <t>mills</t>
  </si>
  <si>
    <t>ทร</t>
  </si>
  <si>
    <t>ป</t>
  </si>
  <si>
    <t>ต</t>
  </si>
  <si>
    <t>หล</t>
  </si>
  <si>
    <t>นต</t>
  </si>
  <si>
    <t>ด</t>
  </si>
  <si>
    <t>คล</t>
  </si>
  <si>
    <t>หน</t>
  </si>
  <si>
    <t>วยต</t>
  </si>
  <si>
    <t>crime</t>
  </si>
  <si>
    <t>lungs</t>
  </si>
  <si>
    <t>bronchioles</t>
  </si>
  <si>
    <t>pacific</t>
  </si>
  <si>
    <t>hearing</t>
  </si>
  <si>
    <t>latent</t>
  </si>
  <si>
    <t>hypothyroidism</t>
  </si>
  <si>
    <t>teachers</t>
  </si>
  <si>
    <t>revolutionize</t>
  </si>
  <si>
    <t>sad</t>
  </si>
  <si>
    <t>guru</t>
  </si>
  <si>
    <t>sadguru</t>
  </si>
  <si>
    <t>satguru</t>
  </si>
  <si>
    <t>sathguru</t>
  </si>
  <si>
    <t>jaggi</t>
  </si>
  <si>
    <t>vasudev</t>
  </si>
  <si>
    <t>jakki</t>
  </si>
  <si>
    <t>isha</t>
  </si>
  <si>
    <t>yoga</t>
  </si>
  <si>
    <t>spirituality</t>
  </si>
  <si>
    <t>mysticism</t>
  </si>
  <si>
    <t>seeking</t>
  </si>
  <si>
    <t>infections</t>
  </si>
  <si>
    <t>flow</t>
  </si>
  <si>
    <t>irritability</t>
  </si>
  <si>
    <t>viral</t>
  </si>
  <si>
    <t>nucleus</t>
  </si>
  <si>
    <t>cfr</t>
  </si>
  <si>
    <t>relations</t>
  </si>
  <si>
    <t>louise</t>
  </si>
  <si>
    <t>hepatocytes</t>
  </si>
  <si>
    <t>hepatic</t>
  </si>
  <si>
    <t>tissue</t>
  </si>
  <si>
    <t>tokens</t>
  </si>
  <si>
    <t>blockchain</t>
  </si>
  <si>
    <t>crypto</t>
  </si>
  <si>
    <t>kya</t>
  </si>
  <si>
    <t>check</t>
  </si>
  <si>
    <t>hacks</t>
  </si>
  <si>
    <t>kyle</t>
  </si>
  <si>
    <t>personality</t>
  </si>
  <si>
    <t>durvasula</t>
  </si>
  <si>
    <t>identity</t>
  </si>
  <si>
    <t>relationships</t>
  </si>
  <si>
    <t>campaigntb</t>
  </si>
  <si>
    <t>taintedblood</t>
  </si>
  <si>
    <t>tainted</t>
  </si>
  <si>
    <t>inquiry</t>
  </si>
  <si>
    <t>bbc</t>
  </si>
  <si>
    <t>barre</t>
  </si>
  <si>
    <t>immunity</t>
  </si>
  <si>
    <t>tees</t>
  </si>
  <si>
    <t>style</t>
  </si>
  <si>
    <t>hill</t>
  </si>
  <si>
    <t>pharmaceuticals</t>
  </si>
  <si>
    <t>freece</t>
  </si>
  <si>
    <t>professional</t>
  </si>
  <si>
    <t>careers</t>
  </si>
  <si>
    <t>webinar</t>
  </si>
  <si>
    <t>autoimmune</t>
  </si>
  <si>
    <t>budget</t>
  </si>
  <si>
    <t>warfarin</t>
  </si>
  <si>
    <t>reflux</t>
  </si>
  <si>
    <t>season</t>
  </si>
  <si>
    <t>beat</t>
  </si>
  <si>
    <t>pba</t>
  </si>
  <si>
    <t>multivu</t>
  </si>
  <si>
    <t>davos</t>
  </si>
  <si>
    <t>juvenile</t>
  </si>
  <si>
    <t>dc</t>
  </si>
  <si>
    <t>parenting</t>
  </si>
  <si>
    <t>filipino</t>
  </si>
  <si>
    <t>religious</t>
  </si>
  <si>
    <t>dinagyang</t>
  </si>
  <si>
    <t>kadayawan</t>
  </si>
  <si>
    <t>arts</t>
  </si>
  <si>
    <t>ncr</t>
  </si>
  <si>
    <t>tayo</t>
  </si>
  <si>
    <t>moro</t>
  </si>
  <si>
    <t>ibalong</t>
  </si>
  <si>
    <t>movements</t>
  </si>
  <si>
    <t>contamination</t>
  </si>
  <si>
    <t>risky</t>
  </si>
  <si>
    <t>neeaj</t>
  </si>
  <si>
    <t>bond</t>
  </si>
  <si>
    <t>convertible</t>
  </si>
  <si>
    <t>bearer</t>
  </si>
  <si>
    <t>shares</t>
  </si>
  <si>
    <t>hpv</t>
  </si>
  <si>
    <t>addiction</t>
  </si>
  <si>
    <t>canva</t>
  </si>
  <si>
    <t>sauce</t>
  </si>
  <si>
    <t>elearning</t>
  </si>
  <si>
    <t>cartoon</t>
  </si>
  <si>
    <t>copd</t>
  </si>
  <si>
    <t>vipan</t>
  </si>
  <si>
    <t>spread</t>
  </si>
  <si>
    <t>combined</t>
  </si>
  <si>
    <t>aqa</t>
  </si>
  <si>
    <t>edexcel</t>
  </si>
  <si>
    <t>ige</t>
  </si>
  <si>
    <t>allergic</t>
  </si>
  <si>
    <t>igm</t>
  </si>
  <si>
    <t>epinephrine</t>
  </si>
  <si>
    <t>wheezing</t>
  </si>
  <si>
    <t>whiteboard</t>
  </si>
  <si>
    <t>myxedema</t>
  </si>
  <si>
    <t>acute</t>
  </si>
  <si>
    <t>ast</t>
  </si>
  <si>
    <t>function</t>
  </si>
  <si>
    <t>sperm</t>
  </si>
  <si>
    <t>egg</t>
  </si>
  <si>
    <t>chromosomes</t>
  </si>
  <si>
    <t>story</t>
  </si>
  <si>
    <t>alzheimer</t>
  </si>
  <si>
    <t>amyloid</t>
  </si>
  <si>
    <t>deadliest</t>
  </si>
  <si>
    <t>gender</t>
  </si>
  <si>
    <t>crisis</t>
  </si>
  <si>
    <t>deliver</t>
  </si>
  <si>
    <t>emergency</t>
  </si>
  <si>
    <t>feminist</t>
  </si>
  <si>
    <t>hospital</t>
  </si>
  <si>
    <t>fetal</t>
  </si>
  <si>
    <t>bangalore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</si>
  <si>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</si>
  <si>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</si>
  <si>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</si>
  <si>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</si>
  <si>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</si>
  <si>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</si>
  <si>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</si>
  <si>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</si>
  <si>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</si>
  <si>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</si>
  <si>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</si>
  <si>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</si>
  <si>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</si>
  <si>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</si>
  <si>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</si>
  <si>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</si>
  <si>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</si>
  <si>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</si>
  <si>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</si>
  <si>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</si>
  <si>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</si>
  <si>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</si>
  <si>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</si>
  <si>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</si>
  <si>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</si>
  <si>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</si>
  <si>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</si>
  <si>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</si>
  <si>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</si>
  <si>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</si>
  <si>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</si>
  <si>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</si>
  <si>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</si>
  <si>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</si>
  <si>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</si>
  <si>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</si>
  <si>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</si>
  <si>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</si>
  <si>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</si>
  <si>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</si>
  <si>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</si>
  <si>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</si>
  <si>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</si>
  <si>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</si>
  <si>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</si>
  <si>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</si>
  <si>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</si>
  <si>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</si>
  <si>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</si>
  <si>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</si>
  <si>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</si>
  <si>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</si>
  <si>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</si>
  <si>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</si>
  <si>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</si>
  <si>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</si>
  <si>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</si>
  <si>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</si>
  <si>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</si>
  <si>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</si>
  <si>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</si>
  <si>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</si>
  <si>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</si>
  <si>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</si>
  <si>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</si>
  <si>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</si>
  <si>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</si>
  <si>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</si>
  <si>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</si>
  <si>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</si>
  <si>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</si>
  <si>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</si>
  <si>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</si>
  <si>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</si>
  <si>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</si>
  <si>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</si>
  <si>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</si>
  <si>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</si>
  <si>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</si>
  <si>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</si>
  <si>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G8 Count</t>
  </si>
  <si>
    <t>Top Words in Tags</t>
  </si>
  <si>
    <t>disease health communicable diseases class medical obesity cancer neet vaccine</t>
  </si>
  <si>
    <t>health diseases disease communicable tulfo music 2020 chill science upsc</t>
  </si>
  <si>
    <t>health foreign affairs flu center wilson policy international yeezy disease</t>
  </si>
  <si>
    <t>communicable jkssb health disease diseases assistant finance account evs online</t>
  </si>
  <si>
    <t>disease festival diseases health question paper kids communicable science ntpc</t>
  </si>
  <si>
    <t>communicable nursing disease diseases classes jkssb health exam rrb online</t>
  </si>
  <si>
    <t>diseases health communicable nursing aiims paper care question hindi medical</t>
  </si>
  <si>
    <t>care gynecologist women india humanitarian gender deliver feminist crisis emergency</t>
  </si>
  <si>
    <t>Top Word Pairs in Tags in Entire Graph</t>
  </si>
  <si>
    <t>communicable,diseases</t>
  </si>
  <si>
    <t>communicable,disease</t>
  </si>
  <si>
    <t>communicable,communicable</t>
  </si>
  <si>
    <t>question,paper</t>
  </si>
  <si>
    <t>diseases,communicable</t>
  </si>
  <si>
    <t>nursing,classes</t>
  </si>
  <si>
    <t>account,assistant</t>
  </si>
  <si>
    <t>rrb,ntpc</t>
  </si>
  <si>
    <t>solved,question</t>
  </si>
  <si>
    <t>finance,account</t>
  </si>
  <si>
    <t>Top Word Pairs in Tags in G1</t>
  </si>
  <si>
    <t>repro,health</t>
  </si>
  <si>
    <t>class,10</t>
  </si>
  <si>
    <t>disease,medical</t>
  </si>
  <si>
    <t>medical,condition</t>
  </si>
  <si>
    <t>covid,19</t>
  </si>
  <si>
    <t>19,vaccine</t>
  </si>
  <si>
    <t>fat,burning</t>
  </si>
  <si>
    <t>health,class</t>
  </si>
  <si>
    <t>Top Word Pairs in Tags in G2</t>
  </si>
  <si>
    <t>raffy,tulfo</t>
  </si>
  <si>
    <t>town,hall</t>
  </si>
  <si>
    <t>diseases,caused</t>
  </si>
  <si>
    <t>tulfo,action</t>
  </si>
  <si>
    <t>ssc,cgl</t>
  </si>
  <si>
    <t>david,cross</t>
  </si>
  <si>
    <t>human,health</t>
  </si>
  <si>
    <t>health,disease</t>
  </si>
  <si>
    <t>Top Word Pairs in Tags in G3</t>
  </si>
  <si>
    <t>wilson,center</t>
  </si>
  <si>
    <t>center,foreign</t>
  </si>
  <si>
    <t>foreign,policy</t>
  </si>
  <si>
    <t>policy,international</t>
  </si>
  <si>
    <t>international,affairs</t>
  </si>
  <si>
    <t>affairs,foreign</t>
  </si>
  <si>
    <t>foreign,affairs</t>
  </si>
  <si>
    <t>fungible,token</t>
  </si>
  <si>
    <t>blue,oat</t>
  </si>
  <si>
    <t>lewis,hall</t>
  </si>
  <si>
    <t>Top Word Pairs in Tags in G4</t>
  </si>
  <si>
    <t>jkssb,finance</t>
  </si>
  <si>
    <t>disease,jkssb</t>
  </si>
  <si>
    <t>diseases,jkssb</t>
  </si>
  <si>
    <t>jkssb,communicable</t>
  </si>
  <si>
    <t>assistant,exam</t>
  </si>
  <si>
    <t>Top Word Pairs in Tags in G5</t>
  </si>
  <si>
    <t>kids,coronavirus</t>
  </si>
  <si>
    <t>coronavirus,kids</t>
  </si>
  <si>
    <t>infectious,diseases</t>
  </si>
  <si>
    <t>diseases,types</t>
  </si>
  <si>
    <t>Top Word Pairs in Tags in G6</t>
  </si>
  <si>
    <t>hindi,dubbed</t>
  </si>
  <si>
    <t>nursing,online</t>
  </si>
  <si>
    <t>online,classes</t>
  </si>
  <si>
    <t>classes,nursing</t>
  </si>
  <si>
    <t>Top Word Pairs in Tags in G7</t>
  </si>
  <si>
    <t>plague,hindi</t>
  </si>
  <si>
    <t>menstrual,cycle</t>
  </si>
  <si>
    <t>premiere,pro</t>
  </si>
  <si>
    <t>elderly,care</t>
  </si>
  <si>
    <t>academy,medical</t>
  </si>
  <si>
    <t>medical,sciences</t>
  </si>
  <si>
    <t>Top Word Pairs in Tags in G8</t>
  </si>
  <si>
    <t>gynecologist,india</t>
  </si>
  <si>
    <t>women,deliver</t>
  </si>
  <si>
    <t>Top Word Pairs in Tags</t>
  </si>
  <si>
    <t>communicable,diseases  repro,health  communicable,disease  class,10  disease,medical  medical,condition  covid,19  19,vaccine  fat,burning  health,class</t>
  </si>
  <si>
    <t>communicable,diseases  raffy,tulfo  town,hall  diseases,caused  tulfo,action  ssc,cgl  david,cross  communicable,disease  human,health  health,disease</t>
  </si>
  <si>
    <t>wilson,center  center,foreign  foreign,policy  policy,international  international,affairs  affairs,foreign  foreign,affairs  fungible,token  blue,oat  lewis,hall</t>
  </si>
  <si>
    <t>communicable,communicable  communicable,diseases  finance,account  account,assistant  communicable,disease  jkssb,finance  disease,jkssb  diseases,jkssb  jkssb,communicable  assistant,exam</t>
  </si>
  <si>
    <t>question,paper  rrb,ntpc  communicable,disease  solved,question  kids,coronavirus  coronavirus,kids  communicable,diseases  health,disease  infectious,diseases  diseases,types</t>
  </si>
  <si>
    <t>communicable,disease  communicable,diseases  nursing,classes  communicable,communicable  rrb,ntpc  hindi,dubbed  nursing,online  disease,jkssb  online,classes  classes,nursing</t>
  </si>
  <si>
    <t>question,paper  communicable,diseases  solved,question  plague,hindi  diseases,communicable  menstrual,cycle  premiere,pro  elderly,care  academy,medical  medical,sciences</t>
  </si>
  <si>
    <t>gynecologist,india  women,deliver</t>
  </si>
  <si>
    <t>Top Words in Tags by Count</t>
  </si>
  <si>
    <t/>
  </si>
  <si>
    <t>Top Words in Tags by Salience</t>
  </si>
  <si>
    <t>Top Word Pairs in Tags by Count</t>
  </si>
  <si>
    <t>Top Word Pairs in Tags by Salience</t>
  </si>
  <si>
    <t>Cyan</t>
  </si>
  <si>
    <t>235, 20, 235</t>
  </si>
  <si>
    <t>Lime</t>
  </si>
  <si>
    <t>229, 26, 229</t>
  </si>
  <si>
    <t>Fuchsia</t>
  </si>
  <si>
    <t>163, 92, 163</t>
  </si>
  <si>
    <t>242, 13, 242</t>
  </si>
  <si>
    <t>118, 137, 118</t>
  </si>
  <si>
    <t>176, 79, 176</t>
  </si>
  <si>
    <t>59, 196, 59</t>
  </si>
  <si>
    <t>G1: disease health communicable diseases class medical obesity cancer neet vaccine</t>
  </si>
  <si>
    <t>G2: health diseases disease communicable tulfo music 2020 chill science upsc</t>
  </si>
  <si>
    <t>G3: health foreign affairs flu center wilson policy international yeezy disease</t>
  </si>
  <si>
    <t>G4: communicable jkssb health disease diseases assistant finance account evs online</t>
  </si>
  <si>
    <t>G5: disease festival diseases health question paper kids communicable science ntpc</t>
  </si>
  <si>
    <t>G6: communicable nursing disease diseases classes jkssb health exam rrb online</t>
  </si>
  <si>
    <t>G7: diseases health communicable nursing aiims paper care question hindi medical</t>
  </si>
  <si>
    <t>G8: care gynecologist women india humanitarian gender deliver feminist crisis emergency</t>
  </si>
  <si>
    <t>Edge Weight▓1▓1▓0▓True▓Aqua▓White▓▓Edge Weight▓1▓1▓0▓5▓10▓False▓Edge Weight▓1▓1▓0▓25▓15▓False▓Out-Degree▓0▓91▓0▓True▓Lime▓Fuchsia▓▓In-Degree▓0▓8▓0▓100▓1000▓False▓In-Degree▓1▓2▓0▓50▓100▓False▓▓0▓0▓0▓0▓0▓False▓▓0▓0▓0▓0▓0▓False</t>
  </si>
  <si>
    <t>GraphSource░YouTubeVideo▓GraphTerm░Video IDs▓ImportDescription░The graph represents the network of YouTube videos whose title, keywords, description, categories, or author's username contain "NodeXL".  The network was obtained from YouTube on Friday, 09 July 2021 at 16:03 UTC.
The network was limited to 100 videos.
There is an edge for each pair of videos that have the same category.▓ImportSuggestedTitle░YouTube Video IDs ▓ImportSuggestedFileNameNoExtension░2021-07-09 16-03-46 NodeXL YouTube Video IDs ▓GroupingDescription░The graph's vertices were grouped by cluster using the Clauset-Newman-Moore cluster algorithm.▓LayoutAlgorithm░The graph was laid out using the Grid layout algorithm.▓GraphDirectedness░The graph is directed.</t>
  </si>
  <si>
    <t>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0 Lime Fuchsia False False True&lt;/value&gt;
      &lt;/setting&gt;
      &lt;setting name="EdgeAlphaDetails" serializeAs="String"&gt;
        &lt;value&gt;False False 0 0 25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50 100 True False&lt;/va</t>
  </si>
  <si>
    <t>YouTubeVideo</t>
  </si>
  <si>
    <t>Video IDs</t>
  </si>
  <si>
    <t>The graph represents the network of YouTube videos whose title, keywords, description, categories, or author's username contain "NodeXL".  The network was obtained from YouTube on Friday, 09 July 2021 at 16:03 UTC.
The network was limited to 100 videos.
There is an edge for each pair of videos that have the same category.</t>
  </si>
  <si>
    <t>The graph was laid out using the Grid layout algorithm.</t>
  </si>
  <si>
    <t>The graph's vertices were grouped by cluster using the Clauset-Newman-Moore cluster algorithm.</t>
  </si>
  <si>
    <t>https://nodexlgraphgallery.org/Pages/Graph.aspx?graphID=258504</t>
  </si>
  <si>
    <t>https://nodexlgraphgallery.org/Images/Image.ashx?graphID=258504&amp;type=f</t>
  </si>
  <si>
    <t xml:space="preserve">     &lt;value&gt;OuterGlow&lt;/value&gt;
      &lt;/setting&gt;
      &lt;setting name="EdgeBundlerStraightening" serializeAs="String"&gt;
        &lt;value&gt;0.15&lt;/value&gt;
      &lt;/setting&gt;
    &lt;/GeneralUserSettings4&gt;
    &lt;GraphZoomAndScaleUserSettings&gt;
      &lt;setting name="GraphScale" serializeAs="String"&gt;
        &lt;value&gt;0.12&lt;/value&gt;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</si>
</sst>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51227"/>
        <c:axId val="31490132"/>
      </c:barChart>
      <c:catAx>
        <c:axId val="63151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490132"/>
        <c:crosses val="autoZero"/>
        <c:auto val="1"/>
        <c:lblOffset val="100"/>
        <c:noMultiLvlLbl val="0"/>
      </c:catAx>
      <c:valAx>
        <c:axId val="31490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1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75733"/>
        <c:axId val="563870"/>
      </c:barChart>
      <c:catAx>
        <c:axId val="149757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870"/>
        <c:crosses val="autoZero"/>
        <c:auto val="1"/>
        <c:lblOffset val="100"/>
        <c:noMultiLvlLbl val="0"/>
      </c:catAx>
      <c:valAx>
        <c:axId val="56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5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4831"/>
        <c:axId val="45673480"/>
      </c:barChart>
      <c:catAx>
        <c:axId val="5074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73480"/>
        <c:crosses val="autoZero"/>
        <c:auto val="1"/>
        <c:lblOffset val="100"/>
        <c:noMultiLvlLbl val="0"/>
      </c:catAx>
      <c:valAx>
        <c:axId val="4567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08137"/>
        <c:axId val="8564370"/>
      </c:barChart>
      <c:catAx>
        <c:axId val="84081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64370"/>
        <c:crosses val="autoZero"/>
        <c:auto val="1"/>
        <c:lblOffset val="100"/>
        <c:noMultiLvlLbl val="0"/>
      </c:catAx>
      <c:valAx>
        <c:axId val="856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70467"/>
        <c:axId val="22625340"/>
      </c:barChart>
      <c:catAx>
        <c:axId val="9970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625340"/>
        <c:crosses val="autoZero"/>
        <c:auto val="1"/>
        <c:lblOffset val="100"/>
        <c:noMultiLvlLbl val="0"/>
      </c:catAx>
      <c:valAx>
        <c:axId val="2262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0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1469"/>
        <c:axId val="20713222"/>
      </c:barChart>
      <c:catAx>
        <c:axId val="23014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713222"/>
        <c:crosses val="autoZero"/>
        <c:auto val="1"/>
        <c:lblOffset val="100"/>
        <c:noMultiLvlLbl val="0"/>
      </c:catAx>
      <c:valAx>
        <c:axId val="2071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1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201271"/>
        <c:axId val="49392"/>
      </c:barChart>
      <c:catAx>
        <c:axId val="52201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392"/>
        <c:crosses val="autoZero"/>
        <c:auto val="1"/>
        <c:lblOffset val="100"/>
        <c:noMultiLvlLbl val="0"/>
      </c:catAx>
      <c:valAx>
        <c:axId val="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529"/>
        <c:axId val="4000762"/>
      </c:barChart>
      <c:catAx>
        <c:axId val="4445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0762"/>
        <c:crosses val="autoZero"/>
        <c:auto val="1"/>
        <c:lblOffset val="100"/>
        <c:noMultiLvlLbl val="0"/>
      </c:catAx>
      <c:valAx>
        <c:axId val="400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06859"/>
        <c:axId val="55626276"/>
      </c:barChart>
      <c:catAx>
        <c:axId val="36006859"/>
        <c:scaling>
          <c:orientation val="minMax"/>
        </c:scaling>
        <c:axPos val="b"/>
        <c:delete val="1"/>
        <c:majorTickMark val="out"/>
        <c:minorTickMark val="none"/>
        <c:tickLblPos val="none"/>
        <c:crossAx val="55626276"/>
        <c:crosses val="autoZero"/>
        <c:auto val="1"/>
        <c:lblOffset val="100"/>
        <c:noMultiLvlLbl val="0"/>
      </c:catAx>
      <c:valAx>
        <c:axId val="55626276"/>
        <c:scaling>
          <c:orientation val="minMax"/>
        </c:scaling>
        <c:axPos val="l"/>
        <c:delete val="1"/>
        <c:majorTickMark val="out"/>
        <c:minorTickMark val="none"/>
        <c:tickLblPos val="none"/>
        <c:crossAx val="36006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115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6785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3360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9839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6604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3274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6519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9754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610" totalsRowShown="0" headerRowDxfId="219" dataDxfId="183">
  <autoFilter ref="A2:AA610"/>
  <tableColumns count="27">
    <tableColumn id="1" name="Vertex 1" dataDxfId="168"/>
    <tableColumn id="2" name="Vertex 2" dataDxfId="166"/>
    <tableColumn id="3" name="Color" dataDxfId="167"/>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23"/>
    <tableColumn id="7" name="ID" dataDxfId="185"/>
    <tableColumn id="9" name="Dynamic Filter" dataDxfId="184"/>
    <tableColumn id="8" name="Add Your Own Columns Here" dataDxfId="165"/>
    <tableColumn id="15" name="Relationship" dataDxfId="164"/>
    <tableColumn id="16" name="Edge Weight"/>
    <tableColumn id="17" name="Vertex 1 Group" dataDxfId="138">
      <calculatedColumnFormula>REPLACE(INDEX(GroupVertices[Group], MATCH(Edges[[#This Row],[Vertex 1]],GroupVertices[Vertex],0)),1,1,"")</calculatedColumnFormula>
    </tableColumn>
    <tableColumn id="18" name="Vertex 2 Group" dataDxfId="99">
      <calculatedColumnFormula>REPLACE(INDEX(GroupVertices[Group], MATCH(Edges[[#This Row],[Vertex 2]],GroupVertices[Vertex],0)),1,1,"")</calculatedColumnFormula>
    </tableColumn>
    <tableColumn id="19" name="Sentiment List #1: List1 Word Count" dataDxfId="98"/>
    <tableColumn id="20" name="Sentiment List #1: List1 Word Percentage (%)" dataDxfId="97"/>
    <tableColumn id="21" name="Sentiment List #2: List2 Word Count" dataDxfId="96"/>
    <tableColumn id="22" name="Sentiment List #2: List2 Word Percentage (%)" dataDxfId="95"/>
    <tableColumn id="23" name="Sentiment List #3: List3 Word Count" dataDxfId="94"/>
    <tableColumn id="24" name="Sentiment List #3: List3 Word Percentage (%)" dataDxfId="93"/>
    <tableColumn id="25" name="Non-categorized Word Count" dataDxfId="92"/>
    <tableColumn id="26" name="Non-categorized Word Percentage (%)" dataDxfId="91"/>
    <tableColumn id="27"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7" totalsRowShown="0" headerRowDxfId="122" dataDxfId="121">
  <autoFilter ref="A1:G2277"/>
  <tableColumns count="7">
    <tableColumn id="1" name="Word" dataDxfId="120"/>
    <tableColumn id="2" name="Count" dataDxfId="119"/>
    <tableColumn id="3" name="Salience" dataDxfId="118"/>
    <tableColumn id="4" name="Group" dataDxfId="117"/>
    <tableColumn id="5" name="Word on Sentiment List #1: List1" dataDxfId="116"/>
    <tableColumn id="6" name="Word on Sentiment List #2: List2" dataDxfId="115"/>
    <tableColumn id="7" name="Word on Sentiment List #3: List3" dataDxfId="11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4" totalsRowShown="0" headerRowDxfId="113" dataDxfId="112">
  <autoFilter ref="A1:L1884"/>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List1" dataDxfId="105"/>
    <tableColumn id="8" name="Word1 on Sentiment List #2: List2" dataDxfId="104"/>
    <tableColumn id="9" name="Word1 on Sentiment List #3: List3" dataDxfId="103"/>
    <tableColumn id="10" name="Word2 on Sentiment List #1: List1" dataDxfId="102"/>
    <tableColumn id="11" name="Word2 on Sentiment List #2: List2" dataDxfId="101"/>
    <tableColumn id="12" name="Word2 on Sentiment List #3: List3" dataDxfId="1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46" totalsRowShown="0" headerRowDxfId="71" dataDxfId="70">
  <autoFilter ref="A2:C46"/>
  <tableColumns count="3">
    <tableColumn id="1" name="Group 1" dataDxfId="69"/>
    <tableColumn id="2" name="Group 2" dataDxfId="68"/>
    <tableColumn id="3" name="Edges" dataDxfId="6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4" dataDxfId="63">
  <autoFilter ref="A1:B7"/>
  <tableColumns count="2">
    <tableColumn id="1" name="Key" dataDxfId="49"/>
    <tableColumn id="2" name="Value" dataDxfId="48"/>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3" dataDxfId="52">
  <autoFilter ref="A1:B11"/>
  <tableColumns count="2">
    <tableColumn id="1" name="Top 10 Vertices, Ranked by Betweenness Centrality" dataDxfId="51"/>
    <tableColumn id="2" name="Betweenness Centrality" dataDxfId="50"/>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47" dataDxfId="46">
  <autoFilter ref="A1:R11"/>
  <tableColumns count="18">
    <tableColumn id="1" name="Top Words in Tags in Entire Graph" dataDxfId="45"/>
    <tableColumn id="2" name="Entire Graph Count" dataDxfId="44"/>
    <tableColumn id="3" name="Top Words in Tags in G1" dataDxfId="43"/>
    <tableColumn id="4" name="G1 Count" dataDxfId="42"/>
    <tableColumn id="5" name="Top Words in Tags in G2" dataDxfId="41"/>
    <tableColumn id="6" name="G2 Count" dataDxfId="40"/>
    <tableColumn id="7" name="Top Words in Tags in G3" dataDxfId="39"/>
    <tableColumn id="8" name="G3 Count" dataDxfId="38"/>
    <tableColumn id="9" name="Top Words in Tags in G4" dataDxfId="37"/>
    <tableColumn id="10" name="G4 Count" dataDxfId="36"/>
    <tableColumn id="11" name="Top Words in Tags in G5" dataDxfId="35"/>
    <tableColumn id="12" name="G5 Count" dataDxfId="34"/>
    <tableColumn id="13" name="Top Words in Tags in G6" dataDxfId="33"/>
    <tableColumn id="14" name="G6 Count" dataDxfId="32"/>
    <tableColumn id="15" name="Top Words in Tags in G7" dataDxfId="31"/>
    <tableColumn id="16" name="G7 Count" dataDxfId="30"/>
    <tableColumn id="17" name="Top Words in Tags in G8" dataDxfId="29"/>
    <tableColumn id="18" name="G8 Count" dataDxfId="28"/>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24" totalsRowShown="0" headerRowDxfId="26" dataDxfId="25">
  <autoFilter ref="A14:R24"/>
  <tableColumns count="18">
    <tableColumn id="1" name="Top Word Pairs in Tags in Entire Graph" dataDxfId="24"/>
    <tableColumn id="2" name="Entire Graph Count" dataDxfId="23"/>
    <tableColumn id="3" name="Top Word Pairs in Tags in G1" dataDxfId="22"/>
    <tableColumn id="4" name="G1 Count" dataDxfId="21"/>
    <tableColumn id="5" name="Top Word Pairs in Tags in G2" dataDxfId="20"/>
    <tableColumn id="6" name="G2 Count" dataDxfId="19"/>
    <tableColumn id="7" name="Top Word Pairs in Tags in G3" dataDxfId="18"/>
    <tableColumn id="8" name="G3 Count" dataDxfId="17"/>
    <tableColumn id="9" name="Top Word Pairs in Tags in G4" dataDxfId="16"/>
    <tableColumn id="10" name="G4 Count" dataDxfId="15"/>
    <tableColumn id="11" name="Top Word Pairs in Tags in G5" dataDxfId="14"/>
    <tableColumn id="12" name="G5 Count" dataDxfId="13"/>
    <tableColumn id="13" name="Top Word Pairs in Tags in G6" dataDxfId="12"/>
    <tableColumn id="14" name="G6 Count" dataDxfId="11"/>
    <tableColumn id="15" name="Top Word Pairs in Tags in G7" dataDxfId="10"/>
    <tableColumn id="16" name="G7 Count" dataDxfId="9"/>
    <tableColumn id="17" name="Top Word Pairs in Tags in G8" dataDxfId="8"/>
    <tableColumn id="18" name="G8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403" totalsRowShown="0" headerRowDxfId="218" dataDxfId="169">
  <autoFilter ref="A2:BB403"/>
  <sortState ref="A3:BB403">
    <sortCondition descending="1" sortBy="value" ref="U3:U403"/>
  </sortState>
  <tableColumns count="54">
    <tableColumn id="1" name="Vertex" dataDxfId="182"/>
    <tableColumn id="2" name="Color" dataDxfId="181"/>
    <tableColumn id="5" name="Shape" dataDxfId="180"/>
    <tableColumn id="6" name="Size" dataDxfId="179"/>
    <tableColumn id="4" name="Opacity" dataDxfId="151"/>
    <tableColumn id="7" name="Image File" dataDxfId="149"/>
    <tableColumn id="3" name="Visibility" dataDxfId="150"/>
    <tableColumn id="10" name="Label" dataDxfId="178"/>
    <tableColumn id="16" name="Label Fill Color" dataDxfId="177"/>
    <tableColumn id="9" name="Label Position" dataDxfId="163"/>
    <tableColumn id="8" name="Tooltip" dataDxfId="161"/>
    <tableColumn id="18" name="Layout Order" dataDxfId="162"/>
    <tableColumn id="13" name="X" dataDxfId="176"/>
    <tableColumn id="14" name="Y" dataDxfId="175"/>
    <tableColumn id="12" name="Locked?" dataDxfId="174"/>
    <tableColumn id="19" name="Polar R" dataDxfId="173"/>
    <tableColumn id="20" name="Polar Angle" dataDxfId="172"/>
    <tableColumn id="21" name="Degree" dataDxfId="60"/>
    <tableColumn id="22" name="In-Degree" dataDxfId="59"/>
    <tableColumn id="23" name="Out-Degree" dataDxfId="57"/>
    <tableColumn id="24" name="Betweenness Centrality" dataDxfId="58"/>
    <tableColumn id="25" name="Closeness Centrality" dataDxfId="62"/>
    <tableColumn id="26" name="Eigenvector Centrality" dataDxfId="61"/>
    <tableColumn id="15" name="PageRank" dataDxfId="56"/>
    <tableColumn id="27" name="Clustering Coefficient" dataDxfId="54"/>
    <tableColumn id="29" name="Reciprocated Vertex Pair Ratio" dataDxfId="55"/>
    <tableColumn id="11" name="ID" dataDxfId="171"/>
    <tableColumn id="28" name="Dynamic Filter" dataDxfId="170"/>
    <tableColumn id="17" name="Add Your Own Columns Here" dataDxfId="160"/>
    <tableColumn id="30" name="Title" dataDxfId="159"/>
    <tableColumn id="31" name="Description" dataDxfId="158"/>
    <tableColumn id="32" name="Tags" dataDxfId="157"/>
    <tableColumn id="33" name="Author" dataDxfId="156"/>
    <tableColumn id="34" name="Created Date (UTC)" dataDxfId="155"/>
    <tableColumn id="35" name="Views" dataDxfId="154"/>
    <tableColumn id="36" name="Comments" dataDxfId="153"/>
    <tableColumn id="37" name="Likes Count" dataDxfId="152"/>
    <tableColumn id="38" name="Dislikes Count" dataDxfId="148"/>
    <tableColumn id="39" name="Custom Menu Item Text" dataDxfId="147"/>
    <tableColumn id="40" name="Custom Menu Item Action" dataDxfId="139"/>
    <tableColumn id="41" name="Vertex Group" dataDxfId="89">
      <calculatedColumnFormula>REPLACE(INDEX(GroupVertices[Group], MATCH(Vertices[[#This Row],[Vertex]],GroupVertices[Vertex],0)),1,1,"")</calculatedColumnFormula>
    </tableColumn>
    <tableColumn id="42" name="Sentiment List #1: List1 Word Count" dataDxfId="88"/>
    <tableColumn id="43" name="Sentiment List #1: List1 Word Percentage (%)" dataDxfId="87"/>
    <tableColumn id="44" name="Sentiment List #2: List2 Word Count" dataDxfId="86"/>
    <tableColumn id="45" name="Sentiment List #2: List2 Word Percentage (%)" dataDxfId="85"/>
    <tableColumn id="46" name="Sentiment List #3: List3 Word Count" dataDxfId="84"/>
    <tableColumn id="47" name="Sentiment List #3: List3 Word Percentage (%)" dataDxfId="83"/>
    <tableColumn id="48" name="Non-categorized Word Count" dataDxfId="82"/>
    <tableColumn id="49" name="Non-categorized Word Percentage (%)" dataDxfId="81"/>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0" totalsRowShown="0" headerRowDxfId="217">
  <autoFilter ref="A2:AI10"/>
  <tableColumns count="35">
    <tableColumn id="1" name="Group" dataDxfId="146"/>
    <tableColumn id="2" name="Vertex Color" dataDxfId="145"/>
    <tableColumn id="3" name="Vertex Shape" dataDxfId="143"/>
    <tableColumn id="22" name="Visibility" dataDxfId="144"/>
    <tableColumn id="4" name="Collapsed?"/>
    <tableColumn id="18" name="Label" dataDxfId="216"/>
    <tableColumn id="20" name="Collapsed X"/>
    <tableColumn id="21" name="Collapsed Y"/>
    <tableColumn id="6" name="ID" dataDxfId="215"/>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0"/>
    <tableColumn id="23" name="Sentiment List #1: List1 Word Count" dataDxfId="79"/>
    <tableColumn id="26" name="Sentiment List #1: List1 Word Percentage (%)" dataDxfId="78"/>
    <tableColumn id="27" name="Sentiment List #2: List2 Word Count" dataDxfId="77"/>
    <tableColumn id="28" name="Sentiment List #2: List2 Word Percentage (%)" dataDxfId="76"/>
    <tableColumn id="29" name="Sentiment List #3: List3 Word Count" dataDxfId="75"/>
    <tableColumn id="30" name="Sentiment List #3: List3 Word Percentage (%)" dataDxfId="74"/>
    <tableColumn id="31" name="Non-categorized Word Count" dataDxfId="73"/>
    <tableColumn id="32" name="Non-categorized Word Percentage (%)" dataDxfId="72"/>
    <tableColumn id="33" name="Group Content Word Count" dataDxfId="27"/>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2" totalsRowShown="0" headerRowDxfId="214" dataDxfId="213">
  <autoFilter ref="A1:C402"/>
  <tableColumns count="3">
    <tableColumn id="1" name="Group" dataDxfId="142"/>
    <tableColumn id="2" name="Vertex" dataDxfId="141"/>
    <tableColumn id="3" name="Vertex ID" dataDxfId="1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4.421875" style="0" customWidth="1"/>
    <col min="17" max="18" width="10.421875" style="0" bestFit="1" customWidth="1"/>
    <col min="19" max="19" width="18.28125" style="0" bestFit="1" customWidth="1"/>
    <col min="20" max="20" width="22.57421875" style="0" bestFit="1" customWidth="1"/>
    <col min="21" max="21" width="18.28125" style="0" bestFit="1" customWidth="1"/>
    <col min="22" max="22" width="22.57421875" style="0" bestFit="1" customWidth="1"/>
    <col min="23" max="23" width="18.28125" style="0" bestFit="1" customWidth="1"/>
    <col min="24" max="24" width="22.57421875" style="0" bestFit="1" customWidth="1"/>
    <col min="25" max="25" width="17.28125" style="0" bestFit="1" customWidth="1"/>
    <col min="26" max="26" width="20.57421875" style="0" bestFit="1" customWidth="1"/>
    <col min="27" max="27" width="14.57421875" style="0" bestFit="1" customWidth="1"/>
  </cols>
  <sheetData>
    <row r="1" spans="3:14" ht="15">
      <c r="C1" s="17" t="s">
        <v>39</v>
      </c>
      <c r="D1" s="18"/>
      <c r="E1" s="18"/>
      <c r="F1" s="18"/>
      <c r="G1" s="17"/>
      <c r="H1" s="15" t="s">
        <v>43</v>
      </c>
      <c r="I1" s="52"/>
      <c r="J1" s="52"/>
      <c r="K1" s="34" t="s">
        <v>42</v>
      </c>
      <c r="L1" s="19" t="s">
        <v>40</v>
      </c>
      <c r="M1" s="19"/>
      <c r="N1" s="16"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t="s">
        <v>2319</v>
      </c>
      <c r="Q2" s="13" t="s">
        <v>2337</v>
      </c>
      <c r="R2" s="13" t="s">
        <v>2338</v>
      </c>
      <c r="S2" s="54" t="s">
        <v>3382</v>
      </c>
      <c r="T2" s="54" t="s">
        <v>3383</v>
      </c>
      <c r="U2" s="54" t="s">
        <v>3384</v>
      </c>
      <c r="V2" s="54" t="s">
        <v>3385</v>
      </c>
      <c r="W2" s="54" t="s">
        <v>3386</v>
      </c>
      <c r="X2" s="54" t="s">
        <v>3387</v>
      </c>
      <c r="Y2" s="54" t="s">
        <v>3388</v>
      </c>
      <c r="Z2" s="54" t="s">
        <v>3389</v>
      </c>
      <c r="AA2" s="54" t="s">
        <v>3390</v>
      </c>
    </row>
    <row r="3" spans="1:27" ht="15" customHeight="1">
      <c r="A3" s="65" t="s">
        <v>212</v>
      </c>
      <c r="B3" s="65" t="s">
        <v>612</v>
      </c>
      <c r="C3" s="66" t="s">
        <v>3534</v>
      </c>
      <c r="D3" s="67">
        <v>5</v>
      </c>
      <c r="E3" s="68"/>
      <c r="F3" s="69">
        <v>25</v>
      </c>
      <c r="G3" s="66"/>
      <c r="H3" s="70"/>
      <c r="I3" s="71"/>
      <c r="J3" s="71"/>
      <c r="K3" s="35" t="s">
        <v>65</v>
      </c>
      <c r="L3" s="72">
        <v>3</v>
      </c>
      <c r="M3" s="72"/>
      <c r="N3" s="73"/>
      <c r="O3" s="80" t="s">
        <v>613</v>
      </c>
      <c r="P3">
        <v>1</v>
      </c>
      <c r="Q3" s="80" t="str">
        <f>REPLACE(INDEX(GroupVertices[Group],MATCH(Edges[[#This Row],[Vertex 1]],GroupVertices[Vertex],0)),1,1,"")</f>
        <v>7</v>
      </c>
      <c r="R3" s="80" t="str">
        <f>REPLACE(INDEX(GroupVertices[Group],MATCH(Edges[[#This Row],[Vertex 2]],GroupVertices[Vertex],0)),1,1,"")</f>
        <v>7</v>
      </c>
      <c r="S3" s="35"/>
      <c r="T3" s="35"/>
      <c r="U3" s="35"/>
      <c r="V3" s="35"/>
      <c r="W3" s="35"/>
      <c r="X3" s="35"/>
      <c r="Y3" s="35"/>
      <c r="Z3" s="35"/>
      <c r="AA3" s="35"/>
    </row>
    <row r="4" spans="1:27" ht="15" customHeight="1">
      <c r="A4" s="65" t="s">
        <v>212</v>
      </c>
      <c r="B4" s="65" t="s">
        <v>221</v>
      </c>
      <c r="C4" s="66" t="s">
        <v>3534</v>
      </c>
      <c r="D4" s="67">
        <v>5</v>
      </c>
      <c r="E4" s="68"/>
      <c r="F4" s="69">
        <v>25</v>
      </c>
      <c r="G4" s="66"/>
      <c r="H4" s="70"/>
      <c r="I4" s="71"/>
      <c r="J4" s="71"/>
      <c r="K4" s="35" t="s">
        <v>65</v>
      </c>
      <c r="L4" s="79">
        <v>4</v>
      </c>
      <c r="M4" s="79"/>
      <c r="N4" s="73"/>
      <c r="O4" s="81" t="s">
        <v>613</v>
      </c>
      <c r="P4">
        <v>1</v>
      </c>
      <c r="Q4" s="80" t="str">
        <f>REPLACE(INDEX(GroupVertices[Group],MATCH(Edges[[#This Row],[Vertex 1]],GroupVertices[Vertex],0)),1,1,"")</f>
        <v>7</v>
      </c>
      <c r="R4" s="80" t="str">
        <f>REPLACE(INDEX(GroupVertices[Group],MATCH(Edges[[#This Row],[Vertex 2]],GroupVertices[Vertex],0)),1,1,"")</f>
        <v>7</v>
      </c>
      <c r="S4" s="35"/>
      <c r="T4" s="35"/>
      <c r="U4" s="35"/>
      <c r="V4" s="35"/>
      <c r="W4" s="35"/>
      <c r="X4" s="35"/>
      <c r="Y4" s="35"/>
      <c r="Z4" s="35"/>
      <c r="AA4" s="35"/>
    </row>
    <row r="5" spans="1:27" ht="15">
      <c r="A5" s="65" t="s">
        <v>212</v>
      </c>
      <c r="B5" s="65" t="s">
        <v>222</v>
      </c>
      <c r="C5" s="66" t="s">
        <v>3534</v>
      </c>
      <c r="D5" s="67">
        <v>5</v>
      </c>
      <c r="E5" s="68"/>
      <c r="F5" s="69">
        <v>25</v>
      </c>
      <c r="G5" s="66"/>
      <c r="H5" s="70"/>
      <c r="I5" s="71"/>
      <c r="J5" s="71"/>
      <c r="K5" s="35" t="s">
        <v>65</v>
      </c>
      <c r="L5" s="79">
        <v>5</v>
      </c>
      <c r="M5" s="79"/>
      <c r="N5" s="73"/>
      <c r="O5" s="81" t="s">
        <v>613</v>
      </c>
      <c r="P5">
        <v>1</v>
      </c>
      <c r="Q5" s="80" t="str">
        <f>REPLACE(INDEX(GroupVertices[Group],MATCH(Edges[[#This Row],[Vertex 1]],GroupVertices[Vertex],0)),1,1,"")</f>
        <v>7</v>
      </c>
      <c r="R5" s="80" t="str">
        <f>REPLACE(INDEX(GroupVertices[Group],MATCH(Edges[[#This Row],[Vertex 2]],GroupVertices[Vertex],0)),1,1,"")</f>
        <v>7</v>
      </c>
      <c r="S5" s="35"/>
      <c r="T5" s="35"/>
      <c r="U5" s="35"/>
      <c r="V5" s="35"/>
      <c r="W5" s="35"/>
      <c r="X5" s="35"/>
      <c r="Y5" s="35"/>
      <c r="Z5" s="35"/>
      <c r="AA5" s="35"/>
    </row>
    <row r="6" spans="1:27" ht="15">
      <c r="A6" s="65" t="s">
        <v>212</v>
      </c>
      <c r="B6" s="65" t="s">
        <v>223</v>
      </c>
      <c r="C6" s="66" t="s">
        <v>3534</v>
      </c>
      <c r="D6" s="67">
        <v>5</v>
      </c>
      <c r="E6" s="68"/>
      <c r="F6" s="69">
        <v>25</v>
      </c>
      <c r="G6" s="66"/>
      <c r="H6" s="70"/>
      <c r="I6" s="71"/>
      <c r="J6" s="71"/>
      <c r="K6" s="35" t="s">
        <v>65</v>
      </c>
      <c r="L6" s="79">
        <v>6</v>
      </c>
      <c r="M6" s="79"/>
      <c r="N6" s="73"/>
      <c r="O6" s="81" t="s">
        <v>613</v>
      </c>
      <c r="P6">
        <v>1</v>
      </c>
      <c r="Q6" s="80" t="str">
        <f>REPLACE(INDEX(GroupVertices[Group],MATCH(Edges[[#This Row],[Vertex 1]],GroupVertices[Vertex],0)),1,1,"")</f>
        <v>7</v>
      </c>
      <c r="R6" s="80" t="str">
        <f>REPLACE(INDEX(GroupVertices[Group],MATCH(Edges[[#This Row],[Vertex 2]],GroupVertices[Vertex],0)),1,1,"")</f>
        <v>7</v>
      </c>
      <c r="S6" s="35"/>
      <c r="T6" s="35"/>
      <c r="U6" s="35"/>
      <c r="V6" s="35"/>
      <c r="W6" s="35"/>
      <c r="X6" s="35"/>
      <c r="Y6" s="35"/>
      <c r="Z6" s="35"/>
      <c r="AA6" s="35"/>
    </row>
    <row r="7" spans="1:27" ht="15">
      <c r="A7" s="65" t="s">
        <v>212</v>
      </c>
      <c r="B7" s="65" t="s">
        <v>224</v>
      </c>
      <c r="C7" s="66" t="s">
        <v>3534</v>
      </c>
      <c r="D7" s="67">
        <v>5</v>
      </c>
      <c r="E7" s="68"/>
      <c r="F7" s="69">
        <v>25</v>
      </c>
      <c r="G7" s="66"/>
      <c r="H7" s="70"/>
      <c r="I7" s="71"/>
      <c r="J7" s="71"/>
      <c r="K7" s="35" t="s">
        <v>65</v>
      </c>
      <c r="L7" s="79">
        <v>7</v>
      </c>
      <c r="M7" s="79"/>
      <c r="N7" s="73"/>
      <c r="O7" s="81" t="s">
        <v>613</v>
      </c>
      <c r="P7">
        <v>1</v>
      </c>
      <c r="Q7" s="80" t="str">
        <f>REPLACE(INDEX(GroupVertices[Group],MATCH(Edges[[#This Row],[Vertex 1]],GroupVertices[Vertex],0)),1,1,"")</f>
        <v>7</v>
      </c>
      <c r="R7" s="80" t="str">
        <f>REPLACE(INDEX(GroupVertices[Group],MATCH(Edges[[#This Row],[Vertex 2]],GroupVertices[Vertex],0)),1,1,"")</f>
        <v>7</v>
      </c>
      <c r="S7" s="35"/>
      <c r="T7" s="35"/>
      <c r="U7" s="35"/>
      <c r="V7" s="35"/>
      <c r="W7" s="35"/>
      <c r="X7" s="35"/>
      <c r="Y7" s="35"/>
      <c r="Z7" s="35"/>
      <c r="AA7" s="35"/>
    </row>
    <row r="8" spans="1:27" ht="15">
      <c r="A8" s="65" t="s">
        <v>212</v>
      </c>
      <c r="B8" s="65" t="s">
        <v>225</v>
      </c>
      <c r="C8" s="66" t="s">
        <v>3534</v>
      </c>
      <c r="D8" s="67">
        <v>5</v>
      </c>
      <c r="E8" s="68"/>
      <c r="F8" s="69">
        <v>25</v>
      </c>
      <c r="G8" s="66"/>
      <c r="H8" s="70"/>
      <c r="I8" s="71"/>
      <c r="J8" s="71"/>
      <c r="K8" s="35" t="s">
        <v>65</v>
      </c>
      <c r="L8" s="79">
        <v>8</v>
      </c>
      <c r="M8" s="79"/>
      <c r="N8" s="73"/>
      <c r="O8" s="81" t="s">
        <v>613</v>
      </c>
      <c r="P8">
        <v>1</v>
      </c>
      <c r="Q8" s="80" t="str">
        <f>REPLACE(INDEX(GroupVertices[Group],MATCH(Edges[[#This Row],[Vertex 1]],GroupVertices[Vertex],0)),1,1,"")</f>
        <v>7</v>
      </c>
      <c r="R8" s="80" t="str">
        <f>REPLACE(INDEX(GroupVertices[Group],MATCH(Edges[[#This Row],[Vertex 2]],GroupVertices[Vertex],0)),1,1,"")</f>
        <v>7</v>
      </c>
      <c r="S8" s="35"/>
      <c r="T8" s="35"/>
      <c r="U8" s="35"/>
      <c r="V8" s="35"/>
      <c r="W8" s="35"/>
      <c r="X8" s="35"/>
      <c r="Y8" s="35"/>
      <c r="Z8" s="35"/>
      <c r="AA8" s="35"/>
    </row>
    <row r="9" spans="1:27" ht="15">
      <c r="A9" s="65" t="s">
        <v>212</v>
      </c>
      <c r="B9" s="65" t="s">
        <v>226</v>
      </c>
      <c r="C9" s="66" t="s">
        <v>3534</v>
      </c>
      <c r="D9" s="67">
        <v>5</v>
      </c>
      <c r="E9" s="68"/>
      <c r="F9" s="69">
        <v>25</v>
      </c>
      <c r="G9" s="66"/>
      <c r="H9" s="70"/>
      <c r="I9" s="71"/>
      <c r="J9" s="71"/>
      <c r="K9" s="35" t="s">
        <v>65</v>
      </c>
      <c r="L9" s="79">
        <v>9</v>
      </c>
      <c r="M9" s="79"/>
      <c r="N9" s="73"/>
      <c r="O9" s="81" t="s">
        <v>613</v>
      </c>
      <c r="P9">
        <v>1</v>
      </c>
      <c r="Q9" s="80" t="str">
        <f>REPLACE(INDEX(GroupVertices[Group],MATCH(Edges[[#This Row],[Vertex 1]],GroupVertices[Vertex],0)),1,1,"")</f>
        <v>7</v>
      </c>
      <c r="R9" s="80" t="str">
        <f>REPLACE(INDEX(GroupVertices[Group],MATCH(Edges[[#This Row],[Vertex 2]],GroupVertices[Vertex],0)),1,1,"")</f>
        <v>7</v>
      </c>
      <c r="S9" s="35"/>
      <c r="T9" s="35"/>
      <c r="U9" s="35"/>
      <c r="V9" s="35"/>
      <c r="W9" s="35"/>
      <c r="X9" s="35"/>
      <c r="Y9" s="35"/>
      <c r="Z9" s="35"/>
      <c r="AA9" s="35"/>
    </row>
    <row r="10" spans="1:27" ht="15">
      <c r="A10" s="65" t="s">
        <v>212</v>
      </c>
      <c r="B10" s="65" t="s">
        <v>227</v>
      </c>
      <c r="C10" s="66" t="s">
        <v>3534</v>
      </c>
      <c r="D10" s="67">
        <v>5</v>
      </c>
      <c r="E10" s="68"/>
      <c r="F10" s="69">
        <v>25</v>
      </c>
      <c r="G10" s="66"/>
      <c r="H10" s="70"/>
      <c r="I10" s="71"/>
      <c r="J10" s="71"/>
      <c r="K10" s="35" t="s">
        <v>65</v>
      </c>
      <c r="L10" s="79">
        <v>10</v>
      </c>
      <c r="M10" s="79"/>
      <c r="N10" s="73"/>
      <c r="O10" s="81" t="s">
        <v>613</v>
      </c>
      <c r="P10">
        <v>1</v>
      </c>
      <c r="Q10" s="80" t="str">
        <f>REPLACE(INDEX(GroupVertices[Group],MATCH(Edges[[#This Row],[Vertex 1]],GroupVertices[Vertex],0)),1,1,"")</f>
        <v>7</v>
      </c>
      <c r="R10" s="80" t="str">
        <f>REPLACE(INDEX(GroupVertices[Group],MATCH(Edges[[#This Row],[Vertex 2]],GroupVertices[Vertex],0)),1,1,"")</f>
        <v>7</v>
      </c>
      <c r="S10" s="35"/>
      <c r="T10" s="35"/>
      <c r="U10" s="35"/>
      <c r="V10" s="35"/>
      <c r="W10" s="35"/>
      <c r="X10" s="35"/>
      <c r="Y10" s="35"/>
      <c r="Z10" s="35"/>
      <c r="AA10" s="35"/>
    </row>
    <row r="11" spans="1:27" ht="15">
      <c r="A11" s="65" t="s">
        <v>212</v>
      </c>
      <c r="B11" s="65" t="s">
        <v>228</v>
      </c>
      <c r="C11" s="66" t="s">
        <v>3534</v>
      </c>
      <c r="D11" s="67">
        <v>5</v>
      </c>
      <c r="E11" s="68"/>
      <c r="F11" s="69">
        <v>25</v>
      </c>
      <c r="G11" s="66"/>
      <c r="H11" s="70"/>
      <c r="I11" s="71"/>
      <c r="J11" s="71"/>
      <c r="K11" s="35" t="s">
        <v>65</v>
      </c>
      <c r="L11" s="79">
        <v>11</v>
      </c>
      <c r="M11" s="79"/>
      <c r="N11" s="73"/>
      <c r="O11" s="81" t="s">
        <v>613</v>
      </c>
      <c r="P11">
        <v>1</v>
      </c>
      <c r="Q11" s="80" t="str">
        <f>REPLACE(INDEX(GroupVertices[Group],MATCH(Edges[[#This Row],[Vertex 1]],GroupVertices[Vertex],0)),1,1,"")</f>
        <v>7</v>
      </c>
      <c r="R11" s="80" t="str">
        <f>REPLACE(INDEX(GroupVertices[Group],MATCH(Edges[[#This Row],[Vertex 2]],GroupVertices[Vertex],0)),1,1,"")</f>
        <v>7</v>
      </c>
      <c r="S11" s="35"/>
      <c r="T11" s="35"/>
      <c r="U11" s="35"/>
      <c r="V11" s="35"/>
      <c r="W11" s="35"/>
      <c r="X11" s="35"/>
      <c r="Y11" s="35"/>
      <c r="Z11" s="35"/>
      <c r="AA11" s="35"/>
    </row>
    <row r="12" spans="1:27" ht="15">
      <c r="A12" s="65" t="s">
        <v>212</v>
      </c>
      <c r="B12" s="65" t="s">
        <v>229</v>
      </c>
      <c r="C12" s="66" t="s">
        <v>3534</v>
      </c>
      <c r="D12" s="67">
        <v>5</v>
      </c>
      <c r="E12" s="68"/>
      <c r="F12" s="69">
        <v>25</v>
      </c>
      <c r="G12" s="66"/>
      <c r="H12" s="70"/>
      <c r="I12" s="71"/>
      <c r="J12" s="71"/>
      <c r="K12" s="35" t="s">
        <v>65</v>
      </c>
      <c r="L12" s="79">
        <v>12</v>
      </c>
      <c r="M12" s="79"/>
      <c r="N12" s="73"/>
      <c r="O12" s="81" t="s">
        <v>613</v>
      </c>
      <c r="P12">
        <v>1</v>
      </c>
      <c r="Q12" s="80" t="str">
        <f>REPLACE(INDEX(GroupVertices[Group],MATCH(Edges[[#This Row],[Vertex 1]],GroupVertices[Vertex],0)),1,1,"")</f>
        <v>7</v>
      </c>
      <c r="R12" s="80" t="str">
        <f>REPLACE(INDEX(GroupVertices[Group],MATCH(Edges[[#This Row],[Vertex 2]],GroupVertices[Vertex],0)),1,1,"")</f>
        <v>7</v>
      </c>
      <c r="S12" s="35"/>
      <c r="T12" s="35"/>
      <c r="U12" s="35"/>
      <c r="V12" s="35"/>
      <c r="W12" s="35"/>
      <c r="X12" s="35"/>
      <c r="Y12" s="35"/>
      <c r="Z12" s="35"/>
      <c r="AA12" s="35"/>
    </row>
    <row r="13" spans="1:27" ht="15">
      <c r="A13" s="65" t="s">
        <v>212</v>
      </c>
      <c r="B13" s="65" t="s">
        <v>230</v>
      </c>
      <c r="C13" s="66" t="s">
        <v>3534</v>
      </c>
      <c r="D13" s="67">
        <v>5</v>
      </c>
      <c r="E13" s="68"/>
      <c r="F13" s="69">
        <v>25</v>
      </c>
      <c r="G13" s="66"/>
      <c r="H13" s="70"/>
      <c r="I13" s="71"/>
      <c r="J13" s="71"/>
      <c r="K13" s="35" t="s">
        <v>65</v>
      </c>
      <c r="L13" s="79">
        <v>13</v>
      </c>
      <c r="M13" s="79"/>
      <c r="N13" s="73"/>
      <c r="O13" s="81" t="s">
        <v>613</v>
      </c>
      <c r="P13">
        <v>1</v>
      </c>
      <c r="Q13" s="80" t="str">
        <f>REPLACE(INDEX(GroupVertices[Group],MATCH(Edges[[#This Row],[Vertex 1]],GroupVertices[Vertex],0)),1,1,"")</f>
        <v>7</v>
      </c>
      <c r="R13" s="80" t="str">
        <f>REPLACE(INDEX(GroupVertices[Group],MATCH(Edges[[#This Row],[Vertex 2]],GroupVertices[Vertex],0)),1,1,"")</f>
        <v>7</v>
      </c>
      <c r="S13" s="35"/>
      <c r="T13" s="35"/>
      <c r="U13" s="35"/>
      <c r="V13" s="35"/>
      <c r="W13" s="35"/>
      <c r="X13" s="35"/>
      <c r="Y13" s="35"/>
      <c r="Z13" s="35"/>
      <c r="AA13" s="35"/>
    </row>
    <row r="14" spans="1:27" ht="15">
      <c r="A14" s="65" t="s">
        <v>212</v>
      </c>
      <c r="B14" s="65" t="s">
        <v>231</v>
      </c>
      <c r="C14" s="66" t="s">
        <v>3534</v>
      </c>
      <c r="D14" s="67">
        <v>5</v>
      </c>
      <c r="E14" s="68"/>
      <c r="F14" s="69">
        <v>25</v>
      </c>
      <c r="G14" s="66"/>
      <c r="H14" s="70"/>
      <c r="I14" s="71"/>
      <c r="J14" s="71"/>
      <c r="K14" s="35" t="s">
        <v>65</v>
      </c>
      <c r="L14" s="79">
        <v>14</v>
      </c>
      <c r="M14" s="79"/>
      <c r="N14" s="73"/>
      <c r="O14" s="81" t="s">
        <v>613</v>
      </c>
      <c r="P14">
        <v>1</v>
      </c>
      <c r="Q14" s="80" t="str">
        <f>REPLACE(INDEX(GroupVertices[Group],MATCH(Edges[[#This Row],[Vertex 1]],GroupVertices[Vertex],0)),1,1,"")</f>
        <v>7</v>
      </c>
      <c r="R14" s="80" t="str">
        <f>REPLACE(INDEX(GroupVertices[Group],MATCH(Edges[[#This Row],[Vertex 2]],GroupVertices[Vertex],0)),1,1,"")</f>
        <v>7</v>
      </c>
      <c r="S14" s="35"/>
      <c r="T14" s="35"/>
      <c r="U14" s="35"/>
      <c r="V14" s="35"/>
      <c r="W14" s="35"/>
      <c r="X14" s="35"/>
      <c r="Y14" s="35"/>
      <c r="Z14" s="35"/>
      <c r="AA14" s="35"/>
    </row>
    <row r="15" spans="1:27" ht="15">
      <c r="A15" s="65" t="s">
        <v>212</v>
      </c>
      <c r="B15" s="65" t="s">
        <v>232</v>
      </c>
      <c r="C15" s="66" t="s">
        <v>3534</v>
      </c>
      <c r="D15" s="67">
        <v>5</v>
      </c>
      <c r="E15" s="68"/>
      <c r="F15" s="69">
        <v>25</v>
      </c>
      <c r="G15" s="66"/>
      <c r="H15" s="70"/>
      <c r="I15" s="71"/>
      <c r="J15" s="71"/>
      <c r="K15" s="35" t="s">
        <v>65</v>
      </c>
      <c r="L15" s="79">
        <v>15</v>
      </c>
      <c r="M15" s="79"/>
      <c r="N15" s="73"/>
      <c r="O15" s="81" t="s">
        <v>613</v>
      </c>
      <c r="P15">
        <v>1</v>
      </c>
      <c r="Q15" s="80" t="str">
        <f>REPLACE(INDEX(GroupVertices[Group],MATCH(Edges[[#This Row],[Vertex 1]],GroupVertices[Vertex],0)),1,1,"")</f>
        <v>7</v>
      </c>
      <c r="R15" s="80" t="str">
        <f>REPLACE(INDEX(GroupVertices[Group],MATCH(Edges[[#This Row],[Vertex 2]],GroupVertices[Vertex],0)),1,1,"")</f>
        <v>7</v>
      </c>
      <c r="S15" s="35"/>
      <c r="T15" s="35"/>
      <c r="U15" s="35"/>
      <c r="V15" s="35"/>
      <c r="W15" s="35"/>
      <c r="X15" s="35"/>
      <c r="Y15" s="35"/>
      <c r="Z15" s="35"/>
      <c r="AA15" s="35"/>
    </row>
    <row r="16" spans="1:27" ht="15">
      <c r="A16" s="65" t="s">
        <v>212</v>
      </c>
      <c r="B16" s="65" t="s">
        <v>233</v>
      </c>
      <c r="C16" s="66" t="s">
        <v>3534</v>
      </c>
      <c r="D16" s="67">
        <v>5</v>
      </c>
      <c r="E16" s="68"/>
      <c r="F16" s="69">
        <v>25</v>
      </c>
      <c r="G16" s="66"/>
      <c r="H16" s="70"/>
      <c r="I16" s="71"/>
      <c r="J16" s="71"/>
      <c r="K16" s="35" t="s">
        <v>65</v>
      </c>
      <c r="L16" s="79">
        <v>16</v>
      </c>
      <c r="M16" s="79"/>
      <c r="N16" s="73"/>
      <c r="O16" s="81" t="s">
        <v>613</v>
      </c>
      <c r="P16">
        <v>1</v>
      </c>
      <c r="Q16" s="80" t="str">
        <f>REPLACE(INDEX(GroupVertices[Group],MATCH(Edges[[#This Row],[Vertex 1]],GroupVertices[Vertex],0)),1,1,"")</f>
        <v>7</v>
      </c>
      <c r="R16" s="80" t="str">
        <f>REPLACE(INDEX(GroupVertices[Group],MATCH(Edges[[#This Row],[Vertex 2]],GroupVertices[Vertex],0)),1,1,"")</f>
        <v>7</v>
      </c>
      <c r="S16" s="35"/>
      <c r="T16" s="35"/>
      <c r="U16" s="35"/>
      <c r="V16" s="35"/>
      <c r="W16" s="35"/>
      <c r="X16" s="35"/>
      <c r="Y16" s="35"/>
      <c r="Z16" s="35"/>
      <c r="AA16" s="35"/>
    </row>
    <row r="17" spans="1:27" ht="15">
      <c r="A17" s="65" t="s">
        <v>212</v>
      </c>
      <c r="B17" s="65" t="s">
        <v>234</v>
      </c>
      <c r="C17" s="66" t="s">
        <v>3534</v>
      </c>
      <c r="D17" s="67">
        <v>5</v>
      </c>
      <c r="E17" s="68"/>
      <c r="F17" s="69">
        <v>25</v>
      </c>
      <c r="G17" s="66"/>
      <c r="H17" s="70"/>
      <c r="I17" s="71"/>
      <c r="J17" s="71"/>
      <c r="K17" s="35" t="s">
        <v>65</v>
      </c>
      <c r="L17" s="79">
        <v>17</v>
      </c>
      <c r="M17" s="79"/>
      <c r="N17" s="73"/>
      <c r="O17" s="81" t="s">
        <v>613</v>
      </c>
      <c r="P17">
        <v>1</v>
      </c>
      <c r="Q17" s="80" t="str">
        <f>REPLACE(INDEX(GroupVertices[Group],MATCH(Edges[[#This Row],[Vertex 1]],GroupVertices[Vertex],0)),1,1,"")</f>
        <v>7</v>
      </c>
      <c r="R17" s="80" t="str">
        <f>REPLACE(INDEX(GroupVertices[Group],MATCH(Edges[[#This Row],[Vertex 2]],GroupVertices[Vertex],0)),1,1,"")</f>
        <v>7</v>
      </c>
      <c r="S17" s="35"/>
      <c r="T17" s="35"/>
      <c r="U17" s="35"/>
      <c r="V17" s="35"/>
      <c r="W17" s="35"/>
      <c r="X17" s="35"/>
      <c r="Y17" s="35"/>
      <c r="Z17" s="35"/>
      <c r="AA17" s="35"/>
    </row>
    <row r="18" spans="1:27" ht="15">
      <c r="A18" s="65" t="s">
        <v>212</v>
      </c>
      <c r="B18" s="65" t="s">
        <v>235</v>
      </c>
      <c r="C18" s="66" t="s">
        <v>3534</v>
      </c>
      <c r="D18" s="67">
        <v>5</v>
      </c>
      <c r="E18" s="68"/>
      <c r="F18" s="69">
        <v>25</v>
      </c>
      <c r="G18" s="66"/>
      <c r="H18" s="70"/>
      <c r="I18" s="71"/>
      <c r="J18" s="71"/>
      <c r="K18" s="35" t="s">
        <v>65</v>
      </c>
      <c r="L18" s="79">
        <v>18</v>
      </c>
      <c r="M18" s="79"/>
      <c r="N18" s="73"/>
      <c r="O18" s="81" t="s">
        <v>613</v>
      </c>
      <c r="P18">
        <v>1</v>
      </c>
      <c r="Q18" s="80" t="str">
        <f>REPLACE(INDEX(GroupVertices[Group],MATCH(Edges[[#This Row],[Vertex 1]],GroupVertices[Vertex],0)),1,1,"")</f>
        <v>7</v>
      </c>
      <c r="R18" s="80" t="str">
        <f>REPLACE(INDEX(GroupVertices[Group],MATCH(Edges[[#This Row],[Vertex 2]],GroupVertices[Vertex],0)),1,1,"")</f>
        <v>7</v>
      </c>
      <c r="S18" s="35"/>
      <c r="T18" s="35"/>
      <c r="U18" s="35"/>
      <c r="V18" s="35"/>
      <c r="W18" s="35"/>
      <c r="X18" s="35"/>
      <c r="Y18" s="35"/>
      <c r="Z18" s="35"/>
      <c r="AA18" s="35"/>
    </row>
    <row r="19" spans="1:27" ht="15">
      <c r="A19" s="65" t="s">
        <v>212</v>
      </c>
      <c r="B19" s="65" t="s">
        <v>236</v>
      </c>
      <c r="C19" s="66" t="s">
        <v>3534</v>
      </c>
      <c r="D19" s="67">
        <v>5</v>
      </c>
      <c r="E19" s="68"/>
      <c r="F19" s="69">
        <v>25</v>
      </c>
      <c r="G19" s="66"/>
      <c r="H19" s="70"/>
      <c r="I19" s="71"/>
      <c r="J19" s="71"/>
      <c r="K19" s="35" t="s">
        <v>65</v>
      </c>
      <c r="L19" s="79">
        <v>19</v>
      </c>
      <c r="M19" s="79"/>
      <c r="N19" s="73"/>
      <c r="O19" s="81" t="s">
        <v>613</v>
      </c>
      <c r="P19">
        <v>1</v>
      </c>
      <c r="Q19" s="80" t="str">
        <f>REPLACE(INDEX(GroupVertices[Group],MATCH(Edges[[#This Row],[Vertex 1]],GroupVertices[Vertex],0)),1,1,"")</f>
        <v>7</v>
      </c>
      <c r="R19" s="80" t="str">
        <f>REPLACE(INDEX(GroupVertices[Group],MATCH(Edges[[#This Row],[Vertex 2]],GroupVertices[Vertex],0)),1,1,"")</f>
        <v>7</v>
      </c>
      <c r="S19" s="35"/>
      <c r="T19" s="35"/>
      <c r="U19" s="35"/>
      <c r="V19" s="35"/>
      <c r="W19" s="35"/>
      <c r="X19" s="35"/>
      <c r="Y19" s="35"/>
      <c r="Z19" s="35"/>
      <c r="AA19" s="35"/>
    </row>
    <row r="20" spans="1:27" ht="15">
      <c r="A20" s="65" t="s">
        <v>212</v>
      </c>
      <c r="B20" s="65" t="s">
        <v>237</v>
      </c>
      <c r="C20" s="66" t="s">
        <v>3534</v>
      </c>
      <c r="D20" s="67">
        <v>5</v>
      </c>
      <c r="E20" s="68"/>
      <c r="F20" s="69">
        <v>25</v>
      </c>
      <c r="G20" s="66"/>
      <c r="H20" s="70"/>
      <c r="I20" s="71"/>
      <c r="J20" s="71"/>
      <c r="K20" s="35" t="s">
        <v>65</v>
      </c>
      <c r="L20" s="79">
        <v>20</v>
      </c>
      <c r="M20" s="79"/>
      <c r="N20" s="73"/>
      <c r="O20" s="81" t="s">
        <v>613</v>
      </c>
      <c r="P20">
        <v>1</v>
      </c>
      <c r="Q20" s="80" t="str">
        <f>REPLACE(INDEX(GroupVertices[Group],MATCH(Edges[[#This Row],[Vertex 1]],GroupVertices[Vertex],0)),1,1,"")</f>
        <v>7</v>
      </c>
      <c r="R20" s="80" t="str">
        <f>REPLACE(INDEX(GroupVertices[Group],MATCH(Edges[[#This Row],[Vertex 2]],GroupVertices[Vertex],0)),1,1,"")</f>
        <v>7</v>
      </c>
      <c r="S20" s="35"/>
      <c r="T20" s="35"/>
      <c r="U20" s="35"/>
      <c r="V20" s="35"/>
      <c r="W20" s="35"/>
      <c r="X20" s="35"/>
      <c r="Y20" s="35"/>
      <c r="Z20" s="35"/>
      <c r="AA20" s="35"/>
    </row>
    <row r="21" spans="1:27" ht="15">
      <c r="A21" s="65" t="s">
        <v>212</v>
      </c>
      <c r="B21" s="65" t="s">
        <v>238</v>
      </c>
      <c r="C21" s="66" t="s">
        <v>3534</v>
      </c>
      <c r="D21" s="67">
        <v>5</v>
      </c>
      <c r="E21" s="68"/>
      <c r="F21" s="69">
        <v>25</v>
      </c>
      <c r="G21" s="66"/>
      <c r="H21" s="70"/>
      <c r="I21" s="71"/>
      <c r="J21" s="71"/>
      <c r="K21" s="35" t="s">
        <v>65</v>
      </c>
      <c r="L21" s="79">
        <v>21</v>
      </c>
      <c r="M21" s="79"/>
      <c r="N21" s="73"/>
      <c r="O21" s="81" t="s">
        <v>613</v>
      </c>
      <c r="P21">
        <v>1</v>
      </c>
      <c r="Q21" s="80" t="str">
        <f>REPLACE(INDEX(GroupVertices[Group],MATCH(Edges[[#This Row],[Vertex 1]],GroupVertices[Vertex],0)),1,1,"")</f>
        <v>7</v>
      </c>
      <c r="R21" s="80" t="str">
        <f>REPLACE(INDEX(GroupVertices[Group],MATCH(Edges[[#This Row],[Vertex 2]],GroupVertices[Vertex],0)),1,1,"")</f>
        <v>7</v>
      </c>
      <c r="S21" s="35"/>
      <c r="T21" s="35"/>
      <c r="U21" s="35"/>
      <c r="V21" s="35"/>
      <c r="W21" s="35"/>
      <c r="X21" s="35"/>
      <c r="Y21" s="35"/>
      <c r="Z21" s="35"/>
      <c r="AA21" s="35"/>
    </row>
    <row r="22" spans="1:27" ht="15">
      <c r="A22" s="65" t="s">
        <v>212</v>
      </c>
      <c r="B22" s="65" t="s">
        <v>239</v>
      </c>
      <c r="C22" s="66" t="s">
        <v>3534</v>
      </c>
      <c r="D22" s="67">
        <v>5</v>
      </c>
      <c r="E22" s="68"/>
      <c r="F22" s="69">
        <v>25</v>
      </c>
      <c r="G22" s="66"/>
      <c r="H22" s="70"/>
      <c r="I22" s="71"/>
      <c r="J22" s="71"/>
      <c r="K22" s="35" t="s">
        <v>65</v>
      </c>
      <c r="L22" s="79">
        <v>22</v>
      </c>
      <c r="M22" s="79"/>
      <c r="N22" s="73"/>
      <c r="O22" s="81" t="s">
        <v>613</v>
      </c>
      <c r="P22">
        <v>1</v>
      </c>
      <c r="Q22" s="80" t="str">
        <f>REPLACE(INDEX(GroupVertices[Group],MATCH(Edges[[#This Row],[Vertex 1]],GroupVertices[Vertex],0)),1,1,"")</f>
        <v>7</v>
      </c>
      <c r="R22" s="80" t="str">
        <f>REPLACE(INDEX(GroupVertices[Group],MATCH(Edges[[#This Row],[Vertex 2]],GroupVertices[Vertex],0)),1,1,"")</f>
        <v>7</v>
      </c>
      <c r="S22" s="35"/>
      <c r="T22" s="35"/>
      <c r="U22" s="35"/>
      <c r="V22" s="35"/>
      <c r="W22" s="35"/>
      <c r="X22" s="35"/>
      <c r="Y22" s="35"/>
      <c r="Z22" s="35"/>
      <c r="AA22" s="35"/>
    </row>
    <row r="23" spans="1:27" ht="15">
      <c r="A23" s="65" t="s">
        <v>212</v>
      </c>
      <c r="B23" s="65" t="s">
        <v>240</v>
      </c>
      <c r="C23" s="66" t="s">
        <v>3534</v>
      </c>
      <c r="D23" s="67">
        <v>5</v>
      </c>
      <c r="E23" s="68"/>
      <c r="F23" s="69">
        <v>25</v>
      </c>
      <c r="G23" s="66"/>
      <c r="H23" s="70"/>
      <c r="I23" s="71"/>
      <c r="J23" s="71"/>
      <c r="K23" s="35" t="s">
        <v>65</v>
      </c>
      <c r="L23" s="79">
        <v>23</v>
      </c>
      <c r="M23" s="79"/>
      <c r="N23" s="73"/>
      <c r="O23" s="81" t="s">
        <v>613</v>
      </c>
      <c r="P23">
        <v>1</v>
      </c>
      <c r="Q23" s="80" t="str">
        <f>REPLACE(INDEX(GroupVertices[Group],MATCH(Edges[[#This Row],[Vertex 1]],GroupVertices[Vertex],0)),1,1,"")</f>
        <v>7</v>
      </c>
      <c r="R23" s="80" t="str">
        <f>REPLACE(INDEX(GroupVertices[Group],MATCH(Edges[[#This Row],[Vertex 2]],GroupVertices[Vertex],0)),1,1,"")</f>
        <v>7</v>
      </c>
      <c r="S23" s="35"/>
      <c r="T23" s="35"/>
      <c r="U23" s="35"/>
      <c r="V23" s="35"/>
      <c r="W23" s="35"/>
      <c r="X23" s="35"/>
      <c r="Y23" s="35"/>
      <c r="Z23" s="35"/>
      <c r="AA23" s="35"/>
    </row>
    <row r="24" spans="1:27" ht="15">
      <c r="A24" s="65" t="s">
        <v>212</v>
      </c>
      <c r="B24" s="65" t="s">
        <v>241</v>
      </c>
      <c r="C24" s="66" t="s">
        <v>3534</v>
      </c>
      <c r="D24" s="67">
        <v>5</v>
      </c>
      <c r="E24" s="68"/>
      <c r="F24" s="69">
        <v>25</v>
      </c>
      <c r="G24" s="66"/>
      <c r="H24" s="70"/>
      <c r="I24" s="71"/>
      <c r="J24" s="71"/>
      <c r="K24" s="35" t="s">
        <v>65</v>
      </c>
      <c r="L24" s="79">
        <v>24</v>
      </c>
      <c r="M24" s="79"/>
      <c r="N24" s="73"/>
      <c r="O24" s="81" t="s">
        <v>613</v>
      </c>
      <c r="P24">
        <v>1</v>
      </c>
      <c r="Q24" s="80" t="str">
        <f>REPLACE(INDEX(GroupVertices[Group],MATCH(Edges[[#This Row],[Vertex 1]],GroupVertices[Vertex],0)),1,1,"")</f>
        <v>7</v>
      </c>
      <c r="R24" s="80" t="str">
        <f>REPLACE(INDEX(GroupVertices[Group],MATCH(Edges[[#This Row],[Vertex 2]],GroupVertices[Vertex],0)),1,1,"")</f>
        <v>7</v>
      </c>
      <c r="S24" s="35"/>
      <c r="T24" s="35"/>
      <c r="U24" s="35"/>
      <c r="V24" s="35"/>
      <c r="W24" s="35"/>
      <c r="X24" s="35"/>
      <c r="Y24" s="35"/>
      <c r="Z24" s="35"/>
      <c r="AA24" s="35"/>
    </row>
    <row r="25" spans="1:27" ht="15">
      <c r="A25" s="65" t="s">
        <v>212</v>
      </c>
      <c r="B25" s="65" t="s">
        <v>242</v>
      </c>
      <c r="C25" s="66" t="s">
        <v>3534</v>
      </c>
      <c r="D25" s="67">
        <v>5</v>
      </c>
      <c r="E25" s="68"/>
      <c r="F25" s="69">
        <v>25</v>
      </c>
      <c r="G25" s="66"/>
      <c r="H25" s="70"/>
      <c r="I25" s="71"/>
      <c r="J25" s="71"/>
      <c r="K25" s="35" t="s">
        <v>65</v>
      </c>
      <c r="L25" s="79">
        <v>25</v>
      </c>
      <c r="M25" s="79"/>
      <c r="N25" s="73"/>
      <c r="O25" s="81" t="s">
        <v>613</v>
      </c>
      <c r="P25">
        <v>1</v>
      </c>
      <c r="Q25" s="80" t="str">
        <f>REPLACE(INDEX(GroupVertices[Group],MATCH(Edges[[#This Row],[Vertex 1]],GroupVertices[Vertex],0)),1,1,"")</f>
        <v>7</v>
      </c>
      <c r="R25" s="80" t="str">
        <f>REPLACE(INDEX(GroupVertices[Group],MATCH(Edges[[#This Row],[Vertex 2]],GroupVertices[Vertex],0)),1,1,"")</f>
        <v>7</v>
      </c>
      <c r="S25" s="35"/>
      <c r="T25" s="35"/>
      <c r="U25" s="35"/>
      <c r="V25" s="35"/>
      <c r="W25" s="35"/>
      <c r="X25" s="35"/>
      <c r="Y25" s="35"/>
      <c r="Z25" s="35"/>
      <c r="AA25" s="35"/>
    </row>
    <row r="26" spans="1:27" ht="15">
      <c r="A26" s="65" t="s">
        <v>212</v>
      </c>
      <c r="B26" s="65" t="s">
        <v>243</v>
      </c>
      <c r="C26" s="66" t="s">
        <v>3534</v>
      </c>
      <c r="D26" s="67">
        <v>5</v>
      </c>
      <c r="E26" s="68"/>
      <c r="F26" s="69">
        <v>25</v>
      </c>
      <c r="G26" s="66"/>
      <c r="H26" s="70"/>
      <c r="I26" s="71"/>
      <c r="J26" s="71"/>
      <c r="K26" s="35" t="s">
        <v>65</v>
      </c>
      <c r="L26" s="79">
        <v>26</v>
      </c>
      <c r="M26" s="79"/>
      <c r="N26" s="73"/>
      <c r="O26" s="81" t="s">
        <v>613</v>
      </c>
      <c r="P26">
        <v>1</v>
      </c>
      <c r="Q26" s="80" t="str">
        <f>REPLACE(INDEX(GroupVertices[Group],MATCH(Edges[[#This Row],[Vertex 1]],GroupVertices[Vertex],0)),1,1,"")</f>
        <v>7</v>
      </c>
      <c r="R26" s="80" t="str">
        <f>REPLACE(INDEX(GroupVertices[Group],MATCH(Edges[[#This Row],[Vertex 2]],GroupVertices[Vertex],0)),1,1,"")</f>
        <v>7</v>
      </c>
      <c r="S26" s="35"/>
      <c r="T26" s="35"/>
      <c r="U26" s="35"/>
      <c r="V26" s="35"/>
      <c r="W26" s="35"/>
      <c r="X26" s="35"/>
      <c r="Y26" s="35"/>
      <c r="Z26" s="35"/>
      <c r="AA26" s="35"/>
    </row>
    <row r="27" spans="1:27" ht="15">
      <c r="A27" s="65" t="s">
        <v>212</v>
      </c>
      <c r="B27" s="65" t="s">
        <v>244</v>
      </c>
      <c r="C27" s="66" t="s">
        <v>3534</v>
      </c>
      <c r="D27" s="67">
        <v>5</v>
      </c>
      <c r="E27" s="68"/>
      <c r="F27" s="69">
        <v>25</v>
      </c>
      <c r="G27" s="66"/>
      <c r="H27" s="70"/>
      <c r="I27" s="71"/>
      <c r="J27" s="71"/>
      <c r="K27" s="35" t="s">
        <v>65</v>
      </c>
      <c r="L27" s="79">
        <v>27</v>
      </c>
      <c r="M27" s="79"/>
      <c r="N27" s="73"/>
      <c r="O27" s="81" t="s">
        <v>613</v>
      </c>
      <c r="P27">
        <v>1</v>
      </c>
      <c r="Q27" s="80" t="str">
        <f>REPLACE(INDEX(GroupVertices[Group],MATCH(Edges[[#This Row],[Vertex 1]],GroupVertices[Vertex],0)),1,1,"")</f>
        <v>7</v>
      </c>
      <c r="R27" s="80" t="str">
        <f>REPLACE(INDEX(GroupVertices[Group],MATCH(Edges[[#This Row],[Vertex 2]],GroupVertices[Vertex],0)),1,1,"")</f>
        <v>7</v>
      </c>
      <c r="S27" s="35"/>
      <c r="T27" s="35"/>
      <c r="U27" s="35"/>
      <c r="V27" s="35"/>
      <c r="W27" s="35"/>
      <c r="X27" s="35"/>
      <c r="Y27" s="35"/>
      <c r="Z27" s="35"/>
      <c r="AA27" s="35"/>
    </row>
    <row r="28" spans="1:27" ht="15">
      <c r="A28" s="65" t="s">
        <v>212</v>
      </c>
      <c r="B28" s="65" t="s">
        <v>245</v>
      </c>
      <c r="C28" s="66" t="s">
        <v>3534</v>
      </c>
      <c r="D28" s="67">
        <v>5</v>
      </c>
      <c r="E28" s="68"/>
      <c r="F28" s="69">
        <v>25</v>
      </c>
      <c r="G28" s="66"/>
      <c r="H28" s="70"/>
      <c r="I28" s="71"/>
      <c r="J28" s="71"/>
      <c r="K28" s="35" t="s">
        <v>65</v>
      </c>
      <c r="L28" s="79">
        <v>28</v>
      </c>
      <c r="M28" s="79"/>
      <c r="N28" s="73"/>
      <c r="O28" s="81" t="s">
        <v>613</v>
      </c>
      <c r="P28">
        <v>1</v>
      </c>
      <c r="Q28" s="80" t="str">
        <f>REPLACE(INDEX(GroupVertices[Group],MATCH(Edges[[#This Row],[Vertex 1]],GroupVertices[Vertex],0)),1,1,"")</f>
        <v>7</v>
      </c>
      <c r="R28" s="80" t="str">
        <f>REPLACE(INDEX(GroupVertices[Group],MATCH(Edges[[#This Row],[Vertex 2]],GroupVertices[Vertex],0)),1,1,"")</f>
        <v>7</v>
      </c>
      <c r="S28" s="35"/>
      <c r="T28" s="35"/>
      <c r="U28" s="35"/>
      <c r="V28" s="35"/>
      <c r="W28" s="35"/>
      <c r="X28" s="35"/>
      <c r="Y28" s="35"/>
      <c r="Z28" s="35"/>
      <c r="AA28" s="35"/>
    </row>
    <row r="29" spans="1:27" ht="15">
      <c r="A29" s="65" t="s">
        <v>212</v>
      </c>
      <c r="B29" s="65" t="s">
        <v>246</v>
      </c>
      <c r="C29" s="66" t="s">
        <v>3534</v>
      </c>
      <c r="D29" s="67">
        <v>5</v>
      </c>
      <c r="E29" s="68"/>
      <c r="F29" s="69">
        <v>25</v>
      </c>
      <c r="G29" s="66"/>
      <c r="H29" s="70"/>
      <c r="I29" s="71"/>
      <c r="J29" s="71"/>
      <c r="K29" s="35" t="s">
        <v>65</v>
      </c>
      <c r="L29" s="79">
        <v>29</v>
      </c>
      <c r="M29" s="79"/>
      <c r="N29" s="73"/>
      <c r="O29" s="81" t="s">
        <v>613</v>
      </c>
      <c r="P29">
        <v>1</v>
      </c>
      <c r="Q29" s="80" t="str">
        <f>REPLACE(INDEX(GroupVertices[Group],MATCH(Edges[[#This Row],[Vertex 1]],GroupVertices[Vertex],0)),1,1,"")</f>
        <v>7</v>
      </c>
      <c r="R29" s="80" t="str">
        <f>REPLACE(INDEX(GroupVertices[Group],MATCH(Edges[[#This Row],[Vertex 2]],GroupVertices[Vertex],0)),1,1,"")</f>
        <v>7</v>
      </c>
      <c r="S29" s="35"/>
      <c r="T29" s="35"/>
      <c r="U29" s="35"/>
      <c r="V29" s="35"/>
      <c r="W29" s="35"/>
      <c r="X29" s="35"/>
      <c r="Y29" s="35"/>
      <c r="Z29" s="35"/>
      <c r="AA29" s="35"/>
    </row>
    <row r="30" spans="1:27" ht="15">
      <c r="A30" s="65" t="s">
        <v>212</v>
      </c>
      <c r="B30" s="65" t="s">
        <v>247</v>
      </c>
      <c r="C30" s="66" t="s">
        <v>3534</v>
      </c>
      <c r="D30" s="67">
        <v>5</v>
      </c>
      <c r="E30" s="68"/>
      <c r="F30" s="69">
        <v>25</v>
      </c>
      <c r="G30" s="66"/>
      <c r="H30" s="70"/>
      <c r="I30" s="71"/>
      <c r="J30" s="71"/>
      <c r="K30" s="35" t="s">
        <v>65</v>
      </c>
      <c r="L30" s="79">
        <v>30</v>
      </c>
      <c r="M30" s="79"/>
      <c r="N30" s="73"/>
      <c r="O30" s="81" t="s">
        <v>613</v>
      </c>
      <c r="P30">
        <v>1</v>
      </c>
      <c r="Q30" s="80" t="str">
        <f>REPLACE(INDEX(GroupVertices[Group],MATCH(Edges[[#This Row],[Vertex 1]],GroupVertices[Vertex],0)),1,1,"")</f>
        <v>7</v>
      </c>
      <c r="R30" s="80" t="str">
        <f>REPLACE(INDEX(GroupVertices[Group],MATCH(Edges[[#This Row],[Vertex 2]],GroupVertices[Vertex],0)),1,1,"")</f>
        <v>7</v>
      </c>
      <c r="S30" s="35"/>
      <c r="T30" s="35"/>
      <c r="U30" s="35"/>
      <c r="V30" s="35"/>
      <c r="W30" s="35"/>
      <c r="X30" s="35"/>
      <c r="Y30" s="35"/>
      <c r="Z30" s="35"/>
      <c r="AA30" s="35"/>
    </row>
    <row r="31" spans="1:27" ht="15">
      <c r="A31" s="65" t="s">
        <v>212</v>
      </c>
      <c r="B31" s="65" t="s">
        <v>248</v>
      </c>
      <c r="C31" s="66" t="s">
        <v>3534</v>
      </c>
      <c r="D31" s="67">
        <v>5</v>
      </c>
      <c r="E31" s="68"/>
      <c r="F31" s="69">
        <v>25</v>
      </c>
      <c r="G31" s="66"/>
      <c r="H31" s="70"/>
      <c r="I31" s="71"/>
      <c r="J31" s="71"/>
      <c r="K31" s="35" t="s">
        <v>65</v>
      </c>
      <c r="L31" s="79">
        <v>31</v>
      </c>
      <c r="M31" s="79"/>
      <c r="N31" s="73"/>
      <c r="O31" s="81" t="s">
        <v>613</v>
      </c>
      <c r="P31">
        <v>1</v>
      </c>
      <c r="Q31" s="80" t="str">
        <f>REPLACE(INDEX(GroupVertices[Group],MATCH(Edges[[#This Row],[Vertex 1]],GroupVertices[Vertex],0)),1,1,"")</f>
        <v>7</v>
      </c>
      <c r="R31" s="80" t="str">
        <f>REPLACE(INDEX(GroupVertices[Group],MATCH(Edges[[#This Row],[Vertex 2]],GroupVertices[Vertex],0)),1,1,"")</f>
        <v>7</v>
      </c>
      <c r="S31" s="35"/>
      <c r="T31" s="35"/>
      <c r="U31" s="35"/>
      <c r="V31" s="35"/>
      <c r="W31" s="35"/>
      <c r="X31" s="35"/>
      <c r="Y31" s="35"/>
      <c r="Z31" s="35"/>
      <c r="AA31" s="35"/>
    </row>
    <row r="32" spans="1:27" ht="15">
      <c r="A32" s="65" t="s">
        <v>212</v>
      </c>
      <c r="B32" s="65" t="s">
        <v>249</v>
      </c>
      <c r="C32" s="66" t="s">
        <v>3534</v>
      </c>
      <c r="D32" s="67">
        <v>5</v>
      </c>
      <c r="E32" s="68"/>
      <c r="F32" s="69">
        <v>25</v>
      </c>
      <c r="G32" s="66"/>
      <c r="H32" s="70"/>
      <c r="I32" s="71"/>
      <c r="J32" s="71"/>
      <c r="K32" s="35" t="s">
        <v>65</v>
      </c>
      <c r="L32" s="79">
        <v>32</v>
      </c>
      <c r="M32" s="79"/>
      <c r="N32" s="73"/>
      <c r="O32" s="81" t="s">
        <v>613</v>
      </c>
      <c r="P32">
        <v>1</v>
      </c>
      <c r="Q32" s="80" t="str">
        <f>REPLACE(INDEX(GroupVertices[Group],MATCH(Edges[[#This Row],[Vertex 1]],GroupVertices[Vertex],0)),1,1,"")</f>
        <v>7</v>
      </c>
      <c r="R32" s="80" t="str">
        <f>REPLACE(INDEX(GroupVertices[Group],MATCH(Edges[[#This Row],[Vertex 2]],GroupVertices[Vertex],0)),1,1,"")</f>
        <v>7</v>
      </c>
      <c r="S32" s="35"/>
      <c r="T32" s="35"/>
      <c r="U32" s="35"/>
      <c r="V32" s="35"/>
      <c r="W32" s="35"/>
      <c r="X32" s="35"/>
      <c r="Y32" s="35"/>
      <c r="Z32" s="35"/>
      <c r="AA32" s="35"/>
    </row>
    <row r="33" spans="1:27" ht="15">
      <c r="A33" s="65" t="s">
        <v>212</v>
      </c>
      <c r="B33" s="65" t="s">
        <v>250</v>
      </c>
      <c r="C33" s="66" t="s">
        <v>3534</v>
      </c>
      <c r="D33" s="67">
        <v>5</v>
      </c>
      <c r="E33" s="68"/>
      <c r="F33" s="69">
        <v>25</v>
      </c>
      <c r="G33" s="66"/>
      <c r="H33" s="70"/>
      <c r="I33" s="71"/>
      <c r="J33" s="71"/>
      <c r="K33" s="35" t="s">
        <v>65</v>
      </c>
      <c r="L33" s="79">
        <v>33</v>
      </c>
      <c r="M33" s="79"/>
      <c r="N33" s="73"/>
      <c r="O33" s="81" t="s">
        <v>613</v>
      </c>
      <c r="P33">
        <v>1</v>
      </c>
      <c r="Q33" s="80" t="str">
        <f>REPLACE(INDEX(GroupVertices[Group],MATCH(Edges[[#This Row],[Vertex 1]],GroupVertices[Vertex],0)),1,1,"")</f>
        <v>7</v>
      </c>
      <c r="R33" s="80" t="str">
        <f>REPLACE(INDEX(GroupVertices[Group],MATCH(Edges[[#This Row],[Vertex 2]],GroupVertices[Vertex],0)),1,1,"")</f>
        <v>7</v>
      </c>
      <c r="S33" s="35"/>
      <c r="T33" s="35"/>
      <c r="U33" s="35"/>
      <c r="V33" s="35"/>
      <c r="W33" s="35"/>
      <c r="X33" s="35"/>
      <c r="Y33" s="35"/>
      <c r="Z33" s="35"/>
      <c r="AA33" s="35"/>
    </row>
    <row r="34" spans="1:27" ht="15">
      <c r="A34" s="65" t="s">
        <v>212</v>
      </c>
      <c r="B34" s="65" t="s">
        <v>251</v>
      </c>
      <c r="C34" s="66" t="s">
        <v>3534</v>
      </c>
      <c r="D34" s="67">
        <v>5</v>
      </c>
      <c r="E34" s="68"/>
      <c r="F34" s="69">
        <v>25</v>
      </c>
      <c r="G34" s="66"/>
      <c r="H34" s="70"/>
      <c r="I34" s="71"/>
      <c r="J34" s="71"/>
      <c r="K34" s="35" t="s">
        <v>65</v>
      </c>
      <c r="L34" s="79">
        <v>34</v>
      </c>
      <c r="M34" s="79"/>
      <c r="N34" s="73"/>
      <c r="O34" s="81" t="s">
        <v>613</v>
      </c>
      <c r="P34">
        <v>1</v>
      </c>
      <c r="Q34" s="80" t="str">
        <f>REPLACE(INDEX(GroupVertices[Group],MATCH(Edges[[#This Row],[Vertex 1]],GroupVertices[Vertex],0)),1,1,"")</f>
        <v>7</v>
      </c>
      <c r="R34" s="80" t="str">
        <f>REPLACE(INDEX(GroupVertices[Group],MATCH(Edges[[#This Row],[Vertex 2]],GroupVertices[Vertex],0)),1,1,"")</f>
        <v>7</v>
      </c>
      <c r="S34" s="35"/>
      <c r="T34" s="35"/>
      <c r="U34" s="35"/>
      <c r="V34" s="35"/>
      <c r="W34" s="35"/>
      <c r="X34" s="35"/>
      <c r="Y34" s="35"/>
      <c r="Z34" s="35"/>
      <c r="AA34" s="35"/>
    </row>
    <row r="35" spans="1:27" ht="15">
      <c r="A35" s="65" t="s">
        <v>212</v>
      </c>
      <c r="B35" s="65" t="s">
        <v>252</v>
      </c>
      <c r="C35" s="66" t="s">
        <v>3534</v>
      </c>
      <c r="D35" s="67">
        <v>5</v>
      </c>
      <c r="E35" s="68"/>
      <c r="F35" s="69">
        <v>25</v>
      </c>
      <c r="G35" s="66"/>
      <c r="H35" s="70"/>
      <c r="I35" s="71"/>
      <c r="J35" s="71"/>
      <c r="K35" s="35" t="s">
        <v>65</v>
      </c>
      <c r="L35" s="79">
        <v>35</v>
      </c>
      <c r="M35" s="79"/>
      <c r="N35" s="73"/>
      <c r="O35" s="81" t="s">
        <v>613</v>
      </c>
      <c r="P35">
        <v>1</v>
      </c>
      <c r="Q35" s="80" t="str">
        <f>REPLACE(INDEX(GroupVertices[Group],MATCH(Edges[[#This Row],[Vertex 1]],GroupVertices[Vertex],0)),1,1,"")</f>
        <v>7</v>
      </c>
      <c r="R35" s="80" t="str">
        <f>REPLACE(INDEX(GroupVertices[Group],MATCH(Edges[[#This Row],[Vertex 2]],GroupVertices[Vertex],0)),1,1,"")</f>
        <v>7</v>
      </c>
      <c r="S35" s="35"/>
      <c r="T35" s="35"/>
      <c r="U35" s="35"/>
      <c r="V35" s="35"/>
      <c r="W35" s="35"/>
      <c r="X35" s="35"/>
      <c r="Y35" s="35"/>
      <c r="Z35" s="35"/>
      <c r="AA35" s="35"/>
    </row>
    <row r="36" spans="1:27" ht="15">
      <c r="A36" s="65" t="s">
        <v>213</v>
      </c>
      <c r="B36" s="65" t="s">
        <v>253</v>
      </c>
      <c r="C36" s="66" t="s">
        <v>3534</v>
      </c>
      <c r="D36" s="67">
        <v>5</v>
      </c>
      <c r="E36" s="68"/>
      <c r="F36" s="69">
        <v>25</v>
      </c>
      <c r="G36" s="66"/>
      <c r="H36" s="70"/>
      <c r="I36" s="71"/>
      <c r="J36" s="71"/>
      <c r="K36" s="35" t="s">
        <v>65</v>
      </c>
      <c r="L36" s="79">
        <v>36</v>
      </c>
      <c r="M36" s="79"/>
      <c r="N36" s="73"/>
      <c r="O36" s="81" t="s">
        <v>613</v>
      </c>
      <c r="P36">
        <v>1</v>
      </c>
      <c r="Q36" s="80" t="str">
        <f>REPLACE(INDEX(GroupVertices[Group],MATCH(Edges[[#This Row],[Vertex 1]],GroupVertices[Vertex],0)),1,1,"")</f>
        <v>4</v>
      </c>
      <c r="R36" s="80" t="str">
        <f>REPLACE(INDEX(GroupVertices[Group],MATCH(Edges[[#This Row],[Vertex 2]],GroupVertices[Vertex],0)),1,1,"")</f>
        <v>4</v>
      </c>
      <c r="S36" s="35"/>
      <c r="T36" s="35"/>
      <c r="U36" s="35"/>
      <c r="V36" s="35"/>
      <c r="W36" s="35"/>
      <c r="X36" s="35"/>
      <c r="Y36" s="35"/>
      <c r="Z36" s="35"/>
      <c r="AA36" s="35"/>
    </row>
    <row r="37" spans="1:27" ht="15">
      <c r="A37" s="65" t="s">
        <v>213</v>
      </c>
      <c r="B37" s="65" t="s">
        <v>254</v>
      </c>
      <c r="C37" s="66" t="s">
        <v>3534</v>
      </c>
      <c r="D37" s="67">
        <v>5</v>
      </c>
      <c r="E37" s="68"/>
      <c r="F37" s="69">
        <v>25</v>
      </c>
      <c r="G37" s="66"/>
      <c r="H37" s="70"/>
      <c r="I37" s="71"/>
      <c r="J37" s="71"/>
      <c r="K37" s="35" t="s">
        <v>65</v>
      </c>
      <c r="L37" s="79">
        <v>37</v>
      </c>
      <c r="M37" s="79"/>
      <c r="N37" s="73"/>
      <c r="O37" s="81" t="s">
        <v>613</v>
      </c>
      <c r="P37">
        <v>1</v>
      </c>
      <c r="Q37" s="80" t="str">
        <f>REPLACE(INDEX(GroupVertices[Group],MATCH(Edges[[#This Row],[Vertex 1]],GroupVertices[Vertex],0)),1,1,"")</f>
        <v>4</v>
      </c>
      <c r="R37" s="80" t="str">
        <f>REPLACE(INDEX(GroupVertices[Group],MATCH(Edges[[#This Row],[Vertex 2]],GroupVertices[Vertex],0)),1,1,"")</f>
        <v>4</v>
      </c>
      <c r="S37" s="35"/>
      <c r="T37" s="35"/>
      <c r="U37" s="35"/>
      <c r="V37" s="35"/>
      <c r="W37" s="35"/>
      <c r="X37" s="35"/>
      <c r="Y37" s="35"/>
      <c r="Z37" s="35"/>
      <c r="AA37" s="35"/>
    </row>
    <row r="38" spans="1:27" ht="15">
      <c r="A38" s="65" t="s">
        <v>213</v>
      </c>
      <c r="B38" s="65" t="s">
        <v>255</v>
      </c>
      <c r="C38" s="66" t="s">
        <v>3534</v>
      </c>
      <c r="D38" s="67">
        <v>5</v>
      </c>
      <c r="E38" s="68"/>
      <c r="F38" s="69">
        <v>25</v>
      </c>
      <c r="G38" s="66"/>
      <c r="H38" s="70"/>
      <c r="I38" s="71"/>
      <c r="J38" s="71"/>
      <c r="K38" s="35" t="s">
        <v>65</v>
      </c>
      <c r="L38" s="79">
        <v>38</v>
      </c>
      <c r="M38" s="79"/>
      <c r="N38" s="73"/>
      <c r="O38" s="81" t="s">
        <v>613</v>
      </c>
      <c r="P38">
        <v>1</v>
      </c>
      <c r="Q38" s="80" t="str">
        <f>REPLACE(INDEX(GroupVertices[Group],MATCH(Edges[[#This Row],[Vertex 1]],GroupVertices[Vertex],0)),1,1,"")</f>
        <v>4</v>
      </c>
      <c r="R38" s="80" t="str">
        <f>REPLACE(INDEX(GroupVertices[Group],MATCH(Edges[[#This Row],[Vertex 2]],GroupVertices[Vertex],0)),1,1,"")</f>
        <v>4</v>
      </c>
      <c r="S38" s="35"/>
      <c r="T38" s="35"/>
      <c r="U38" s="35"/>
      <c r="V38" s="35"/>
      <c r="W38" s="35"/>
      <c r="X38" s="35"/>
      <c r="Y38" s="35"/>
      <c r="Z38" s="35"/>
      <c r="AA38" s="35"/>
    </row>
    <row r="39" spans="1:27" ht="15">
      <c r="A39" s="65" t="s">
        <v>213</v>
      </c>
      <c r="B39" s="65" t="s">
        <v>256</v>
      </c>
      <c r="C39" s="66" t="s">
        <v>3534</v>
      </c>
      <c r="D39" s="67">
        <v>5</v>
      </c>
      <c r="E39" s="68"/>
      <c r="F39" s="69">
        <v>25</v>
      </c>
      <c r="G39" s="66"/>
      <c r="H39" s="70"/>
      <c r="I39" s="71"/>
      <c r="J39" s="71"/>
      <c r="K39" s="35" t="s">
        <v>65</v>
      </c>
      <c r="L39" s="79">
        <v>39</v>
      </c>
      <c r="M39" s="79"/>
      <c r="N39" s="73"/>
      <c r="O39" s="81" t="s">
        <v>613</v>
      </c>
      <c r="P39">
        <v>1</v>
      </c>
      <c r="Q39" s="80" t="str">
        <f>REPLACE(INDEX(GroupVertices[Group],MATCH(Edges[[#This Row],[Vertex 1]],GroupVertices[Vertex],0)),1,1,"")</f>
        <v>4</v>
      </c>
      <c r="R39" s="80" t="str">
        <f>REPLACE(INDEX(GroupVertices[Group],MATCH(Edges[[#This Row],[Vertex 2]],GroupVertices[Vertex],0)),1,1,"")</f>
        <v>4</v>
      </c>
      <c r="S39" s="35"/>
      <c r="T39" s="35"/>
      <c r="U39" s="35"/>
      <c r="V39" s="35"/>
      <c r="W39" s="35"/>
      <c r="X39" s="35"/>
      <c r="Y39" s="35"/>
      <c r="Z39" s="35"/>
      <c r="AA39" s="35"/>
    </row>
    <row r="40" spans="1:27" ht="15">
      <c r="A40" s="65" t="s">
        <v>213</v>
      </c>
      <c r="B40" s="65" t="s">
        <v>257</v>
      </c>
      <c r="C40" s="66" t="s">
        <v>3534</v>
      </c>
      <c r="D40" s="67">
        <v>5</v>
      </c>
      <c r="E40" s="68"/>
      <c r="F40" s="69">
        <v>25</v>
      </c>
      <c r="G40" s="66"/>
      <c r="H40" s="70"/>
      <c r="I40" s="71"/>
      <c r="J40" s="71"/>
      <c r="K40" s="35" t="s">
        <v>65</v>
      </c>
      <c r="L40" s="79">
        <v>40</v>
      </c>
      <c r="M40" s="79"/>
      <c r="N40" s="73"/>
      <c r="O40" s="81" t="s">
        <v>613</v>
      </c>
      <c r="P40">
        <v>1</v>
      </c>
      <c r="Q40" s="80" t="str">
        <f>REPLACE(INDEX(GroupVertices[Group],MATCH(Edges[[#This Row],[Vertex 1]],GroupVertices[Vertex],0)),1,1,"")</f>
        <v>4</v>
      </c>
      <c r="R40" s="80" t="str">
        <f>REPLACE(INDEX(GroupVertices[Group],MATCH(Edges[[#This Row],[Vertex 2]],GroupVertices[Vertex],0)),1,1,"")</f>
        <v>4</v>
      </c>
      <c r="S40" s="35"/>
      <c r="T40" s="35"/>
      <c r="U40" s="35"/>
      <c r="V40" s="35"/>
      <c r="W40" s="35"/>
      <c r="X40" s="35"/>
      <c r="Y40" s="35"/>
      <c r="Z40" s="35"/>
      <c r="AA40" s="35"/>
    </row>
    <row r="41" spans="1:27" ht="15">
      <c r="A41" s="65" t="s">
        <v>213</v>
      </c>
      <c r="B41" s="65" t="s">
        <v>258</v>
      </c>
      <c r="C41" s="66" t="s">
        <v>3534</v>
      </c>
      <c r="D41" s="67">
        <v>5</v>
      </c>
      <c r="E41" s="68"/>
      <c r="F41" s="69">
        <v>25</v>
      </c>
      <c r="G41" s="66"/>
      <c r="H41" s="70"/>
      <c r="I41" s="71"/>
      <c r="J41" s="71"/>
      <c r="K41" s="35" t="s">
        <v>65</v>
      </c>
      <c r="L41" s="79">
        <v>41</v>
      </c>
      <c r="M41" s="79"/>
      <c r="N41" s="73"/>
      <c r="O41" s="81" t="s">
        <v>613</v>
      </c>
      <c r="P41">
        <v>1</v>
      </c>
      <c r="Q41" s="80" t="str">
        <f>REPLACE(INDEX(GroupVertices[Group],MATCH(Edges[[#This Row],[Vertex 1]],GroupVertices[Vertex],0)),1,1,"")</f>
        <v>4</v>
      </c>
      <c r="R41" s="80" t="str">
        <f>REPLACE(INDEX(GroupVertices[Group],MATCH(Edges[[#This Row],[Vertex 2]],GroupVertices[Vertex],0)),1,1,"")</f>
        <v>4</v>
      </c>
      <c r="S41" s="35"/>
      <c r="T41" s="35"/>
      <c r="U41" s="35"/>
      <c r="V41" s="35"/>
      <c r="W41" s="35"/>
      <c r="X41" s="35"/>
      <c r="Y41" s="35"/>
      <c r="Z41" s="35"/>
      <c r="AA41" s="35"/>
    </row>
    <row r="42" spans="1:27" ht="15">
      <c r="A42" s="65" t="s">
        <v>213</v>
      </c>
      <c r="B42" s="65" t="s">
        <v>259</v>
      </c>
      <c r="C42" s="66" t="s">
        <v>3534</v>
      </c>
      <c r="D42" s="67">
        <v>5</v>
      </c>
      <c r="E42" s="68"/>
      <c r="F42" s="69">
        <v>25</v>
      </c>
      <c r="G42" s="66"/>
      <c r="H42" s="70"/>
      <c r="I42" s="71"/>
      <c r="J42" s="71"/>
      <c r="K42" s="35" t="s">
        <v>65</v>
      </c>
      <c r="L42" s="79">
        <v>42</v>
      </c>
      <c r="M42" s="79"/>
      <c r="N42" s="73"/>
      <c r="O42" s="81" t="s">
        <v>613</v>
      </c>
      <c r="P42">
        <v>1</v>
      </c>
      <c r="Q42" s="80" t="str">
        <f>REPLACE(INDEX(GroupVertices[Group],MATCH(Edges[[#This Row],[Vertex 1]],GroupVertices[Vertex],0)),1,1,"")</f>
        <v>4</v>
      </c>
      <c r="R42" s="80" t="str">
        <f>REPLACE(INDEX(GroupVertices[Group],MATCH(Edges[[#This Row],[Vertex 2]],GroupVertices[Vertex],0)),1,1,"")</f>
        <v>4</v>
      </c>
      <c r="S42" s="35"/>
      <c r="T42" s="35"/>
      <c r="U42" s="35"/>
      <c r="V42" s="35"/>
      <c r="W42" s="35"/>
      <c r="X42" s="35"/>
      <c r="Y42" s="35"/>
      <c r="Z42" s="35"/>
      <c r="AA42" s="35"/>
    </row>
    <row r="43" spans="1:27" ht="15">
      <c r="A43" s="65" t="s">
        <v>213</v>
      </c>
      <c r="B43" s="65" t="s">
        <v>260</v>
      </c>
      <c r="C43" s="66" t="s">
        <v>3534</v>
      </c>
      <c r="D43" s="67">
        <v>5</v>
      </c>
      <c r="E43" s="68"/>
      <c r="F43" s="69">
        <v>25</v>
      </c>
      <c r="G43" s="66"/>
      <c r="H43" s="70"/>
      <c r="I43" s="71"/>
      <c r="J43" s="71"/>
      <c r="K43" s="35" t="s">
        <v>65</v>
      </c>
      <c r="L43" s="79">
        <v>43</v>
      </c>
      <c r="M43" s="79"/>
      <c r="N43" s="73"/>
      <c r="O43" s="81" t="s">
        <v>613</v>
      </c>
      <c r="P43">
        <v>1</v>
      </c>
      <c r="Q43" s="80" t="str">
        <f>REPLACE(INDEX(GroupVertices[Group],MATCH(Edges[[#This Row],[Vertex 1]],GroupVertices[Vertex],0)),1,1,"")</f>
        <v>4</v>
      </c>
      <c r="R43" s="80" t="str">
        <f>REPLACE(INDEX(GroupVertices[Group],MATCH(Edges[[#This Row],[Vertex 2]],GroupVertices[Vertex],0)),1,1,"")</f>
        <v>4</v>
      </c>
      <c r="S43" s="35"/>
      <c r="T43" s="35"/>
      <c r="U43" s="35"/>
      <c r="V43" s="35"/>
      <c r="W43" s="35"/>
      <c r="X43" s="35"/>
      <c r="Y43" s="35"/>
      <c r="Z43" s="35"/>
      <c r="AA43" s="35"/>
    </row>
    <row r="44" spans="1:27" ht="15">
      <c r="A44" s="65" t="s">
        <v>213</v>
      </c>
      <c r="B44" s="65" t="s">
        <v>261</v>
      </c>
      <c r="C44" s="66" t="s">
        <v>3534</v>
      </c>
      <c r="D44" s="67">
        <v>5</v>
      </c>
      <c r="E44" s="68"/>
      <c r="F44" s="69">
        <v>25</v>
      </c>
      <c r="G44" s="66"/>
      <c r="H44" s="70"/>
      <c r="I44" s="71"/>
      <c r="J44" s="71"/>
      <c r="K44" s="35" t="s">
        <v>65</v>
      </c>
      <c r="L44" s="79">
        <v>44</v>
      </c>
      <c r="M44" s="79"/>
      <c r="N44" s="73"/>
      <c r="O44" s="81" t="s">
        <v>613</v>
      </c>
      <c r="P44">
        <v>1</v>
      </c>
      <c r="Q44" s="80" t="str">
        <f>REPLACE(INDEX(GroupVertices[Group],MATCH(Edges[[#This Row],[Vertex 1]],GroupVertices[Vertex],0)),1,1,"")</f>
        <v>4</v>
      </c>
      <c r="R44" s="80" t="str">
        <f>REPLACE(INDEX(GroupVertices[Group],MATCH(Edges[[#This Row],[Vertex 2]],GroupVertices[Vertex],0)),1,1,"")</f>
        <v>4</v>
      </c>
      <c r="S44" s="35"/>
      <c r="T44" s="35"/>
      <c r="U44" s="35"/>
      <c r="V44" s="35"/>
      <c r="W44" s="35"/>
      <c r="X44" s="35"/>
      <c r="Y44" s="35"/>
      <c r="Z44" s="35"/>
      <c r="AA44" s="35"/>
    </row>
    <row r="45" spans="1:27" ht="15">
      <c r="A45" s="65" t="s">
        <v>213</v>
      </c>
      <c r="B45" s="65" t="s">
        <v>262</v>
      </c>
      <c r="C45" s="66" t="s">
        <v>3534</v>
      </c>
      <c r="D45" s="67">
        <v>5</v>
      </c>
      <c r="E45" s="68"/>
      <c r="F45" s="69">
        <v>25</v>
      </c>
      <c r="G45" s="66"/>
      <c r="H45" s="70"/>
      <c r="I45" s="71"/>
      <c r="J45" s="71"/>
      <c r="K45" s="35" t="s">
        <v>65</v>
      </c>
      <c r="L45" s="79">
        <v>45</v>
      </c>
      <c r="M45" s="79"/>
      <c r="N45" s="73"/>
      <c r="O45" s="81" t="s">
        <v>613</v>
      </c>
      <c r="P45">
        <v>1</v>
      </c>
      <c r="Q45" s="80" t="str">
        <f>REPLACE(INDEX(GroupVertices[Group],MATCH(Edges[[#This Row],[Vertex 1]],GroupVertices[Vertex],0)),1,1,"")</f>
        <v>4</v>
      </c>
      <c r="R45" s="80" t="str">
        <f>REPLACE(INDEX(GroupVertices[Group],MATCH(Edges[[#This Row],[Vertex 2]],GroupVertices[Vertex],0)),1,1,"")</f>
        <v>4</v>
      </c>
      <c r="S45" s="35"/>
      <c r="T45" s="35"/>
      <c r="U45" s="35"/>
      <c r="V45" s="35"/>
      <c r="W45" s="35"/>
      <c r="X45" s="35"/>
      <c r="Y45" s="35"/>
      <c r="Z45" s="35"/>
      <c r="AA45" s="35"/>
    </row>
    <row r="46" spans="1:27" ht="15">
      <c r="A46" s="65" t="s">
        <v>213</v>
      </c>
      <c r="B46" s="65" t="s">
        <v>263</v>
      </c>
      <c r="C46" s="66" t="s">
        <v>3534</v>
      </c>
      <c r="D46" s="67">
        <v>5</v>
      </c>
      <c r="E46" s="68"/>
      <c r="F46" s="69">
        <v>25</v>
      </c>
      <c r="G46" s="66"/>
      <c r="H46" s="70"/>
      <c r="I46" s="71"/>
      <c r="J46" s="71"/>
      <c r="K46" s="35" t="s">
        <v>65</v>
      </c>
      <c r="L46" s="79">
        <v>46</v>
      </c>
      <c r="M46" s="79"/>
      <c r="N46" s="73"/>
      <c r="O46" s="81" t="s">
        <v>613</v>
      </c>
      <c r="P46">
        <v>1</v>
      </c>
      <c r="Q46" s="80" t="str">
        <f>REPLACE(INDEX(GroupVertices[Group],MATCH(Edges[[#This Row],[Vertex 1]],GroupVertices[Vertex],0)),1,1,"")</f>
        <v>4</v>
      </c>
      <c r="R46" s="80" t="str">
        <f>REPLACE(INDEX(GroupVertices[Group],MATCH(Edges[[#This Row],[Vertex 2]],GroupVertices[Vertex],0)),1,1,"")</f>
        <v>4</v>
      </c>
      <c r="S46" s="35"/>
      <c r="T46" s="35"/>
      <c r="U46" s="35"/>
      <c r="V46" s="35"/>
      <c r="W46" s="35"/>
      <c r="X46" s="35"/>
      <c r="Y46" s="35"/>
      <c r="Z46" s="35"/>
      <c r="AA46" s="35"/>
    </row>
    <row r="47" spans="1:27" ht="15">
      <c r="A47" s="65" t="s">
        <v>213</v>
      </c>
      <c r="B47" s="65" t="s">
        <v>264</v>
      </c>
      <c r="C47" s="66" t="s">
        <v>3534</v>
      </c>
      <c r="D47" s="67">
        <v>5</v>
      </c>
      <c r="E47" s="68"/>
      <c r="F47" s="69">
        <v>25</v>
      </c>
      <c r="G47" s="66"/>
      <c r="H47" s="70"/>
      <c r="I47" s="71"/>
      <c r="J47" s="71"/>
      <c r="K47" s="35" t="s">
        <v>65</v>
      </c>
      <c r="L47" s="79">
        <v>47</v>
      </c>
      <c r="M47" s="79"/>
      <c r="N47" s="73"/>
      <c r="O47" s="81" t="s">
        <v>613</v>
      </c>
      <c r="P47">
        <v>1</v>
      </c>
      <c r="Q47" s="80" t="str">
        <f>REPLACE(INDEX(GroupVertices[Group],MATCH(Edges[[#This Row],[Vertex 1]],GroupVertices[Vertex],0)),1,1,"")</f>
        <v>4</v>
      </c>
      <c r="R47" s="80" t="str">
        <f>REPLACE(INDEX(GroupVertices[Group],MATCH(Edges[[#This Row],[Vertex 2]],GroupVertices[Vertex],0)),1,1,"")</f>
        <v>4</v>
      </c>
      <c r="S47" s="35"/>
      <c r="T47" s="35"/>
      <c r="U47" s="35"/>
      <c r="V47" s="35"/>
      <c r="W47" s="35"/>
      <c r="X47" s="35"/>
      <c r="Y47" s="35"/>
      <c r="Z47" s="35"/>
      <c r="AA47" s="35"/>
    </row>
    <row r="48" spans="1:27" ht="15">
      <c r="A48" s="65" t="s">
        <v>213</v>
      </c>
      <c r="B48" s="65" t="s">
        <v>265</v>
      </c>
      <c r="C48" s="66" t="s">
        <v>3534</v>
      </c>
      <c r="D48" s="67">
        <v>5</v>
      </c>
      <c r="E48" s="68"/>
      <c r="F48" s="69">
        <v>25</v>
      </c>
      <c r="G48" s="66"/>
      <c r="H48" s="70"/>
      <c r="I48" s="71"/>
      <c r="J48" s="71"/>
      <c r="K48" s="35" t="s">
        <v>65</v>
      </c>
      <c r="L48" s="79">
        <v>48</v>
      </c>
      <c r="M48" s="79"/>
      <c r="N48" s="73"/>
      <c r="O48" s="81" t="s">
        <v>613</v>
      </c>
      <c r="P48">
        <v>1</v>
      </c>
      <c r="Q48" s="80" t="str">
        <f>REPLACE(INDEX(GroupVertices[Group],MATCH(Edges[[#This Row],[Vertex 1]],GroupVertices[Vertex],0)),1,1,"")</f>
        <v>4</v>
      </c>
      <c r="R48" s="80" t="str">
        <f>REPLACE(INDEX(GroupVertices[Group],MATCH(Edges[[#This Row],[Vertex 2]],GroupVertices[Vertex],0)),1,1,"")</f>
        <v>4</v>
      </c>
      <c r="S48" s="35"/>
      <c r="T48" s="35"/>
      <c r="U48" s="35"/>
      <c r="V48" s="35"/>
      <c r="W48" s="35"/>
      <c r="X48" s="35"/>
      <c r="Y48" s="35"/>
      <c r="Z48" s="35"/>
      <c r="AA48" s="35"/>
    </row>
    <row r="49" spans="1:27" ht="15">
      <c r="A49" s="65" t="s">
        <v>213</v>
      </c>
      <c r="B49" s="65" t="s">
        <v>266</v>
      </c>
      <c r="C49" s="66" t="s">
        <v>3534</v>
      </c>
      <c r="D49" s="67">
        <v>5</v>
      </c>
      <c r="E49" s="68"/>
      <c r="F49" s="69">
        <v>25</v>
      </c>
      <c r="G49" s="66"/>
      <c r="H49" s="70"/>
      <c r="I49" s="71"/>
      <c r="J49" s="71"/>
      <c r="K49" s="35" t="s">
        <v>65</v>
      </c>
      <c r="L49" s="79">
        <v>49</v>
      </c>
      <c r="M49" s="79"/>
      <c r="N49" s="73"/>
      <c r="O49" s="81" t="s">
        <v>613</v>
      </c>
      <c r="P49">
        <v>1</v>
      </c>
      <c r="Q49" s="80" t="str">
        <f>REPLACE(INDEX(GroupVertices[Group],MATCH(Edges[[#This Row],[Vertex 1]],GroupVertices[Vertex],0)),1,1,"")</f>
        <v>4</v>
      </c>
      <c r="R49" s="80" t="str">
        <f>REPLACE(INDEX(GroupVertices[Group],MATCH(Edges[[#This Row],[Vertex 2]],GroupVertices[Vertex],0)),1,1,"")</f>
        <v>4</v>
      </c>
      <c r="S49" s="35"/>
      <c r="T49" s="35"/>
      <c r="U49" s="35"/>
      <c r="V49" s="35"/>
      <c r="W49" s="35"/>
      <c r="X49" s="35"/>
      <c r="Y49" s="35"/>
      <c r="Z49" s="35"/>
      <c r="AA49" s="35"/>
    </row>
    <row r="50" spans="1:27" ht="15">
      <c r="A50" s="65" t="s">
        <v>213</v>
      </c>
      <c r="B50" s="65" t="s">
        <v>267</v>
      </c>
      <c r="C50" s="66" t="s">
        <v>3534</v>
      </c>
      <c r="D50" s="67">
        <v>5</v>
      </c>
      <c r="E50" s="68"/>
      <c r="F50" s="69">
        <v>25</v>
      </c>
      <c r="G50" s="66"/>
      <c r="H50" s="70"/>
      <c r="I50" s="71"/>
      <c r="J50" s="71"/>
      <c r="K50" s="35" t="s">
        <v>65</v>
      </c>
      <c r="L50" s="79">
        <v>50</v>
      </c>
      <c r="M50" s="79"/>
      <c r="N50" s="73"/>
      <c r="O50" s="81" t="s">
        <v>613</v>
      </c>
      <c r="P50">
        <v>1</v>
      </c>
      <c r="Q50" s="80" t="str">
        <f>REPLACE(INDEX(GroupVertices[Group],MATCH(Edges[[#This Row],[Vertex 1]],GroupVertices[Vertex],0)),1,1,"")</f>
        <v>4</v>
      </c>
      <c r="R50" s="80" t="str">
        <f>REPLACE(INDEX(GroupVertices[Group],MATCH(Edges[[#This Row],[Vertex 2]],GroupVertices[Vertex],0)),1,1,"")</f>
        <v>4</v>
      </c>
      <c r="S50" s="35"/>
      <c r="T50" s="35"/>
      <c r="U50" s="35"/>
      <c r="V50" s="35"/>
      <c r="W50" s="35"/>
      <c r="X50" s="35"/>
      <c r="Y50" s="35"/>
      <c r="Z50" s="35"/>
      <c r="AA50" s="35"/>
    </row>
    <row r="51" spans="1:27" ht="15">
      <c r="A51" s="65" t="s">
        <v>213</v>
      </c>
      <c r="B51" s="65" t="s">
        <v>268</v>
      </c>
      <c r="C51" s="66" t="s">
        <v>3534</v>
      </c>
      <c r="D51" s="67">
        <v>5</v>
      </c>
      <c r="E51" s="68"/>
      <c r="F51" s="69">
        <v>25</v>
      </c>
      <c r="G51" s="66"/>
      <c r="H51" s="70"/>
      <c r="I51" s="71"/>
      <c r="J51" s="71"/>
      <c r="K51" s="35" t="s">
        <v>65</v>
      </c>
      <c r="L51" s="79">
        <v>51</v>
      </c>
      <c r="M51" s="79"/>
      <c r="N51" s="73"/>
      <c r="O51" s="81" t="s">
        <v>613</v>
      </c>
      <c r="P51">
        <v>1</v>
      </c>
      <c r="Q51" s="80" t="str">
        <f>REPLACE(INDEX(GroupVertices[Group],MATCH(Edges[[#This Row],[Vertex 1]],GroupVertices[Vertex],0)),1,1,"")</f>
        <v>4</v>
      </c>
      <c r="R51" s="80" t="str">
        <f>REPLACE(INDEX(GroupVertices[Group],MATCH(Edges[[#This Row],[Vertex 2]],GroupVertices[Vertex],0)),1,1,"")</f>
        <v>4</v>
      </c>
      <c r="S51" s="35"/>
      <c r="T51" s="35"/>
      <c r="U51" s="35"/>
      <c r="V51" s="35"/>
      <c r="W51" s="35"/>
      <c r="X51" s="35"/>
      <c r="Y51" s="35"/>
      <c r="Z51" s="35"/>
      <c r="AA51" s="35"/>
    </row>
    <row r="52" spans="1:27" ht="15">
      <c r="A52" s="65" t="s">
        <v>213</v>
      </c>
      <c r="B52" s="65" t="s">
        <v>269</v>
      </c>
      <c r="C52" s="66" t="s">
        <v>3534</v>
      </c>
      <c r="D52" s="67">
        <v>5</v>
      </c>
      <c r="E52" s="68"/>
      <c r="F52" s="69">
        <v>25</v>
      </c>
      <c r="G52" s="66"/>
      <c r="H52" s="70"/>
      <c r="I52" s="71"/>
      <c r="J52" s="71"/>
      <c r="K52" s="35" t="s">
        <v>65</v>
      </c>
      <c r="L52" s="79">
        <v>52</v>
      </c>
      <c r="M52" s="79"/>
      <c r="N52" s="73"/>
      <c r="O52" s="81" t="s">
        <v>613</v>
      </c>
      <c r="P52">
        <v>1</v>
      </c>
      <c r="Q52" s="80" t="str">
        <f>REPLACE(INDEX(GroupVertices[Group],MATCH(Edges[[#This Row],[Vertex 1]],GroupVertices[Vertex],0)),1,1,"")</f>
        <v>4</v>
      </c>
      <c r="R52" s="80" t="str">
        <f>REPLACE(INDEX(GroupVertices[Group],MATCH(Edges[[#This Row],[Vertex 2]],GroupVertices[Vertex],0)),1,1,"")</f>
        <v>4</v>
      </c>
      <c r="S52" s="35"/>
      <c r="T52" s="35"/>
      <c r="U52" s="35"/>
      <c r="V52" s="35"/>
      <c r="W52" s="35"/>
      <c r="X52" s="35"/>
      <c r="Y52" s="35"/>
      <c r="Z52" s="35"/>
      <c r="AA52" s="35"/>
    </row>
    <row r="53" spans="1:27" ht="15">
      <c r="A53" s="65" t="s">
        <v>213</v>
      </c>
      <c r="B53" s="65" t="s">
        <v>270</v>
      </c>
      <c r="C53" s="66" t="s">
        <v>3534</v>
      </c>
      <c r="D53" s="67">
        <v>5</v>
      </c>
      <c r="E53" s="68"/>
      <c r="F53" s="69">
        <v>25</v>
      </c>
      <c r="G53" s="66"/>
      <c r="H53" s="70"/>
      <c r="I53" s="71"/>
      <c r="J53" s="71"/>
      <c r="K53" s="35" t="s">
        <v>65</v>
      </c>
      <c r="L53" s="79">
        <v>53</v>
      </c>
      <c r="M53" s="79"/>
      <c r="N53" s="73"/>
      <c r="O53" s="81" t="s">
        <v>613</v>
      </c>
      <c r="P53">
        <v>1</v>
      </c>
      <c r="Q53" s="80" t="str">
        <f>REPLACE(INDEX(GroupVertices[Group],MATCH(Edges[[#This Row],[Vertex 1]],GroupVertices[Vertex],0)),1,1,"")</f>
        <v>4</v>
      </c>
      <c r="R53" s="80" t="str">
        <f>REPLACE(INDEX(GroupVertices[Group],MATCH(Edges[[#This Row],[Vertex 2]],GroupVertices[Vertex],0)),1,1,"")</f>
        <v>4</v>
      </c>
      <c r="S53" s="35"/>
      <c r="T53" s="35"/>
      <c r="U53" s="35"/>
      <c r="V53" s="35"/>
      <c r="W53" s="35"/>
      <c r="X53" s="35"/>
      <c r="Y53" s="35"/>
      <c r="Z53" s="35"/>
      <c r="AA53" s="35"/>
    </row>
    <row r="54" spans="1:27" ht="15">
      <c r="A54" s="65" t="s">
        <v>213</v>
      </c>
      <c r="B54" s="65" t="s">
        <v>271</v>
      </c>
      <c r="C54" s="66" t="s">
        <v>3534</v>
      </c>
      <c r="D54" s="67">
        <v>5</v>
      </c>
      <c r="E54" s="68"/>
      <c r="F54" s="69">
        <v>25</v>
      </c>
      <c r="G54" s="66"/>
      <c r="H54" s="70"/>
      <c r="I54" s="71"/>
      <c r="J54" s="71"/>
      <c r="K54" s="35" t="s">
        <v>65</v>
      </c>
      <c r="L54" s="79">
        <v>54</v>
      </c>
      <c r="M54" s="79"/>
      <c r="N54" s="73"/>
      <c r="O54" s="81" t="s">
        <v>613</v>
      </c>
      <c r="P54">
        <v>1</v>
      </c>
      <c r="Q54" s="80" t="str">
        <f>REPLACE(INDEX(GroupVertices[Group],MATCH(Edges[[#This Row],[Vertex 1]],GroupVertices[Vertex],0)),1,1,"")</f>
        <v>4</v>
      </c>
      <c r="R54" s="80" t="str">
        <f>REPLACE(INDEX(GroupVertices[Group],MATCH(Edges[[#This Row],[Vertex 2]],GroupVertices[Vertex],0)),1,1,"")</f>
        <v>4</v>
      </c>
      <c r="S54" s="35"/>
      <c r="T54" s="35"/>
      <c r="U54" s="35"/>
      <c r="V54" s="35"/>
      <c r="W54" s="35"/>
      <c r="X54" s="35"/>
      <c r="Y54" s="35"/>
      <c r="Z54" s="35"/>
      <c r="AA54" s="35"/>
    </row>
    <row r="55" spans="1:27" ht="15">
      <c r="A55" s="65" t="s">
        <v>213</v>
      </c>
      <c r="B55" s="65" t="s">
        <v>272</v>
      </c>
      <c r="C55" s="66" t="s">
        <v>3534</v>
      </c>
      <c r="D55" s="67">
        <v>5</v>
      </c>
      <c r="E55" s="68"/>
      <c r="F55" s="69">
        <v>25</v>
      </c>
      <c r="G55" s="66"/>
      <c r="H55" s="70"/>
      <c r="I55" s="71"/>
      <c r="J55" s="71"/>
      <c r="K55" s="35" t="s">
        <v>65</v>
      </c>
      <c r="L55" s="79">
        <v>55</v>
      </c>
      <c r="M55" s="79"/>
      <c r="N55" s="73"/>
      <c r="O55" s="81" t="s">
        <v>613</v>
      </c>
      <c r="P55">
        <v>1</v>
      </c>
      <c r="Q55" s="80" t="str">
        <f>REPLACE(INDEX(GroupVertices[Group],MATCH(Edges[[#This Row],[Vertex 1]],GroupVertices[Vertex],0)),1,1,"")</f>
        <v>4</v>
      </c>
      <c r="R55" s="80" t="str">
        <f>REPLACE(INDEX(GroupVertices[Group],MATCH(Edges[[#This Row],[Vertex 2]],GroupVertices[Vertex],0)),1,1,"")</f>
        <v>4</v>
      </c>
      <c r="S55" s="35"/>
      <c r="T55" s="35"/>
      <c r="U55" s="35"/>
      <c r="V55" s="35"/>
      <c r="W55" s="35"/>
      <c r="X55" s="35"/>
      <c r="Y55" s="35"/>
      <c r="Z55" s="35"/>
      <c r="AA55" s="35"/>
    </row>
    <row r="56" spans="1:27" ht="15">
      <c r="A56" s="65" t="s">
        <v>213</v>
      </c>
      <c r="B56" s="65" t="s">
        <v>273</v>
      </c>
      <c r="C56" s="66" t="s">
        <v>3534</v>
      </c>
      <c r="D56" s="67">
        <v>5</v>
      </c>
      <c r="E56" s="68"/>
      <c r="F56" s="69">
        <v>25</v>
      </c>
      <c r="G56" s="66"/>
      <c r="H56" s="70"/>
      <c r="I56" s="71"/>
      <c r="J56" s="71"/>
      <c r="K56" s="35" t="s">
        <v>65</v>
      </c>
      <c r="L56" s="79">
        <v>56</v>
      </c>
      <c r="M56" s="79"/>
      <c r="N56" s="73"/>
      <c r="O56" s="81" t="s">
        <v>613</v>
      </c>
      <c r="P56">
        <v>1</v>
      </c>
      <c r="Q56" s="80" t="str">
        <f>REPLACE(INDEX(GroupVertices[Group],MATCH(Edges[[#This Row],[Vertex 1]],GroupVertices[Vertex],0)),1,1,"")</f>
        <v>4</v>
      </c>
      <c r="R56" s="80" t="str">
        <f>REPLACE(INDEX(GroupVertices[Group],MATCH(Edges[[#This Row],[Vertex 2]],GroupVertices[Vertex],0)),1,1,"")</f>
        <v>4</v>
      </c>
      <c r="S56" s="35"/>
      <c r="T56" s="35"/>
      <c r="U56" s="35"/>
      <c r="V56" s="35"/>
      <c r="W56" s="35"/>
      <c r="X56" s="35"/>
      <c r="Y56" s="35"/>
      <c r="Z56" s="35"/>
      <c r="AA56" s="35"/>
    </row>
    <row r="57" spans="1:27" ht="15">
      <c r="A57" s="65" t="s">
        <v>213</v>
      </c>
      <c r="B57" s="65" t="s">
        <v>274</v>
      </c>
      <c r="C57" s="66" t="s">
        <v>3534</v>
      </c>
      <c r="D57" s="67">
        <v>5</v>
      </c>
      <c r="E57" s="68"/>
      <c r="F57" s="69">
        <v>25</v>
      </c>
      <c r="G57" s="66"/>
      <c r="H57" s="70"/>
      <c r="I57" s="71"/>
      <c r="J57" s="71"/>
      <c r="K57" s="35" t="s">
        <v>65</v>
      </c>
      <c r="L57" s="79">
        <v>57</v>
      </c>
      <c r="M57" s="79"/>
      <c r="N57" s="73"/>
      <c r="O57" s="81" t="s">
        <v>613</v>
      </c>
      <c r="P57">
        <v>1</v>
      </c>
      <c r="Q57" s="80" t="str">
        <f>REPLACE(INDEX(GroupVertices[Group],MATCH(Edges[[#This Row],[Vertex 1]],GroupVertices[Vertex],0)),1,1,"")</f>
        <v>4</v>
      </c>
      <c r="R57" s="80" t="str">
        <f>REPLACE(INDEX(GroupVertices[Group],MATCH(Edges[[#This Row],[Vertex 2]],GroupVertices[Vertex],0)),1,1,"")</f>
        <v>4</v>
      </c>
      <c r="S57" s="35"/>
      <c r="T57" s="35"/>
      <c r="U57" s="35"/>
      <c r="V57" s="35"/>
      <c r="W57" s="35"/>
      <c r="X57" s="35"/>
      <c r="Y57" s="35"/>
      <c r="Z57" s="35"/>
      <c r="AA57" s="35"/>
    </row>
    <row r="58" spans="1:27" ht="15">
      <c r="A58" s="65" t="s">
        <v>213</v>
      </c>
      <c r="B58" s="65" t="s">
        <v>275</v>
      </c>
      <c r="C58" s="66" t="s">
        <v>3534</v>
      </c>
      <c r="D58" s="67">
        <v>5</v>
      </c>
      <c r="E58" s="68"/>
      <c r="F58" s="69">
        <v>25</v>
      </c>
      <c r="G58" s="66"/>
      <c r="H58" s="70"/>
      <c r="I58" s="71"/>
      <c r="J58" s="71"/>
      <c r="K58" s="35" t="s">
        <v>65</v>
      </c>
      <c r="L58" s="79">
        <v>58</v>
      </c>
      <c r="M58" s="79"/>
      <c r="N58" s="73"/>
      <c r="O58" s="81" t="s">
        <v>613</v>
      </c>
      <c r="P58">
        <v>1</v>
      </c>
      <c r="Q58" s="80" t="str">
        <f>REPLACE(INDEX(GroupVertices[Group],MATCH(Edges[[#This Row],[Vertex 1]],GroupVertices[Vertex],0)),1,1,"")</f>
        <v>4</v>
      </c>
      <c r="R58" s="80" t="str">
        <f>REPLACE(INDEX(GroupVertices[Group],MATCH(Edges[[#This Row],[Vertex 2]],GroupVertices[Vertex],0)),1,1,"")</f>
        <v>4</v>
      </c>
      <c r="S58" s="35"/>
      <c r="T58" s="35"/>
      <c r="U58" s="35"/>
      <c r="V58" s="35"/>
      <c r="W58" s="35"/>
      <c r="X58" s="35"/>
      <c r="Y58" s="35"/>
      <c r="Z58" s="35"/>
      <c r="AA58" s="35"/>
    </row>
    <row r="59" spans="1:27" ht="15">
      <c r="A59" s="65" t="s">
        <v>213</v>
      </c>
      <c r="B59" s="65" t="s">
        <v>276</v>
      </c>
      <c r="C59" s="66" t="s">
        <v>3534</v>
      </c>
      <c r="D59" s="67">
        <v>5</v>
      </c>
      <c r="E59" s="68"/>
      <c r="F59" s="69">
        <v>25</v>
      </c>
      <c r="G59" s="66"/>
      <c r="H59" s="70"/>
      <c r="I59" s="71"/>
      <c r="J59" s="71"/>
      <c r="K59" s="35" t="s">
        <v>65</v>
      </c>
      <c r="L59" s="79">
        <v>59</v>
      </c>
      <c r="M59" s="79"/>
      <c r="N59" s="73"/>
      <c r="O59" s="81" t="s">
        <v>613</v>
      </c>
      <c r="P59">
        <v>1</v>
      </c>
      <c r="Q59" s="80" t="str">
        <f>REPLACE(INDEX(GroupVertices[Group],MATCH(Edges[[#This Row],[Vertex 1]],GroupVertices[Vertex],0)),1,1,"")</f>
        <v>4</v>
      </c>
      <c r="R59" s="80" t="str">
        <f>REPLACE(INDEX(GroupVertices[Group],MATCH(Edges[[#This Row],[Vertex 2]],GroupVertices[Vertex],0)),1,1,"")</f>
        <v>4</v>
      </c>
      <c r="S59" s="35"/>
      <c r="T59" s="35"/>
      <c r="U59" s="35"/>
      <c r="V59" s="35"/>
      <c r="W59" s="35"/>
      <c r="X59" s="35"/>
      <c r="Y59" s="35"/>
      <c r="Z59" s="35"/>
      <c r="AA59" s="35"/>
    </row>
    <row r="60" spans="1:27" ht="15">
      <c r="A60" s="65" t="s">
        <v>213</v>
      </c>
      <c r="B60" s="65" t="s">
        <v>277</v>
      </c>
      <c r="C60" s="66" t="s">
        <v>3534</v>
      </c>
      <c r="D60" s="67">
        <v>5</v>
      </c>
      <c r="E60" s="68"/>
      <c r="F60" s="69">
        <v>25</v>
      </c>
      <c r="G60" s="66"/>
      <c r="H60" s="70"/>
      <c r="I60" s="71"/>
      <c r="J60" s="71"/>
      <c r="K60" s="35" t="s">
        <v>65</v>
      </c>
      <c r="L60" s="79">
        <v>60</v>
      </c>
      <c r="M60" s="79"/>
      <c r="N60" s="73"/>
      <c r="O60" s="81" t="s">
        <v>613</v>
      </c>
      <c r="P60">
        <v>1</v>
      </c>
      <c r="Q60" s="80" t="str">
        <f>REPLACE(INDEX(GroupVertices[Group],MATCH(Edges[[#This Row],[Vertex 1]],GroupVertices[Vertex],0)),1,1,"")</f>
        <v>4</v>
      </c>
      <c r="R60" s="80" t="str">
        <f>REPLACE(INDEX(GroupVertices[Group],MATCH(Edges[[#This Row],[Vertex 2]],GroupVertices[Vertex],0)),1,1,"")</f>
        <v>4</v>
      </c>
      <c r="S60" s="35"/>
      <c r="T60" s="35"/>
      <c r="U60" s="35"/>
      <c r="V60" s="35"/>
      <c r="W60" s="35"/>
      <c r="X60" s="35"/>
      <c r="Y60" s="35"/>
      <c r="Z60" s="35"/>
      <c r="AA60" s="35"/>
    </row>
    <row r="61" spans="1:27" ht="15">
      <c r="A61" s="65" t="s">
        <v>213</v>
      </c>
      <c r="B61" s="65" t="s">
        <v>278</v>
      </c>
      <c r="C61" s="66" t="s">
        <v>3534</v>
      </c>
      <c r="D61" s="67">
        <v>5</v>
      </c>
      <c r="E61" s="68"/>
      <c r="F61" s="69">
        <v>25</v>
      </c>
      <c r="G61" s="66"/>
      <c r="H61" s="70"/>
      <c r="I61" s="71"/>
      <c r="J61" s="71"/>
      <c r="K61" s="35" t="s">
        <v>65</v>
      </c>
      <c r="L61" s="79">
        <v>61</v>
      </c>
      <c r="M61" s="79"/>
      <c r="N61" s="73"/>
      <c r="O61" s="81" t="s">
        <v>613</v>
      </c>
      <c r="P61">
        <v>1</v>
      </c>
      <c r="Q61" s="80" t="str">
        <f>REPLACE(INDEX(GroupVertices[Group],MATCH(Edges[[#This Row],[Vertex 1]],GroupVertices[Vertex],0)),1,1,"")</f>
        <v>4</v>
      </c>
      <c r="R61" s="80" t="str">
        <f>REPLACE(INDEX(GroupVertices[Group],MATCH(Edges[[#This Row],[Vertex 2]],GroupVertices[Vertex],0)),1,1,"")</f>
        <v>4</v>
      </c>
      <c r="S61" s="35"/>
      <c r="T61" s="35"/>
      <c r="U61" s="35"/>
      <c r="V61" s="35"/>
      <c r="W61" s="35"/>
      <c r="X61" s="35"/>
      <c r="Y61" s="35"/>
      <c r="Z61" s="35"/>
      <c r="AA61" s="35"/>
    </row>
    <row r="62" spans="1:27" ht="15">
      <c r="A62" s="65" t="s">
        <v>213</v>
      </c>
      <c r="B62" s="65" t="s">
        <v>279</v>
      </c>
      <c r="C62" s="66" t="s">
        <v>3534</v>
      </c>
      <c r="D62" s="67">
        <v>5</v>
      </c>
      <c r="E62" s="68"/>
      <c r="F62" s="69">
        <v>25</v>
      </c>
      <c r="G62" s="66"/>
      <c r="H62" s="70"/>
      <c r="I62" s="71"/>
      <c r="J62" s="71"/>
      <c r="K62" s="35" t="s">
        <v>65</v>
      </c>
      <c r="L62" s="79">
        <v>62</v>
      </c>
      <c r="M62" s="79"/>
      <c r="N62" s="73"/>
      <c r="O62" s="81" t="s">
        <v>613</v>
      </c>
      <c r="P62">
        <v>1</v>
      </c>
      <c r="Q62" s="80" t="str">
        <f>REPLACE(INDEX(GroupVertices[Group],MATCH(Edges[[#This Row],[Vertex 1]],GroupVertices[Vertex],0)),1,1,"")</f>
        <v>4</v>
      </c>
      <c r="R62" s="80" t="str">
        <f>REPLACE(INDEX(GroupVertices[Group],MATCH(Edges[[#This Row],[Vertex 2]],GroupVertices[Vertex],0)),1,1,"")</f>
        <v>4</v>
      </c>
      <c r="S62" s="35"/>
      <c r="T62" s="35"/>
      <c r="U62" s="35"/>
      <c r="V62" s="35"/>
      <c r="W62" s="35"/>
      <c r="X62" s="35"/>
      <c r="Y62" s="35"/>
      <c r="Z62" s="35"/>
      <c r="AA62" s="35"/>
    </row>
    <row r="63" spans="1:27" ht="15">
      <c r="A63" s="65" t="s">
        <v>213</v>
      </c>
      <c r="B63" s="65" t="s">
        <v>280</v>
      </c>
      <c r="C63" s="66" t="s">
        <v>3534</v>
      </c>
      <c r="D63" s="67">
        <v>5</v>
      </c>
      <c r="E63" s="68"/>
      <c r="F63" s="69">
        <v>25</v>
      </c>
      <c r="G63" s="66"/>
      <c r="H63" s="70"/>
      <c r="I63" s="71"/>
      <c r="J63" s="71"/>
      <c r="K63" s="35" t="s">
        <v>65</v>
      </c>
      <c r="L63" s="79">
        <v>63</v>
      </c>
      <c r="M63" s="79"/>
      <c r="N63" s="73"/>
      <c r="O63" s="81" t="s">
        <v>613</v>
      </c>
      <c r="P63">
        <v>1</v>
      </c>
      <c r="Q63" s="80" t="str">
        <f>REPLACE(INDEX(GroupVertices[Group],MATCH(Edges[[#This Row],[Vertex 1]],GroupVertices[Vertex],0)),1,1,"")</f>
        <v>4</v>
      </c>
      <c r="R63" s="80" t="str">
        <f>REPLACE(INDEX(GroupVertices[Group],MATCH(Edges[[#This Row],[Vertex 2]],GroupVertices[Vertex],0)),1,1,"")</f>
        <v>4</v>
      </c>
      <c r="S63" s="35"/>
      <c r="T63" s="35"/>
      <c r="U63" s="35"/>
      <c r="V63" s="35"/>
      <c r="W63" s="35"/>
      <c r="X63" s="35"/>
      <c r="Y63" s="35"/>
      <c r="Z63" s="35"/>
      <c r="AA63" s="35"/>
    </row>
    <row r="64" spans="1:27" ht="15">
      <c r="A64" s="65" t="s">
        <v>213</v>
      </c>
      <c r="B64" s="65" t="s">
        <v>281</v>
      </c>
      <c r="C64" s="66" t="s">
        <v>3534</v>
      </c>
      <c r="D64" s="67">
        <v>5</v>
      </c>
      <c r="E64" s="68"/>
      <c r="F64" s="69">
        <v>25</v>
      </c>
      <c r="G64" s="66"/>
      <c r="H64" s="70"/>
      <c r="I64" s="71"/>
      <c r="J64" s="71"/>
      <c r="K64" s="35" t="s">
        <v>65</v>
      </c>
      <c r="L64" s="79">
        <v>64</v>
      </c>
      <c r="M64" s="79"/>
      <c r="N64" s="73"/>
      <c r="O64" s="81" t="s">
        <v>613</v>
      </c>
      <c r="P64">
        <v>1</v>
      </c>
      <c r="Q64" s="80" t="str">
        <f>REPLACE(INDEX(GroupVertices[Group],MATCH(Edges[[#This Row],[Vertex 1]],GroupVertices[Vertex],0)),1,1,"")</f>
        <v>4</v>
      </c>
      <c r="R64" s="80" t="str">
        <f>REPLACE(INDEX(GroupVertices[Group],MATCH(Edges[[#This Row],[Vertex 2]],GroupVertices[Vertex],0)),1,1,"")</f>
        <v>4</v>
      </c>
      <c r="S64" s="35"/>
      <c r="T64" s="35"/>
      <c r="U64" s="35"/>
      <c r="V64" s="35"/>
      <c r="W64" s="35"/>
      <c r="X64" s="35"/>
      <c r="Y64" s="35"/>
      <c r="Z64" s="35"/>
      <c r="AA64" s="35"/>
    </row>
    <row r="65" spans="1:27" ht="15">
      <c r="A65" s="65" t="s">
        <v>213</v>
      </c>
      <c r="B65" s="65" t="s">
        <v>282</v>
      </c>
      <c r="C65" s="66" t="s">
        <v>3534</v>
      </c>
      <c r="D65" s="67">
        <v>5</v>
      </c>
      <c r="E65" s="68"/>
      <c r="F65" s="69">
        <v>25</v>
      </c>
      <c r="G65" s="66"/>
      <c r="H65" s="70"/>
      <c r="I65" s="71"/>
      <c r="J65" s="71"/>
      <c r="K65" s="35" t="s">
        <v>65</v>
      </c>
      <c r="L65" s="79">
        <v>65</v>
      </c>
      <c r="M65" s="79"/>
      <c r="N65" s="73"/>
      <c r="O65" s="81" t="s">
        <v>613</v>
      </c>
      <c r="P65">
        <v>1</v>
      </c>
      <c r="Q65" s="80" t="str">
        <f>REPLACE(INDEX(GroupVertices[Group],MATCH(Edges[[#This Row],[Vertex 1]],GroupVertices[Vertex],0)),1,1,"")</f>
        <v>4</v>
      </c>
      <c r="R65" s="80" t="str">
        <f>REPLACE(INDEX(GroupVertices[Group],MATCH(Edges[[#This Row],[Vertex 2]],GroupVertices[Vertex],0)),1,1,"")</f>
        <v>4</v>
      </c>
      <c r="S65" s="35"/>
      <c r="T65" s="35"/>
      <c r="U65" s="35"/>
      <c r="V65" s="35"/>
      <c r="W65" s="35"/>
      <c r="X65" s="35"/>
      <c r="Y65" s="35"/>
      <c r="Z65" s="35"/>
      <c r="AA65" s="35"/>
    </row>
    <row r="66" spans="1:27" ht="15">
      <c r="A66" s="65" t="s">
        <v>213</v>
      </c>
      <c r="B66" s="65" t="s">
        <v>283</v>
      </c>
      <c r="C66" s="66" t="s">
        <v>3534</v>
      </c>
      <c r="D66" s="67">
        <v>5</v>
      </c>
      <c r="E66" s="68"/>
      <c r="F66" s="69">
        <v>25</v>
      </c>
      <c r="G66" s="66"/>
      <c r="H66" s="70"/>
      <c r="I66" s="71"/>
      <c r="J66" s="71"/>
      <c r="K66" s="35" t="s">
        <v>65</v>
      </c>
      <c r="L66" s="79">
        <v>66</v>
      </c>
      <c r="M66" s="79"/>
      <c r="N66" s="73"/>
      <c r="O66" s="81" t="s">
        <v>613</v>
      </c>
      <c r="P66">
        <v>1</v>
      </c>
      <c r="Q66" s="80" t="str">
        <f>REPLACE(INDEX(GroupVertices[Group],MATCH(Edges[[#This Row],[Vertex 1]],GroupVertices[Vertex],0)),1,1,"")</f>
        <v>4</v>
      </c>
      <c r="R66" s="80" t="str">
        <f>REPLACE(INDEX(GroupVertices[Group],MATCH(Edges[[#This Row],[Vertex 2]],GroupVertices[Vertex],0)),1,1,"")</f>
        <v>4</v>
      </c>
      <c r="S66" s="35"/>
      <c r="T66" s="35"/>
      <c r="U66" s="35"/>
      <c r="V66" s="35"/>
      <c r="W66" s="35"/>
      <c r="X66" s="35"/>
      <c r="Y66" s="35"/>
      <c r="Z66" s="35"/>
      <c r="AA66" s="35"/>
    </row>
    <row r="67" spans="1:27" ht="15">
      <c r="A67" s="65" t="s">
        <v>212</v>
      </c>
      <c r="B67" s="65" t="s">
        <v>284</v>
      </c>
      <c r="C67" s="66" t="s">
        <v>3534</v>
      </c>
      <c r="D67" s="67">
        <v>5</v>
      </c>
      <c r="E67" s="68"/>
      <c r="F67" s="69">
        <v>25</v>
      </c>
      <c r="G67" s="66"/>
      <c r="H67" s="70"/>
      <c r="I67" s="71"/>
      <c r="J67" s="71"/>
      <c r="K67" s="35" t="s">
        <v>65</v>
      </c>
      <c r="L67" s="79">
        <v>67</v>
      </c>
      <c r="M67" s="79"/>
      <c r="N67" s="73"/>
      <c r="O67" s="81" t="s">
        <v>613</v>
      </c>
      <c r="P67">
        <v>1</v>
      </c>
      <c r="Q67" s="80" t="str">
        <f>REPLACE(INDEX(GroupVertices[Group],MATCH(Edges[[#This Row],[Vertex 1]],GroupVertices[Vertex],0)),1,1,"")</f>
        <v>7</v>
      </c>
      <c r="R67" s="80" t="str">
        <f>REPLACE(INDEX(GroupVertices[Group],MATCH(Edges[[#This Row],[Vertex 2]],GroupVertices[Vertex],0)),1,1,"")</f>
        <v>4</v>
      </c>
      <c r="S67" s="35"/>
      <c r="T67" s="35"/>
      <c r="U67" s="35"/>
      <c r="V67" s="35"/>
      <c r="W67" s="35"/>
      <c r="X67" s="35"/>
      <c r="Y67" s="35"/>
      <c r="Z67" s="35"/>
      <c r="AA67" s="35"/>
    </row>
    <row r="68" spans="1:27" ht="15">
      <c r="A68" s="65" t="s">
        <v>213</v>
      </c>
      <c r="B68" s="65" t="s">
        <v>284</v>
      </c>
      <c r="C68" s="66" t="s">
        <v>3534</v>
      </c>
      <c r="D68" s="67">
        <v>5</v>
      </c>
      <c r="E68" s="68"/>
      <c r="F68" s="69">
        <v>25</v>
      </c>
      <c r="G68" s="66"/>
      <c r="H68" s="70"/>
      <c r="I68" s="71"/>
      <c r="J68" s="71"/>
      <c r="K68" s="35" t="s">
        <v>65</v>
      </c>
      <c r="L68" s="79">
        <v>68</v>
      </c>
      <c r="M68" s="79"/>
      <c r="N68" s="73"/>
      <c r="O68" s="81" t="s">
        <v>613</v>
      </c>
      <c r="P68">
        <v>1</v>
      </c>
      <c r="Q68" s="80" t="str">
        <f>REPLACE(INDEX(GroupVertices[Group],MATCH(Edges[[#This Row],[Vertex 1]],GroupVertices[Vertex],0)),1,1,"")</f>
        <v>4</v>
      </c>
      <c r="R68" s="80" t="str">
        <f>REPLACE(INDEX(GroupVertices[Group],MATCH(Edges[[#This Row],[Vertex 2]],GroupVertices[Vertex],0)),1,1,"")</f>
        <v>4</v>
      </c>
      <c r="S68" s="35"/>
      <c r="T68" s="35"/>
      <c r="U68" s="35"/>
      <c r="V68" s="35"/>
      <c r="W68" s="35"/>
      <c r="X68" s="35"/>
      <c r="Y68" s="35"/>
      <c r="Z68" s="35"/>
      <c r="AA68" s="35"/>
    </row>
    <row r="69" spans="1:27" ht="15">
      <c r="A69" s="65" t="s">
        <v>213</v>
      </c>
      <c r="B69" s="65" t="s">
        <v>285</v>
      </c>
      <c r="C69" s="66" t="s">
        <v>3534</v>
      </c>
      <c r="D69" s="67">
        <v>5</v>
      </c>
      <c r="E69" s="68"/>
      <c r="F69" s="69">
        <v>25</v>
      </c>
      <c r="G69" s="66"/>
      <c r="H69" s="70"/>
      <c r="I69" s="71"/>
      <c r="J69" s="71"/>
      <c r="K69" s="35" t="s">
        <v>65</v>
      </c>
      <c r="L69" s="79">
        <v>69</v>
      </c>
      <c r="M69" s="79"/>
      <c r="N69" s="73"/>
      <c r="O69" s="81" t="s">
        <v>613</v>
      </c>
      <c r="P69">
        <v>1</v>
      </c>
      <c r="Q69" s="80" t="str">
        <f>REPLACE(INDEX(GroupVertices[Group],MATCH(Edges[[#This Row],[Vertex 1]],GroupVertices[Vertex],0)),1,1,"")</f>
        <v>4</v>
      </c>
      <c r="R69" s="80" t="str">
        <f>REPLACE(INDEX(GroupVertices[Group],MATCH(Edges[[#This Row],[Vertex 2]],GroupVertices[Vertex],0)),1,1,"")</f>
        <v>4</v>
      </c>
      <c r="S69" s="35"/>
      <c r="T69" s="35"/>
      <c r="U69" s="35"/>
      <c r="V69" s="35"/>
      <c r="W69" s="35"/>
      <c r="X69" s="35"/>
      <c r="Y69" s="35"/>
      <c r="Z69" s="35"/>
      <c r="AA69" s="35"/>
    </row>
    <row r="70" spans="1:27" ht="15">
      <c r="A70" s="65" t="s">
        <v>213</v>
      </c>
      <c r="B70" s="65" t="s">
        <v>286</v>
      </c>
      <c r="C70" s="66" t="s">
        <v>3534</v>
      </c>
      <c r="D70" s="67">
        <v>5</v>
      </c>
      <c r="E70" s="68"/>
      <c r="F70" s="69">
        <v>25</v>
      </c>
      <c r="G70" s="66"/>
      <c r="H70" s="70"/>
      <c r="I70" s="71"/>
      <c r="J70" s="71"/>
      <c r="K70" s="35" t="s">
        <v>65</v>
      </c>
      <c r="L70" s="79">
        <v>70</v>
      </c>
      <c r="M70" s="79"/>
      <c r="N70" s="73"/>
      <c r="O70" s="81" t="s">
        <v>613</v>
      </c>
      <c r="P70">
        <v>1</v>
      </c>
      <c r="Q70" s="80" t="str">
        <f>REPLACE(INDEX(GroupVertices[Group],MATCH(Edges[[#This Row],[Vertex 1]],GroupVertices[Vertex],0)),1,1,"")</f>
        <v>4</v>
      </c>
      <c r="R70" s="80" t="str">
        <f>REPLACE(INDEX(GroupVertices[Group],MATCH(Edges[[#This Row],[Vertex 2]],GroupVertices[Vertex],0)),1,1,"")</f>
        <v>4</v>
      </c>
      <c r="S70" s="35"/>
      <c r="T70" s="35"/>
      <c r="U70" s="35"/>
      <c r="V70" s="35"/>
      <c r="W70" s="35"/>
      <c r="X70" s="35"/>
      <c r="Y70" s="35"/>
      <c r="Z70" s="35"/>
      <c r="AA70" s="35"/>
    </row>
    <row r="71" spans="1:27" ht="15">
      <c r="A71" s="65" t="s">
        <v>213</v>
      </c>
      <c r="B71" s="65" t="s">
        <v>287</v>
      </c>
      <c r="C71" s="66" t="s">
        <v>3534</v>
      </c>
      <c r="D71" s="67">
        <v>5</v>
      </c>
      <c r="E71" s="68"/>
      <c r="F71" s="69">
        <v>25</v>
      </c>
      <c r="G71" s="66"/>
      <c r="H71" s="70"/>
      <c r="I71" s="71"/>
      <c r="J71" s="71"/>
      <c r="K71" s="35" t="s">
        <v>65</v>
      </c>
      <c r="L71" s="79">
        <v>71</v>
      </c>
      <c r="M71" s="79"/>
      <c r="N71" s="73"/>
      <c r="O71" s="81" t="s">
        <v>613</v>
      </c>
      <c r="P71">
        <v>1</v>
      </c>
      <c r="Q71" s="80" t="str">
        <f>REPLACE(INDEX(GroupVertices[Group],MATCH(Edges[[#This Row],[Vertex 1]],GroupVertices[Vertex],0)),1,1,"")</f>
        <v>4</v>
      </c>
      <c r="R71" s="80" t="str">
        <f>REPLACE(INDEX(GroupVertices[Group],MATCH(Edges[[#This Row],[Vertex 2]],GroupVertices[Vertex],0)),1,1,"")</f>
        <v>4</v>
      </c>
      <c r="S71" s="35"/>
      <c r="T71" s="35"/>
      <c r="U71" s="35"/>
      <c r="V71" s="35"/>
      <c r="W71" s="35"/>
      <c r="X71" s="35"/>
      <c r="Y71" s="35"/>
      <c r="Z71" s="35"/>
      <c r="AA71" s="35"/>
    </row>
    <row r="72" spans="1:27" ht="15">
      <c r="A72" s="65" t="s">
        <v>213</v>
      </c>
      <c r="B72" s="65" t="s">
        <v>288</v>
      </c>
      <c r="C72" s="66" t="s">
        <v>3534</v>
      </c>
      <c r="D72" s="67">
        <v>5</v>
      </c>
      <c r="E72" s="68"/>
      <c r="F72" s="69">
        <v>25</v>
      </c>
      <c r="G72" s="66"/>
      <c r="H72" s="70"/>
      <c r="I72" s="71"/>
      <c r="J72" s="71"/>
      <c r="K72" s="35" t="s">
        <v>65</v>
      </c>
      <c r="L72" s="79">
        <v>72</v>
      </c>
      <c r="M72" s="79"/>
      <c r="N72" s="73"/>
      <c r="O72" s="81" t="s">
        <v>613</v>
      </c>
      <c r="P72">
        <v>1</v>
      </c>
      <c r="Q72" s="80" t="str">
        <f>REPLACE(INDEX(GroupVertices[Group],MATCH(Edges[[#This Row],[Vertex 1]],GroupVertices[Vertex],0)),1,1,"")</f>
        <v>4</v>
      </c>
      <c r="R72" s="80" t="str">
        <f>REPLACE(INDEX(GroupVertices[Group],MATCH(Edges[[#This Row],[Vertex 2]],GroupVertices[Vertex],0)),1,1,"")</f>
        <v>4</v>
      </c>
      <c r="S72" s="35"/>
      <c r="T72" s="35"/>
      <c r="U72" s="35"/>
      <c r="V72" s="35"/>
      <c r="W72" s="35"/>
      <c r="X72" s="35"/>
      <c r="Y72" s="35"/>
      <c r="Z72" s="35"/>
      <c r="AA72" s="35"/>
    </row>
    <row r="73" spans="1:27" ht="15">
      <c r="A73" s="65" t="s">
        <v>213</v>
      </c>
      <c r="B73" s="65" t="s">
        <v>289</v>
      </c>
      <c r="C73" s="66" t="s">
        <v>3534</v>
      </c>
      <c r="D73" s="67">
        <v>5</v>
      </c>
      <c r="E73" s="68"/>
      <c r="F73" s="69">
        <v>25</v>
      </c>
      <c r="G73" s="66"/>
      <c r="H73" s="70"/>
      <c r="I73" s="71"/>
      <c r="J73" s="71"/>
      <c r="K73" s="35" t="s">
        <v>65</v>
      </c>
      <c r="L73" s="79">
        <v>73</v>
      </c>
      <c r="M73" s="79"/>
      <c r="N73" s="73"/>
      <c r="O73" s="81" t="s">
        <v>613</v>
      </c>
      <c r="P73">
        <v>1</v>
      </c>
      <c r="Q73" s="80" t="str">
        <f>REPLACE(INDEX(GroupVertices[Group],MATCH(Edges[[#This Row],[Vertex 1]],GroupVertices[Vertex],0)),1,1,"")</f>
        <v>4</v>
      </c>
      <c r="R73" s="80" t="str">
        <f>REPLACE(INDEX(GroupVertices[Group],MATCH(Edges[[#This Row],[Vertex 2]],GroupVertices[Vertex],0)),1,1,"")</f>
        <v>4</v>
      </c>
      <c r="S73" s="35"/>
      <c r="T73" s="35"/>
      <c r="U73" s="35"/>
      <c r="V73" s="35"/>
      <c r="W73" s="35"/>
      <c r="X73" s="35"/>
      <c r="Y73" s="35"/>
      <c r="Z73" s="35"/>
      <c r="AA73" s="35"/>
    </row>
    <row r="74" spans="1:27" ht="15">
      <c r="A74" s="65" t="s">
        <v>213</v>
      </c>
      <c r="B74" s="65" t="s">
        <v>290</v>
      </c>
      <c r="C74" s="66" t="s">
        <v>3534</v>
      </c>
      <c r="D74" s="67">
        <v>5</v>
      </c>
      <c r="E74" s="68"/>
      <c r="F74" s="69">
        <v>25</v>
      </c>
      <c r="G74" s="66"/>
      <c r="H74" s="70"/>
      <c r="I74" s="71"/>
      <c r="J74" s="71"/>
      <c r="K74" s="35" t="s">
        <v>65</v>
      </c>
      <c r="L74" s="79">
        <v>74</v>
      </c>
      <c r="M74" s="79"/>
      <c r="N74" s="73"/>
      <c r="O74" s="81" t="s">
        <v>613</v>
      </c>
      <c r="P74">
        <v>1</v>
      </c>
      <c r="Q74" s="80" t="str">
        <f>REPLACE(INDEX(GroupVertices[Group],MATCH(Edges[[#This Row],[Vertex 1]],GroupVertices[Vertex],0)),1,1,"")</f>
        <v>4</v>
      </c>
      <c r="R74" s="80" t="str">
        <f>REPLACE(INDEX(GroupVertices[Group],MATCH(Edges[[#This Row],[Vertex 2]],GroupVertices[Vertex],0)),1,1,"")</f>
        <v>4</v>
      </c>
      <c r="S74" s="35"/>
      <c r="T74" s="35"/>
      <c r="U74" s="35"/>
      <c r="V74" s="35"/>
      <c r="W74" s="35"/>
      <c r="X74" s="35"/>
      <c r="Y74" s="35"/>
      <c r="Z74" s="35"/>
      <c r="AA74" s="35"/>
    </row>
    <row r="75" spans="1:27" ht="15">
      <c r="A75" s="65" t="s">
        <v>213</v>
      </c>
      <c r="B75" s="65" t="s">
        <v>291</v>
      </c>
      <c r="C75" s="66" t="s">
        <v>3534</v>
      </c>
      <c r="D75" s="67">
        <v>5</v>
      </c>
      <c r="E75" s="68"/>
      <c r="F75" s="69">
        <v>25</v>
      </c>
      <c r="G75" s="66"/>
      <c r="H75" s="70"/>
      <c r="I75" s="71"/>
      <c r="J75" s="71"/>
      <c r="K75" s="35" t="s">
        <v>65</v>
      </c>
      <c r="L75" s="79">
        <v>75</v>
      </c>
      <c r="M75" s="79"/>
      <c r="N75" s="73"/>
      <c r="O75" s="81" t="s">
        <v>613</v>
      </c>
      <c r="P75">
        <v>1</v>
      </c>
      <c r="Q75" s="80" t="str">
        <f>REPLACE(INDEX(GroupVertices[Group],MATCH(Edges[[#This Row],[Vertex 1]],GroupVertices[Vertex],0)),1,1,"")</f>
        <v>4</v>
      </c>
      <c r="R75" s="80" t="str">
        <f>REPLACE(INDEX(GroupVertices[Group],MATCH(Edges[[#This Row],[Vertex 2]],GroupVertices[Vertex],0)),1,1,"")</f>
        <v>4</v>
      </c>
      <c r="S75" s="35"/>
      <c r="T75" s="35"/>
      <c r="U75" s="35"/>
      <c r="V75" s="35"/>
      <c r="W75" s="35"/>
      <c r="X75" s="35"/>
      <c r="Y75" s="35"/>
      <c r="Z75" s="35"/>
      <c r="AA75" s="35"/>
    </row>
    <row r="76" spans="1:27" ht="15">
      <c r="A76" s="65" t="s">
        <v>213</v>
      </c>
      <c r="B76" s="65" t="s">
        <v>292</v>
      </c>
      <c r="C76" s="66" t="s">
        <v>3534</v>
      </c>
      <c r="D76" s="67">
        <v>5</v>
      </c>
      <c r="E76" s="68"/>
      <c r="F76" s="69">
        <v>25</v>
      </c>
      <c r="G76" s="66"/>
      <c r="H76" s="70"/>
      <c r="I76" s="71"/>
      <c r="J76" s="71"/>
      <c r="K76" s="35" t="s">
        <v>65</v>
      </c>
      <c r="L76" s="79">
        <v>76</v>
      </c>
      <c r="M76" s="79"/>
      <c r="N76" s="73"/>
      <c r="O76" s="81" t="s">
        <v>613</v>
      </c>
      <c r="P76">
        <v>1</v>
      </c>
      <c r="Q76" s="80" t="str">
        <f>REPLACE(INDEX(GroupVertices[Group],MATCH(Edges[[#This Row],[Vertex 1]],GroupVertices[Vertex],0)),1,1,"")</f>
        <v>4</v>
      </c>
      <c r="R76" s="80" t="str">
        <f>REPLACE(INDEX(GroupVertices[Group],MATCH(Edges[[#This Row],[Vertex 2]],GroupVertices[Vertex],0)),1,1,"")</f>
        <v>4</v>
      </c>
      <c r="S76" s="35"/>
      <c r="T76" s="35"/>
      <c r="U76" s="35"/>
      <c r="V76" s="35"/>
      <c r="W76" s="35"/>
      <c r="X76" s="35"/>
      <c r="Y76" s="35"/>
      <c r="Z76" s="35"/>
      <c r="AA76" s="35"/>
    </row>
    <row r="77" spans="1:27" ht="15">
      <c r="A77" s="65" t="s">
        <v>213</v>
      </c>
      <c r="B77" s="65" t="s">
        <v>293</v>
      </c>
      <c r="C77" s="66" t="s">
        <v>3534</v>
      </c>
      <c r="D77" s="67">
        <v>5</v>
      </c>
      <c r="E77" s="68"/>
      <c r="F77" s="69">
        <v>25</v>
      </c>
      <c r="G77" s="66"/>
      <c r="H77" s="70"/>
      <c r="I77" s="71"/>
      <c r="J77" s="71"/>
      <c r="K77" s="35" t="s">
        <v>65</v>
      </c>
      <c r="L77" s="79">
        <v>77</v>
      </c>
      <c r="M77" s="79"/>
      <c r="N77" s="73"/>
      <c r="O77" s="81" t="s">
        <v>613</v>
      </c>
      <c r="P77">
        <v>1</v>
      </c>
      <c r="Q77" s="80" t="str">
        <f>REPLACE(INDEX(GroupVertices[Group],MATCH(Edges[[#This Row],[Vertex 1]],GroupVertices[Vertex],0)),1,1,"")</f>
        <v>4</v>
      </c>
      <c r="R77" s="80" t="str">
        <f>REPLACE(INDEX(GroupVertices[Group],MATCH(Edges[[#This Row],[Vertex 2]],GroupVertices[Vertex],0)),1,1,"")</f>
        <v>4</v>
      </c>
      <c r="S77" s="35"/>
      <c r="T77" s="35"/>
      <c r="U77" s="35"/>
      <c r="V77" s="35"/>
      <c r="W77" s="35"/>
      <c r="X77" s="35"/>
      <c r="Y77" s="35"/>
      <c r="Z77" s="35"/>
      <c r="AA77" s="35"/>
    </row>
    <row r="78" spans="1:27" ht="15">
      <c r="A78" s="65" t="s">
        <v>213</v>
      </c>
      <c r="B78" s="65" t="s">
        <v>294</v>
      </c>
      <c r="C78" s="66" t="s">
        <v>3534</v>
      </c>
      <c r="D78" s="67">
        <v>5</v>
      </c>
      <c r="E78" s="68"/>
      <c r="F78" s="69">
        <v>25</v>
      </c>
      <c r="G78" s="66"/>
      <c r="H78" s="70"/>
      <c r="I78" s="71"/>
      <c r="J78" s="71"/>
      <c r="K78" s="35" t="s">
        <v>65</v>
      </c>
      <c r="L78" s="79">
        <v>78</v>
      </c>
      <c r="M78" s="79"/>
      <c r="N78" s="73"/>
      <c r="O78" s="81" t="s">
        <v>613</v>
      </c>
      <c r="P78">
        <v>1</v>
      </c>
      <c r="Q78" s="80" t="str">
        <f>REPLACE(INDEX(GroupVertices[Group],MATCH(Edges[[#This Row],[Vertex 1]],GroupVertices[Vertex],0)),1,1,"")</f>
        <v>4</v>
      </c>
      <c r="R78" s="80" t="str">
        <f>REPLACE(INDEX(GroupVertices[Group],MATCH(Edges[[#This Row],[Vertex 2]],GroupVertices[Vertex],0)),1,1,"")</f>
        <v>4</v>
      </c>
      <c r="S78" s="35"/>
      <c r="T78" s="35"/>
      <c r="U78" s="35"/>
      <c r="V78" s="35"/>
      <c r="W78" s="35"/>
      <c r="X78" s="35"/>
      <c r="Y78" s="35"/>
      <c r="Z78" s="35"/>
      <c r="AA78" s="35"/>
    </row>
    <row r="79" spans="1:27" ht="15">
      <c r="A79" s="65" t="s">
        <v>214</v>
      </c>
      <c r="B79" s="65" t="s">
        <v>295</v>
      </c>
      <c r="C79" s="66" t="s">
        <v>3534</v>
      </c>
      <c r="D79" s="67">
        <v>5</v>
      </c>
      <c r="E79" s="68"/>
      <c r="F79" s="69">
        <v>25</v>
      </c>
      <c r="G79" s="66"/>
      <c r="H79" s="70"/>
      <c r="I79" s="71"/>
      <c r="J79" s="71"/>
      <c r="K79" s="35" t="s">
        <v>65</v>
      </c>
      <c r="L79" s="79">
        <v>79</v>
      </c>
      <c r="M79" s="79"/>
      <c r="N79" s="73"/>
      <c r="O79" s="81" t="s">
        <v>613</v>
      </c>
      <c r="P79">
        <v>1</v>
      </c>
      <c r="Q79" s="80" t="str">
        <f>REPLACE(INDEX(GroupVertices[Group],MATCH(Edges[[#This Row],[Vertex 1]],GroupVertices[Vertex],0)),1,1,"")</f>
        <v>6</v>
      </c>
      <c r="R79" s="80" t="str">
        <f>REPLACE(INDEX(GroupVertices[Group],MATCH(Edges[[#This Row],[Vertex 2]],GroupVertices[Vertex],0)),1,1,"")</f>
        <v>6</v>
      </c>
      <c r="S79" s="35"/>
      <c r="T79" s="35"/>
      <c r="U79" s="35"/>
      <c r="V79" s="35"/>
      <c r="W79" s="35"/>
      <c r="X79" s="35"/>
      <c r="Y79" s="35"/>
      <c r="Z79" s="35"/>
      <c r="AA79" s="35"/>
    </row>
    <row r="80" spans="1:27" ht="15">
      <c r="A80" s="65" t="s">
        <v>214</v>
      </c>
      <c r="B80" s="65" t="s">
        <v>296</v>
      </c>
      <c r="C80" s="66" t="s">
        <v>3534</v>
      </c>
      <c r="D80" s="67">
        <v>5</v>
      </c>
      <c r="E80" s="68"/>
      <c r="F80" s="69">
        <v>25</v>
      </c>
      <c r="G80" s="66"/>
      <c r="H80" s="70"/>
      <c r="I80" s="71"/>
      <c r="J80" s="71"/>
      <c r="K80" s="35" t="s">
        <v>65</v>
      </c>
      <c r="L80" s="79">
        <v>80</v>
      </c>
      <c r="M80" s="79"/>
      <c r="N80" s="73"/>
      <c r="O80" s="81" t="s">
        <v>613</v>
      </c>
      <c r="P80">
        <v>1</v>
      </c>
      <c r="Q80" s="80" t="str">
        <f>REPLACE(INDEX(GroupVertices[Group],MATCH(Edges[[#This Row],[Vertex 1]],GroupVertices[Vertex],0)),1,1,"")</f>
        <v>6</v>
      </c>
      <c r="R80" s="80" t="str">
        <f>REPLACE(INDEX(GroupVertices[Group],MATCH(Edges[[#This Row],[Vertex 2]],GroupVertices[Vertex],0)),1,1,"")</f>
        <v>6</v>
      </c>
      <c r="S80" s="35"/>
      <c r="T80" s="35"/>
      <c r="U80" s="35"/>
      <c r="V80" s="35"/>
      <c r="W80" s="35"/>
      <c r="X80" s="35"/>
      <c r="Y80" s="35"/>
      <c r="Z80" s="35"/>
      <c r="AA80" s="35"/>
    </row>
    <row r="81" spans="1:27" ht="15">
      <c r="A81" s="65" t="s">
        <v>214</v>
      </c>
      <c r="B81" s="65" t="s">
        <v>297</v>
      </c>
      <c r="C81" s="66" t="s">
        <v>3534</v>
      </c>
      <c r="D81" s="67">
        <v>5</v>
      </c>
      <c r="E81" s="68"/>
      <c r="F81" s="69">
        <v>25</v>
      </c>
      <c r="G81" s="66"/>
      <c r="H81" s="70"/>
      <c r="I81" s="71"/>
      <c r="J81" s="71"/>
      <c r="K81" s="35" t="s">
        <v>65</v>
      </c>
      <c r="L81" s="79">
        <v>81</v>
      </c>
      <c r="M81" s="79"/>
      <c r="N81" s="73"/>
      <c r="O81" s="81" t="s">
        <v>613</v>
      </c>
      <c r="P81">
        <v>1</v>
      </c>
      <c r="Q81" s="80" t="str">
        <f>REPLACE(INDEX(GroupVertices[Group],MATCH(Edges[[#This Row],[Vertex 1]],GroupVertices[Vertex],0)),1,1,"")</f>
        <v>6</v>
      </c>
      <c r="R81" s="80" t="str">
        <f>REPLACE(INDEX(GroupVertices[Group],MATCH(Edges[[#This Row],[Vertex 2]],GroupVertices[Vertex],0)),1,1,"")</f>
        <v>6</v>
      </c>
      <c r="S81" s="35"/>
      <c r="T81" s="35"/>
      <c r="U81" s="35"/>
      <c r="V81" s="35"/>
      <c r="W81" s="35"/>
      <c r="X81" s="35"/>
      <c r="Y81" s="35"/>
      <c r="Z81" s="35"/>
      <c r="AA81" s="35"/>
    </row>
    <row r="82" spans="1:27" ht="15">
      <c r="A82" s="65" t="s">
        <v>214</v>
      </c>
      <c r="B82" s="65" t="s">
        <v>298</v>
      </c>
      <c r="C82" s="66" t="s">
        <v>3534</v>
      </c>
      <c r="D82" s="67">
        <v>5</v>
      </c>
      <c r="E82" s="68"/>
      <c r="F82" s="69">
        <v>25</v>
      </c>
      <c r="G82" s="66"/>
      <c r="H82" s="70"/>
      <c r="I82" s="71"/>
      <c r="J82" s="71"/>
      <c r="K82" s="35" t="s">
        <v>65</v>
      </c>
      <c r="L82" s="79">
        <v>82</v>
      </c>
      <c r="M82" s="79"/>
      <c r="N82" s="73"/>
      <c r="O82" s="81" t="s">
        <v>613</v>
      </c>
      <c r="P82">
        <v>1</v>
      </c>
      <c r="Q82" s="80" t="str">
        <f>REPLACE(INDEX(GroupVertices[Group],MATCH(Edges[[#This Row],[Vertex 1]],GroupVertices[Vertex],0)),1,1,"")</f>
        <v>6</v>
      </c>
      <c r="R82" s="80" t="str">
        <f>REPLACE(INDEX(GroupVertices[Group],MATCH(Edges[[#This Row],[Vertex 2]],GroupVertices[Vertex],0)),1,1,"")</f>
        <v>6</v>
      </c>
      <c r="S82" s="35"/>
      <c r="T82" s="35"/>
      <c r="U82" s="35"/>
      <c r="V82" s="35"/>
      <c r="W82" s="35"/>
      <c r="X82" s="35"/>
      <c r="Y82" s="35"/>
      <c r="Z82" s="35"/>
      <c r="AA82" s="35"/>
    </row>
    <row r="83" spans="1:27" ht="15">
      <c r="A83" s="65" t="s">
        <v>214</v>
      </c>
      <c r="B83" s="65" t="s">
        <v>299</v>
      </c>
      <c r="C83" s="66" t="s">
        <v>3534</v>
      </c>
      <c r="D83" s="67">
        <v>5</v>
      </c>
      <c r="E83" s="68"/>
      <c r="F83" s="69">
        <v>25</v>
      </c>
      <c r="G83" s="66"/>
      <c r="H83" s="70"/>
      <c r="I83" s="71"/>
      <c r="J83" s="71"/>
      <c r="K83" s="35" t="s">
        <v>65</v>
      </c>
      <c r="L83" s="79">
        <v>83</v>
      </c>
      <c r="M83" s="79"/>
      <c r="N83" s="73"/>
      <c r="O83" s="81" t="s">
        <v>613</v>
      </c>
      <c r="P83">
        <v>1</v>
      </c>
      <c r="Q83" s="80" t="str">
        <f>REPLACE(INDEX(GroupVertices[Group],MATCH(Edges[[#This Row],[Vertex 1]],GroupVertices[Vertex],0)),1,1,"")</f>
        <v>6</v>
      </c>
      <c r="R83" s="80" t="str">
        <f>REPLACE(INDEX(GroupVertices[Group],MATCH(Edges[[#This Row],[Vertex 2]],GroupVertices[Vertex],0)),1,1,"")</f>
        <v>6</v>
      </c>
      <c r="S83" s="35"/>
      <c r="T83" s="35"/>
      <c r="U83" s="35"/>
      <c r="V83" s="35"/>
      <c r="W83" s="35"/>
      <c r="X83" s="35"/>
      <c r="Y83" s="35"/>
      <c r="Z83" s="35"/>
      <c r="AA83" s="35"/>
    </row>
    <row r="84" spans="1:27" ht="15">
      <c r="A84" s="65" t="s">
        <v>214</v>
      </c>
      <c r="B84" s="65" t="s">
        <v>300</v>
      </c>
      <c r="C84" s="66" t="s">
        <v>3534</v>
      </c>
      <c r="D84" s="67">
        <v>5</v>
      </c>
      <c r="E84" s="68"/>
      <c r="F84" s="69">
        <v>25</v>
      </c>
      <c r="G84" s="66"/>
      <c r="H84" s="70"/>
      <c r="I84" s="71"/>
      <c r="J84" s="71"/>
      <c r="K84" s="35" t="s">
        <v>65</v>
      </c>
      <c r="L84" s="79">
        <v>84</v>
      </c>
      <c r="M84" s="79"/>
      <c r="N84" s="73"/>
      <c r="O84" s="81" t="s">
        <v>613</v>
      </c>
      <c r="P84">
        <v>1</v>
      </c>
      <c r="Q84" s="80" t="str">
        <f>REPLACE(INDEX(GroupVertices[Group],MATCH(Edges[[#This Row],[Vertex 1]],GroupVertices[Vertex],0)),1,1,"")</f>
        <v>6</v>
      </c>
      <c r="R84" s="80" t="str">
        <f>REPLACE(INDEX(GroupVertices[Group],MATCH(Edges[[#This Row],[Vertex 2]],GroupVertices[Vertex],0)),1,1,"")</f>
        <v>6</v>
      </c>
      <c r="S84" s="35"/>
      <c r="T84" s="35"/>
      <c r="U84" s="35"/>
      <c r="V84" s="35"/>
      <c r="W84" s="35"/>
      <c r="X84" s="35"/>
      <c r="Y84" s="35"/>
      <c r="Z84" s="35"/>
      <c r="AA84" s="35"/>
    </row>
    <row r="85" spans="1:27" ht="15">
      <c r="A85" s="65" t="s">
        <v>214</v>
      </c>
      <c r="B85" s="65" t="s">
        <v>301</v>
      </c>
      <c r="C85" s="66" t="s">
        <v>3534</v>
      </c>
      <c r="D85" s="67">
        <v>5</v>
      </c>
      <c r="E85" s="68"/>
      <c r="F85" s="69">
        <v>25</v>
      </c>
      <c r="G85" s="66"/>
      <c r="H85" s="70"/>
      <c r="I85" s="71"/>
      <c r="J85" s="71"/>
      <c r="K85" s="35" t="s">
        <v>65</v>
      </c>
      <c r="L85" s="79">
        <v>85</v>
      </c>
      <c r="M85" s="79"/>
      <c r="N85" s="73"/>
      <c r="O85" s="81" t="s">
        <v>613</v>
      </c>
      <c r="P85">
        <v>1</v>
      </c>
      <c r="Q85" s="80" t="str">
        <f>REPLACE(INDEX(GroupVertices[Group],MATCH(Edges[[#This Row],[Vertex 1]],GroupVertices[Vertex],0)),1,1,"")</f>
        <v>6</v>
      </c>
      <c r="R85" s="80" t="str">
        <f>REPLACE(INDEX(GroupVertices[Group],MATCH(Edges[[#This Row],[Vertex 2]],GroupVertices[Vertex],0)),1,1,"")</f>
        <v>6</v>
      </c>
      <c r="S85" s="35"/>
      <c r="T85" s="35"/>
      <c r="U85" s="35"/>
      <c r="V85" s="35"/>
      <c r="W85" s="35"/>
      <c r="X85" s="35"/>
      <c r="Y85" s="35"/>
      <c r="Z85" s="35"/>
      <c r="AA85" s="35"/>
    </row>
    <row r="86" spans="1:27" ht="15">
      <c r="A86" s="65" t="s">
        <v>214</v>
      </c>
      <c r="B86" s="65" t="s">
        <v>302</v>
      </c>
      <c r="C86" s="66" t="s">
        <v>3534</v>
      </c>
      <c r="D86" s="67">
        <v>5</v>
      </c>
      <c r="E86" s="68"/>
      <c r="F86" s="69">
        <v>25</v>
      </c>
      <c r="G86" s="66"/>
      <c r="H86" s="70"/>
      <c r="I86" s="71"/>
      <c r="J86" s="71"/>
      <c r="K86" s="35" t="s">
        <v>65</v>
      </c>
      <c r="L86" s="79">
        <v>86</v>
      </c>
      <c r="M86" s="79"/>
      <c r="N86" s="73"/>
      <c r="O86" s="81" t="s">
        <v>613</v>
      </c>
      <c r="P86">
        <v>1</v>
      </c>
      <c r="Q86" s="80" t="str">
        <f>REPLACE(INDEX(GroupVertices[Group],MATCH(Edges[[#This Row],[Vertex 1]],GroupVertices[Vertex],0)),1,1,"")</f>
        <v>6</v>
      </c>
      <c r="R86" s="80" t="str">
        <f>REPLACE(INDEX(GroupVertices[Group],MATCH(Edges[[#This Row],[Vertex 2]],GroupVertices[Vertex],0)),1,1,"")</f>
        <v>6</v>
      </c>
      <c r="S86" s="35"/>
      <c r="T86" s="35"/>
      <c r="U86" s="35"/>
      <c r="V86" s="35"/>
      <c r="W86" s="35"/>
      <c r="X86" s="35"/>
      <c r="Y86" s="35"/>
      <c r="Z86" s="35"/>
      <c r="AA86" s="35"/>
    </row>
    <row r="87" spans="1:27" ht="15">
      <c r="A87" s="65" t="s">
        <v>214</v>
      </c>
      <c r="B87" s="65" t="s">
        <v>303</v>
      </c>
      <c r="C87" s="66" t="s">
        <v>3534</v>
      </c>
      <c r="D87" s="67">
        <v>5</v>
      </c>
      <c r="E87" s="68"/>
      <c r="F87" s="69">
        <v>25</v>
      </c>
      <c r="G87" s="66"/>
      <c r="H87" s="70"/>
      <c r="I87" s="71"/>
      <c r="J87" s="71"/>
      <c r="K87" s="35" t="s">
        <v>65</v>
      </c>
      <c r="L87" s="79">
        <v>87</v>
      </c>
      <c r="M87" s="79"/>
      <c r="N87" s="73"/>
      <c r="O87" s="81" t="s">
        <v>613</v>
      </c>
      <c r="P87">
        <v>1</v>
      </c>
      <c r="Q87" s="80" t="str">
        <f>REPLACE(INDEX(GroupVertices[Group],MATCH(Edges[[#This Row],[Vertex 1]],GroupVertices[Vertex],0)),1,1,"")</f>
        <v>6</v>
      </c>
      <c r="R87" s="80" t="str">
        <f>REPLACE(INDEX(GroupVertices[Group],MATCH(Edges[[#This Row],[Vertex 2]],GroupVertices[Vertex],0)),1,1,"")</f>
        <v>6</v>
      </c>
      <c r="S87" s="35"/>
      <c r="T87" s="35"/>
      <c r="U87" s="35"/>
      <c r="V87" s="35"/>
      <c r="W87" s="35"/>
      <c r="X87" s="35"/>
      <c r="Y87" s="35"/>
      <c r="Z87" s="35"/>
      <c r="AA87" s="35"/>
    </row>
    <row r="88" spans="1:27" ht="15">
      <c r="A88" s="65" t="s">
        <v>214</v>
      </c>
      <c r="B88" s="65" t="s">
        <v>304</v>
      </c>
      <c r="C88" s="66" t="s">
        <v>3534</v>
      </c>
      <c r="D88" s="67">
        <v>5</v>
      </c>
      <c r="E88" s="68"/>
      <c r="F88" s="69">
        <v>25</v>
      </c>
      <c r="G88" s="66"/>
      <c r="H88" s="70"/>
      <c r="I88" s="71"/>
      <c r="J88" s="71"/>
      <c r="K88" s="35" t="s">
        <v>65</v>
      </c>
      <c r="L88" s="79">
        <v>88</v>
      </c>
      <c r="M88" s="79"/>
      <c r="N88" s="73"/>
      <c r="O88" s="81" t="s">
        <v>613</v>
      </c>
      <c r="P88">
        <v>1</v>
      </c>
      <c r="Q88" s="80" t="str">
        <f>REPLACE(INDEX(GroupVertices[Group],MATCH(Edges[[#This Row],[Vertex 1]],GroupVertices[Vertex],0)),1,1,"")</f>
        <v>6</v>
      </c>
      <c r="R88" s="80" t="str">
        <f>REPLACE(INDEX(GroupVertices[Group],MATCH(Edges[[#This Row],[Vertex 2]],GroupVertices[Vertex],0)),1,1,"")</f>
        <v>6</v>
      </c>
      <c r="S88" s="35"/>
      <c r="T88" s="35"/>
      <c r="U88" s="35"/>
      <c r="V88" s="35"/>
      <c r="W88" s="35"/>
      <c r="X88" s="35"/>
      <c r="Y88" s="35"/>
      <c r="Z88" s="35"/>
      <c r="AA88" s="35"/>
    </row>
    <row r="89" spans="1:27" ht="15">
      <c r="A89" s="65" t="s">
        <v>214</v>
      </c>
      <c r="B89" s="65" t="s">
        <v>305</v>
      </c>
      <c r="C89" s="66" t="s">
        <v>3534</v>
      </c>
      <c r="D89" s="67">
        <v>5</v>
      </c>
      <c r="E89" s="68"/>
      <c r="F89" s="69">
        <v>25</v>
      </c>
      <c r="G89" s="66"/>
      <c r="H89" s="70"/>
      <c r="I89" s="71"/>
      <c r="J89" s="71"/>
      <c r="K89" s="35" t="s">
        <v>65</v>
      </c>
      <c r="L89" s="79">
        <v>89</v>
      </c>
      <c r="M89" s="79"/>
      <c r="N89" s="73"/>
      <c r="O89" s="81" t="s">
        <v>613</v>
      </c>
      <c r="P89">
        <v>1</v>
      </c>
      <c r="Q89" s="80" t="str">
        <f>REPLACE(INDEX(GroupVertices[Group],MATCH(Edges[[#This Row],[Vertex 1]],GroupVertices[Vertex],0)),1,1,"")</f>
        <v>6</v>
      </c>
      <c r="R89" s="80" t="str">
        <f>REPLACE(INDEX(GroupVertices[Group],MATCH(Edges[[#This Row],[Vertex 2]],GroupVertices[Vertex],0)),1,1,"")</f>
        <v>6</v>
      </c>
      <c r="S89" s="35"/>
      <c r="T89" s="35"/>
      <c r="U89" s="35"/>
      <c r="V89" s="35"/>
      <c r="W89" s="35"/>
      <c r="X89" s="35"/>
      <c r="Y89" s="35"/>
      <c r="Z89" s="35"/>
      <c r="AA89" s="35"/>
    </row>
    <row r="90" spans="1:27" ht="15">
      <c r="A90" s="65" t="s">
        <v>214</v>
      </c>
      <c r="B90" s="65" t="s">
        <v>306</v>
      </c>
      <c r="C90" s="66" t="s">
        <v>3534</v>
      </c>
      <c r="D90" s="67">
        <v>5</v>
      </c>
      <c r="E90" s="68"/>
      <c r="F90" s="69">
        <v>25</v>
      </c>
      <c r="G90" s="66"/>
      <c r="H90" s="70"/>
      <c r="I90" s="71"/>
      <c r="J90" s="71"/>
      <c r="K90" s="35" t="s">
        <v>65</v>
      </c>
      <c r="L90" s="79">
        <v>90</v>
      </c>
      <c r="M90" s="79"/>
      <c r="N90" s="73"/>
      <c r="O90" s="81" t="s">
        <v>613</v>
      </c>
      <c r="P90">
        <v>1</v>
      </c>
      <c r="Q90" s="80" t="str">
        <f>REPLACE(INDEX(GroupVertices[Group],MATCH(Edges[[#This Row],[Vertex 1]],GroupVertices[Vertex],0)),1,1,"")</f>
        <v>6</v>
      </c>
      <c r="R90" s="80" t="str">
        <f>REPLACE(INDEX(GroupVertices[Group],MATCH(Edges[[#This Row],[Vertex 2]],GroupVertices[Vertex],0)),1,1,"")</f>
        <v>6</v>
      </c>
      <c r="S90" s="35"/>
      <c r="T90" s="35"/>
      <c r="U90" s="35"/>
      <c r="V90" s="35"/>
      <c r="W90" s="35"/>
      <c r="X90" s="35"/>
      <c r="Y90" s="35"/>
      <c r="Z90" s="35"/>
      <c r="AA90" s="35"/>
    </row>
    <row r="91" spans="1:27" ht="15">
      <c r="A91" s="65" t="s">
        <v>214</v>
      </c>
      <c r="B91" s="65" t="s">
        <v>307</v>
      </c>
      <c r="C91" s="66" t="s">
        <v>3534</v>
      </c>
      <c r="D91" s="67">
        <v>5</v>
      </c>
      <c r="E91" s="68"/>
      <c r="F91" s="69">
        <v>25</v>
      </c>
      <c r="G91" s="66"/>
      <c r="H91" s="70"/>
      <c r="I91" s="71"/>
      <c r="J91" s="71"/>
      <c r="K91" s="35" t="s">
        <v>65</v>
      </c>
      <c r="L91" s="79">
        <v>91</v>
      </c>
      <c r="M91" s="79"/>
      <c r="N91" s="73"/>
      <c r="O91" s="81" t="s">
        <v>613</v>
      </c>
      <c r="P91">
        <v>1</v>
      </c>
      <c r="Q91" s="80" t="str">
        <f>REPLACE(INDEX(GroupVertices[Group],MATCH(Edges[[#This Row],[Vertex 1]],GroupVertices[Vertex],0)),1,1,"")</f>
        <v>6</v>
      </c>
      <c r="R91" s="80" t="str">
        <f>REPLACE(INDEX(GroupVertices[Group],MATCH(Edges[[#This Row],[Vertex 2]],GroupVertices[Vertex],0)),1,1,"")</f>
        <v>6</v>
      </c>
      <c r="S91" s="35"/>
      <c r="T91" s="35"/>
      <c r="U91" s="35"/>
      <c r="V91" s="35"/>
      <c r="W91" s="35"/>
      <c r="X91" s="35"/>
      <c r="Y91" s="35"/>
      <c r="Z91" s="35"/>
      <c r="AA91" s="35"/>
    </row>
    <row r="92" spans="1:27" ht="15">
      <c r="A92" s="65" t="s">
        <v>214</v>
      </c>
      <c r="B92" s="65" t="s">
        <v>308</v>
      </c>
      <c r="C92" s="66" t="s">
        <v>3534</v>
      </c>
      <c r="D92" s="67">
        <v>5</v>
      </c>
      <c r="E92" s="68"/>
      <c r="F92" s="69">
        <v>25</v>
      </c>
      <c r="G92" s="66"/>
      <c r="H92" s="70"/>
      <c r="I92" s="71"/>
      <c r="J92" s="71"/>
      <c r="K92" s="35" t="s">
        <v>65</v>
      </c>
      <c r="L92" s="79">
        <v>92</v>
      </c>
      <c r="M92" s="79"/>
      <c r="N92" s="73"/>
      <c r="O92" s="81" t="s">
        <v>613</v>
      </c>
      <c r="P92">
        <v>1</v>
      </c>
      <c r="Q92" s="80" t="str">
        <f>REPLACE(INDEX(GroupVertices[Group],MATCH(Edges[[#This Row],[Vertex 1]],GroupVertices[Vertex],0)),1,1,"")</f>
        <v>6</v>
      </c>
      <c r="R92" s="80" t="str">
        <f>REPLACE(INDEX(GroupVertices[Group],MATCH(Edges[[#This Row],[Vertex 2]],GroupVertices[Vertex],0)),1,1,"")</f>
        <v>6</v>
      </c>
      <c r="S92" s="35"/>
      <c r="T92" s="35"/>
      <c r="U92" s="35"/>
      <c r="V92" s="35"/>
      <c r="W92" s="35"/>
      <c r="X92" s="35"/>
      <c r="Y92" s="35"/>
      <c r="Z92" s="35"/>
      <c r="AA92" s="35"/>
    </row>
    <row r="93" spans="1:27" ht="15">
      <c r="A93" s="65" t="s">
        <v>214</v>
      </c>
      <c r="B93" s="65" t="s">
        <v>309</v>
      </c>
      <c r="C93" s="66" t="s">
        <v>3534</v>
      </c>
      <c r="D93" s="67">
        <v>5</v>
      </c>
      <c r="E93" s="68"/>
      <c r="F93" s="69">
        <v>25</v>
      </c>
      <c r="G93" s="66"/>
      <c r="H93" s="70"/>
      <c r="I93" s="71"/>
      <c r="J93" s="71"/>
      <c r="K93" s="35" t="s">
        <v>65</v>
      </c>
      <c r="L93" s="79">
        <v>93</v>
      </c>
      <c r="M93" s="79"/>
      <c r="N93" s="73"/>
      <c r="O93" s="81" t="s">
        <v>613</v>
      </c>
      <c r="P93">
        <v>1</v>
      </c>
      <c r="Q93" s="80" t="str">
        <f>REPLACE(INDEX(GroupVertices[Group],MATCH(Edges[[#This Row],[Vertex 1]],GroupVertices[Vertex],0)),1,1,"")</f>
        <v>6</v>
      </c>
      <c r="R93" s="80" t="str">
        <f>REPLACE(INDEX(GroupVertices[Group],MATCH(Edges[[#This Row],[Vertex 2]],GroupVertices[Vertex],0)),1,1,"")</f>
        <v>6</v>
      </c>
      <c r="S93" s="35"/>
      <c r="T93" s="35"/>
      <c r="U93" s="35"/>
      <c r="V93" s="35"/>
      <c r="W93" s="35"/>
      <c r="X93" s="35"/>
      <c r="Y93" s="35"/>
      <c r="Z93" s="35"/>
      <c r="AA93" s="35"/>
    </row>
    <row r="94" spans="1:27" ht="15">
      <c r="A94" s="65" t="s">
        <v>214</v>
      </c>
      <c r="B94" s="65" t="s">
        <v>310</v>
      </c>
      <c r="C94" s="66" t="s">
        <v>3534</v>
      </c>
      <c r="D94" s="67">
        <v>5</v>
      </c>
      <c r="E94" s="68"/>
      <c r="F94" s="69">
        <v>25</v>
      </c>
      <c r="G94" s="66"/>
      <c r="H94" s="70"/>
      <c r="I94" s="71"/>
      <c r="J94" s="71"/>
      <c r="K94" s="35" t="s">
        <v>65</v>
      </c>
      <c r="L94" s="79">
        <v>94</v>
      </c>
      <c r="M94" s="79"/>
      <c r="N94" s="73"/>
      <c r="O94" s="81" t="s">
        <v>613</v>
      </c>
      <c r="P94">
        <v>1</v>
      </c>
      <c r="Q94" s="80" t="str">
        <f>REPLACE(INDEX(GroupVertices[Group],MATCH(Edges[[#This Row],[Vertex 1]],GroupVertices[Vertex],0)),1,1,"")</f>
        <v>6</v>
      </c>
      <c r="R94" s="80" t="str">
        <f>REPLACE(INDEX(GroupVertices[Group],MATCH(Edges[[#This Row],[Vertex 2]],GroupVertices[Vertex],0)),1,1,"")</f>
        <v>6</v>
      </c>
      <c r="S94" s="35"/>
      <c r="T94" s="35"/>
      <c r="U94" s="35"/>
      <c r="V94" s="35"/>
      <c r="W94" s="35"/>
      <c r="X94" s="35"/>
      <c r="Y94" s="35"/>
      <c r="Z94" s="35"/>
      <c r="AA94" s="35"/>
    </row>
    <row r="95" spans="1:27" ht="15">
      <c r="A95" s="65" t="s">
        <v>212</v>
      </c>
      <c r="B95" s="65" t="s">
        <v>311</v>
      </c>
      <c r="C95" s="66" t="s">
        <v>3534</v>
      </c>
      <c r="D95" s="67">
        <v>5</v>
      </c>
      <c r="E95" s="68"/>
      <c r="F95" s="69">
        <v>25</v>
      </c>
      <c r="G95" s="66"/>
      <c r="H95" s="70"/>
      <c r="I95" s="71"/>
      <c r="J95" s="71"/>
      <c r="K95" s="35" t="s">
        <v>65</v>
      </c>
      <c r="L95" s="79">
        <v>95</v>
      </c>
      <c r="M95" s="79"/>
      <c r="N95" s="73"/>
      <c r="O95" s="81" t="s">
        <v>613</v>
      </c>
      <c r="P95">
        <v>1</v>
      </c>
      <c r="Q95" s="80" t="str">
        <f>REPLACE(INDEX(GroupVertices[Group],MATCH(Edges[[#This Row],[Vertex 1]],GroupVertices[Vertex],0)),1,1,"")</f>
        <v>7</v>
      </c>
      <c r="R95" s="80" t="str">
        <f>REPLACE(INDEX(GroupVertices[Group],MATCH(Edges[[#This Row],[Vertex 2]],GroupVertices[Vertex],0)),1,1,"")</f>
        <v>7</v>
      </c>
      <c r="S95" s="35"/>
      <c r="T95" s="35"/>
      <c r="U95" s="35"/>
      <c r="V95" s="35"/>
      <c r="W95" s="35"/>
      <c r="X95" s="35"/>
      <c r="Y95" s="35"/>
      <c r="Z95" s="35"/>
      <c r="AA95" s="35"/>
    </row>
    <row r="96" spans="1:27" ht="15">
      <c r="A96" s="65" t="s">
        <v>214</v>
      </c>
      <c r="B96" s="65" t="s">
        <v>311</v>
      </c>
      <c r="C96" s="66" t="s">
        <v>3534</v>
      </c>
      <c r="D96" s="67">
        <v>5</v>
      </c>
      <c r="E96" s="68"/>
      <c r="F96" s="69">
        <v>25</v>
      </c>
      <c r="G96" s="66"/>
      <c r="H96" s="70"/>
      <c r="I96" s="71"/>
      <c r="J96" s="71"/>
      <c r="K96" s="35" t="s">
        <v>65</v>
      </c>
      <c r="L96" s="79">
        <v>96</v>
      </c>
      <c r="M96" s="79"/>
      <c r="N96" s="73"/>
      <c r="O96" s="81" t="s">
        <v>613</v>
      </c>
      <c r="P96">
        <v>1</v>
      </c>
      <c r="Q96" s="80" t="str">
        <f>REPLACE(INDEX(GroupVertices[Group],MATCH(Edges[[#This Row],[Vertex 1]],GroupVertices[Vertex],0)),1,1,"")</f>
        <v>6</v>
      </c>
      <c r="R96" s="80" t="str">
        <f>REPLACE(INDEX(GroupVertices[Group],MATCH(Edges[[#This Row],[Vertex 2]],GroupVertices[Vertex],0)),1,1,"")</f>
        <v>7</v>
      </c>
      <c r="S96" s="35"/>
      <c r="T96" s="35"/>
      <c r="U96" s="35"/>
      <c r="V96" s="35"/>
      <c r="W96" s="35"/>
      <c r="X96" s="35"/>
      <c r="Y96" s="35"/>
      <c r="Z96" s="35"/>
      <c r="AA96" s="35"/>
    </row>
    <row r="97" spans="1:27" ht="15">
      <c r="A97" s="65" t="s">
        <v>214</v>
      </c>
      <c r="B97" s="65" t="s">
        <v>312</v>
      </c>
      <c r="C97" s="66" t="s">
        <v>3534</v>
      </c>
      <c r="D97" s="67">
        <v>5</v>
      </c>
      <c r="E97" s="68"/>
      <c r="F97" s="69">
        <v>25</v>
      </c>
      <c r="G97" s="66"/>
      <c r="H97" s="70"/>
      <c r="I97" s="71"/>
      <c r="J97" s="71"/>
      <c r="K97" s="35" t="s">
        <v>65</v>
      </c>
      <c r="L97" s="79">
        <v>97</v>
      </c>
      <c r="M97" s="79"/>
      <c r="N97" s="73"/>
      <c r="O97" s="81" t="s">
        <v>613</v>
      </c>
      <c r="P97">
        <v>1</v>
      </c>
      <c r="Q97" s="80" t="str">
        <f>REPLACE(INDEX(GroupVertices[Group],MATCH(Edges[[#This Row],[Vertex 1]],GroupVertices[Vertex],0)),1,1,"")</f>
        <v>6</v>
      </c>
      <c r="R97" s="80" t="str">
        <f>REPLACE(INDEX(GroupVertices[Group],MATCH(Edges[[#This Row],[Vertex 2]],GroupVertices[Vertex],0)),1,1,"")</f>
        <v>6</v>
      </c>
      <c r="S97" s="35"/>
      <c r="T97" s="35"/>
      <c r="U97" s="35"/>
      <c r="V97" s="35"/>
      <c r="W97" s="35"/>
      <c r="X97" s="35"/>
      <c r="Y97" s="35"/>
      <c r="Z97" s="35"/>
      <c r="AA97" s="35"/>
    </row>
    <row r="98" spans="1:27" ht="15">
      <c r="A98" s="65" t="s">
        <v>214</v>
      </c>
      <c r="B98" s="65" t="s">
        <v>313</v>
      </c>
      <c r="C98" s="66" t="s">
        <v>3534</v>
      </c>
      <c r="D98" s="67">
        <v>5</v>
      </c>
      <c r="E98" s="68"/>
      <c r="F98" s="69">
        <v>25</v>
      </c>
      <c r="G98" s="66"/>
      <c r="H98" s="70"/>
      <c r="I98" s="71"/>
      <c r="J98" s="71"/>
      <c r="K98" s="35" t="s">
        <v>65</v>
      </c>
      <c r="L98" s="79">
        <v>98</v>
      </c>
      <c r="M98" s="79"/>
      <c r="N98" s="73"/>
      <c r="O98" s="81" t="s">
        <v>613</v>
      </c>
      <c r="P98">
        <v>1</v>
      </c>
      <c r="Q98" s="80" t="str">
        <f>REPLACE(INDEX(GroupVertices[Group],MATCH(Edges[[#This Row],[Vertex 1]],GroupVertices[Vertex],0)),1,1,"")</f>
        <v>6</v>
      </c>
      <c r="R98" s="80" t="str">
        <f>REPLACE(INDEX(GroupVertices[Group],MATCH(Edges[[#This Row],[Vertex 2]],GroupVertices[Vertex],0)),1,1,"")</f>
        <v>6</v>
      </c>
      <c r="S98" s="35"/>
      <c r="T98" s="35"/>
      <c r="U98" s="35"/>
      <c r="V98" s="35"/>
      <c r="W98" s="35"/>
      <c r="X98" s="35"/>
      <c r="Y98" s="35"/>
      <c r="Z98" s="35"/>
      <c r="AA98" s="35"/>
    </row>
    <row r="99" spans="1:27" ht="15">
      <c r="A99" s="65" t="s">
        <v>214</v>
      </c>
      <c r="B99" s="65" t="s">
        <v>314</v>
      </c>
      <c r="C99" s="66" t="s">
        <v>3534</v>
      </c>
      <c r="D99" s="67">
        <v>5</v>
      </c>
      <c r="E99" s="68"/>
      <c r="F99" s="69">
        <v>25</v>
      </c>
      <c r="G99" s="66"/>
      <c r="H99" s="70"/>
      <c r="I99" s="71"/>
      <c r="J99" s="71"/>
      <c r="K99" s="35" t="s">
        <v>65</v>
      </c>
      <c r="L99" s="79">
        <v>99</v>
      </c>
      <c r="M99" s="79"/>
      <c r="N99" s="73"/>
      <c r="O99" s="81" t="s">
        <v>613</v>
      </c>
      <c r="P99">
        <v>1</v>
      </c>
      <c r="Q99" s="80" t="str">
        <f>REPLACE(INDEX(GroupVertices[Group],MATCH(Edges[[#This Row],[Vertex 1]],GroupVertices[Vertex],0)),1,1,"")</f>
        <v>6</v>
      </c>
      <c r="R99" s="80" t="str">
        <f>REPLACE(INDEX(GroupVertices[Group],MATCH(Edges[[#This Row],[Vertex 2]],GroupVertices[Vertex],0)),1,1,"")</f>
        <v>6</v>
      </c>
      <c r="S99" s="35"/>
      <c r="T99" s="35"/>
      <c r="U99" s="35"/>
      <c r="V99" s="35"/>
      <c r="W99" s="35"/>
      <c r="X99" s="35"/>
      <c r="Y99" s="35"/>
      <c r="Z99" s="35"/>
      <c r="AA99" s="35"/>
    </row>
    <row r="100" spans="1:27" ht="15">
      <c r="A100" s="65" t="s">
        <v>214</v>
      </c>
      <c r="B100" s="65" t="s">
        <v>315</v>
      </c>
      <c r="C100" s="66" t="s">
        <v>3534</v>
      </c>
      <c r="D100" s="67">
        <v>5</v>
      </c>
      <c r="E100" s="68"/>
      <c r="F100" s="69">
        <v>25</v>
      </c>
      <c r="G100" s="66"/>
      <c r="H100" s="70"/>
      <c r="I100" s="71"/>
      <c r="J100" s="71"/>
      <c r="K100" s="35" t="s">
        <v>65</v>
      </c>
      <c r="L100" s="79">
        <v>100</v>
      </c>
      <c r="M100" s="79"/>
      <c r="N100" s="73"/>
      <c r="O100" s="81" t="s">
        <v>613</v>
      </c>
      <c r="P100">
        <v>1</v>
      </c>
      <c r="Q100" s="80" t="str">
        <f>REPLACE(INDEX(GroupVertices[Group],MATCH(Edges[[#This Row],[Vertex 1]],GroupVertices[Vertex],0)),1,1,"")</f>
        <v>6</v>
      </c>
      <c r="R100" s="80" t="str">
        <f>REPLACE(INDEX(GroupVertices[Group],MATCH(Edges[[#This Row],[Vertex 2]],GroupVertices[Vertex],0)),1,1,"")</f>
        <v>6</v>
      </c>
      <c r="S100" s="35"/>
      <c r="T100" s="35"/>
      <c r="U100" s="35"/>
      <c r="V100" s="35"/>
      <c r="W100" s="35"/>
      <c r="X100" s="35"/>
      <c r="Y100" s="35"/>
      <c r="Z100" s="35"/>
      <c r="AA100" s="35"/>
    </row>
    <row r="101" spans="1:27" ht="15">
      <c r="A101" s="65" t="s">
        <v>214</v>
      </c>
      <c r="B101" s="65" t="s">
        <v>316</v>
      </c>
      <c r="C101" s="66" t="s">
        <v>3534</v>
      </c>
      <c r="D101" s="67">
        <v>5</v>
      </c>
      <c r="E101" s="68"/>
      <c r="F101" s="69">
        <v>25</v>
      </c>
      <c r="G101" s="66"/>
      <c r="H101" s="70"/>
      <c r="I101" s="71"/>
      <c r="J101" s="71"/>
      <c r="K101" s="35" t="s">
        <v>65</v>
      </c>
      <c r="L101" s="79">
        <v>101</v>
      </c>
      <c r="M101" s="79"/>
      <c r="N101" s="73"/>
      <c r="O101" s="81" t="s">
        <v>613</v>
      </c>
      <c r="P101">
        <v>1</v>
      </c>
      <c r="Q101" s="80" t="str">
        <f>REPLACE(INDEX(GroupVertices[Group],MATCH(Edges[[#This Row],[Vertex 1]],GroupVertices[Vertex],0)),1,1,"")</f>
        <v>6</v>
      </c>
      <c r="R101" s="80" t="str">
        <f>REPLACE(INDEX(GroupVertices[Group],MATCH(Edges[[#This Row],[Vertex 2]],GroupVertices[Vertex],0)),1,1,"")</f>
        <v>6</v>
      </c>
      <c r="S101" s="35"/>
      <c r="T101" s="35"/>
      <c r="U101" s="35"/>
      <c r="V101" s="35"/>
      <c r="W101" s="35"/>
      <c r="X101" s="35"/>
      <c r="Y101" s="35"/>
      <c r="Z101" s="35"/>
      <c r="AA101" s="35"/>
    </row>
    <row r="102" spans="1:27" ht="15">
      <c r="A102" s="65" t="s">
        <v>214</v>
      </c>
      <c r="B102" s="65" t="s">
        <v>317</v>
      </c>
      <c r="C102" s="66" t="s">
        <v>3534</v>
      </c>
      <c r="D102" s="67">
        <v>5</v>
      </c>
      <c r="E102" s="68"/>
      <c r="F102" s="69">
        <v>25</v>
      </c>
      <c r="G102" s="66"/>
      <c r="H102" s="70"/>
      <c r="I102" s="71"/>
      <c r="J102" s="71"/>
      <c r="K102" s="35" t="s">
        <v>65</v>
      </c>
      <c r="L102" s="79">
        <v>102</v>
      </c>
      <c r="M102" s="79"/>
      <c r="N102" s="73"/>
      <c r="O102" s="81" t="s">
        <v>613</v>
      </c>
      <c r="P102">
        <v>1</v>
      </c>
      <c r="Q102" s="80" t="str">
        <f>REPLACE(INDEX(GroupVertices[Group],MATCH(Edges[[#This Row],[Vertex 1]],GroupVertices[Vertex],0)),1,1,"")</f>
        <v>6</v>
      </c>
      <c r="R102" s="80" t="str">
        <f>REPLACE(INDEX(GroupVertices[Group],MATCH(Edges[[#This Row],[Vertex 2]],GroupVertices[Vertex],0)),1,1,"")</f>
        <v>6</v>
      </c>
      <c r="S102" s="35"/>
      <c r="T102" s="35"/>
      <c r="U102" s="35"/>
      <c r="V102" s="35"/>
      <c r="W102" s="35"/>
      <c r="X102" s="35"/>
      <c r="Y102" s="35"/>
      <c r="Z102" s="35"/>
      <c r="AA102" s="35"/>
    </row>
    <row r="103" spans="1:27" ht="15">
      <c r="A103" s="65" t="s">
        <v>214</v>
      </c>
      <c r="B103" s="65" t="s">
        <v>318</v>
      </c>
      <c r="C103" s="66" t="s">
        <v>3534</v>
      </c>
      <c r="D103" s="67">
        <v>5</v>
      </c>
      <c r="E103" s="68"/>
      <c r="F103" s="69">
        <v>25</v>
      </c>
      <c r="G103" s="66"/>
      <c r="H103" s="70"/>
      <c r="I103" s="71"/>
      <c r="J103" s="71"/>
      <c r="K103" s="35" t="s">
        <v>65</v>
      </c>
      <c r="L103" s="79">
        <v>103</v>
      </c>
      <c r="M103" s="79"/>
      <c r="N103" s="73"/>
      <c r="O103" s="81" t="s">
        <v>613</v>
      </c>
      <c r="P103">
        <v>1</v>
      </c>
      <c r="Q103" s="80" t="str">
        <f>REPLACE(INDEX(GroupVertices[Group],MATCH(Edges[[#This Row],[Vertex 1]],GroupVertices[Vertex],0)),1,1,"")</f>
        <v>6</v>
      </c>
      <c r="R103" s="80" t="str">
        <f>REPLACE(INDEX(GroupVertices[Group],MATCH(Edges[[#This Row],[Vertex 2]],GroupVertices[Vertex],0)),1,1,"")</f>
        <v>6</v>
      </c>
      <c r="S103" s="35"/>
      <c r="T103" s="35"/>
      <c r="U103" s="35"/>
      <c r="V103" s="35"/>
      <c r="W103" s="35"/>
      <c r="X103" s="35"/>
      <c r="Y103" s="35"/>
      <c r="Z103" s="35"/>
      <c r="AA103" s="35"/>
    </row>
    <row r="104" spans="1:27" ht="15">
      <c r="A104" s="65" t="s">
        <v>214</v>
      </c>
      <c r="B104" s="65" t="s">
        <v>319</v>
      </c>
      <c r="C104" s="66" t="s">
        <v>3534</v>
      </c>
      <c r="D104" s="67">
        <v>5</v>
      </c>
      <c r="E104" s="68"/>
      <c r="F104" s="69">
        <v>25</v>
      </c>
      <c r="G104" s="66"/>
      <c r="H104" s="70"/>
      <c r="I104" s="71"/>
      <c r="J104" s="71"/>
      <c r="K104" s="35" t="s">
        <v>65</v>
      </c>
      <c r="L104" s="79">
        <v>104</v>
      </c>
      <c r="M104" s="79"/>
      <c r="N104" s="73"/>
      <c r="O104" s="81" t="s">
        <v>613</v>
      </c>
      <c r="P104">
        <v>1</v>
      </c>
      <c r="Q104" s="80" t="str">
        <f>REPLACE(INDEX(GroupVertices[Group],MATCH(Edges[[#This Row],[Vertex 1]],GroupVertices[Vertex],0)),1,1,"")</f>
        <v>6</v>
      </c>
      <c r="R104" s="80" t="str">
        <f>REPLACE(INDEX(GroupVertices[Group],MATCH(Edges[[#This Row],[Vertex 2]],GroupVertices[Vertex],0)),1,1,"")</f>
        <v>6</v>
      </c>
      <c r="S104" s="35"/>
      <c r="T104" s="35"/>
      <c r="U104" s="35"/>
      <c r="V104" s="35"/>
      <c r="W104" s="35"/>
      <c r="X104" s="35"/>
      <c r="Y104" s="35"/>
      <c r="Z104" s="35"/>
      <c r="AA104" s="35"/>
    </row>
    <row r="105" spans="1:27" ht="15">
      <c r="A105" s="65" t="s">
        <v>214</v>
      </c>
      <c r="B105" s="65" t="s">
        <v>320</v>
      </c>
      <c r="C105" s="66" t="s">
        <v>3534</v>
      </c>
      <c r="D105" s="67">
        <v>5</v>
      </c>
      <c r="E105" s="68"/>
      <c r="F105" s="69">
        <v>25</v>
      </c>
      <c r="G105" s="66"/>
      <c r="H105" s="70"/>
      <c r="I105" s="71"/>
      <c r="J105" s="71"/>
      <c r="K105" s="35" t="s">
        <v>65</v>
      </c>
      <c r="L105" s="79">
        <v>105</v>
      </c>
      <c r="M105" s="79"/>
      <c r="N105" s="73"/>
      <c r="O105" s="81" t="s">
        <v>613</v>
      </c>
      <c r="P105">
        <v>1</v>
      </c>
      <c r="Q105" s="80" t="str">
        <f>REPLACE(INDEX(GroupVertices[Group],MATCH(Edges[[#This Row],[Vertex 1]],GroupVertices[Vertex],0)),1,1,"")</f>
        <v>6</v>
      </c>
      <c r="R105" s="80" t="str">
        <f>REPLACE(INDEX(GroupVertices[Group],MATCH(Edges[[#This Row],[Vertex 2]],GroupVertices[Vertex],0)),1,1,"")</f>
        <v>6</v>
      </c>
      <c r="S105" s="35"/>
      <c r="T105" s="35"/>
      <c r="U105" s="35"/>
      <c r="V105" s="35"/>
      <c r="W105" s="35"/>
      <c r="X105" s="35"/>
      <c r="Y105" s="35"/>
      <c r="Z105" s="35"/>
      <c r="AA105" s="35"/>
    </row>
    <row r="106" spans="1:27" ht="15">
      <c r="A106" s="65" t="s">
        <v>214</v>
      </c>
      <c r="B106" s="65" t="s">
        <v>321</v>
      </c>
      <c r="C106" s="66" t="s">
        <v>3534</v>
      </c>
      <c r="D106" s="67">
        <v>5</v>
      </c>
      <c r="E106" s="68"/>
      <c r="F106" s="69">
        <v>25</v>
      </c>
      <c r="G106" s="66"/>
      <c r="H106" s="70"/>
      <c r="I106" s="71"/>
      <c r="J106" s="71"/>
      <c r="K106" s="35" t="s">
        <v>65</v>
      </c>
      <c r="L106" s="79">
        <v>106</v>
      </c>
      <c r="M106" s="79"/>
      <c r="N106" s="73"/>
      <c r="O106" s="81" t="s">
        <v>613</v>
      </c>
      <c r="P106">
        <v>1</v>
      </c>
      <c r="Q106" s="80" t="str">
        <f>REPLACE(INDEX(GroupVertices[Group],MATCH(Edges[[#This Row],[Vertex 1]],GroupVertices[Vertex],0)),1,1,"")</f>
        <v>6</v>
      </c>
      <c r="R106" s="80" t="str">
        <f>REPLACE(INDEX(GroupVertices[Group],MATCH(Edges[[#This Row],[Vertex 2]],GroupVertices[Vertex],0)),1,1,"")</f>
        <v>6</v>
      </c>
      <c r="S106" s="35"/>
      <c r="T106" s="35"/>
      <c r="U106" s="35"/>
      <c r="V106" s="35"/>
      <c r="W106" s="35"/>
      <c r="X106" s="35"/>
      <c r="Y106" s="35"/>
      <c r="Z106" s="35"/>
      <c r="AA106" s="35"/>
    </row>
    <row r="107" spans="1:27" ht="15">
      <c r="A107" s="65" t="s">
        <v>214</v>
      </c>
      <c r="B107" s="65" t="s">
        <v>322</v>
      </c>
      <c r="C107" s="66" t="s">
        <v>3534</v>
      </c>
      <c r="D107" s="67">
        <v>5</v>
      </c>
      <c r="E107" s="68"/>
      <c r="F107" s="69">
        <v>25</v>
      </c>
      <c r="G107" s="66"/>
      <c r="H107" s="70"/>
      <c r="I107" s="71"/>
      <c r="J107" s="71"/>
      <c r="K107" s="35" t="s">
        <v>65</v>
      </c>
      <c r="L107" s="79">
        <v>107</v>
      </c>
      <c r="M107" s="79"/>
      <c r="N107" s="73"/>
      <c r="O107" s="81" t="s">
        <v>613</v>
      </c>
      <c r="P107">
        <v>1</v>
      </c>
      <c r="Q107" s="80" t="str">
        <f>REPLACE(INDEX(GroupVertices[Group],MATCH(Edges[[#This Row],[Vertex 1]],GroupVertices[Vertex],0)),1,1,"")</f>
        <v>6</v>
      </c>
      <c r="R107" s="80" t="str">
        <f>REPLACE(INDEX(GroupVertices[Group],MATCH(Edges[[#This Row],[Vertex 2]],GroupVertices[Vertex],0)),1,1,"")</f>
        <v>6</v>
      </c>
      <c r="S107" s="35"/>
      <c r="T107" s="35"/>
      <c r="U107" s="35"/>
      <c r="V107" s="35"/>
      <c r="W107" s="35"/>
      <c r="X107" s="35"/>
      <c r="Y107" s="35"/>
      <c r="Z107" s="35"/>
      <c r="AA107" s="35"/>
    </row>
    <row r="108" spans="1:27" ht="15">
      <c r="A108" s="65" t="s">
        <v>214</v>
      </c>
      <c r="B108" s="65" t="s">
        <v>323</v>
      </c>
      <c r="C108" s="66" t="s">
        <v>3534</v>
      </c>
      <c r="D108" s="67">
        <v>5</v>
      </c>
      <c r="E108" s="68"/>
      <c r="F108" s="69">
        <v>25</v>
      </c>
      <c r="G108" s="66"/>
      <c r="H108" s="70"/>
      <c r="I108" s="71"/>
      <c r="J108" s="71"/>
      <c r="K108" s="35" t="s">
        <v>65</v>
      </c>
      <c r="L108" s="79">
        <v>108</v>
      </c>
      <c r="M108" s="79"/>
      <c r="N108" s="73"/>
      <c r="O108" s="81" t="s">
        <v>613</v>
      </c>
      <c r="P108">
        <v>1</v>
      </c>
      <c r="Q108" s="80" t="str">
        <f>REPLACE(INDEX(GroupVertices[Group],MATCH(Edges[[#This Row],[Vertex 1]],GroupVertices[Vertex],0)),1,1,"")</f>
        <v>6</v>
      </c>
      <c r="R108" s="80" t="str">
        <f>REPLACE(INDEX(GroupVertices[Group],MATCH(Edges[[#This Row],[Vertex 2]],GroupVertices[Vertex],0)),1,1,"")</f>
        <v>6</v>
      </c>
      <c r="S108" s="35"/>
      <c r="T108" s="35"/>
      <c r="U108" s="35"/>
      <c r="V108" s="35"/>
      <c r="W108" s="35"/>
      <c r="X108" s="35"/>
      <c r="Y108" s="35"/>
      <c r="Z108" s="35"/>
      <c r="AA108" s="35"/>
    </row>
    <row r="109" spans="1:27" ht="15">
      <c r="A109" s="65" t="s">
        <v>212</v>
      </c>
      <c r="B109" s="65" t="s">
        <v>324</v>
      </c>
      <c r="C109" s="66" t="s">
        <v>3534</v>
      </c>
      <c r="D109" s="67">
        <v>5</v>
      </c>
      <c r="E109" s="68"/>
      <c r="F109" s="69">
        <v>25</v>
      </c>
      <c r="G109" s="66"/>
      <c r="H109" s="70"/>
      <c r="I109" s="71"/>
      <c r="J109" s="71"/>
      <c r="K109" s="35" t="s">
        <v>65</v>
      </c>
      <c r="L109" s="79">
        <v>109</v>
      </c>
      <c r="M109" s="79"/>
      <c r="N109" s="73"/>
      <c r="O109" s="81" t="s">
        <v>613</v>
      </c>
      <c r="P109">
        <v>1</v>
      </c>
      <c r="Q109" s="80" t="str">
        <f>REPLACE(INDEX(GroupVertices[Group],MATCH(Edges[[#This Row],[Vertex 1]],GroupVertices[Vertex],0)),1,1,"")</f>
        <v>7</v>
      </c>
      <c r="R109" s="80" t="str">
        <f>REPLACE(INDEX(GroupVertices[Group],MATCH(Edges[[#This Row],[Vertex 2]],GroupVertices[Vertex],0)),1,1,"")</f>
        <v>7</v>
      </c>
      <c r="S109" s="35"/>
      <c r="T109" s="35"/>
      <c r="U109" s="35"/>
      <c r="V109" s="35"/>
      <c r="W109" s="35"/>
      <c r="X109" s="35"/>
      <c r="Y109" s="35"/>
      <c r="Z109" s="35"/>
      <c r="AA109" s="35"/>
    </row>
    <row r="110" spans="1:27" ht="15">
      <c r="A110" s="65" t="s">
        <v>214</v>
      </c>
      <c r="B110" s="65" t="s">
        <v>324</v>
      </c>
      <c r="C110" s="66" t="s">
        <v>3534</v>
      </c>
      <c r="D110" s="67">
        <v>5</v>
      </c>
      <c r="E110" s="68"/>
      <c r="F110" s="69">
        <v>25</v>
      </c>
      <c r="G110" s="66"/>
      <c r="H110" s="70"/>
      <c r="I110" s="71"/>
      <c r="J110" s="71"/>
      <c r="K110" s="35" t="s">
        <v>65</v>
      </c>
      <c r="L110" s="79">
        <v>110</v>
      </c>
      <c r="M110" s="79"/>
      <c r="N110" s="73"/>
      <c r="O110" s="81" t="s">
        <v>613</v>
      </c>
      <c r="P110">
        <v>1</v>
      </c>
      <c r="Q110" s="80" t="str">
        <f>REPLACE(INDEX(GroupVertices[Group],MATCH(Edges[[#This Row],[Vertex 1]],GroupVertices[Vertex],0)),1,1,"")</f>
        <v>6</v>
      </c>
      <c r="R110" s="80" t="str">
        <f>REPLACE(INDEX(GroupVertices[Group],MATCH(Edges[[#This Row],[Vertex 2]],GroupVertices[Vertex],0)),1,1,"")</f>
        <v>7</v>
      </c>
      <c r="S110" s="35"/>
      <c r="T110" s="35"/>
      <c r="U110" s="35"/>
      <c r="V110" s="35"/>
      <c r="W110" s="35"/>
      <c r="X110" s="35"/>
      <c r="Y110" s="35"/>
      <c r="Z110" s="35"/>
      <c r="AA110" s="35"/>
    </row>
    <row r="111" spans="1:27" ht="15">
      <c r="A111" s="65" t="s">
        <v>214</v>
      </c>
      <c r="B111" s="65" t="s">
        <v>325</v>
      </c>
      <c r="C111" s="66" t="s">
        <v>3534</v>
      </c>
      <c r="D111" s="67">
        <v>5</v>
      </c>
      <c r="E111" s="68"/>
      <c r="F111" s="69">
        <v>25</v>
      </c>
      <c r="G111" s="66"/>
      <c r="H111" s="70"/>
      <c r="I111" s="71"/>
      <c r="J111" s="71"/>
      <c r="K111" s="35" t="s">
        <v>65</v>
      </c>
      <c r="L111" s="79">
        <v>111</v>
      </c>
      <c r="M111" s="79"/>
      <c r="N111" s="73"/>
      <c r="O111" s="81" t="s">
        <v>613</v>
      </c>
      <c r="P111">
        <v>1</v>
      </c>
      <c r="Q111" s="80" t="str">
        <f>REPLACE(INDEX(GroupVertices[Group],MATCH(Edges[[#This Row],[Vertex 1]],GroupVertices[Vertex],0)),1,1,"")</f>
        <v>6</v>
      </c>
      <c r="R111" s="80" t="str">
        <f>REPLACE(INDEX(GroupVertices[Group],MATCH(Edges[[#This Row],[Vertex 2]],GroupVertices[Vertex],0)),1,1,"")</f>
        <v>6</v>
      </c>
      <c r="S111" s="35"/>
      <c r="T111" s="35"/>
      <c r="U111" s="35"/>
      <c r="V111" s="35"/>
      <c r="W111" s="35"/>
      <c r="X111" s="35"/>
      <c r="Y111" s="35"/>
      <c r="Z111" s="35"/>
      <c r="AA111" s="35"/>
    </row>
    <row r="112" spans="1:27" ht="15">
      <c r="A112" s="65" t="s">
        <v>214</v>
      </c>
      <c r="B112" s="65" t="s">
        <v>326</v>
      </c>
      <c r="C112" s="66" t="s">
        <v>3534</v>
      </c>
      <c r="D112" s="67">
        <v>5</v>
      </c>
      <c r="E112" s="68"/>
      <c r="F112" s="69">
        <v>25</v>
      </c>
      <c r="G112" s="66"/>
      <c r="H112" s="70"/>
      <c r="I112" s="71"/>
      <c r="J112" s="71"/>
      <c r="K112" s="35" t="s">
        <v>65</v>
      </c>
      <c r="L112" s="79">
        <v>112</v>
      </c>
      <c r="M112" s="79"/>
      <c r="N112" s="73"/>
      <c r="O112" s="81" t="s">
        <v>613</v>
      </c>
      <c r="P112">
        <v>1</v>
      </c>
      <c r="Q112" s="80" t="str">
        <f>REPLACE(INDEX(GroupVertices[Group],MATCH(Edges[[#This Row],[Vertex 1]],GroupVertices[Vertex],0)),1,1,"")</f>
        <v>6</v>
      </c>
      <c r="R112" s="80" t="str">
        <f>REPLACE(INDEX(GroupVertices[Group],MATCH(Edges[[#This Row],[Vertex 2]],GroupVertices[Vertex],0)),1,1,"")</f>
        <v>6</v>
      </c>
      <c r="S112" s="35"/>
      <c r="T112" s="35"/>
      <c r="U112" s="35"/>
      <c r="V112" s="35"/>
      <c r="W112" s="35"/>
      <c r="X112" s="35"/>
      <c r="Y112" s="35"/>
      <c r="Z112" s="35"/>
      <c r="AA112" s="35"/>
    </row>
    <row r="113" spans="1:27" ht="15">
      <c r="A113" s="65" t="s">
        <v>212</v>
      </c>
      <c r="B113" s="65" t="s">
        <v>327</v>
      </c>
      <c r="C113" s="66" t="s">
        <v>3534</v>
      </c>
      <c r="D113" s="67">
        <v>5</v>
      </c>
      <c r="E113" s="68"/>
      <c r="F113" s="69">
        <v>25</v>
      </c>
      <c r="G113" s="66"/>
      <c r="H113" s="70"/>
      <c r="I113" s="71"/>
      <c r="J113" s="71"/>
      <c r="K113" s="35" t="s">
        <v>65</v>
      </c>
      <c r="L113" s="79">
        <v>113</v>
      </c>
      <c r="M113" s="79"/>
      <c r="N113" s="73"/>
      <c r="O113" s="81" t="s">
        <v>613</v>
      </c>
      <c r="P113">
        <v>1</v>
      </c>
      <c r="Q113" s="80" t="str">
        <f>REPLACE(INDEX(GroupVertices[Group],MATCH(Edges[[#This Row],[Vertex 1]],GroupVertices[Vertex],0)),1,1,"")</f>
        <v>7</v>
      </c>
      <c r="R113" s="80" t="str">
        <f>REPLACE(INDEX(GroupVertices[Group],MATCH(Edges[[#This Row],[Vertex 2]],GroupVertices[Vertex],0)),1,1,"")</f>
        <v>7</v>
      </c>
      <c r="S113" s="35"/>
      <c r="T113" s="35"/>
      <c r="U113" s="35"/>
      <c r="V113" s="35"/>
      <c r="W113" s="35"/>
      <c r="X113" s="35"/>
      <c r="Y113" s="35"/>
      <c r="Z113" s="35"/>
      <c r="AA113" s="35"/>
    </row>
    <row r="114" spans="1:27" ht="15">
      <c r="A114" s="65" t="s">
        <v>214</v>
      </c>
      <c r="B114" s="65" t="s">
        <v>327</v>
      </c>
      <c r="C114" s="66" t="s">
        <v>3534</v>
      </c>
      <c r="D114" s="67">
        <v>5</v>
      </c>
      <c r="E114" s="68"/>
      <c r="F114" s="69">
        <v>25</v>
      </c>
      <c r="G114" s="66"/>
      <c r="H114" s="70"/>
      <c r="I114" s="71"/>
      <c r="J114" s="71"/>
      <c r="K114" s="35" t="s">
        <v>65</v>
      </c>
      <c r="L114" s="79">
        <v>114</v>
      </c>
      <c r="M114" s="79"/>
      <c r="N114" s="73"/>
      <c r="O114" s="81" t="s">
        <v>613</v>
      </c>
      <c r="P114">
        <v>1</v>
      </c>
      <c r="Q114" s="80" t="str">
        <f>REPLACE(INDEX(GroupVertices[Group],MATCH(Edges[[#This Row],[Vertex 1]],GroupVertices[Vertex],0)),1,1,"")</f>
        <v>6</v>
      </c>
      <c r="R114" s="80" t="str">
        <f>REPLACE(INDEX(GroupVertices[Group],MATCH(Edges[[#This Row],[Vertex 2]],GroupVertices[Vertex],0)),1,1,"")</f>
        <v>7</v>
      </c>
      <c r="S114" s="35"/>
      <c r="T114" s="35"/>
      <c r="U114" s="35"/>
      <c r="V114" s="35"/>
      <c r="W114" s="35"/>
      <c r="X114" s="35"/>
      <c r="Y114" s="35"/>
      <c r="Z114" s="35"/>
      <c r="AA114" s="35"/>
    </row>
    <row r="115" spans="1:27" ht="15">
      <c r="A115" s="65" t="s">
        <v>214</v>
      </c>
      <c r="B115" s="65" t="s">
        <v>328</v>
      </c>
      <c r="C115" s="66" t="s">
        <v>3534</v>
      </c>
      <c r="D115" s="67">
        <v>5</v>
      </c>
      <c r="E115" s="68"/>
      <c r="F115" s="69">
        <v>25</v>
      </c>
      <c r="G115" s="66"/>
      <c r="H115" s="70"/>
      <c r="I115" s="71"/>
      <c r="J115" s="71"/>
      <c r="K115" s="35" t="s">
        <v>65</v>
      </c>
      <c r="L115" s="79">
        <v>115</v>
      </c>
      <c r="M115" s="79"/>
      <c r="N115" s="73"/>
      <c r="O115" s="81" t="s">
        <v>613</v>
      </c>
      <c r="P115">
        <v>1</v>
      </c>
      <c r="Q115" s="80" t="str">
        <f>REPLACE(INDEX(GroupVertices[Group],MATCH(Edges[[#This Row],[Vertex 1]],GroupVertices[Vertex],0)),1,1,"")</f>
        <v>6</v>
      </c>
      <c r="R115" s="80" t="str">
        <f>REPLACE(INDEX(GroupVertices[Group],MATCH(Edges[[#This Row],[Vertex 2]],GroupVertices[Vertex],0)),1,1,"")</f>
        <v>6</v>
      </c>
      <c r="S115" s="35"/>
      <c r="T115" s="35"/>
      <c r="U115" s="35"/>
      <c r="V115" s="35"/>
      <c r="W115" s="35"/>
      <c r="X115" s="35"/>
      <c r="Y115" s="35"/>
      <c r="Z115" s="35"/>
      <c r="AA115" s="35"/>
    </row>
    <row r="116" spans="1:27" ht="15">
      <c r="A116" s="65" t="s">
        <v>214</v>
      </c>
      <c r="B116" s="65" t="s">
        <v>329</v>
      </c>
      <c r="C116" s="66" t="s">
        <v>3534</v>
      </c>
      <c r="D116" s="67">
        <v>5</v>
      </c>
      <c r="E116" s="68"/>
      <c r="F116" s="69">
        <v>25</v>
      </c>
      <c r="G116" s="66"/>
      <c r="H116" s="70"/>
      <c r="I116" s="71"/>
      <c r="J116" s="71"/>
      <c r="K116" s="35" t="s">
        <v>65</v>
      </c>
      <c r="L116" s="79">
        <v>116</v>
      </c>
      <c r="M116" s="79"/>
      <c r="N116" s="73"/>
      <c r="O116" s="81" t="s">
        <v>613</v>
      </c>
      <c r="P116">
        <v>1</v>
      </c>
      <c r="Q116" s="80" t="str">
        <f>REPLACE(INDEX(GroupVertices[Group],MATCH(Edges[[#This Row],[Vertex 1]],GroupVertices[Vertex],0)),1,1,"")</f>
        <v>6</v>
      </c>
      <c r="R116" s="80" t="str">
        <f>REPLACE(INDEX(GroupVertices[Group],MATCH(Edges[[#This Row],[Vertex 2]],GroupVertices[Vertex],0)),1,1,"")</f>
        <v>6</v>
      </c>
      <c r="S116" s="35"/>
      <c r="T116" s="35"/>
      <c r="U116" s="35"/>
      <c r="V116" s="35"/>
      <c r="W116" s="35"/>
      <c r="X116" s="35"/>
      <c r="Y116" s="35"/>
      <c r="Z116" s="35"/>
      <c r="AA116" s="35"/>
    </row>
    <row r="117" spans="1:27" ht="15">
      <c r="A117" s="65" t="s">
        <v>214</v>
      </c>
      <c r="B117" s="65" t="s">
        <v>330</v>
      </c>
      <c r="C117" s="66" t="s">
        <v>3534</v>
      </c>
      <c r="D117" s="67">
        <v>5</v>
      </c>
      <c r="E117" s="68"/>
      <c r="F117" s="69">
        <v>25</v>
      </c>
      <c r="G117" s="66"/>
      <c r="H117" s="70"/>
      <c r="I117" s="71"/>
      <c r="J117" s="71"/>
      <c r="K117" s="35" t="s">
        <v>65</v>
      </c>
      <c r="L117" s="79">
        <v>117</v>
      </c>
      <c r="M117" s="79"/>
      <c r="N117" s="73"/>
      <c r="O117" s="81" t="s">
        <v>613</v>
      </c>
      <c r="P117">
        <v>1</v>
      </c>
      <c r="Q117" s="80" t="str">
        <f>REPLACE(INDEX(GroupVertices[Group],MATCH(Edges[[#This Row],[Vertex 1]],GroupVertices[Vertex],0)),1,1,"")</f>
        <v>6</v>
      </c>
      <c r="R117" s="80" t="str">
        <f>REPLACE(INDEX(GroupVertices[Group],MATCH(Edges[[#This Row],[Vertex 2]],GroupVertices[Vertex],0)),1,1,"")</f>
        <v>6</v>
      </c>
      <c r="S117" s="35"/>
      <c r="T117" s="35"/>
      <c r="U117" s="35"/>
      <c r="V117" s="35"/>
      <c r="W117" s="35"/>
      <c r="X117" s="35"/>
      <c r="Y117" s="35"/>
      <c r="Z117" s="35"/>
      <c r="AA117" s="35"/>
    </row>
    <row r="118" spans="1:27" ht="15">
      <c r="A118" s="65" t="s">
        <v>214</v>
      </c>
      <c r="B118" s="65" t="s">
        <v>331</v>
      </c>
      <c r="C118" s="66" t="s">
        <v>3534</v>
      </c>
      <c r="D118" s="67">
        <v>5</v>
      </c>
      <c r="E118" s="68"/>
      <c r="F118" s="69">
        <v>25</v>
      </c>
      <c r="G118" s="66"/>
      <c r="H118" s="70"/>
      <c r="I118" s="71"/>
      <c r="J118" s="71"/>
      <c r="K118" s="35" t="s">
        <v>65</v>
      </c>
      <c r="L118" s="79">
        <v>118</v>
      </c>
      <c r="M118" s="79"/>
      <c r="N118" s="73"/>
      <c r="O118" s="81" t="s">
        <v>613</v>
      </c>
      <c r="P118">
        <v>1</v>
      </c>
      <c r="Q118" s="80" t="str">
        <f>REPLACE(INDEX(GroupVertices[Group],MATCH(Edges[[#This Row],[Vertex 1]],GroupVertices[Vertex],0)),1,1,"")</f>
        <v>6</v>
      </c>
      <c r="R118" s="80" t="str">
        <f>REPLACE(INDEX(GroupVertices[Group],MATCH(Edges[[#This Row],[Vertex 2]],GroupVertices[Vertex],0)),1,1,"")</f>
        <v>6</v>
      </c>
      <c r="S118" s="35"/>
      <c r="T118" s="35"/>
      <c r="U118" s="35"/>
      <c r="V118" s="35"/>
      <c r="W118" s="35"/>
      <c r="X118" s="35"/>
      <c r="Y118" s="35"/>
      <c r="Z118" s="35"/>
      <c r="AA118" s="35"/>
    </row>
    <row r="119" spans="1:27" ht="15">
      <c r="A119" s="65" t="s">
        <v>212</v>
      </c>
      <c r="B119" s="65" t="s">
        <v>332</v>
      </c>
      <c r="C119" s="66" t="s">
        <v>3534</v>
      </c>
      <c r="D119" s="67">
        <v>5</v>
      </c>
      <c r="E119" s="68"/>
      <c r="F119" s="69">
        <v>25</v>
      </c>
      <c r="G119" s="66"/>
      <c r="H119" s="70"/>
      <c r="I119" s="71"/>
      <c r="J119" s="71"/>
      <c r="K119" s="35" t="s">
        <v>65</v>
      </c>
      <c r="L119" s="79">
        <v>119</v>
      </c>
      <c r="M119" s="79"/>
      <c r="N119" s="73"/>
      <c r="O119" s="81" t="s">
        <v>613</v>
      </c>
      <c r="P119">
        <v>1</v>
      </c>
      <c r="Q119" s="80" t="str">
        <f>REPLACE(INDEX(GroupVertices[Group],MATCH(Edges[[#This Row],[Vertex 1]],GroupVertices[Vertex],0)),1,1,"")</f>
        <v>7</v>
      </c>
      <c r="R119" s="80" t="str">
        <f>REPLACE(INDEX(GroupVertices[Group],MATCH(Edges[[#This Row],[Vertex 2]],GroupVertices[Vertex],0)),1,1,"")</f>
        <v>7</v>
      </c>
      <c r="S119" s="35"/>
      <c r="T119" s="35"/>
      <c r="U119" s="35"/>
      <c r="V119" s="35"/>
      <c r="W119" s="35"/>
      <c r="X119" s="35"/>
      <c r="Y119" s="35"/>
      <c r="Z119" s="35"/>
      <c r="AA119" s="35"/>
    </row>
    <row r="120" spans="1:27" ht="15">
      <c r="A120" s="65" t="s">
        <v>214</v>
      </c>
      <c r="B120" s="65" t="s">
        <v>332</v>
      </c>
      <c r="C120" s="66" t="s">
        <v>3534</v>
      </c>
      <c r="D120" s="67">
        <v>5</v>
      </c>
      <c r="E120" s="68"/>
      <c r="F120" s="69">
        <v>25</v>
      </c>
      <c r="G120" s="66"/>
      <c r="H120" s="70"/>
      <c r="I120" s="71"/>
      <c r="J120" s="71"/>
      <c r="K120" s="35" t="s">
        <v>65</v>
      </c>
      <c r="L120" s="79">
        <v>120</v>
      </c>
      <c r="M120" s="79"/>
      <c r="N120" s="73"/>
      <c r="O120" s="81" t="s">
        <v>613</v>
      </c>
      <c r="P120">
        <v>1</v>
      </c>
      <c r="Q120" s="80" t="str">
        <f>REPLACE(INDEX(GroupVertices[Group],MATCH(Edges[[#This Row],[Vertex 1]],GroupVertices[Vertex],0)),1,1,"")</f>
        <v>6</v>
      </c>
      <c r="R120" s="80" t="str">
        <f>REPLACE(INDEX(GroupVertices[Group],MATCH(Edges[[#This Row],[Vertex 2]],GroupVertices[Vertex],0)),1,1,"")</f>
        <v>7</v>
      </c>
      <c r="S120" s="35"/>
      <c r="T120" s="35"/>
      <c r="U120" s="35"/>
      <c r="V120" s="35"/>
      <c r="W120" s="35"/>
      <c r="X120" s="35"/>
      <c r="Y120" s="35"/>
      <c r="Z120" s="35"/>
      <c r="AA120" s="35"/>
    </row>
    <row r="121" spans="1:27" ht="15">
      <c r="A121" s="65" t="s">
        <v>214</v>
      </c>
      <c r="B121" s="65" t="s">
        <v>333</v>
      </c>
      <c r="C121" s="66" t="s">
        <v>3534</v>
      </c>
      <c r="D121" s="67">
        <v>5</v>
      </c>
      <c r="E121" s="68"/>
      <c r="F121" s="69">
        <v>25</v>
      </c>
      <c r="G121" s="66"/>
      <c r="H121" s="70"/>
      <c r="I121" s="71"/>
      <c r="J121" s="71"/>
      <c r="K121" s="35" t="s">
        <v>65</v>
      </c>
      <c r="L121" s="79">
        <v>121</v>
      </c>
      <c r="M121" s="79"/>
      <c r="N121" s="73"/>
      <c r="O121" s="81" t="s">
        <v>613</v>
      </c>
      <c r="P121">
        <v>1</v>
      </c>
      <c r="Q121" s="80" t="str">
        <f>REPLACE(INDEX(GroupVertices[Group],MATCH(Edges[[#This Row],[Vertex 1]],GroupVertices[Vertex],0)),1,1,"")</f>
        <v>6</v>
      </c>
      <c r="R121" s="80" t="str">
        <f>REPLACE(INDEX(GroupVertices[Group],MATCH(Edges[[#This Row],[Vertex 2]],GroupVertices[Vertex],0)),1,1,"")</f>
        <v>6</v>
      </c>
      <c r="S121" s="35"/>
      <c r="T121" s="35"/>
      <c r="U121" s="35"/>
      <c r="V121" s="35"/>
      <c r="W121" s="35"/>
      <c r="X121" s="35"/>
      <c r="Y121" s="35"/>
      <c r="Z121" s="35"/>
      <c r="AA121" s="35"/>
    </row>
    <row r="122" spans="1:27" ht="15">
      <c r="A122" s="65" t="s">
        <v>214</v>
      </c>
      <c r="B122" s="65" t="s">
        <v>334</v>
      </c>
      <c r="C122" s="66" t="s">
        <v>3534</v>
      </c>
      <c r="D122" s="67">
        <v>5</v>
      </c>
      <c r="E122" s="68"/>
      <c r="F122" s="69">
        <v>25</v>
      </c>
      <c r="G122" s="66"/>
      <c r="H122" s="70"/>
      <c r="I122" s="71"/>
      <c r="J122" s="71"/>
      <c r="K122" s="35" t="s">
        <v>65</v>
      </c>
      <c r="L122" s="79">
        <v>122</v>
      </c>
      <c r="M122" s="79"/>
      <c r="N122" s="73"/>
      <c r="O122" s="81" t="s">
        <v>613</v>
      </c>
      <c r="P122">
        <v>1</v>
      </c>
      <c r="Q122" s="80" t="str">
        <f>REPLACE(INDEX(GroupVertices[Group],MATCH(Edges[[#This Row],[Vertex 1]],GroupVertices[Vertex],0)),1,1,"")</f>
        <v>6</v>
      </c>
      <c r="R122" s="80" t="str">
        <f>REPLACE(INDEX(GroupVertices[Group],MATCH(Edges[[#This Row],[Vertex 2]],GroupVertices[Vertex],0)),1,1,"")</f>
        <v>6</v>
      </c>
      <c r="S122" s="35"/>
      <c r="T122" s="35"/>
      <c r="U122" s="35"/>
      <c r="V122" s="35"/>
      <c r="W122" s="35"/>
      <c r="X122" s="35"/>
      <c r="Y122" s="35"/>
      <c r="Z122" s="35"/>
      <c r="AA122" s="35"/>
    </row>
    <row r="123" spans="1:27" ht="15">
      <c r="A123" s="65" t="s">
        <v>214</v>
      </c>
      <c r="B123" s="65" t="s">
        <v>335</v>
      </c>
      <c r="C123" s="66" t="s">
        <v>3534</v>
      </c>
      <c r="D123" s="67">
        <v>5</v>
      </c>
      <c r="E123" s="68"/>
      <c r="F123" s="69">
        <v>25</v>
      </c>
      <c r="G123" s="66"/>
      <c r="H123" s="70"/>
      <c r="I123" s="71"/>
      <c r="J123" s="71"/>
      <c r="K123" s="35" t="s">
        <v>65</v>
      </c>
      <c r="L123" s="79">
        <v>123</v>
      </c>
      <c r="M123" s="79"/>
      <c r="N123" s="73"/>
      <c r="O123" s="81" t="s">
        <v>613</v>
      </c>
      <c r="P123">
        <v>1</v>
      </c>
      <c r="Q123" s="80" t="str">
        <f>REPLACE(INDEX(GroupVertices[Group],MATCH(Edges[[#This Row],[Vertex 1]],GroupVertices[Vertex],0)),1,1,"")</f>
        <v>6</v>
      </c>
      <c r="R123" s="80" t="str">
        <f>REPLACE(INDEX(GroupVertices[Group],MATCH(Edges[[#This Row],[Vertex 2]],GroupVertices[Vertex],0)),1,1,"")</f>
        <v>6</v>
      </c>
      <c r="S123" s="35"/>
      <c r="T123" s="35"/>
      <c r="U123" s="35"/>
      <c r="V123" s="35"/>
      <c r="W123" s="35"/>
      <c r="X123" s="35"/>
      <c r="Y123" s="35"/>
      <c r="Z123" s="35"/>
      <c r="AA123" s="35"/>
    </row>
    <row r="124" spans="1:27" ht="15">
      <c r="A124" s="65" t="s">
        <v>214</v>
      </c>
      <c r="B124" s="65" t="s">
        <v>336</v>
      </c>
      <c r="C124" s="66" t="s">
        <v>3534</v>
      </c>
      <c r="D124" s="67">
        <v>5</v>
      </c>
      <c r="E124" s="68"/>
      <c r="F124" s="69">
        <v>25</v>
      </c>
      <c r="G124" s="66"/>
      <c r="H124" s="70"/>
      <c r="I124" s="71"/>
      <c r="J124" s="71"/>
      <c r="K124" s="35" t="s">
        <v>65</v>
      </c>
      <c r="L124" s="79">
        <v>124</v>
      </c>
      <c r="M124" s="79"/>
      <c r="N124" s="73"/>
      <c r="O124" s="81" t="s">
        <v>613</v>
      </c>
      <c r="P124">
        <v>1</v>
      </c>
      <c r="Q124" s="80" t="str">
        <f>REPLACE(INDEX(GroupVertices[Group],MATCH(Edges[[#This Row],[Vertex 1]],GroupVertices[Vertex],0)),1,1,"")</f>
        <v>6</v>
      </c>
      <c r="R124" s="80" t="str">
        <f>REPLACE(INDEX(GroupVertices[Group],MATCH(Edges[[#This Row],[Vertex 2]],GroupVertices[Vertex],0)),1,1,"")</f>
        <v>6</v>
      </c>
      <c r="S124" s="35"/>
      <c r="T124" s="35"/>
      <c r="U124" s="35"/>
      <c r="V124" s="35"/>
      <c r="W124" s="35"/>
      <c r="X124" s="35"/>
      <c r="Y124" s="35"/>
      <c r="Z124" s="35"/>
      <c r="AA124" s="35"/>
    </row>
    <row r="125" spans="1:27" ht="15">
      <c r="A125" s="65" t="s">
        <v>214</v>
      </c>
      <c r="B125" s="65" t="s">
        <v>337</v>
      </c>
      <c r="C125" s="66" t="s">
        <v>3534</v>
      </c>
      <c r="D125" s="67">
        <v>5</v>
      </c>
      <c r="E125" s="68"/>
      <c r="F125" s="69">
        <v>25</v>
      </c>
      <c r="G125" s="66"/>
      <c r="H125" s="70"/>
      <c r="I125" s="71"/>
      <c r="J125" s="71"/>
      <c r="K125" s="35" t="s">
        <v>65</v>
      </c>
      <c r="L125" s="79">
        <v>125</v>
      </c>
      <c r="M125" s="79"/>
      <c r="N125" s="73"/>
      <c r="O125" s="81" t="s">
        <v>613</v>
      </c>
      <c r="P125">
        <v>1</v>
      </c>
      <c r="Q125" s="80" t="str">
        <f>REPLACE(INDEX(GroupVertices[Group],MATCH(Edges[[#This Row],[Vertex 1]],GroupVertices[Vertex],0)),1,1,"")</f>
        <v>6</v>
      </c>
      <c r="R125" s="80" t="str">
        <f>REPLACE(INDEX(GroupVertices[Group],MATCH(Edges[[#This Row],[Vertex 2]],GroupVertices[Vertex],0)),1,1,"")</f>
        <v>6</v>
      </c>
      <c r="S125" s="35"/>
      <c r="T125" s="35"/>
      <c r="U125" s="35"/>
      <c r="V125" s="35"/>
      <c r="W125" s="35"/>
      <c r="X125" s="35"/>
      <c r="Y125" s="35"/>
      <c r="Z125" s="35"/>
      <c r="AA125" s="35"/>
    </row>
    <row r="126" spans="1:27" ht="15">
      <c r="A126" s="65" t="s">
        <v>214</v>
      </c>
      <c r="B126" s="65" t="s">
        <v>338</v>
      </c>
      <c r="C126" s="66" t="s">
        <v>3534</v>
      </c>
      <c r="D126" s="67">
        <v>5</v>
      </c>
      <c r="E126" s="68"/>
      <c r="F126" s="69">
        <v>25</v>
      </c>
      <c r="G126" s="66"/>
      <c r="H126" s="70"/>
      <c r="I126" s="71"/>
      <c r="J126" s="71"/>
      <c r="K126" s="35" t="s">
        <v>65</v>
      </c>
      <c r="L126" s="79">
        <v>126</v>
      </c>
      <c r="M126" s="79"/>
      <c r="N126" s="73"/>
      <c r="O126" s="81" t="s">
        <v>613</v>
      </c>
      <c r="P126">
        <v>1</v>
      </c>
      <c r="Q126" s="80" t="str">
        <f>REPLACE(INDEX(GroupVertices[Group],MATCH(Edges[[#This Row],[Vertex 1]],GroupVertices[Vertex],0)),1,1,"")</f>
        <v>6</v>
      </c>
      <c r="R126" s="80" t="str">
        <f>REPLACE(INDEX(GroupVertices[Group],MATCH(Edges[[#This Row],[Vertex 2]],GroupVertices[Vertex],0)),1,1,"")</f>
        <v>6</v>
      </c>
      <c r="S126" s="35"/>
      <c r="T126" s="35"/>
      <c r="U126" s="35"/>
      <c r="V126" s="35"/>
      <c r="W126" s="35"/>
      <c r="X126" s="35"/>
      <c r="Y126" s="35"/>
      <c r="Z126" s="35"/>
      <c r="AA126" s="35"/>
    </row>
    <row r="127" spans="1:27" ht="15">
      <c r="A127" s="65" t="s">
        <v>214</v>
      </c>
      <c r="B127" s="65" t="s">
        <v>339</v>
      </c>
      <c r="C127" s="66" t="s">
        <v>3534</v>
      </c>
      <c r="D127" s="67">
        <v>5</v>
      </c>
      <c r="E127" s="68"/>
      <c r="F127" s="69">
        <v>25</v>
      </c>
      <c r="G127" s="66"/>
      <c r="H127" s="70"/>
      <c r="I127" s="71"/>
      <c r="J127" s="71"/>
      <c r="K127" s="35" t="s">
        <v>65</v>
      </c>
      <c r="L127" s="79">
        <v>127</v>
      </c>
      <c r="M127" s="79"/>
      <c r="N127" s="73"/>
      <c r="O127" s="81" t="s">
        <v>613</v>
      </c>
      <c r="P127">
        <v>1</v>
      </c>
      <c r="Q127" s="80" t="str">
        <f>REPLACE(INDEX(GroupVertices[Group],MATCH(Edges[[#This Row],[Vertex 1]],GroupVertices[Vertex],0)),1,1,"")</f>
        <v>6</v>
      </c>
      <c r="R127" s="80" t="str">
        <f>REPLACE(INDEX(GroupVertices[Group],MATCH(Edges[[#This Row],[Vertex 2]],GroupVertices[Vertex],0)),1,1,"")</f>
        <v>6</v>
      </c>
      <c r="S127" s="35"/>
      <c r="T127" s="35"/>
      <c r="U127" s="35"/>
      <c r="V127" s="35"/>
      <c r="W127" s="35"/>
      <c r="X127" s="35"/>
      <c r="Y127" s="35"/>
      <c r="Z127" s="35"/>
      <c r="AA127" s="35"/>
    </row>
    <row r="128" spans="1:27" ht="15">
      <c r="A128" s="65" t="s">
        <v>214</v>
      </c>
      <c r="B128" s="65" t="s">
        <v>340</v>
      </c>
      <c r="C128" s="66" t="s">
        <v>3534</v>
      </c>
      <c r="D128" s="67">
        <v>5</v>
      </c>
      <c r="E128" s="68"/>
      <c r="F128" s="69">
        <v>25</v>
      </c>
      <c r="G128" s="66"/>
      <c r="H128" s="70"/>
      <c r="I128" s="71"/>
      <c r="J128" s="71"/>
      <c r="K128" s="35" t="s">
        <v>65</v>
      </c>
      <c r="L128" s="79">
        <v>128</v>
      </c>
      <c r="M128" s="79"/>
      <c r="N128" s="73"/>
      <c r="O128" s="81" t="s">
        <v>613</v>
      </c>
      <c r="P128">
        <v>1</v>
      </c>
      <c r="Q128" s="80" t="str">
        <f>REPLACE(INDEX(GroupVertices[Group],MATCH(Edges[[#This Row],[Vertex 1]],GroupVertices[Vertex],0)),1,1,"")</f>
        <v>6</v>
      </c>
      <c r="R128" s="80" t="str">
        <f>REPLACE(INDEX(GroupVertices[Group],MATCH(Edges[[#This Row],[Vertex 2]],GroupVertices[Vertex],0)),1,1,"")</f>
        <v>6</v>
      </c>
      <c r="S128" s="35"/>
      <c r="T128" s="35"/>
      <c r="U128" s="35"/>
      <c r="V128" s="35"/>
      <c r="W128" s="35"/>
      <c r="X128" s="35"/>
      <c r="Y128" s="35"/>
      <c r="Z128" s="35"/>
      <c r="AA128" s="35"/>
    </row>
    <row r="129" spans="1:27" ht="15">
      <c r="A129" s="65" t="s">
        <v>215</v>
      </c>
      <c r="B129" s="65" t="s">
        <v>341</v>
      </c>
      <c r="C129" s="66" t="s">
        <v>3534</v>
      </c>
      <c r="D129" s="67">
        <v>5</v>
      </c>
      <c r="E129" s="68"/>
      <c r="F129" s="69">
        <v>25</v>
      </c>
      <c r="G129" s="66"/>
      <c r="H129" s="70"/>
      <c r="I129" s="71"/>
      <c r="J129" s="71"/>
      <c r="K129" s="35" t="s">
        <v>65</v>
      </c>
      <c r="L129" s="79">
        <v>129</v>
      </c>
      <c r="M129" s="79"/>
      <c r="N129" s="73"/>
      <c r="O129" s="81" t="s">
        <v>613</v>
      </c>
      <c r="P129">
        <v>1</v>
      </c>
      <c r="Q129" s="80" t="str">
        <f>REPLACE(INDEX(GroupVertices[Group],MATCH(Edges[[#This Row],[Vertex 1]],GroupVertices[Vertex],0)),1,1,"")</f>
        <v>1</v>
      </c>
      <c r="R129" s="80" t="str">
        <f>REPLACE(INDEX(GroupVertices[Group],MATCH(Edges[[#This Row],[Vertex 2]],GroupVertices[Vertex],0)),1,1,"")</f>
        <v>1</v>
      </c>
      <c r="S129" s="35"/>
      <c r="T129" s="35"/>
      <c r="U129" s="35"/>
      <c r="V129" s="35"/>
      <c r="W129" s="35"/>
      <c r="X129" s="35"/>
      <c r="Y129" s="35"/>
      <c r="Z129" s="35"/>
      <c r="AA129" s="35"/>
    </row>
    <row r="130" spans="1:27" ht="15">
      <c r="A130" s="65" t="s">
        <v>215</v>
      </c>
      <c r="B130" s="65" t="s">
        <v>342</v>
      </c>
      <c r="C130" s="66" t="s">
        <v>3534</v>
      </c>
      <c r="D130" s="67">
        <v>5</v>
      </c>
      <c r="E130" s="68"/>
      <c r="F130" s="69">
        <v>25</v>
      </c>
      <c r="G130" s="66"/>
      <c r="H130" s="70"/>
      <c r="I130" s="71"/>
      <c r="J130" s="71"/>
      <c r="K130" s="35" t="s">
        <v>65</v>
      </c>
      <c r="L130" s="79">
        <v>130</v>
      </c>
      <c r="M130" s="79"/>
      <c r="N130" s="73"/>
      <c r="O130" s="81" t="s">
        <v>613</v>
      </c>
      <c r="P130">
        <v>1</v>
      </c>
      <c r="Q130" s="80" t="str">
        <f>REPLACE(INDEX(GroupVertices[Group],MATCH(Edges[[#This Row],[Vertex 1]],GroupVertices[Vertex],0)),1,1,"")</f>
        <v>1</v>
      </c>
      <c r="R130" s="80" t="str">
        <f>REPLACE(INDEX(GroupVertices[Group],MATCH(Edges[[#This Row],[Vertex 2]],GroupVertices[Vertex],0)),1,1,"")</f>
        <v>1</v>
      </c>
      <c r="S130" s="35"/>
      <c r="T130" s="35"/>
      <c r="U130" s="35"/>
      <c r="V130" s="35"/>
      <c r="W130" s="35"/>
      <c r="X130" s="35"/>
      <c r="Y130" s="35"/>
      <c r="Z130" s="35"/>
      <c r="AA130" s="35"/>
    </row>
    <row r="131" spans="1:27" ht="15">
      <c r="A131" s="65" t="s">
        <v>215</v>
      </c>
      <c r="B131" s="65" t="s">
        <v>343</v>
      </c>
      <c r="C131" s="66" t="s">
        <v>3534</v>
      </c>
      <c r="D131" s="67">
        <v>5</v>
      </c>
      <c r="E131" s="68"/>
      <c r="F131" s="69">
        <v>25</v>
      </c>
      <c r="G131" s="66"/>
      <c r="H131" s="70"/>
      <c r="I131" s="71"/>
      <c r="J131" s="71"/>
      <c r="K131" s="35" t="s">
        <v>65</v>
      </c>
      <c r="L131" s="79">
        <v>131</v>
      </c>
      <c r="M131" s="79"/>
      <c r="N131" s="73"/>
      <c r="O131" s="81" t="s">
        <v>613</v>
      </c>
      <c r="P131">
        <v>1</v>
      </c>
      <c r="Q131" s="80" t="str">
        <f>REPLACE(INDEX(GroupVertices[Group],MATCH(Edges[[#This Row],[Vertex 1]],GroupVertices[Vertex],0)),1,1,"")</f>
        <v>1</v>
      </c>
      <c r="R131" s="80" t="str">
        <f>REPLACE(INDEX(GroupVertices[Group],MATCH(Edges[[#This Row],[Vertex 2]],GroupVertices[Vertex],0)),1,1,"")</f>
        <v>1</v>
      </c>
      <c r="S131" s="35"/>
      <c r="T131" s="35"/>
      <c r="U131" s="35"/>
      <c r="V131" s="35"/>
      <c r="W131" s="35"/>
      <c r="X131" s="35"/>
      <c r="Y131" s="35"/>
      <c r="Z131" s="35"/>
      <c r="AA131" s="35"/>
    </row>
    <row r="132" spans="1:27" ht="15">
      <c r="A132" s="65" t="s">
        <v>215</v>
      </c>
      <c r="B132" s="65" t="s">
        <v>344</v>
      </c>
      <c r="C132" s="66" t="s">
        <v>3534</v>
      </c>
      <c r="D132" s="67">
        <v>5</v>
      </c>
      <c r="E132" s="68"/>
      <c r="F132" s="69">
        <v>25</v>
      </c>
      <c r="G132" s="66"/>
      <c r="H132" s="70"/>
      <c r="I132" s="71"/>
      <c r="J132" s="71"/>
      <c r="K132" s="35" t="s">
        <v>65</v>
      </c>
      <c r="L132" s="79">
        <v>132</v>
      </c>
      <c r="M132" s="79"/>
      <c r="N132" s="73"/>
      <c r="O132" s="81" t="s">
        <v>613</v>
      </c>
      <c r="P132">
        <v>1</v>
      </c>
      <c r="Q132" s="80" t="str">
        <f>REPLACE(INDEX(GroupVertices[Group],MATCH(Edges[[#This Row],[Vertex 1]],GroupVertices[Vertex],0)),1,1,"")</f>
        <v>1</v>
      </c>
      <c r="R132" s="80" t="str">
        <f>REPLACE(INDEX(GroupVertices[Group],MATCH(Edges[[#This Row],[Vertex 2]],GroupVertices[Vertex],0)),1,1,"")</f>
        <v>1</v>
      </c>
      <c r="S132" s="35"/>
      <c r="T132" s="35"/>
      <c r="U132" s="35"/>
      <c r="V132" s="35"/>
      <c r="W132" s="35"/>
      <c r="X132" s="35"/>
      <c r="Y132" s="35"/>
      <c r="Z132" s="35"/>
      <c r="AA132" s="35"/>
    </row>
    <row r="133" spans="1:27" ht="15">
      <c r="A133" s="65" t="s">
        <v>215</v>
      </c>
      <c r="B133" s="65" t="s">
        <v>345</v>
      </c>
      <c r="C133" s="66" t="s">
        <v>3534</v>
      </c>
      <c r="D133" s="67">
        <v>5</v>
      </c>
      <c r="E133" s="68"/>
      <c r="F133" s="69">
        <v>25</v>
      </c>
      <c r="G133" s="66"/>
      <c r="H133" s="70"/>
      <c r="I133" s="71"/>
      <c r="J133" s="71"/>
      <c r="K133" s="35" t="s">
        <v>65</v>
      </c>
      <c r="L133" s="79">
        <v>133</v>
      </c>
      <c r="M133" s="79"/>
      <c r="N133" s="73"/>
      <c r="O133" s="81" t="s">
        <v>613</v>
      </c>
      <c r="P133">
        <v>1</v>
      </c>
      <c r="Q133" s="80" t="str">
        <f>REPLACE(INDEX(GroupVertices[Group],MATCH(Edges[[#This Row],[Vertex 1]],GroupVertices[Vertex],0)),1,1,"")</f>
        <v>1</v>
      </c>
      <c r="R133" s="80" t="str">
        <f>REPLACE(INDEX(GroupVertices[Group],MATCH(Edges[[#This Row],[Vertex 2]],GroupVertices[Vertex],0)),1,1,"")</f>
        <v>1</v>
      </c>
      <c r="S133" s="35"/>
      <c r="T133" s="35"/>
      <c r="U133" s="35"/>
      <c r="V133" s="35"/>
      <c r="W133" s="35"/>
      <c r="X133" s="35"/>
      <c r="Y133" s="35"/>
      <c r="Z133" s="35"/>
      <c r="AA133" s="35"/>
    </row>
    <row r="134" spans="1:27" ht="15">
      <c r="A134" s="65" t="s">
        <v>215</v>
      </c>
      <c r="B134" s="65" t="s">
        <v>346</v>
      </c>
      <c r="C134" s="66" t="s">
        <v>3534</v>
      </c>
      <c r="D134" s="67">
        <v>5</v>
      </c>
      <c r="E134" s="68"/>
      <c r="F134" s="69">
        <v>25</v>
      </c>
      <c r="G134" s="66"/>
      <c r="H134" s="70"/>
      <c r="I134" s="71"/>
      <c r="J134" s="71"/>
      <c r="K134" s="35" t="s">
        <v>65</v>
      </c>
      <c r="L134" s="79">
        <v>134</v>
      </c>
      <c r="M134" s="79"/>
      <c r="N134" s="73"/>
      <c r="O134" s="81" t="s">
        <v>613</v>
      </c>
      <c r="P134">
        <v>1</v>
      </c>
      <c r="Q134" s="80" t="str">
        <f>REPLACE(INDEX(GroupVertices[Group],MATCH(Edges[[#This Row],[Vertex 1]],GroupVertices[Vertex],0)),1,1,"")</f>
        <v>1</v>
      </c>
      <c r="R134" s="80" t="str">
        <f>REPLACE(INDEX(GroupVertices[Group],MATCH(Edges[[#This Row],[Vertex 2]],GroupVertices[Vertex],0)),1,1,"")</f>
        <v>1</v>
      </c>
      <c r="S134" s="35"/>
      <c r="T134" s="35"/>
      <c r="U134" s="35"/>
      <c r="V134" s="35"/>
      <c r="W134" s="35"/>
      <c r="X134" s="35"/>
      <c r="Y134" s="35"/>
      <c r="Z134" s="35"/>
      <c r="AA134" s="35"/>
    </row>
    <row r="135" spans="1:27" ht="15">
      <c r="A135" s="65" t="s">
        <v>215</v>
      </c>
      <c r="B135" s="65" t="s">
        <v>347</v>
      </c>
      <c r="C135" s="66" t="s">
        <v>3534</v>
      </c>
      <c r="D135" s="67">
        <v>5</v>
      </c>
      <c r="E135" s="68"/>
      <c r="F135" s="69">
        <v>25</v>
      </c>
      <c r="G135" s="66"/>
      <c r="H135" s="70"/>
      <c r="I135" s="71"/>
      <c r="J135" s="71"/>
      <c r="K135" s="35" t="s">
        <v>65</v>
      </c>
      <c r="L135" s="79">
        <v>135</v>
      </c>
      <c r="M135" s="79"/>
      <c r="N135" s="73"/>
      <c r="O135" s="81" t="s">
        <v>613</v>
      </c>
      <c r="P135">
        <v>1</v>
      </c>
      <c r="Q135" s="80" t="str">
        <f>REPLACE(INDEX(GroupVertices[Group],MATCH(Edges[[#This Row],[Vertex 1]],GroupVertices[Vertex],0)),1,1,"")</f>
        <v>1</v>
      </c>
      <c r="R135" s="80" t="str">
        <f>REPLACE(INDEX(GroupVertices[Group],MATCH(Edges[[#This Row],[Vertex 2]],GroupVertices[Vertex],0)),1,1,"")</f>
        <v>1</v>
      </c>
      <c r="S135" s="35"/>
      <c r="T135" s="35"/>
      <c r="U135" s="35"/>
      <c r="V135" s="35"/>
      <c r="W135" s="35"/>
      <c r="X135" s="35"/>
      <c r="Y135" s="35"/>
      <c r="Z135" s="35"/>
      <c r="AA135" s="35"/>
    </row>
    <row r="136" spans="1:27" ht="15">
      <c r="A136" s="65" t="s">
        <v>215</v>
      </c>
      <c r="B136" s="65" t="s">
        <v>348</v>
      </c>
      <c r="C136" s="66" t="s">
        <v>3534</v>
      </c>
      <c r="D136" s="67">
        <v>5</v>
      </c>
      <c r="E136" s="68"/>
      <c r="F136" s="69">
        <v>25</v>
      </c>
      <c r="G136" s="66"/>
      <c r="H136" s="70"/>
      <c r="I136" s="71"/>
      <c r="J136" s="71"/>
      <c r="K136" s="35" t="s">
        <v>65</v>
      </c>
      <c r="L136" s="79">
        <v>136</v>
      </c>
      <c r="M136" s="79"/>
      <c r="N136" s="73"/>
      <c r="O136" s="81" t="s">
        <v>613</v>
      </c>
      <c r="P136">
        <v>1</v>
      </c>
      <c r="Q136" s="80" t="str">
        <f>REPLACE(INDEX(GroupVertices[Group],MATCH(Edges[[#This Row],[Vertex 1]],GroupVertices[Vertex],0)),1,1,"")</f>
        <v>1</v>
      </c>
      <c r="R136" s="80" t="str">
        <f>REPLACE(INDEX(GroupVertices[Group],MATCH(Edges[[#This Row],[Vertex 2]],GroupVertices[Vertex],0)),1,1,"")</f>
        <v>1</v>
      </c>
      <c r="S136" s="35"/>
      <c r="T136" s="35"/>
      <c r="U136" s="35"/>
      <c r="V136" s="35"/>
      <c r="W136" s="35"/>
      <c r="X136" s="35"/>
      <c r="Y136" s="35"/>
      <c r="Z136" s="35"/>
      <c r="AA136" s="35"/>
    </row>
    <row r="137" spans="1:27" ht="15">
      <c r="A137" s="65" t="s">
        <v>215</v>
      </c>
      <c r="B137" s="65" t="s">
        <v>349</v>
      </c>
      <c r="C137" s="66" t="s">
        <v>3534</v>
      </c>
      <c r="D137" s="67">
        <v>5</v>
      </c>
      <c r="E137" s="68"/>
      <c r="F137" s="69">
        <v>25</v>
      </c>
      <c r="G137" s="66"/>
      <c r="H137" s="70"/>
      <c r="I137" s="71"/>
      <c r="J137" s="71"/>
      <c r="K137" s="35" t="s">
        <v>65</v>
      </c>
      <c r="L137" s="79">
        <v>137</v>
      </c>
      <c r="M137" s="79"/>
      <c r="N137" s="73"/>
      <c r="O137" s="81" t="s">
        <v>613</v>
      </c>
      <c r="P137">
        <v>1</v>
      </c>
      <c r="Q137" s="80" t="str">
        <f>REPLACE(INDEX(GroupVertices[Group],MATCH(Edges[[#This Row],[Vertex 1]],GroupVertices[Vertex],0)),1,1,"")</f>
        <v>1</v>
      </c>
      <c r="R137" s="80" t="str">
        <f>REPLACE(INDEX(GroupVertices[Group],MATCH(Edges[[#This Row],[Vertex 2]],GroupVertices[Vertex],0)),1,1,"")</f>
        <v>1</v>
      </c>
      <c r="S137" s="35"/>
      <c r="T137" s="35"/>
      <c r="U137" s="35"/>
      <c r="V137" s="35"/>
      <c r="W137" s="35"/>
      <c r="X137" s="35"/>
      <c r="Y137" s="35"/>
      <c r="Z137" s="35"/>
      <c r="AA137" s="35"/>
    </row>
    <row r="138" spans="1:27" ht="15">
      <c r="A138" s="65" t="s">
        <v>215</v>
      </c>
      <c r="B138" s="65" t="s">
        <v>350</v>
      </c>
      <c r="C138" s="66" t="s">
        <v>3534</v>
      </c>
      <c r="D138" s="67">
        <v>5</v>
      </c>
      <c r="E138" s="68"/>
      <c r="F138" s="69">
        <v>25</v>
      </c>
      <c r="G138" s="66"/>
      <c r="H138" s="70"/>
      <c r="I138" s="71"/>
      <c r="J138" s="71"/>
      <c r="K138" s="35" t="s">
        <v>65</v>
      </c>
      <c r="L138" s="79">
        <v>138</v>
      </c>
      <c r="M138" s="79"/>
      <c r="N138" s="73"/>
      <c r="O138" s="81" t="s">
        <v>613</v>
      </c>
      <c r="P138">
        <v>1</v>
      </c>
      <c r="Q138" s="80" t="str">
        <f>REPLACE(INDEX(GroupVertices[Group],MATCH(Edges[[#This Row],[Vertex 1]],GroupVertices[Vertex],0)),1,1,"")</f>
        <v>1</v>
      </c>
      <c r="R138" s="80" t="str">
        <f>REPLACE(INDEX(GroupVertices[Group],MATCH(Edges[[#This Row],[Vertex 2]],GroupVertices[Vertex],0)),1,1,"")</f>
        <v>1</v>
      </c>
      <c r="S138" s="35"/>
      <c r="T138" s="35"/>
      <c r="U138" s="35"/>
      <c r="V138" s="35"/>
      <c r="W138" s="35"/>
      <c r="X138" s="35"/>
      <c r="Y138" s="35"/>
      <c r="Z138" s="35"/>
      <c r="AA138" s="35"/>
    </row>
    <row r="139" spans="1:27" ht="15">
      <c r="A139" s="65" t="s">
        <v>215</v>
      </c>
      <c r="B139" s="65" t="s">
        <v>351</v>
      </c>
      <c r="C139" s="66" t="s">
        <v>3534</v>
      </c>
      <c r="D139" s="67">
        <v>5</v>
      </c>
      <c r="E139" s="68"/>
      <c r="F139" s="69">
        <v>25</v>
      </c>
      <c r="G139" s="66"/>
      <c r="H139" s="70"/>
      <c r="I139" s="71"/>
      <c r="J139" s="71"/>
      <c r="K139" s="35" t="s">
        <v>65</v>
      </c>
      <c r="L139" s="79">
        <v>139</v>
      </c>
      <c r="M139" s="79"/>
      <c r="N139" s="73"/>
      <c r="O139" s="81" t="s">
        <v>613</v>
      </c>
      <c r="P139">
        <v>1</v>
      </c>
      <c r="Q139" s="80" t="str">
        <f>REPLACE(INDEX(GroupVertices[Group],MATCH(Edges[[#This Row],[Vertex 1]],GroupVertices[Vertex],0)),1,1,"")</f>
        <v>1</v>
      </c>
      <c r="R139" s="80" t="str">
        <f>REPLACE(INDEX(GroupVertices[Group],MATCH(Edges[[#This Row],[Vertex 2]],GroupVertices[Vertex],0)),1,1,"")</f>
        <v>1</v>
      </c>
      <c r="S139" s="35"/>
      <c r="T139" s="35"/>
      <c r="U139" s="35"/>
      <c r="V139" s="35"/>
      <c r="W139" s="35"/>
      <c r="X139" s="35"/>
      <c r="Y139" s="35"/>
      <c r="Z139" s="35"/>
      <c r="AA139" s="35"/>
    </row>
    <row r="140" spans="1:27" ht="15">
      <c r="A140" s="65" t="s">
        <v>215</v>
      </c>
      <c r="B140" s="65" t="s">
        <v>352</v>
      </c>
      <c r="C140" s="66" t="s">
        <v>3534</v>
      </c>
      <c r="D140" s="67">
        <v>5</v>
      </c>
      <c r="E140" s="68"/>
      <c r="F140" s="69">
        <v>25</v>
      </c>
      <c r="G140" s="66"/>
      <c r="H140" s="70"/>
      <c r="I140" s="71"/>
      <c r="J140" s="71"/>
      <c r="K140" s="35" t="s">
        <v>65</v>
      </c>
      <c r="L140" s="79">
        <v>140</v>
      </c>
      <c r="M140" s="79"/>
      <c r="N140" s="73"/>
      <c r="O140" s="81" t="s">
        <v>613</v>
      </c>
      <c r="P140">
        <v>1</v>
      </c>
      <c r="Q140" s="80" t="str">
        <f>REPLACE(INDEX(GroupVertices[Group],MATCH(Edges[[#This Row],[Vertex 1]],GroupVertices[Vertex],0)),1,1,"")</f>
        <v>1</v>
      </c>
      <c r="R140" s="80" t="str">
        <f>REPLACE(INDEX(GroupVertices[Group],MATCH(Edges[[#This Row],[Vertex 2]],GroupVertices[Vertex],0)),1,1,"")</f>
        <v>1</v>
      </c>
      <c r="S140" s="35"/>
      <c r="T140" s="35"/>
      <c r="U140" s="35"/>
      <c r="V140" s="35"/>
      <c r="W140" s="35"/>
      <c r="X140" s="35"/>
      <c r="Y140" s="35"/>
      <c r="Z140" s="35"/>
      <c r="AA140" s="35"/>
    </row>
    <row r="141" spans="1:27" ht="15">
      <c r="A141" s="65" t="s">
        <v>215</v>
      </c>
      <c r="B141" s="65" t="s">
        <v>353</v>
      </c>
      <c r="C141" s="66" t="s">
        <v>3534</v>
      </c>
      <c r="D141" s="67">
        <v>5</v>
      </c>
      <c r="E141" s="68"/>
      <c r="F141" s="69">
        <v>25</v>
      </c>
      <c r="G141" s="66"/>
      <c r="H141" s="70"/>
      <c r="I141" s="71"/>
      <c r="J141" s="71"/>
      <c r="K141" s="35" t="s">
        <v>65</v>
      </c>
      <c r="L141" s="79">
        <v>141</v>
      </c>
      <c r="M141" s="79"/>
      <c r="N141" s="73"/>
      <c r="O141" s="81" t="s">
        <v>613</v>
      </c>
      <c r="P141">
        <v>1</v>
      </c>
      <c r="Q141" s="80" t="str">
        <f>REPLACE(INDEX(GroupVertices[Group],MATCH(Edges[[#This Row],[Vertex 1]],GroupVertices[Vertex],0)),1,1,"")</f>
        <v>1</v>
      </c>
      <c r="R141" s="80" t="str">
        <f>REPLACE(INDEX(GroupVertices[Group],MATCH(Edges[[#This Row],[Vertex 2]],GroupVertices[Vertex],0)),1,1,"")</f>
        <v>1</v>
      </c>
      <c r="S141" s="35"/>
      <c r="T141" s="35"/>
      <c r="U141" s="35"/>
      <c r="V141" s="35"/>
      <c r="W141" s="35"/>
      <c r="X141" s="35"/>
      <c r="Y141" s="35"/>
      <c r="Z141" s="35"/>
      <c r="AA141" s="35"/>
    </row>
    <row r="142" spans="1:27" ht="15">
      <c r="A142" s="65" t="s">
        <v>212</v>
      </c>
      <c r="B142" s="65" t="s">
        <v>354</v>
      </c>
      <c r="C142" s="66" t="s">
        <v>3534</v>
      </c>
      <c r="D142" s="67">
        <v>5</v>
      </c>
      <c r="E142" s="68"/>
      <c r="F142" s="69">
        <v>25</v>
      </c>
      <c r="G142" s="66"/>
      <c r="H142" s="70"/>
      <c r="I142" s="71"/>
      <c r="J142" s="71"/>
      <c r="K142" s="35" t="s">
        <v>65</v>
      </c>
      <c r="L142" s="79">
        <v>142</v>
      </c>
      <c r="M142" s="79"/>
      <c r="N142" s="73"/>
      <c r="O142" s="81" t="s">
        <v>613</v>
      </c>
      <c r="P142">
        <v>1</v>
      </c>
      <c r="Q142" s="80" t="str">
        <f>REPLACE(INDEX(GroupVertices[Group],MATCH(Edges[[#This Row],[Vertex 1]],GroupVertices[Vertex],0)),1,1,"")</f>
        <v>7</v>
      </c>
      <c r="R142" s="80" t="str">
        <f>REPLACE(INDEX(GroupVertices[Group],MATCH(Edges[[#This Row],[Vertex 2]],GroupVertices[Vertex],0)),1,1,"")</f>
        <v>7</v>
      </c>
      <c r="S142" s="35"/>
      <c r="T142" s="35"/>
      <c r="U142" s="35"/>
      <c r="V142" s="35"/>
      <c r="W142" s="35"/>
      <c r="X142" s="35"/>
      <c r="Y142" s="35"/>
      <c r="Z142" s="35"/>
      <c r="AA142" s="35"/>
    </row>
    <row r="143" spans="1:27" ht="15">
      <c r="A143" s="65" t="s">
        <v>215</v>
      </c>
      <c r="B143" s="65" t="s">
        <v>354</v>
      </c>
      <c r="C143" s="66" t="s">
        <v>3534</v>
      </c>
      <c r="D143" s="67">
        <v>5</v>
      </c>
      <c r="E143" s="68"/>
      <c r="F143" s="69">
        <v>25</v>
      </c>
      <c r="G143" s="66"/>
      <c r="H143" s="70"/>
      <c r="I143" s="71"/>
      <c r="J143" s="71"/>
      <c r="K143" s="35" t="s">
        <v>65</v>
      </c>
      <c r="L143" s="79">
        <v>143</v>
      </c>
      <c r="M143" s="79"/>
      <c r="N143" s="73"/>
      <c r="O143" s="81" t="s">
        <v>613</v>
      </c>
      <c r="P143">
        <v>1</v>
      </c>
      <c r="Q143" s="80" t="str">
        <f>REPLACE(INDEX(GroupVertices[Group],MATCH(Edges[[#This Row],[Vertex 1]],GroupVertices[Vertex],0)),1,1,"")</f>
        <v>1</v>
      </c>
      <c r="R143" s="80" t="str">
        <f>REPLACE(INDEX(GroupVertices[Group],MATCH(Edges[[#This Row],[Vertex 2]],GroupVertices[Vertex],0)),1,1,"")</f>
        <v>7</v>
      </c>
      <c r="S143" s="35"/>
      <c r="T143" s="35"/>
      <c r="U143" s="35"/>
      <c r="V143" s="35"/>
      <c r="W143" s="35"/>
      <c r="X143" s="35"/>
      <c r="Y143" s="35"/>
      <c r="Z143" s="35"/>
      <c r="AA143" s="35"/>
    </row>
    <row r="144" spans="1:27" ht="15">
      <c r="A144" s="65" t="s">
        <v>212</v>
      </c>
      <c r="B144" s="65" t="s">
        <v>355</v>
      </c>
      <c r="C144" s="66" t="s">
        <v>3534</v>
      </c>
      <c r="D144" s="67">
        <v>5</v>
      </c>
      <c r="E144" s="68"/>
      <c r="F144" s="69">
        <v>25</v>
      </c>
      <c r="G144" s="66"/>
      <c r="H144" s="70"/>
      <c r="I144" s="71"/>
      <c r="J144" s="71"/>
      <c r="K144" s="35" t="s">
        <v>65</v>
      </c>
      <c r="L144" s="79">
        <v>144</v>
      </c>
      <c r="M144" s="79"/>
      <c r="N144" s="73"/>
      <c r="O144" s="81" t="s">
        <v>613</v>
      </c>
      <c r="P144">
        <v>1</v>
      </c>
      <c r="Q144" s="80" t="str">
        <f>REPLACE(INDEX(GroupVertices[Group],MATCH(Edges[[#This Row],[Vertex 1]],GroupVertices[Vertex],0)),1,1,"")</f>
        <v>7</v>
      </c>
      <c r="R144" s="80" t="str">
        <f>REPLACE(INDEX(GroupVertices[Group],MATCH(Edges[[#This Row],[Vertex 2]],GroupVertices[Vertex],0)),1,1,"")</f>
        <v>7</v>
      </c>
      <c r="S144" s="35"/>
      <c r="T144" s="35"/>
      <c r="U144" s="35"/>
      <c r="V144" s="35"/>
      <c r="W144" s="35"/>
      <c r="X144" s="35"/>
      <c r="Y144" s="35"/>
      <c r="Z144" s="35"/>
      <c r="AA144" s="35"/>
    </row>
    <row r="145" spans="1:27" ht="15">
      <c r="A145" s="65" t="s">
        <v>214</v>
      </c>
      <c r="B145" s="65" t="s">
        <v>355</v>
      </c>
      <c r="C145" s="66" t="s">
        <v>3534</v>
      </c>
      <c r="D145" s="67">
        <v>5</v>
      </c>
      <c r="E145" s="68"/>
      <c r="F145" s="69">
        <v>25</v>
      </c>
      <c r="G145" s="66"/>
      <c r="H145" s="70"/>
      <c r="I145" s="71"/>
      <c r="J145" s="71"/>
      <c r="K145" s="35" t="s">
        <v>65</v>
      </c>
      <c r="L145" s="79">
        <v>145</v>
      </c>
      <c r="M145" s="79"/>
      <c r="N145" s="73"/>
      <c r="O145" s="81" t="s">
        <v>613</v>
      </c>
      <c r="P145">
        <v>1</v>
      </c>
      <c r="Q145" s="80" t="str">
        <f>REPLACE(INDEX(GroupVertices[Group],MATCH(Edges[[#This Row],[Vertex 1]],GroupVertices[Vertex],0)),1,1,"")</f>
        <v>6</v>
      </c>
      <c r="R145" s="80" t="str">
        <f>REPLACE(INDEX(GroupVertices[Group],MATCH(Edges[[#This Row],[Vertex 2]],GroupVertices[Vertex],0)),1,1,"")</f>
        <v>7</v>
      </c>
      <c r="S145" s="35"/>
      <c r="T145" s="35"/>
      <c r="U145" s="35"/>
      <c r="V145" s="35"/>
      <c r="W145" s="35"/>
      <c r="X145" s="35"/>
      <c r="Y145" s="35"/>
      <c r="Z145" s="35"/>
      <c r="AA145" s="35"/>
    </row>
    <row r="146" spans="1:27" ht="15">
      <c r="A146" s="65" t="s">
        <v>215</v>
      </c>
      <c r="B146" s="65" t="s">
        <v>355</v>
      </c>
      <c r="C146" s="66" t="s">
        <v>3534</v>
      </c>
      <c r="D146" s="67">
        <v>5</v>
      </c>
      <c r="E146" s="68"/>
      <c r="F146" s="69">
        <v>25</v>
      </c>
      <c r="G146" s="66"/>
      <c r="H146" s="70"/>
      <c r="I146" s="71"/>
      <c r="J146" s="71"/>
      <c r="K146" s="35" t="s">
        <v>65</v>
      </c>
      <c r="L146" s="79">
        <v>146</v>
      </c>
      <c r="M146" s="79"/>
      <c r="N146" s="73"/>
      <c r="O146" s="81" t="s">
        <v>613</v>
      </c>
      <c r="P146">
        <v>1</v>
      </c>
      <c r="Q146" s="80" t="str">
        <f>REPLACE(INDEX(GroupVertices[Group],MATCH(Edges[[#This Row],[Vertex 1]],GroupVertices[Vertex],0)),1,1,"")</f>
        <v>1</v>
      </c>
      <c r="R146" s="80" t="str">
        <f>REPLACE(INDEX(GroupVertices[Group],MATCH(Edges[[#This Row],[Vertex 2]],GroupVertices[Vertex],0)),1,1,"")</f>
        <v>7</v>
      </c>
      <c r="S146" s="35"/>
      <c r="T146" s="35"/>
      <c r="U146" s="35"/>
      <c r="V146" s="35"/>
      <c r="W146" s="35"/>
      <c r="X146" s="35"/>
      <c r="Y146" s="35"/>
      <c r="Z146" s="35"/>
      <c r="AA146" s="35"/>
    </row>
    <row r="147" spans="1:27" ht="15">
      <c r="A147" s="65" t="s">
        <v>215</v>
      </c>
      <c r="B147" s="65" t="s">
        <v>356</v>
      </c>
      <c r="C147" s="66" t="s">
        <v>3534</v>
      </c>
      <c r="D147" s="67">
        <v>5</v>
      </c>
      <c r="E147" s="68"/>
      <c r="F147" s="69">
        <v>25</v>
      </c>
      <c r="G147" s="66"/>
      <c r="H147" s="70"/>
      <c r="I147" s="71"/>
      <c r="J147" s="71"/>
      <c r="K147" s="35" t="s">
        <v>65</v>
      </c>
      <c r="L147" s="79">
        <v>147</v>
      </c>
      <c r="M147" s="79"/>
      <c r="N147" s="73"/>
      <c r="O147" s="81" t="s">
        <v>613</v>
      </c>
      <c r="P147">
        <v>1</v>
      </c>
      <c r="Q147" s="80" t="str">
        <f>REPLACE(INDEX(GroupVertices[Group],MATCH(Edges[[#This Row],[Vertex 1]],GroupVertices[Vertex],0)),1,1,"")</f>
        <v>1</v>
      </c>
      <c r="R147" s="80" t="str">
        <f>REPLACE(INDEX(GroupVertices[Group],MATCH(Edges[[#This Row],[Vertex 2]],GroupVertices[Vertex],0)),1,1,"")</f>
        <v>1</v>
      </c>
      <c r="S147" s="35"/>
      <c r="T147" s="35"/>
      <c r="U147" s="35"/>
      <c r="V147" s="35"/>
      <c r="W147" s="35"/>
      <c r="X147" s="35"/>
      <c r="Y147" s="35"/>
      <c r="Z147" s="35"/>
      <c r="AA147" s="35"/>
    </row>
    <row r="148" spans="1:27" ht="15">
      <c r="A148" s="65" t="s">
        <v>212</v>
      </c>
      <c r="B148" s="65" t="s">
        <v>357</v>
      </c>
      <c r="C148" s="66" t="s">
        <v>3534</v>
      </c>
      <c r="D148" s="67">
        <v>5</v>
      </c>
      <c r="E148" s="68"/>
      <c r="F148" s="69">
        <v>25</v>
      </c>
      <c r="G148" s="66"/>
      <c r="H148" s="70"/>
      <c r="I148" s="71"/>
      <c r="J148" s="71"/>
      <c r="K148" s="35" t="s">
        <v>65</v>
      </c>
      <c r="L148" s="79">
        <v>148</v>
      </c>
      <c r="M148" s="79"/>
      <c r="N148" s="73"/>
      <c r="O148" s="81" t="s">
        <v>613</v>
      </c>
      <c r="P148">
        <v>1</v>
      </c>
      <c r="Q148" s="80" t="str">
        <f>REPLACE(INDEX(GroupVertices[Group],MATCH(Edges[[#This Row],[Vertex 1]],GroupVertices[Vertex],0)),1,1,"")</f>
        <v>7</v>
      </c>
      <c r="R148" s="80" t="str">
        <f>REPLACE(INDEX(GroupVertices[Group],MATCH(Edges[[#This Row],[Vertex 2]],GroupVertices[Vertex],0)),1,1,"")</f>
        <v>7</v>
      </c>
      <c r="S148" s="35"/>
      <c r="T148" s="35"/>
      <c r="U148" s="35"/>
      <c r="V148" s="35"/>
      <c r="W148" s="35"/>
      <c r="X148" s="35"/>
      <c r="Y148" s="35"/>
      <c r="Z148" s="35"/>
      <c r="AA148" s="35"/>
    </row>
    <row r="149" spans="1:27" ht="15">
      <c r="A149" s="65" t="s">
        <v>215</v>
      </c>
      <c r="B149" s="65" t="s">
        <v>357</v>
      </c>
      <c r="C149" s="66" t="s">
        <v>3534</v>
      </c>
      <c r="D149" s="67">
        <v>5</v>
      </c>
      <c r="E149" s="68"/>
      <c r="F149" s="69">
        <v>25</v>
      </c>
      <c r="G149" s="66"/>
      <c r="H149" s="70"/>
      <c r="I149" s="71"/>
      <c r="J149" s="71"/>
      <c r="K149" s="35" t="s">
        <v>65</v>
      </c>
      <c r="L149" s="79">
        <v>149</v>
      </c>
      <c r="M149" s="79"/>
      <c r="N149" s="73"/>
      <c r="O149" s="81" t="s">
        <v>613</v>
      </c>
      <c r="P149">
        <v>1</v>
      </c>
      <c r="Q149" s="80" t="str">
        <f>REPLACE(INDEX(GroupVertices[Group],MATCH(Edges[[#This Row],[Vertex 1]],GroupVertices[Vertex],0)),1,1,"")</f>
        <v>1</v>
      </c>
      <c r="R149" s="80" t="str">
        <f>REPLACE(INDEX(GroupVertices[Group],MATCH(Edges[[#This Row],[Vertex 2]],GroupVertices[Vertex],0)),1,1,"")</f>
        <v>7</v>
      </c>
      <c r="S149" s="35"/>
      <c r="T149" s="35"/>
      <c r="U149" s="35"/>
      <c r="V149" s="35"/>
      <c r="W149" s="35"/>
      <c r="X149" s="35"/>
      <c r="Y149" s="35"/>
      <c r="Z149" s="35"/>
      <c r="AA149" s="35"/>
    </row>
    <row r="150" spans="1:27" ht="15">
      <c r="A150" s="65" t="s">
        <v>215</v>
      </c>
      <c r="B150" s="65" t="s">
        <v>358</v>
      </c>
      <c r="C150" s="66" t="s">
        <v>3534</v>
      </c>
      <c r="D150" s="67">
        <v>5</v>
      </c>
      <c r="E150" s="68"/>
      <c r="F150" s="69">
        <v>25</v>
      </c>
      <c r="G150" s="66"/>
      <c r="H150" s="70"/>
      <c r="I150" s="71"/>
      <c r="J150" s="71"/>
      <c r="K150" s="35" t="s">
        <v>65</v>
      </c>
      <c r="L150" s="79">
        <v>150</v>
      </c>
      <c r="M150" s="79"/>
      <c r="N150" s="73"/>
      <c r="O150" s="81" t="s">
        <v>613</v>
      </c>
      <c r="P150">
        <v>1</v>
      </c>
      <c r="Q150" s="80" t="str">
        <f>REPLACE(INDEX(GroupVertices[Group],MATCH(Edges[[#This Row],[Vertex 1]],GroupVertices[Vertex],0)),1,1,"")</f>
        <v>1</v>
      </c>
      <c r="R150" s="80" t="str">
        <f>REPLACE(INDEX(GroupVertices[Group],MATCH(Edges[[#This Row],[Vertex 2]],GroupVertices[Vertex],0)),1,1,"")</f>
        <v>1</v>
      </c>
      <c r="S150" s="35"/>
      <c r="T150" s="35"/>
      <c r="U150" s="35"/>
      <c r="V150" s="35"/>
      <c r="W150" s="35"/>
      <c r="X150" s="35"/>
      <c r="Y150" s="35"/>
      <c r="Z150" s="35"/>
      <c r="AA150" s="35"/>
    </row>
    <row r="151" spans="1:27" ht="15">
      <c r="A151" s="65" t="s">
        <v>212</v>
      </c>
      <c r="B151" s="65" t="s">
        <v>359</v>
      </c>
      <c r="C151" s="66" t="s">
        <v>3534</v>
      </c>
      <c r="D151" s="67">
        <v>5</v>
      </c>
      <c r="E151" s="68"/>
      <c r="F151" s="69">
        <v>25</v>
      </c>
      <c r="G151" s="66"/>
      <c r="H151" s="70"/>
      <c r="I151" s="71"/>
      <c r="J151" s="71"/>
      <c r="K151" s="35" t="s">
        <v>65</v>
      </c>
      <c r="L151" s="79">
        <v>151</v>
      </c>
      <c r="M151" s="79"/>
      <c r="N151" s="73"/>
      <c r="O151" s="81" t="s">
        <v>613</v>
      </c>
      <c r="P151">
        <v>1</v>
      </c>
      <c r="Q151" s="80" t="str">
        <f>REPLACE(INDEX(GroupVertices[Group],MATCH(Edges[[#This Row],[Vertex 1]],GroupVertices[Vertex],0)),1,1,"")</f>
        <v>7</v>
      </c>
      <c r="R151" s="80" t="str">
        <f>REPLACE(INDEX(GroupVertices[Group],MATCH(Edges[[#This Row],[Vertex 2]],GroupVertices[Vertex],0)),1,1,"")</f>
        <v>7</v>
      </c>
      <c r="S151" s="35"/>
      <c r="T151" s="35"/>
      <c r="U151" s="35"/>
      <c r="V151" s="35"/>
      <c r="W151" s="35"/>
      <c r="X151" s="35"/>
      <c r="Y151" s="35"/>
      <c r="Z151" s="35"/>
      <c r="AA151" s="35"/>
    </row>
    <row r="152" spans="1:27" ht="15">
      <c r="A152" s="65" t="s">
        <v>215</v>
      </c>
      <c r="B152" s="65" t="s">
        <v>359</v>
      </c>
      <c r="C152" s="66" t="s">
        <v>3534</v>
      </c>
      <c r="D152" s="67">
        <v>5</v>
      </c>
      <c r="E152" s="68"/>
      <c r="F152" s="69">
        <v>25</v>
      </c>
      <c r="G152" s="66"/>
      <c r="H152" s="70"/>
      <c r="I152" s="71"/>
      <c r="J152" s="71"/>
      <c r="K152" s="35" t="s">
        <v>65</v>
      </c>
      <c r="L152" s="79">
        <v>152</v>
      </c>
      <c r="M152" s="79"/>
      <c r="N152" s="73"/>
      <c r="O152" s="81" t="s">
        <v>613</v>
      </c>
      <c r="P152">
        <v>1</v>
      </c>
      <c r="Q152" s="80" t="str">
        <f>REPLACE(INDEX(GroupVertices[Group],MATCH(Edges[[#This Row],[Vertex 1]],GroupVertices[Vertex],0)),1,1,"")</f>
        <v>1</v>
      </c>
      <c r="R152" s="80" t="str">
        <f>REPLACE(INDEX(GroupVertices[Group],MATCH(Edges[[#This Row],[Vertex 2]],GroupVertices[Vertex],0)),1,1,"")</f>
        <v>7</v>
      </c>
      <c r="S152" s="35"/>
      <c r="T152" s="35"/>
      <c r="U152" s="35"/>
      <c r="V152" s="35"/>
      <c r="W152" s="35"/>
      <c r="X152" s="35"/>
      <c r="Y152" s="35"/>
      <c r="Z152" s="35"/>
      <c r="AA152" s="35"/>
    </row>
    <row r="153" spans="1:27" ht="15">
      <c r="A153" s="65" t="s">
        <v>215</v>
      </c>
      <c r="B153" s="65" t="s">
        <v>360</v>
      </c>
      <c r="C153" s="66" t="s">
        <v>3534</v>
      </c>
      <c r="D153" s="67">
        <v>5</v>
      </c>
      <c r="E153" s="68"/>
      <c r="F153" s="69">
        <v>25</v>
      </c>
      <c r="G153" s="66"/>
      <c r="H153" s="70"/>
      <c r="I153" s="71"/>
      <c r="J153" s="71"/>
      <c r="K153" s="35" t="s">
        <v>65</v>
      </c>
      <c r="L153" s="79">
        <v>153</v>
      </c>
      <c r="M153" s="79"/>
      <c r="N153" s="73"/>
      <c r="O153" s="81" t="s">
        <v>613</v>
      </c>
      <c r="P153">
        <v>1</v>
      </c>
      <c r="Q153" s="80" t="str">
        <f>REPLACE(INDEX(GroupVertices[Group],MATCH(Edges[[#This Row],[Vertex 1]],GroupVertices[Vertex],0)),1,1,"")</f>
        <v>1</v>
      </c>
      <c r="R153" s="80" t="str">
        <f>REPLACE(INDEX(GroupVertices[Group],MATCH(Edges[[#This Row],[Vertex 2]],GroupVertices[Vertex],0)),1,1,"")</f>
        <v>1</v>
      </c>
      <c r="S153" s="35"/>
      <c r="T153" s="35"/>
      <c r="U153" s="35"/>
      <c r="V153" s="35"/>
      <c r="W153" s="35"/>
      <c r="X153" s="35"/>
      <c r="Y153" s="35"/>
      <c r="Z153" s="35"/>
      <c r="AA153" s="35"/>
    </row>
    <row r="154" spans="1:27" ht="15">
      <c r="A154" s="65" t="s">
        <v>215</v>
      </c>
      <c r="B154" s="65" t="s">
        <v>361</v>
      </c>
      <c r="C154" s="66" t="s">
        <v>3534</v>
      </c>
      <c r="D154" s="67">
        <v>5</v>
      </c>
      <c r="E154" s="68"/>
      <c r="F154" s="69">
        <v>25</v>
      </c>
      <c r="G154" s="66"/>
      <c r="H154" s="70"/>
      <c r="I154" s="71"/>
      <c r="J154" s="71"/>
      <c r="K154" s="35" t="s">
        <v>65</v>
      </c>
      <c r="L154" s="79">
        <v>154</v>
      </c>
      <c r="M154" s="79"/>
      <c r="N154" s="73"/>
      <c r="O154" s="81" t="s">
        <v>613</v>
      </c>
      <c r="P154">
        <v>1</v>
      </c>
      <c r="Q154" s="80" t="str">
        <f>REPLACE(INDEX(GroupVertices[Group],MATCH(Edges[[#This Row],[Vertex 1]],GroupVertices[Vertex],0)),1,1,"")</f>
        <v>1</v>
      </c>
      <c r="R154" s="80" t="str">
        <f>REPLACE(INDEX(GroupVertices[Group],MATCH(Edges[[#This Row],[Vertex 2]],GroupVertices[Vertex],0)),1,1,"")</f>
        <v>1</v>
      </c>
      <c r="S154" s="35"/>
      <c r="T154" s="35"/>
      <c r="U154" s="35"/>
      <c r="V154" s="35"/>
      <c r="W154" s="35"/>
      <c r="X154" s="35"/>
      <c r="Y154" s="35"/>
      <c r="Z154" s="35"/>
      <c r="AA154" s="35"/>
    </row>
    <row r="155" spans="1:27" ht="15">
      <c r="A155" s="65" t="s">
        <v>215</v>
      </c>
      <c r="B155" s="65" t="s">
        <v>362</v>
      </c>
      <c r="C155" s="66" t="s">
        <v>3534</v>
      </c>
      <c r="D155" s="67">
        <v>5</v>
      </c>
      <c r="E155" s="68"/>
      <c r="F155" s="69">
        <v>25</v>
      </c>
      <c r="G155" s="66"/>
      <c r="H155" s="70"/>
      <c r="I155" s="71"/>
      <c r="J155" s="71"/>
      <c r="K155" s="35" t="s">
        <v>65</v>
      </c>
      <c r="L155" s="79">
        <v>155</v>
      </c>
      <c r="M155" s="79"/>
      <c r="N155" s="73"/>
      <c r="O155" s="81" t="s">
        <v>613</v>
      </c>
      <c r="P155">
        <v>1</v>
      </c>
      <c r="Q155" s="80" t="str">
        <f>REPLACE(INDEX(GroupVertices[Group],MATCH(Edges[[#This Row],[Vertex 1]],GroupVertices[Vertex],0)),1,1,"")</f>
        <v>1</v>
      </c>
      <c r="R155" s="80" t="str">
        <f>REPLACE(INDEX(GroupVertices[Group],MATCH(Edges[[#This Row],[Vertex 2]],GroupVertices[Vertex],0)),1,1,"")</f>
        <v>1</v>
      </c>
      <c r="S155" s="35"/>
      <c r="T155" s="35"/>
      <c r="U155" s="35"/>
      <c r="V155" s="35"/>
      <c r="W155" s="35"/>
      <c r="X155" s="35"/>
      <c r="Y155" s="35"/>
      <c r="Z155" s="35"/>
      <c r="AA155" s="35"/>
    </row>
    <row r="156" spans="1:27" ht="15">
      <c r="A156" s="65" t="s">
        <v>215</v>
      </c>
      <c r="B156" s="65" t="s">
        <v>363</v>
      </c>
      <c r="C156" s="66" t="s">
        <v>3534</v>
      </c>
      <c r="D156" s="67">
        <v>5</v>
      </c>
      <c r="E156" s="68"/>
      <c r="F156" s="69">
        <v>25</v>
      </c>
      <c r="G156" s="66"/>
      <c r="H156" s="70"/>
      <c r="I156" s="71"/>
      <c r="J156" s="71"/>
      <c r="K156" s="35" t="s">
        <v>65</v>
      </c>
      <c r="L156" s="79">
        <v>156</v>
      </c>
      <c r="M156" s="79"/>
      <c r="N156" s="73"/>
      <c r="O156" s="81" t="s">
        <v>613</v>
      </c>
      <c r="P156">
        <v>1</v>
      </c>
      <c r="Q156" s="80" t="str">
        <f>REPLACE(INDEX(GroupVertices[Group],MATCH(Edges[[#This Row],[Vertex 1]],GroupVertices[Vertex],0)),1,1,"")</f>
        <v>1</v>
      </c>
      <c r="R156" s="80" t="str">
        <f>REPLACE(INDEX(GroupVertices[Group],MATCH(Edges[[#This Row],[Vertex 2]],GroupVertices[Vertex],0)),1,1,"")</f>
        <v>1</v>
      </c>
      <c r="S156" s="35"/>
      <c r="T156" s="35"/>
      <c r="U156" s="35"/>
      <c r="V156" s="35"/>
      <c r="W156" s="35"/>
      <c r="X156" s="35"/>
      <c r="Y156" s="35"/>
      <c r="Z156" s="35"/>
      <c r="AA156" s="35"/>
    </row>
    <row r="157" spans="1:27" ht="15">
      <c r="A157" s="65" t="s">
        <v>215</v>
      </c>
      <c r="B157" s="65" t="s">
        <v>364</v>
      </c>
      <c r="C157" s="66" t="s">
        <v>3534</v>
      </c>
      <c r="D157" s="67">
        <v>5</v>
      </c>
      <c r="E157" s="68"/>
      <c r="F157" s="69">
        <v>25</v>
      </c>
      <c r="G157" s="66"/>
      <c r="H157" s="70"/>
      <c r="I157" s="71"/>
      <c r="J157" s="71"/>
      <c r="K157" s="35" t="s">
        <v>65</v>
      </c>
      <c r="L157" s="79">
        <v>157</v>
      </c>
      <c r="M157" s="79"/>
      <c r="N157" s="73"/>
      <c r="O157" s="81" t="s">
        <v>613</v>
      </c>
      <c r="P157">
        <v>1</v>
      </c>
      <c r="Q157" s="80" t="str">
        <f>REPLACE(INDEX(GroupVertices[Group],MATCH(Edges[[#This Row],[Vertex 1]],GroupVertices[Vertex],0)),1,1,"")</f>
        <v>1</v>
      </c>
      <c r="R157" s="80" t="str">
        <f>REPLACE(INDEX(GroupVertices[Group],MATCH(Edges[[#This Row],[Vertex 2]],GroupVertices[Vertex],0)),1,1,"")</f>
        <v>1</v>
      </c>
      <c r="S157" s="35"/>
      <c r="T157" s="35"/>
      <c r="U157" s="35"/>
      <c r="V157" s="35"/>
      <c r="W157" s="35"/>
      <c r="X157" s="35"/>
      <c r="Y157" s="35"/>
      <c r="Z157" s="35"/>
      <c r="AA157" s="35"/>
    </row>
    <row r="158" spans="1:27" ht="15">
      <c r="A158" s="65" t="s">
        <v>215</v>
      </c>
      <c r="B158" s="65" t="s">
        <v>365</v>
      </c>
      <c r="C158" s="66" t="s">
        <v>3534</v>
      </c>
      <c r="D158" s="67">
        <v>5</v>
      </c>
      <c r="E158" s="68"/>
      <c r="F158" s="69">
        <v>25</v>
      </c>
      <c r="G158" s="66"/>
      <c r="H158" s="70"/>
      <c r="I158" s="71"/>
      <c r="J158" s="71"/>
      <c r="K158" s="35" t="s">
        <v>65</v>
      </c>
      <c r="L158" s="79">
        <v>158</v>
      </c>
      <c r="M158" s="79"/>
      <c r="N158" s="73"/>
      <c r="O158" s="81" t="s">
        <v>613</v>
      </c>
      <c r="P158">
        <v>1</v>
      </c>
      <c r="Q158" s="80" t="str">
        <f>REPLACE(INDEX(GroupVertices[Group],MATCH(Edges[[#This Row],[Vertex 1]],GroupVertices[Vertex],0)),1,1,"")</f>
        <v>1</v>
      </c>
      <c r="R158" s="80" t="str">
        <f>REPLACE(INDEX(GroupVertices[Group],MATCH(Edges[[#This Row],[Vertex 2]],GroupVertices[Vertex],0)),1,1,"")</f>
        <v>1</v>
      </c>
      <c r="S158" s="35"/>
      <c r="T158" s="35"/>
      <c r="U158" s="35"/>
      <c r="V158" s="35"/>
      <c r="W158" s="35"/>
      <c r="X158" s="35"/>
      <c r="Y158" s="35"/>
      <c r="Z158" s="35"/>
      <c r="AA158" s="35"/>
    </row>
    <row r="159" spans="1:27" ht="15">
      <c r="A159" s="65" t="s">
        <v>215</v>
      </c>
      <c r="B159" s="65" t="s">
        <v>366</v>
      </c>
      <c r="C159" s="66" t="s">
        <v>3534</v>
      </c>
      <c r="D159" s="67">
        <v>5</v>
      </c>
      <c r="E159" s="68"/>
      <c r="F159" s="69">
        <v>25</v>
      </c>
      <c r="G159" s="66"/>
      <c r="H159" s="70"/>
      <c r="I159" s="71"/>
      <c r="J159" s="71"/>
      <c r="K159" s="35" t="s">
        <v>65</v>
      </c>
      <c r="L159" s="79">
        <v>159</v>
      </c>
      <c r="M159" s="79"/>
      <c r="N159" s="73"/>
      <c r="O159" s="81" t="s">
        <v>613</v>
      </c>
      <c r="P159">
        <v>1</v>
      </c>
      <c r="Q159" s="80" t="str">
        <f>REPLACE(INDEX(GroupVertices[Group],MATCH(Edges[[#This Row],[Vertex 1]],GroupVertices[Vertex],0)),1,1,"")</f>
        <v>1</v>
      </c>
      <c r="R159" s="80" t="str">
        <f>REPLACE(INDEX(GroupVertices[Group],MATCH(Edges[[#This Row],[Vertex 2]],GroupVertices[Vertex],0)),1,1,"")</f>
        <v>1</v>
      </c>
      <c r="S159" s="35"/>
      <c r="T159" s="35"/>
      <c r="U159" s="35"/>
      <c r="V159" s="35"/>
      <c r="W159" s="35"/>
      <c r="X159" s="35"/>
      <c r="Y159" s="35"/>
      <c r="Z159" s="35"/>
      <c r="AA159" s="35"/>
    </row>
    <row r="160" spans="1:27" ht="15">
      <c r="A160" s="65" t="s">
        <v>215</v>
      </c>
      <c r="B160" s="65" t="s">
        <v>367</v>
      </c>
      <c r="C160" s="66" t="s">
        <v>3534</v>
      </c>
      <c r="D160" s="67">
        <v>5</v>
      </c>
      <c r="E160" s="68"/>
      <c r="F160" s="69">
        <v>25</v>
      </c>
      <c r="G160" s="66"/>
      <c r="H160" s="70"/>
      <c r="I160" s="71"/>
      <c r="J160" s="71"/>
      <c r="K160" s="35" t="s">
        <v>65</v>
      </c>
      <c r="L160" s="79">
        <v>160</v>
      </c>
      <c r="M160" s="79"/>
      <c r="N160" s="73"/>
      <c r="O160" s="81" t="s">
        <v>613</v>
      </c>
      <c r="P160">
        <v>1</v>
      </c>
      <c r="Q160" s="80" t="str">
        <f>REPLACE(INDEX(GroupVertices[Group],MATCH(Edges[[#This Row],[Vertex 1]],GroupVertices[Vertex],0)),1,1,"")</f>
        <v>1</v>
      </c>
      <c r="R160" s="80" t="str">
        <f>REPLACE(INDEX(GroupVertices[Group],MATCH(Edges[[#This Row],[Vertex 2]],GroupVertices[Vertex],0)),1,1,"")</f>
        <v>1</v>
      </c>
      <c r="S160" s="35"/>
      <c r="T160" s="35"/>
      <c r="U160" s="35"/>
      <c r="V160" s="35"/>
      <c r="W160" s="35"/>
      <c r="X160" s="35"/>
      <c r="Y160" s="35"/>
      <c r="Z160" s="35"/>
      <c r="AA160" s="35"/>
    </row>
    <row r="161" spans="1:27" ht="15">
      <c r="A161" s="65" t="s">
        <v>212</v>
      </c>
      <c r="B161" s="65" t="s">
        <v>368</v>
      </c>
      <c r="C161" s="66" t="s">
        <v>3534</v>
      </c>
      <c r="D161" s="67">
        <v>5</v>
      </c>
      <c r="E161" s="68"/>
      <c r="F161" s="69">
        <v>25</v>
      </c>
      <c r="G161" s="66"/>
      <c r="H161" s="70"/>
      <c r="I161" s="71"/>
      <c r="J161" s="71"/>
      <c r="K161" s="35" t="s">
        <v>65</v>
      </c>
      <c r="L161" s="79">
        <v>161</v>
      </c>
      <c r="M161" s="79"/>
      <c r="N161" s="73"/>
      <c r="O161" s="81" t="s">
        <v>613</v>
      </c>
      <c r="P161">
        <v>1</v>
      </c>
      <c r="Q161" s="80" t="str">
        <f>REPLACE(INDEX(GroupVertices[Group],MATCH(Edges[[#This Row],[Vertex 1]],GroupVertices[Vertex],0)),1,1,"")</f>
        <v>7</v>
      </c>
      <c r="R161" s="80" t="str">
        <f>REPLACE(INDEX(GroupVertices[Group],MATCH(Edges[[#This Row],[Vertex 2]],GroupVertices[Vertex],0)),1,1,"")</f>
        <v>4</v>
      </c>
      <c r="S161" s="35"/>
      <c r="T161" s="35"/>
      <c r="U161" s="35"/>
      <c r="V161" s="35"/>
      <c r="W161" s="35"/>
      <c r="X161" s="35"/>
      <c r="Y161" s="35"/>
      <c r="Z161" s="35"/>
      <c r="AA161" s="35"/>
    </row>
    <row r="162" spans="1:27" ht="15">
      <c r="A162" s="65" t="s">
        <v>213</v>
      </c>
      <c r="B162" s="65" t="s">
        <v>368</v>
      </c>
      <c r="C162" s="66" t="s">
        <v>3534</v>
      </c>
      <c r="D162" s="67">
        <v>5</v>
      </c>
      <c r="E162" s="68"/>
      <c r="F162" s="69">
        <v>25</v>
      </c>
      <c r="G162" s="66"/>
      <c r="H162" s="70"/>
      <c r="I162" s="71"/>
      <c r="J162" s="71"/>
      <c r="K162" s="35" t="s">
        <v>65</v>
      </c>
      <c r="L162" s="79">
        <v>162</v>
      </c>
      <c r="M162" s="79"/>
      <c r="N162" s="73"/>
      <c r="O162" s="81" t="s">
        <v>613</v>
      </c>
      <c r="P162">
        <v>1</v>
      </c>
      <c r="Q162" s="80" t="str">
        <f>REPLACE(INDEX(GroupVertices[Group],MATCH(Edges[[#This Row],[Vertex 1]],GroupVertices[Vertex],0)),1,1,"")</f>
        <v>4</v>
      </c>
      <c r="R162" s="80" t="str">
        <f>REPLACE(INDEX(GroupVertices[Group],MATCH(Edges[[#This Row],[Vertex 2]],GroupVertices[Vertex],0)),1,1,"")</f>
        <v>4</v>
      </c>
      <c r="S162" s="35"/>
      <c r="T162" s="35"/>
      <c r="U162" s="35"/>
      <c r="V162" s="35"/>
      <c r="W162" s="35"/>
      <c r="X162" s="35"/>
      <c r="Y162" s="35"/>
      <c r="Z162" s="35"/>
      <c r="AA162" s="35"/>
    </row>
    <row r="163" spans="1:27" ht="15">
      <c r="A163" s="65" t="s">
        <v>215</v>
      </c>
      <c r="B163" s="65" t="s">
        <v>368</v>
      </c>
      <c r="C163" s="66" t="s">
        <v>3534</v>
      </c>
      <c r="D163" s="67">
        <v>5</v>
      </c>
      <c r="E163" s="68"/>
      <c r="F163" s="69">
        <v>25</v>
      </c>
      <c r="G163" s="66"/>
      <c r="H163" s="70"/>
      <c r="I163" s="71"/>
      <c r="J163" s="71"/>
      <c r="K163" s="35" t="s">
        <v>65</v>
      </c>
      <c r="L163" s="79">
        <v>163</v>
      </c>
      <c r="M163" s="79"/>
      <c r="N163" s="73"/>
      <c r="O163" s="81" t="s">
        <v>613</v>
      </c>
      <c r="P163">
        <v>1</v>
      </c>
      <c r="Q163" s="80" t="str">
        <f>REPLACE(INDEX(GroupVertices[Group],MATCH(Edges[[#This Row],[Vertex 1]],GroupVertices[Vertex],0)),1,1,"")</f>
        <v>1</v>
      </c>
      <c r="R163" s="80" t="str">
        <f>REPLACE(INDEX(GroupVertices[Group],MATCH(Edges[[#This Row],[Vertex 2]],GroupVertices[Vertex],0)),1,1,"")</f>
        <v>4</v>
      </c>
      <c r="S163" s="35"/>
      <c r="T163" s="35"/>
      <c r="U163" s="35"/>
      <c r="V163" s="35"/>
      <c r="W163" s="35"/>
      <c r="X163" s="35"/>
      <c r="Y163" s="35"/>
      <c r="Z163" s="35"/>
      <c r="AA163" s="35"/>
    </row>
    <row r="164" spans="1:27" ht="15">
      <c r="A164" s="65" t="s">
        <v>215</v>
      </c>
      <c r="B164" s="65" t="s">
        <v>369</v>
      </c>
      <c r="C164" s="66" t="s">
        <v>3534</v>
      </c>
      <c r="D164" s="67">
        <v>5</v>
      </c>
      <c r="E164" s="68"/>
      <c r="F164" s="69">
        <v>25</v>
      </c>
      <c r="G164" s="66"/>
      <c r="H164" s="70"/>
      <c r="I164" s="71"/>
      <c r="J164" s="71"/>
      <c r="K164" s="35" t="s">
        <v>65</v>
      </c>
      <c r="L164" s="79">
        <v>164</v>
      </c>
      <c r="M164" s="79"/>
      <c r="N164" s="73"/>
      <c r="O164" s="81" t="s">
        <v>613</v>
      </c>
      <c r="P164">
        <v>1</v>
      </c>
      <c r="Q164" s="80" t="str">
        <f>REPLACE(INDEX(GroupVertices[Group],MATCH(Edges[[#This Row],[Vertex 1]],GroupVertices[Vertex],0)),1,1,"")</f>
        <v>1</v>
      </c>
      <c r="R164" s="80" t="str">
        <f>REPLACE(INDEX(GroupVertices[Group],MATCH(Edges[[#This Row],[Vertex 2]],GroupVertices[Vertex],0)),1,1,"")</f>
        <v>4</v>
      </c>
      <c r="S164" s="35"/>
      <c r="T164" s="35"/>
      <c r="U164" s="35"/>
      <c r="V164" s="35"/>
      <c r="W164" s="35"/>
      <c r="X164" s="35"/>
      <c r="Y164" s="35"/>
      <c r="Z164" s="35"/>
      <c r="AA164" s="35"/>
    </row>
    <row r="165" spans="1:27" ht="15">
      <c r="A165" s="65" t="s">
        <v>215</v>
      </c>
      <c r="B165" s="65" t="s">
        <v>370</v>
      </c>
      <c r="C165" s="66" t="s">
        <v>3534</v>
      </c>
      <c r="D165" s="67">
        <v>5</v>
      </c>
      <c r="E165" s="68"/>
      <c r="F165" s="69">
        <v>25</v>
      </c>
      <c r="G165" s="66"/>
      <c r="H165" s="70"/>
      <c r="I165" s="71"/>
      <c r="J165" s="71"/>
      <c r="K165" s="35" t="s">
        <v>65</v>
      </c>
      <c r="L165" s="79">
        <v>165</v>
      </c>
      <c r="M165" s="79"/>
      <c r="N165" s="73"/>
      <c r="O165" s="81" t="s">
        <v>613</v>
      </c>
      <c r="P165">
        <v>1</v>
      </c>
      <c r="Q165" s="80" t="str">
        <f>REPLACE(INDEX(GroupVertices[Group],MATCH(Edges[[#This Row],[Vertex 1]],GroupVertices[Vertex],0)),1,1,"")</f>
        <v>1</v>
      </c>
      <c r="R165" s="80" t="str">
        <f>REPLACE(INDEX(GroupVertices[Group],MATCH(Edges[[#This Row],[Vertex 2]],GroupVertices[Vertex],0)),1,1,"")</f>
        <v>2</v>
      </c>
      <c r="S165" s="35"/>
      <c r="T165" s="35"/>
      <c r="U165" s="35"/>
      <c r="V165" s="35"/>
      <c r="W165" s="35"/>
      <c r="X165" s="35"/>
      <c r="Y165" s="35"/>
      <c r="Z165" s="35"/>
      <c r="AA165" s="35"/>
    </row>
    <row r="166" spans="1:27" ht="15">
      <c r="A166" s="65" t="s">
        <v>215</v>
      </c>
      <c r="B166" s="65" t="s">
        <v>371</v>
      </c>
      <c r="C166" s="66" t="s">
        <v>3534</v>
      </c>
      <c r="D166" s="67">
        <v>5</v>
      </c>
      <c r="E166" s="68"/>
      <c r="F166" s="69">
        <v>25</v>
      </c>
      <c r="G166" s="66"/>
      <c r="H166" s="70"/>
      <c r="I166" s="71"/>
      <c r="J166" s="71"/>
      <c r="K166" s="35" t="s">
        <v>65</v>
      </c>
      <c r="L166" s="79">
        <v>166</v>
      </c>
      <c r="M166" s="79"/>
      <c r="N166" s="73"/>
      <c r="O166" s="81" t="s">
        <v>613</v>
      </c>
      <c r="P166">
        <v>1</v>
      </c>
      <c r="Q166" s="80" t="str">
        <f>REPLACE(INDEX(GroupVertices[Group],MATCH(Edges[[#This Row],[Vertex 1]],GroupVertices[Vertex],0)),1,1,"")</f>
        <v>1</v>
      </c>
      <c r="R166" s="80" t="str">
        <f>REPLACE(INDEX(GroupVertices[Group],MATCH(Edges[[#This Row],[Vertex 2]],GroupVertices[Vertex],0)),1,1,"")</f>
        <v>1</v>
      </c>
      <c r="S166" s="35"/>
      <c r="T166" s="35"/>
      <c r="U166" s="35"/>
      <c r="V166" s="35"/>
      <c r="W166" s="35"/>
      <c r="X166" s="35"/>
      <c r="Y166" s="35"/>
      <c r="Z166" s="35"/>
      <c r="AA166" s="35"/>
    </row>
    <row r="167" spans="1:27" ht="15">
      <c r="A167" s="65" t="s">
        <v>215</v>
      </c>
      <c r="B167" s="65" t="s">
        <v>372</v>
      </c>
      <c r="C167" s="66" t="s">
        <v>3534</v>
      </c>
      <c r="D167" s="67">
        <v>5</v>
      </c>
      <c r="E167" s="68"/>
      <c r="F167" s="69">
        <v>25</v>
      </c>
      <c r="G167" s="66"/>
      <c r="H167" s="70"/>
      <c r="I167" s="71"/>
      <c r="J167" s="71"/>
      <c r="K167" s="35" t="s">
        <v>65</v>
      </c>
      <c r="L167" s="79">
        <v>167</v>
      </c>
      <c r="M167" s="79"/>
      <c r="N167" s="73"/>
      <c r="O167" s="81" t="s">
        <v>613</v>
      </c>
      <c r="P167">
        <v>1</v>
      </c>
      <c r="Q167" s="80" t="str">
        <f>REPLACE(INDEX(GroupVertices[Group],MATCH(Edges[[#This Row],[Vertex 1]],GroupVertices[Vertex],0)),1,1,"")</f>
        <v>1</v>
      </c>
      <c r="R167" s="80" t="str">
        <f>REPLACE(INDEX(GroupVertices[Group],MATCH(Edges[[#This Row],[Vertex 2]],GroupVertices[Vertex],0)),1,1,"")</f>
        <v>2</v>
      </c>
      <c r="S167" s="35"/>
      <c r="T167" s="35"/>
      <c r="U167" s="35"/>
      <c r="V167" s="35"/>
      <c r="W167" s="35"/>
      <c r="X167" s="35"/>
      <c r="Y167" s="35"/>
      <c r="Z167" s="35"/>
      <c r="AA167" s="35"/>
    </row>
    <row r="168" spans="1:27" ht="15">
      <c r="A168" s="65" t="s">
        <v>215</v>
      </c>
      <c r="B168" s="65" t="s">
        <v>373</v>
      </c>
      <c r="C168" s="66" t="s">
        <v>3534</v>
      </c>
      <c r="D168" s="67">
        <v>5</v>
      </c>
      <c r="E168" s="68"/>
      <c r="F168" s="69">
        <v>25</v>
      </c>
      <c r="G168" s="66"/>
      <c r="H168" s="70"/>
      <c r="I168" s="71"/>
      <c r="J168" s="71"/>
      <c r="K168" s="35" t="s">
        <v>65</v>
      </c>
      <c r="L168" s="79">
        <v>168</v>
      </c>
      <c r="M168" s="79"/>
      <c r="N168" s="73"/>
      <c r="O168" s="81" t="s">
        <v>613</v>
      </c>
      <c r="P168">
        <v>1</v>
      </c>
      <c r="Q168" s="80" t="str">
        <f>REPLACE(INDEX(GroupVertices[Group],MATCH(Edges[[#This Row],[Vertex 1]],GroupVertices[Vertex],0)),1,1,"")</f>
        <v>1</v>
      </c>
      <c r="R168" s="80" t="str">
        <f>REPLACE(INDEX(GroupVertices[Group],MATCH(Edges[[#This Row],[Vertex 2]],GroupVertices[Vertex],0)),1,1,"")</f>
        <v>1</v>
      </c>
      <c r="S168" s="35"/>
      <c r="T168" s="35"/>
      <c r="U168" s="35"/>
      <c r="V168" s="35"/>
      <c r="W168" s="35"/>
      <c r="X168" s="35"/>
      <c r="Y168" s="35"/>
      <c r="Z168" s="35"/>
      <c r="AA168" s="35"/>
    </row>
    <row r="169" spans="1:27" ht="15">
      <c r="A169" s="65" t="s">
        <v>215</v>
      </c>
      <c r="B169" s="65" t="s">
        <v>374</v>
      </c>
      <c r="C169" s="66" t="s">
        <v>3534</v>
      </c>
      <c r="D169" s="67">
        <v>5</v>
      </c>
      <c r="E169" s="68"/>
      <c r="F169" s="69">
        <v>25</v>
      </c>
      <c r="G169" s="66"/>
      <c r="H169" s="70"/>
      <c r="I169" s="71"/>
      <c r="J169" s="71"/>
      <c r="K169" s="35" t="s">
        <v>65</v>
      </c>
      <c r="L169" s="79">
        <v>169</v>
      </c>
      <c r="M169" s="79"/>
      <c r="N169" s="73"/>
      <c r="O169" s="81" t="s">
        <v>613</v>
      </c>
      <c r="P169">
        <v>1</v>
      </c>
      <c r="Q169" s="80" t="str">
        <f>REPLACE(INDEX(GroupVertices[Group],MATCH(Edges[[#This Row],[Vertex 1]],GroupVertices[Vertex],0)),1,1,"")</f>
        <v>1</v>
      </c>
      <c r="R169" s="80" t="str">
        <f>REPLACE(INDEX(GroupVertices[Group],MATCH(Edges[[#This Row],[Vertex 2]],GroupVertices[Vertex],0)),1,1,"")</f>
        <v>2</v>
      </c>
      <c r="S169" s="35"/>
      <c r="T169" s="35"/>
      <c r="U169" s="35"/>
      <c r="V169" s="35"/>
      <c r="W169" s="35"/>
      <c r="X169" s="35"/>
      <c r="Y169" s="35"/>
      <c r="Z169" s="35"/>
      <c r="AA169" s="35"/>
    </row>
    <row r="170" spans="1:27" ht="15">
      <c r="A170" s="65" t="s">
        <v>215</v>
      </c>
      <c r="B170" s="65" t="s">
        <v>375</v>
      </c>
      <c r="C170" s="66" t="s">
        <v>3534</v>
      </c>
      <c r="D170" s="67">
        <v>5</v>
      </c>
      <c r="E170" s="68"/>
      <c r="F170" s="69">
        <v>25</v>
      </c>
      <c r="G170" s="66"/>
      <c r="H170" s="70"/>
      <c r="I170" s="71"/>
      <c r="J170" s="71"/>
      <c r="K170" s="35" t="s">
        <v>65</v>
      </c>
      <c r="L170" s="79">
        <v>170</v>
      </c>
      <c r="M170" s="79"/>
      <c r="N170" s="73"/>
      <c r="O170" s="81" t="s">
        <v>613</v>
      </c>
      <c r="P170">
        <v>1</v>
      </c>
      <c r="Q170" s="80" t="str">
        <f>REPLACE(INDEX(GroupVertices[Group],MATCH(Edges[[#This Row],[Vertex 1]],GroupVertices[Vertex],0)),1,1,"")</f>
        <v>1</v>
      </c>
      <c r="R170" s="80" t="str">
        <f>REPLACE(INDEX(GroupVertices[Group],MATCH(Edges[[#This Row],[Vertex 2]],GroupVertices[Vertex],0)),1,1,"")</f>
        <v>5</v>
      </c>
      <c r="S170" s="35"/>
      <c r="T170" s="35"/>
      <c r="U170" s="35"/>
      <c r="V170" s="35"/>
      <c r="W170" s="35"/>
      <c r="X170" s="35"/>
      <c r="Y170" s="35"/>
      <c r="Z170" s="35"/>
      <c r="AA170" s="35"/>
    </row>
    <row r="171" spans="1:27" ht="15">
      <c r="A171" s="65" t="s">
        <v>215</v>
      </c>
      <c r="B171" s="65" t="s">
        <v>376</v>
      </c>
      <c r="C171" s="66" t="s">
        <v>3534</v>
      </c>
      <c r="D171" s="67">
        <v>5</v>
      </c>
      <c r="E171" s="68"/>
      <c r="F171" s="69">
        <v>25</v>
      </c>
      <c r="G171" s="66"/>
      <c r="H171" s="70"/>
      <c r="I171" s="71"/>
      <c r="J171" s="71"/>
      <c r="K171" s="35" t="s">
        <v>65</v>
      </c>
      <c r="L171" s="79">
        <v>171</v>
      </c>
      <c r="M171" s="79"/>
      <c r="N171" s="73"/>
      <c r="O171" s="81" t="s">
        <v>613</v>
      </c>
      <c r="P171">
        <v>1</v>
      </c>
      <c r="Q171" s="80" t="str">
        <f>REPLACE(INDEX(GroupVertices[Group],MATCH(Edges[[#This Row],[Vertex 1]],GroupVertices[Vertex],0)),1,1,"")</f>
        <v>1</v>
      </c>
      <c r="R171" s="80" t="str">
        <f>REPLACE(INDEX(GroupVertices[Group],MATCH(Edges[[#This Row],[Vertex 2]],GroupVertices[Vertex],0)),1,1,"")</f>
        <v>7</v>
      </c>
      <c r="S171" s="35"/>
      <c r="T171" s="35"/>
      <c r="U171" s="35"/>
      <c r="V171" s="35"/>
      <c r="W171" s="35"/>
      <c r="X171" s="35"/>
      <c r="Y171" s="35"/>
      <c r="Z171" s="35"/>
      <c r="AA171" s="35"/>
    </row>
    <row r="172" spans="1:27" ht="15">
      <c r="A172" s="65" t="s">
        <v>215</v>
      </c>
      <c r="B172" s="65" t="s">
        <v>214</v>
      </c>
      <c r="C172" s="66" t="s">
        <v>3534</v>
      </c>
      <c r="D172" s="67">
        <v>5</v>
      </c>
      <c r="E172" s="68"/>
      <c r="F172" s="69">
        <v>25</v>
      </c>
      <c r="G172" s="66"/>
      <c r="H172" s="70"/>
      <c r="I172" s="71"/>
      <c r="J172" s="71"/>
      <c r="K172" s="35" t="s">
        <v>65</v>
      </c>
      <c r="L172" s="79">
        <v>172</v>
      </c>
      <c r="M172" s="79"/>
      <c r="N172" s="73"/>
      <c r="O172" s="81" t="s">
        <v>613</v>
      </c>
      <c r="P172">
        <v>1</v>
      </c>
      <c r="Q172" s="80" t="str">
        <f>REPLACE(INDEX(GroupVertices[Group],MATCH(Edges[[#This Row],[Vertex 1]],GroupVertices[Vertex],0)),1,1,"")</f>
        <v>1</v>
      </c>
      <c r="R172" s="80" t="str">
        <f>REPLACE(INDEX(GroupVertices[Group],MATCH(Edges[[#This Row],[Vertex 2]],GroupVertices[Vertex],0)),1,1,"")</f>
        <v>6</v>
      </c>
      <c r="S172" s="35"/>
      <c r="T172" s="35"/>
      <c r="U172" s="35"/>
      <c r="V172" s="35"/>
      <c r="W172" s="35"/>
      <c r="X172" s="35"/>
      <c r="Y172" s="35"/>
      <c r="Z172" s="35"/>
      <c r="AA172" s="35"/>
    </row>
    <row r="173" spans="1:27" ht="15">
      <c r="A173" s="65" t="s">
        <v>215</v>
      </c>
      <c r="B173" s="65" t="s">
        <v>377</v>
      </c>
      <c r="C173" s="66" t="s">
        <v>3534</v>
      </c>
      <c r="D173" s="67">
        <v>5</v>
      </c>
      <c r="E173" s="68"/>
      <c r="F173" s="69">
        <v>25</v>
      </c>
      <c r="G173" s="66"/>
      <c r="H173" s="70"/>
      <c r="I173" s="71"/>
      <c r="J173" s="71"/>
      <c r="K173" s="35" t="s">
        <v>65</v>
      </c>
      <c r="L173" s="79">
        <v>173</v>
      </c>
      <c r="M173" s="79"/>
      <c r="N173" s="73"/>
      <c r="O173" s="81" t="s">
        <v>613</v>
      </c>
      <c r="P173">
        <v>1</v>
      </c>
      <c r="Q173" s="80" t="str">
        <f>REPLACE(INDEX(GroupVertices[Group],MATCH(Edges[[#This Row],[Vertex 1]],GroupVertices[Vertex],0)),1,1,"")</f>
        <v>1</v>
      </c>
      <c r="R173" s="80" t="str">
        <f>REPLACE(INDEX(GroupVertices[Group],MATCH(Edges[[#This Row],[Vertex 2]],GroupVertices[Vertex],0)),1,1,"")</f>
        <v>1</v>
      </c>
      <c r="S173" s="35"/>
      <c r="T173" s="35"/>
      <c r="U173" s="35"/>
      <c r="V173" s="35"/>
      <c r="W173" s="35"/>
      <c r="X173" s="35"/>
      <c r="Y173" s="35"/>
      <c r="Z173" s="35"/>
      <c r="AA173" s="35"/>
    </row>
    <row r="174" spans="1:27" ht="15">
      <c r="A174" s="65" t="s">
        <v>215</v>
      </c>
      <c r="B174" s="65" t="s">
        <v>378</v>
      </c>
      <c r="C174" s="66" t="s">
        <v>3534</v>
      </c>
      <c r="D174" s="67">
        <v>5</v>
      </c>
      <c r="E174" s="68"/>
      <c r="F174" s="69">
        <v>25</v>
      </c>
      <c r="G174" s="66"/>
      <c r="H174" s="70"/>
      <c r="I174" s="71"/>
      <c r="J174" s="71"/>
      <c r="K174" s="35" t="s">
        <v>65</v>
      </c>
      <c r="L174" s="79">
        <v>174</v>
      </c>
      <c r="M174" s="79"/>
      <c r="N174" s="73"/>
      <c r="O174" s="81" t="s">
        <v>613</v>
      </c>
      <c r="P174">
        <v>1</v>
      </c>
      <c r="Q174" s="80" t="str">
        <f>REPLACE(INDEX(GroupVertices[Group],MATCH(Edges[[#This Row],[Vertex 1]],GroupVertices[Vertex],0)),1,1,"")</f>
        <v>1</v>
      </c>
      <c r="R174" s="80" t="str">
        <f>REPLACE(INDEX(GroupVertices[Group],MATCH(Edges[[#This Row],[Vertex 2]],GroupVertices[Vertex],0)),1,1,"")</f>
        <v>6</v>
      </c>
      <c r="S174" s="35"/>
      <c r="T174" s="35"/>
      <c r="U174" s="35"/>
      <c r="V174" s="35"/>
      <c r="W174" s="35"/>
      <c r="X174" s="35"/>
      <c r="Y174" s="35"/>
      <c r="Z174" s="35"/>
      <c r="AA174" s="35"/>
    </row>
    <row r="175" spans="1:27" ht="15">
      <c r="A175" s="65" t="s">
        <v>215</v>
      </c>
      <c r="B175" s="65" t="s">
        <v>379</v>
      </c>
      <c r="C175" s="66" t="s">
        <v>3534</v>
      </c>
      <c r="D175" s="67">
        <v>5</v>
      </c>
      <c r="E175" s="68"/>
      <c r="F175" s="69">
        <v>25</v>
      </c>
      <c r="G175" s="66"/>
      <c r="H175" s="70"/>
      <c r="I175" s="71"/>
      <c r="J175" s="71"/>
      <c r="K175" s="35" t="s">
        <v>65</v>
      </c>
      <c r="L175" s="79">
        <v>175</v>
      </c>
      <c r="M175" s="79"/>
      <c r="N175" s="73"/>
      <c r="O175" s="81" t="s">
        <v>613</v>
      </c>
      <c r="P175">
        <v>1</v>
      </c>
      <c r="Q175" s="80" t="str">
        <f>REPLACE(INDEX(GroupVertices[Group],MATCH(Edges[[#This Row],[Vertex 1]],GroupVertices[Vertex],0)),1,1,"")</f>
        <v>1</v>
      </c>
      <c r="R175" s="80" t="str">
        <f>REPLACE(INDEX(GroupVertices[Group],MATCH(Edges[[#This Row],[Vertex 2]],GroupVertices[Vertex],0)),1,1,"")</f>
        <v>6</v>
      </c>
      <c r="S175" s="35"/>
      <c r="T175" s="35"/>
      <c r="U175" s="35"/>
      <c r="V175" s="35"/>
      <c r="W175" s="35"/>
      <c r="X175" s="35"/>
      <c r="Y175" s="35"/>
      <c r="Z175" s="35"/>
      <c r="AA175" s="35"/>
    </row>
    <row r="176" spans="1:27" ht="15">
      <c r="A176" s="65" t="s">
        <v>215</v>
      </c>
      <c r="B176" s="65" t="s">
        <v>216</v>
      </c>
      <c r="C176" s="66" t="s">
        <v>3534</v>
      </c>
      <c r="D176" s="67">
        <v>5</v>
      </c>
      <c r="E176" s="68"/>
      <c r="F176" s="69">
        <v>25</v>
      </c>
      <c r="G176" s="66"/>
      <c r="H176" s="70"/>
      <c r="I176" s="71"/>
      <c r="J176" s="71"/>
      <c r="K176" s="35" t="s">
        <v>65</v>
      </c>
      <c r="L176" s="79">
        <v>176</v>
      </c>
      <c r="M176" s="79"/>
      <c r="N176" s="73"/>
      <c r="O176" s="81" t="s">
        <v>613</v>
      </c>
      <c r="P176">
        <v>1</v>
      </c>
      <c r="Q176" s="80" t="str">
        <f>REPLACE(INDEX(GroupVertices[Group],MATCH(Edges[[#This Row],[Vertex 1]],GroupVertices[Vertex],0)),1,1,"")</f>
        <v>1</v>
      </c>
      <c r="R176" s="80" t="str">
        <f>REPLACE(INDEX(GroupVertices[Group],MATCH(Edges[[#This Row],[Vertex 2]],GroupVertices[Vertex],0)),1,1,"")</f>
        <v>2</v>
      </c>
      <c r="S176" s="35"/>
      <c r="T176" s="35"/>
      <c r="U176" s="35"/>
      <c r="V176" s="35"/>
      <c r="W176" s="35"/>
      <c r="X176" s="35"/>
      <c r="Y176" s="35"/>
      <c r="Z176" s="35"/>
      <c r="AA176" s="35"/>
    </row>
    <row r="177" spans="1:27" ht="15">
      <c r="A177" s="65" t="s">
        <v>215</v>
      </c>
      <c r="B177" s="65" t="s">
        <v>380</v>
      </c>
      <c r="C177" s="66" t="s">
        <v>3534</v>
      </c>
      <c r="D177" s="67">
        <v>5</v>
      </c>
      <c r="E177" s="68"/>
      <c r="F177" s="69">
        <v>25</v>
      </c>
      <c r="G177" s="66"/>
      <c r="H177" s="70"/>
      <c r="I177" s="71"/>
      <c r="J177" s="71"/>
      <c r="K177" s="35" t="s">
        <v>65</v>
      </c>
      <c r="L177" s="79">
        <v>177</v>
      </c>
      <c r="M177" s="79"/>
      <c r="N177" s="73"/>
      <c r="O177" s="81" t="s">
        <v>613</v>
      </c>
      <c r="P177">
        <v>1</v>
      </c>
      <c r="Q177" s="80" t="str">
        <f>REPLACE(INDEX(GroupVertices[Group],MATCH(Edges[[#This Row],[Vertex 1]],GroupVertices[Vertex],0)),1,1,"")</f>
        <v>1</v>
      </c>
      <c r="R177" s="80" t="str">
        <f>REPLACE(INDEX(GroupVertices[Group],MATCH(Edges[[#This Row],[Vertex 2]],GroupVertices[Vertex],0)),1,1,"")</f>
        <v>2</v>
      </c>
      <c r="S177" s="35"/>
      <c r="T177" s="35"/>
      <c r="U177" s="35"/>
      <c r="V177" s="35"/>
      <c r="W177" s="35"/>
      <c r="X177" s="35"/>
      <c r="Y177" s="35"/>
      <c r="Z177" s="35"/>
      <c r="AA177" s="35"/>
    </row>
    <row r="178" spans="1:27" ht="15">
      <c r="A178" s="65" t="s">
        <v>215</v>
      </c>
      <c r="B178" s="65" t="s">
        <v>381</v>
      </c>
      <c r="C178" s="66" t="s">
        <v>3534</v>
      </c>
      <c r="D178" s="67">
        <v>5</v>
      </c>
      <c r="E178" s="68"/>
      <c r="F178" s="69">
        <v>25</v>
      </c>
      <c r="G178" s="66"/>
      <c r="H178" s="70"/>
      <c r="I178" s="71"/>
      <c r="J178" s="71"/>
      <c r="K178" s="35" t="s">
        <v>65</v>
      </c>
      <c r="L178" s="79">
        <v>178</v>
      </c>
      <c r="M178" s="79"/>
      <c r="N178" s="73"/>
      <c r="O178" s="81" t="s">
        <v>613</v>
      </c>
      <c r="P178">
        <v>1</v>
      </c>
      <c r="Q178" s="80" t="str">
        <f>REPLACE(INDEX(GroupVertices[Group],MATCH(Edges[[#This Row],[Vertex 1]],GroupVertices[Vertex],0)),1,1,"")</f>
        <v>1</v>
      </c>
      <c r="R178" s="80" t="str">
        <f>REPLACE(INDEX(GroupVertices[Group],MATCH(Edges[[#This Row],[Vertex 2]],GroupVertices[Vertex],0)),1,1,"")</f>
        <v>2</v>
      </c>
      <c r="S178" s="35"/>
      <c r="T178" s="35"/>
      <c r="U178" s="35"/>
      <c r="V178" s="35"/>
      <c r="W178" s="35"/>
      <c r="X178" s="35"/>
      <c r="Y178" s="35"/>
      <c r="Z178" s="35"/>
      <c r="AA178" s="35"/>
    </row>
    <row r="179" spans="1:27" ht="15">
      <c r="A179" s="65" t="s">
        <v>215</v>
      </c>
      <c r="B179" s="65" t="s">
        <v>382</v>
      </c>
      <c r="C179" s="66" t="s">
        <v>3534</v>
      </c>
      <c r="D179" s="67">
        <v>5</v>
      </c>
      <c r="E179" s="68"/>
      <c r="F179" s="69">
        <v>25</v>
      </c>
      <c r="G179" s="66"/>
      <c r="H179" s="70"/>
      <c r="I179" s="71"/>
      <c r="J179" s="71"/>
      <c r="K179" s="35" t="s">
        <v>65</v>
      </c>
      <c r="L179" s="79">
        <v>179</v>
      </c>
      <c r="M179" s="79"/>
      <c r="N179" s="73"/>
      <c r="O179" s="81" t="s">
        <v>613</v>
      </c>
      <c r="P179">
        <v>1</v>
      </c>
      <c r="Q179" s="80" t="str">
        <f>REPLACE(INDEX(GroupVertices[Group],MATCH(Edges[[#This Row],[Vertex 1]],GroupVertices[Vertex],0)),1,1,"")</f>
        <v>1</v>
      </c>
      <c r="R179" s="80" t="str">
        <f>REPLACE(INDEX(GroupVertices[Group],MATCH(Edges[[#This Row],[Vertex 2]],GroupVertices[Vertex],0)),1,1,"")</f>
        <v>1</v>
      </c>
      <c r="S179" s="35"/>
      <c r="T179" s="35"/>
      <c r="U179" s="35"/>
      <c r="V179" s="35"/>
      <c r="W179" s="35"/>
      <c r="X179" s="35"/>
      <c r="Y179" s="35"/>
      <c r="Z179" s="35"/>
      <c r="AA179" s="35"/>
    </row>
    <row r="180" spans="1:27" ht="15">
      <c r="A180" s="65" t="s">
        <v>215</v>
      </c>
      <c r="B180" s="65" t="s">
        <v>383</v>
      </c>
      <c r="C180" s="66" t="s">
        <v>3534</v>
      </c>
      <c r="D180" s="67">
        <v>5</v>
      </c>
      <c r="E180" s="68"/>
      <c r="F180" s="69">
        <v>25</v>
      </c>
      <c r="G180" s="66"/>
      <c r="H180" s="70"/>
      <c r="I180" s="71"/>
      <c r="J180" s="71"/>
      <c r="K180" s="35" t="s">
        <v>65</v>
      </c>
      <c r="L180" s="79">
        <v>180</v>
      </c>
      <c r="M180" s="79"/>
      <c r="N180" s="73"/>
      <c r="O180" s="81" t="s">
        <v>613</v>
      </c>
      <c r="P180">
        <v>1</v>
      </c>
      <c r="Q180" s="80" t="str">
        <f>REPLACE(INDEX(GroupVertices[Group],MATCH(Edges[[#This Row],[Vertex 1]],GroupVertices[Vertex],0)),1,1,"")</f>
        <v>1</v>
      </c>
      <c r="R180" s="80" t="str">
        <f>REPLACE(INDEX(GroupVertices[Group],MATCH(Edges[[#This Row],[Vertex 2]],GroupVertices[Vertex],0)),1,1,"")</f>
        <v>1</v>
      </c>
      <c r="S180" s="35"/>
      <c r="T180" s="35"/>
      <c r="U180" s="35"/>
      <c r="V180" s="35"/>
      <c r="W180" s="35"/>
      <c r="X180" s="35"/>
      <c r="Y180" s="35"/>
      <c r="Z180" s="35"/>
      <c r="AA180" s="35"/>
    </row>
    <row r="181" spans="1:27" ht="15">
      <c r="A181" s="65" t="s">
        <v>215</v>
      </c>
      <c r="B181" s="65" t="s">
        <v>384</v>
      </c>
      <c r="C181" s="66" t="s">
        <v>3534</v>
      </c>
      <c r="D181" s="67">
        <v>5</v>
      </c>
      <c r="E181" s="68"/>
      <c r="F181" s="69">
        <v>25</v>
      </c>
      <c r="G181" s="66"/>
      <c r="H181" s="70"/>
      <c r="I181" s="71"/>
      <c r="J181" s="71"/>
      <c r="K181" s="35" t="s">
        <v>65</v>
      </c>
      <c r="L181" s="79">
        <v>181</v>
      </c>
      <c r="M181" s="79"/>
      <c r="N181" s="73"/>
      <c r="O181" s="81" t="s">
        <v>613</v>
      </c>
      <c r="P181">
        <v>1</v>
      </c>
      <c r="Q181" s="80" t="str">
        <f>REPLACE(INDEX(GroupVertices[Group],MATCH(Edges[[#This Row],[Vertex 1]],GroupVertices[Vertex],0)),1,1,"")</f>
        <v>1</v>
      </c>
      <c r="R181" s="80" t="str">
        <f>REPLACE(INDEX(GroupVertices[Group],MATCH(Edges[[#This Row],[Vertex 2]],GroupVertices[Vertex],0)),1,1,"")</f>
        <v>4</v>
      </c>
      <c r="S181" s="35"/>
      <c r="T181" s="35"/>
      <c r="U181" s="35"/>
      <c r="V181" s="35"/>
      <c r="W181" s="35"/>
      <c r="X181" s="35"/>
      <c r="Y181" s="35"/>
      <c r="Z181" s="35"/>
      <c r="AA181" s="35"/>
    </row>
    <row r="182" spans="1:27" ht="15">
      <c r="A182" s="65" t="s">
        <v>215</v>
      </c>
      <c r="B182" s="65" t="s">
        <v>385</v>
      </c>
      <c r="C182" s="66" t="s">
        <v>3534</v>
      </c>
      <c r="D182" s="67">
        <v>5</v>
      </c>
      <c r="E182" s="68"/>
      <c r="F182" s="69">
        <v>25</v>
      </c>
      <c r="G182" s="66"/>
      <c r="H182" s="70"/>
      <c r="I182" s="71"/>
      <c r="J182" s="71"/>
      <c r="K182" s="35" t="s">
        <v>65</v>
      </c>
      <c r="L182" s="79">
        <v>182</v>
      </c>
      <c r="M182" s="79"/>
      <c r="N182" s="73"/>
      <c r="O182" s="81" t="s">
        <v>613</v>
      </c>
      <c r="P182">
        <v>1</v>
      </c>
      <c r="Q182" s="80" t="str">
        <f>REPLACE(INDEX(GroupVertices[Group],MATCH(Edges[[#This Row],[Vertex 1]],GroupVertices[Vertex],0)),1,1,"")</f>
        <v>1</v>
      </c>
      <c r="R182" s="80" t="str">
        <f>REPLACE(INDEX(GroupVertices[Group],MATCH(Edges[[#This Row],[Vertex 2]],GroupVertices[Vertex],0)),1,1,"")</f>
        <v>6</v>
      </c>
      <c r="S182" s="35"/>
      <c r="T182" s="35"/>
      <c r="U182" s="35"/>
      <c r="V182" s="35"/>
      <c r="W182" s="35"/>
      <c r="X182" s="35"/>
      <c r="Y182" s="35"/>
      <c r="Z182" s="35"/>
      <c r="AA182" s="35"/>
    </row>
    <row r="183" spans="1:27" ht="15">
      <c r="A183" s="65" t="s">
        <v>215</v>
      </c>
      <c r="B183" s="65" t="s">
        <v>386</v>
      </c>
      <c r="C183" s="66" t="s">
        <v>3534</v>
      </c>
      <c r="D183" s="67">
        <v>5</v>
      </c>
      <c r="E183" s="68"/>
      <c r="F183" s="69">
        <v>25</v>
      </c>
      <c r="G183" s="66"/>
      <c r="H183" s="70"/>
      <c r="I183" s="71"/>
      <c r="J183" s="71"/>
      <c r="K183" s="35" t="s">
        <v>65</v>
      </c>
      <c r="L183" s="79">
        <v>183</v>
      </c>
      <c r="M183" s="79"/>
      <c r="N183" s="73"/>
      <c r="O183" s="81" t="s">
        <v>613</v>
      </c>
      <c r="P183">
        <v>1</v>
      </c>
      <c r="Q183" s="80" t="str">
        <f>REPLACE(INDEX(GroupVertices[Group],MATCH(Edges[[#This Row],[Vertex 1]],GroupVertices[Vertex],0)),1,1,"")</f>
        <v>1</v>
      </c>
      <c r="R183" s="80" t="str">
        <f>REPLACE(INDEX(GroupVertices[Group],MATCH(Edges[[#This Row],[Vertex 2]],GroupVertices[Vertex],0)),1,1,"")</f>
        <v>1</v>
      </c>
      <c r="S183" s="35"/>
      <c r="T183" s="35"/>
      <c r="U183" s="35"/>
      <c r="V183" s="35"/>
      <c r="W183" s="35"/>
      <c r="X183" s="35"/>
      <c r="Y183" s="35"/>
      <c r="Z183" s="35"/>
      <c r="AA183" s="35"/>
    </row>
    <row r="184" spans="1:27" ht="15">
      <c r="A184" s="65" t="s">
        <v>215</v>
      </c>
      <c r="B184" s="65" t="s">
        <v>212</v>
      </c>
      <c r="C184" s="66" t="s">
        <v>3534</v>
      </c>
      <c r="D184" s="67">
        <v>5</v>
      </c>
      <c r="E184" s="68"/>
      <c r="F184" s="69">
        <v>25</v>
      </c>
      <c r="G184" s="66"/>
      <c r="H184" s="70"/>
      <c r="I184" s="71"/>
      <c r="J184" s="71"/>
      <c r="K184" s="35" t="s">
        <v>65</v>
      </c>
      <c r="L184" s="79">
        <v>184</v>
      </c>
      <c r="M184" s="79"/>
      <c r="N184" s="73"/>
      <c r="O184" s="81" t="s">
        <v>613</v>
      </c>
      <c r="P184">
        <v>1</v>
      </c>
      <c r="Q184" s="80" t="str">
        <f>REPLACE(INDEX(GroupVertices[Group],MATCH(Edges[[#This Row],[Vertex 1]],GroupVertices[Vertex],0)),1,1,"")</f>
        <v>1</v>
      </c>
      <c r="R184" s="80" t="str">
        <f>REPLACE(INDEX(GroupVertices[Group],MATCH(Edges[[#This Row],[Vertex 2]],GroupVertices[Vertex],0)),1,1,"")</f>
        <v>7</v>
      </c>
      <c r="S184" s="35"/>
      <c r="T184" s="35"/>
      <c r="U184" s="35"/>
      <c r="V184" s="35"/>
      <c r="W184" s="35"/>
      <c r="X184" s="35"/>
      <c r="Y184" s="35"/>
      <c r="Z184" s="35"/>
      <c r="AA184" s="35"/>
    </row>
    <row r="185" spans="1:27" ht="15">
      <c r="A185" s="65" t="s">
        <v>215</v>
      </c>
      <c r="B185" s="65" t="s">
        <v>387</v>
      </c>
      <c r="C185" s="66" t="s">
        <v>3534</v>
      </c>
      <c r="D185" s="67">
        <v>5</v>
      </c>
      <c r="E185" s="68"/>
      <c r="F185" s="69">
        <v>25</v>
      </c>
      <c r="G185" s="66"/>
      <c r="H185" s="70"/>
      <c r="I185" s="71"/>
      <c r="J185" s="71"/>
      <c r="K185" s="35" t="s">
        <v>65</v>
      </c>
      <c r="L185" s="79">
        <v>185</v>
      </c>
      <c r="M185" s="79"/>
      <c r="N185" s="73"/>
      <c r="O185" s="81" t="s">
        <v>613</v>
      </c>
      <c r="P185">
        <v>1</v>
      </c>
      <c r="Q185" s="80" t="str">
        <f>REPLACE(INDEX(GroupVertices[Group],MATCH(Edges[[#This Row],[Vertex 1]],GroupVertices[Vertex],0)),1,1,"")</f>
        <v>1</v>
      </c>
      <c r="R185" s="80" t="str">
        <f>REPLACE(INDEX(GroupVertices[Group],MATCH(Edges[[#This Row],[Vertex 2]],GroupVertices[Vertex],0)),1,1,"")</f>
        <v>1</v>
      </c>
      <c r="S185" s="35"/>
      <c r="T185" s="35"/>
      <c r="U185" s="35"/>
      <c r="V185" s="35"/>
      <c r="W185" s="35"/>
      <c r="X185" s="35"/>
      <c r="Y185" s="35"/>
      <c r="Z185" s="35"/>
      <c r="AA185" s="35"/>
    </row>
    <row r="186" spans="1:27" ht="15">
      <c r="A186" s="65" t="s">
        <v>215</v>
      </c>
      <c r="B186" s="65" t="s">
        <v>388</v>
      </c>
      <c r="C186" s="66" t="s">
        <v>3534</v>
      </c>
      <c r="D186" s="67">
        <v>5</v>
      </c>
      <c r="E186" s="68"/>
      <c r="F186" s="69">
        <v>25</v>
      </c>
      <c r="G186" s="66"/>
      <c r="H186" s="70"/>
      <c r="I186" s="71"/>
      <c r="J186" s="71"/>
      <c r="K186" s="35" t="s">
        <v>65</v>
      </c>
      <c r="L186" s="79">
        <v>186</v>
      </c>
      <c r="M186" s="79"/>
      <c r="N186" s="73"/>
      <c r="O186" s="81" t="s">
        <v>613</v>
      </c>
      <c r="P186">
        <v>1</v>
      </c>
      <c r="Q186" s="80" t="str">
        <f>REPLACE(INDEX(GroupVertices[Group],MATCH(Edges[[#This Row],[Vertex 1]],GroupVertices[Vertex],0)),1,1,"")</f>
        <v>1</v>
      </c>
      <c r="R186" s="80" t="str">
        <f>REPLACE(INDEX(GroupVertices[Group],MATCH(Edges[[#This Row],[Vertex 2]],GroupVertices[Vertex],0)),1,1,"")</f>
        <v>1</v>
      </c>
      <c r="S186" s="35"/>
      <c r="T186" s="35"/>
      <c r="U186" s="35"/>
      <c r="V186" s="35"/>
      <c r="W186" s="35"/>
      <c r="X186" s="35"/>
      <c r="Y186" s="35"/>
      <c r="Z186" s="35"/>
      <c r="AA186" s="35"/>
    </row>
    <row r="187" spans="1:27" ht="15">
      <c r="A187" s="65" t="s">
        <v>215</v>
      </c>
      <c r="B187" s="65" t="s">
        <v>389</v>
      </c>
      <c r="C187" s="66" t="s">
        <v>3534</v>
      </c>
      <c r="D187" s="67">
        <v>5</v>
      </c>
      <c r="E187" s="68"/>
      <c r="F187" s="69">
        <v>25</v>
      </c>
      <c r="G187" s="66"/>
      <c r="H187" s="70"/>
      <c r="I187" s="71"/>
      <c r="J187" s="71"/>
      <c r="K187" s="35" t="s">
        <v>65</v>
      </c>
      <c r="L187" s="79">
        <v>187</v>
      </c>
      <c r="M187" s="79"/>
      <c r="N187" s="73"/>
      <c r="O187" s="81" t="s">
        <v>613</v>
      </c>
      <c r="P187">
        <v>1</v>
      </c>
      <c r="Q187" s="80" t="str">
        <f>REPLACE(INDEX(GroupVertices[Group],MATCH(Edges[[#This Row],[Vertex 1]],GroupVertices[Vertex],0)),1,1,"")</f>
        <v>1</v>
      </c>
      <c r="R187" s="80" t="str">
        <f>REPLACE(INDEX(GroupVertices[Group],MATCH(Edges[[#This Row],[Vertex 2]],GroupVertices[Vertex],0)),1,1,"")</f>
        <v>1</v>
      </c>
      <c r="S187" s="35"/>
      <c r="T187" s="35"/>
      <c r="U187" s="35"/>
      <c r="V187" s="35"/>
      <c r="W187" s="35"/>
      <c r="X187" s="35"/>
      <c r="Y187" s="35"/>
      <c r="Z187" s="35"/>
      <c r="AA187" s="35"/>
    </row>
    <row r="188" spans="1:27" ht="15">
      <c r="A188" s="65" t="s">
        <v>215</v>
      </c>
      <c r="B188" s="65" t="s">
        <v>390</v>
      </c>
      <c r="C188" s="66" t="s">
        <v>3534</v>
      </c>
      <c r="D188" s="67">
        <v>5</v>
      </c>
      <c r="E188" s="68"/>
      <c r="F188" s="69">
        <v>25</v>
      </c>
      <c r="G188" s="66"/>
      <c r="H188" s="70"/>
      <c r="I188" s="71"/>
      <c r="J188" s="71"/>
      <c r="K188" s="35" t="s">
        <v>65</v>
      </c>
      <c r="L188" s="79">
        <v>188</v>
      </c>
      <c r="M188" s="79"/>
      <c r="N188" s="73"/>
      <c r="O188" s="81" t="s">
        <v>613</v>
      </c>
      <c r="P188">
        <v>1</v>
      </c>
      <c r="Q188" s="80" t="str">
        <f>REPLACE(INDEX(GroupVertices[Group],MATCH(Edges[[#This Row],[Vertex 1]],GroupVertices[Vertex],0)),1,1,"")</f>
        <v>1</v>
      </c>
      <c r="R188" s="80" t="str">
        <f>REPLACE(INDEX(GroupVertices[Group],MATCH(Edges[[#This Row],[Vertex 2]],GroupVertices[Vertex],0)),1,1,"")</f>
        <v>1</v>
      </c>
      <c r="S188" s="35"/>
      <c r="T188" s="35"/>
      <c r="U188" s="35"/>
      <c r="V188" s="35"/>
      <c r="W188" s="35"/>
      <c r="X188" s="35"/>
      <c r="Y188" s="35"/>
      <c r="Z188" s="35"/>
      <c r="AA188" s="35"/>
    </row>
    <row r="189" spans="1:27" ht="15">
      <c r="A189" s="65" t="s">
        <v>215</v>
      </c>
      <c r="B189" s="65" t="s">
        <v>391</v>
      </c>
      <c r="C189" s="66" t="s">
        <v>3534</v>
      </c>
      <c r="D189" s="67">
        <v>5</v>
      </c>
      <c r="E189" s="68"/>
      <c r="F189" s="69">
        <v>25</v>
      </c>
      <c r="G189" s="66"/>
      <c r="H189" s="70"/>
      <c r="I189" s="71"/>
      <c r="J189" s="71"/>
      <c r="K189" s="35" t="s">
        <v>65</v>
      </c>
      <c r="L189" s="79">
        <v>189</v>
      </c>
      <c r="M189" s="79"/>
      <c r="N189" s="73"/>
      <c r="O189" s="81" t="s">
        <v>613</v>
      </c>
      <c r="P189">
        <v>1</v>
      </c>
      <c r="Q189" s="80" t="str">
        <f>REPLACE(INDEX(GroupVertices[Group],MATCH(Edges[[#This Row],[Vertex 1]],GroupVertices[Vertex],0)),1,1,"")</f>
        <v>1</v>
      </c>
      <c r="R189" s="80" t="str">
        <f>REPLACE(INDEX(GroupVertices[Group],MATCH(Edges[[#This Row],[Vertex 2]],GroupVertices[Vertex],0)),1,1,"")</f>
        <v>1</v>
      </c>
      <c r="S189" s="35"/>
      <c r="T189" s="35"/>
      <c r="U189" s="35"/>
      <c r="V189" s="35"/>
      <c r="W189" s="35"/>
      <c r="X189" s="35"/>
      <c r="Y189" s="35"/>
      <c r="Z189" s="35"/>
      <c r="AA189" s="35"/>
    </row>
    <row r="190" spans="1:27" ht="15">
      <c r="A190" s="65" t="s">
        <v>215</v>
      </c>
      <c r="B190" s="65" t="s">
        <v>213</v>
      </c>
      <c r="C190" s="66" t="s">
        <v>3534</v>
      </c>
      <c r="D190" s="67">
        <v>5</v>
      </c>
      <c r="E190" s="68"/>
      <c r="F190" s="69">
        <v>25</v>
      </c>
      <c r="G190" s="66"/>
      <c r="H190" s="70"/>
      <c r="I190" s="71"/>
      <c r="J190" s="71"/>
      <c r="K190" s="35" t="s">
        <v>65</v>
      </c>
      <c r="L190" s="79">
        <v>190</v>
      </c>
      <c r="M190" s="79"/>
      <c r="N190" s="73"/>
      <c r="O190" s="81" t="s">
        <v>613</v>
      </c>
      <c r="P190">
        <v>1</v>
      </c>
      <c r="Q190" s="80" t="str">
        <f>REPLACE(INDEX(GroupVertices[Group],MATCH(Edges[[#This Row],[Vertex 1]],GroupVertices[Vertex],0)),1,1,"")</f>
        <v>1</v>
      </c>
      <c r="R190" s="80" t="str">
        <f>REPLACE(INDEX(GroupVertices[Group],MATCH(Edges[[#This Row],[Vertex 2]],GroupVertices[Vertex],0)),1,1,"")</f>
        <v>4</v>
      </c>
      <c r="S190" s="35"/>
      <c r="T190" s="35"/>
      <c r="U190" s="35"/>
      <c r="V190" s="35"/>
      <c r="W190" s="35"/>
      <c r="X190" s="35"/>
      <c r="Y190" s="35"/>
      <c r="Z190" s="35"/>
      <c r="AA190" s="35"/>
    </row>
    <row r="191" spans="1:27" ht="15">
      <c r="A191" s="65" t="s">
        <v>215</v>
      </c>
      <c r="B191" s="65" t="s">
        <v>392</v>
      </c>
      <c r="C191" s="66" t="s">
        <v>3534</v>
      </c>
      <c r="D191" s="67">
        <v>5</v>
      </c>
      <c r="E191" s="68"/>
      <c r="F191" s="69">
        <v>25</v>
      </c>
      <c r="G191" s="66"/>
      <c r="H191" s="70"/>
      <c r="I191" s="71"/>
      <c r="J191" s="71"/>
      <c r="K191" s="35" t="s">
        <v>65</v>
      </c>
      <c r="L191" s="79">
        <v>191</v>
      </c>
      <c r="M191" s="79"/>
      <c r="N191" s="73"/>
      <c r="O191" s="81" t="s">
        <v>613</v>
      </c>
      <c r="P191">
        <v>1</v>
      </c>
      <c r="Q191" s="80" t="str">
        <f>REPLACE(INDEX(GroupVertices[Group],MATCH(Edges[[#This Row],[Vertex 1]],GroupVertices[Vertex],0)),1,1,"")</f>
        <v>1</v>
      </c>
      <c r="R191" s="80" t="str">
        <f>REPLACE(INDEX(GroupVertices[Group],MATCH(Edges[[#This Row],[Vertex 2]],GroupVertices[Vertex],0)),1,1,"")</f>
        <v>1</v>
      </c>
      <c r="S191" s="35"/>
      <c r="T191" s="35"/>
      <c r="U191" s="35"/>
      <c r="V191" s="35"/>
      <c r="W191" s="35"/>
      <c r="X191" s="35"/>
      <c r="Y191" s="35"/>
      <c r="Z191" s="35"/>
      <c r="AA191" s="35"/>
    </row>
    <row r="192" spans="1:27" ht="15">
      <c r="A192" s="65" t="s">
        <v>215</v>
      </c>
      <c r="B192" s="65" t="s">
        <v>393</v>
      </c>
      <c r="C192" s="66" t="s">
        <v>3534</v>
      </c>
      <c r="D192" s="67">
        <v>5</v>
      </c>
      <c r="E192" s="68"/>
      <c r="F192" s="69">
        <v>25</v>
      </c>
      <c r="G192" s="66"/>
      <c r="H192" s="70"/>
      <c r="I192" s="71"/>
      <c r="J192" s="71"/>
      <c r="K192" s="35" t="s">
        <v>65</v>
      </c>
      <c r="L192" s="79">
        <v>192</v>
      </c>
      <c r="M192" s="79"/>
      <c r="N192" s="73"/>
      <c r="O192" s="81" t="s">
        <v>613</v>
      </c>
      <c r="P192">
        <v>1</v>
      </c>
      <c r="Q192" s="80" t="str">
        <f>REPLACE(INDEX(GroupVertices[Group],MATCH(Edges[[#This Row],[Vertex 1]],GroupVertices[Vertex],0)),1,1,"")</f>
        <v>1</v>
      </c>
      <c r="R192" s="80" t="str">
        <f>REPLACE(INDEX(GroupVertices[Group],MATCH(Edges[[#This Row],[Vertex 2]],GroupVertices[Vertex],0)),1,1,"")</f>
        <v>1</v>
      </c>
      <c r="S192" s="35"/>
      <c r="T192" s="35"/>
      <c r="U192" s="35"/>
      <c r="V192" s="35"/>
      <c r="W192" s="35"/>
      <c r="X192" s="35"/>
      <c r="Y192" s="35"/>
      <c r="Z192" s="35"/>
      <c r="AA192" s="35"/>
    </row>
    <row r="193" spans="1:27" ht="15">
      <c r="A193" s="65" t="s">
        <v>215</v>
      </c>
      <c r="B193" s="65" t="s">
        <v>219</v>
      </c>
      <c r="C193" s="66" t="s">
        <v>3534</v>
      </c>
      <c r="D193" s="67">
        <v>5</v>
      </c>
      <c r="E193" s="68"/>
      <c r="F193" s="69">
        <v>25</v>
      </c>
      <c r="G193" s="66"/>
      <c r="H193" s="70"/>
      <c r="I193" s="71"/>
      <c r="J193" s="71"/>
      <c r="K193" s="35" t="s">
        <v>65</v>
      </c>
      <c r="L193" s="79">
        <v>193</v>
      </c>
      <c r="M193" s="79"/>
      <c r="N193" s="73"/>
      <c r="O193" s="81" t="s">
        <v>613</v>
      </c>
      <c r="P193">
        <v>1</v>
      </c>
      <c r="Q193" s="80" t="str">
        <f>REPLACE(INDEX(GroupVertices[Group],MATCH(Edges[[#This Row],[Vertex 1]],GroupVertices[Vertex],0)),1,1,"")</f>
        <v>1</v>
      </c>
      <c r="R193" s="80" t="str">
        <f>REPLACE(INDEX(GroupVertices[Group],MATCH(Edges[[#This Row],[Vertex 2]],GroupVertices[Vertex],0)),1,1,"")</f>
        <v>5</v>
      </c>
      <c r="S193" s="35"/>
      <c r="T193" s="35"/>
      <c r="U193" s="35"/>
      <c r="V193" s="35"/>
      <c r="W193" s="35"/>
      <c r="X193" s="35"/>
      <c r="Y193" s="35"/>
      <c r="Z193" s="35"/>
      <c r="AA193" s="35"/>
    </row>
    <row r="194" spans="1:27" ht="15">
      <c r="A194" s="65" t="s">
        <v>216</v>
      </c>
      <c r="B194" s="65" t="s">
        <v>394</v>
      </c>
      <c r="C194" s="66" t="s">
        <v>3534</v>
      </c>
      <c r="D194" s="67">
        <v>5</v>
      </c>
      <c r="E194" s="68"/>
      <c r="F194" s="69">
        <v>25</v>
      </c>
      <c r="G194" s="66"/>
      <c r="H194" s="70"/>
      <c r="I194" s="71"/>
      <c r="J194" s="71"/>
      <c r="K194" s="35" t="s">
        <v>65</v>
      </c>
      <c r="L194" s="79">
        <v>194</v>
      </c>
      <c r="M194" s="79"/>
      <c r="N194" s="73"/>
      <c r="O194" s="81" t="s">
        <v>613</v>
      </c>
      <c r="P194">
        <v>1</v>
      </c>
      <c r="Q194" s="80" t="str">
        <f>REPLACE(INDEX(GroupVertices[Group],MATCH(Edges[[#This Row],[Vertex 1]],GroupVertices[Vertex],0)),1,1,"")</f>
        <v>2</v>
      </c>
      <c r="R194" s="80" t="str">
        <f>REPLACE(INDEX(GroupVertices[Group],MATCH(Edges[[#This Row],[Vertex 2]],GroupVertices[Vertex],0)),1,1,"")</f>
        <v>2</v>
      </c>
      <c r="S194" s="35"/>
      <c r="T194" s="35"/>
      <c r="U194" s="35"/>
      <c r="V194" s="35"/>
      <c r="W194" s="35"/>
      <c r="X194" s="35"/>
      <c r="Y194" s="35"/>
      <c r="Z194" s="35"/>
      <c r="AA194" s="35"/>
    </row>
    <row r="195" spans="1:27" ht="15">
      <c r="A195" s="65" t="s">
        <v>216</v>
      </c>
      <c r="B195" s="65" t="s">
        <v>395</v>
      </c>
      <c r="C195" s="66" t="s">
        <v>3534</v>
      </c>
      <c r="D195" s="67">
        <v>5</v>
      </c>
      <c r="E195" s="68"/>
      <c r="F195" s="69">
        <v>25</v>
      </c>
      <c r="G195" s="66"/>
      <c r="H195" s="70"/>
      <c r="I195" s="71"/>
      <c r="J195" s="71"/>
      <c r="K195" s="35" t="s">
        <v>65</v>
      </c>
      <c r="L195" s="79">
        <v>195</v>
      </c>
      <c r="M195" s="79"/>
      <c r="N195" s="73"/>
      <c r="O195" s="81" t="s">
        <v>613</v>
      </c>
      <c r="P195">
        <v>1</v>
      </c>
      <c r="Q195" s="80" t="str">
        <f>REPLACE(INDEX(GroupVertices[Group],MATCH(Edges[[#This Row],[Vertex 1]],GroupVertices[Vertex],0)),1,1,"")</f>
        <v>2</v>
      </c>
      <c r="R195" s="80" t="str">
        <f>REPLACE(INDEX(GroupVertices[Group],MATCH(Edges[[#This Row],[Vertex 2]],GroupVertices[Vertex],0)),1,1,"")</f>
        <v>2</v>
      </c>
      <c r="S195" s="35"/>
      <c r="T195" s="35"/>
      <c r="U195" s="35"/>
      <c r="V195" s="35"/>
      <c r="W195" s="35"/>
      <c r="X195" s="35"/>
      <c r="Y195" s="35"/>
      <c r="Z195" s="35"/>
      <c r="AA195" s="35"/>
    </row>
    <row r="196" spans="1:27" ht="15">
      <c r="A196" s="65" t="s">
        <v>216</v>
      </c>
      <c r="B196" s="65" t="s">
        <v>396</v>
      </c>
      <c r="C196" s="66" t="s">
        <v>3534</v>
      </c>
      <c r="D196" s="67">
        <v>5</v>
      </c>
      <c r="E196" s="68"/>
      <c r="F196" s="69">
        <v>25</v>
      </c>
      <c r="G196" s="66"/>
      <c r="H196" s="70"/>
      <c r="I196" s="71"/>
      <c r="J196" s="71"/>
      <c r="K196" s="35" t="s">
        <v>65</v>
      </c>
      <c r="L196" s="79">
        <v>196</v>
      </c>
      <c r="M196" s="79"/>
      <c r="N196" s="73"/>
      <c r="O196" s="81" t="s">
        <v>613</v>
      </c>
      <c r="P196">
        <v>1</v>
      </c>
      <c r="Q196" s="80" t="str">
        <f>REPLACE(INDEX(GroupVertices[Group],MATCH(Edges[[#This Row],[Vertex 1]],GroupVertices[Vertex],0)),1,1,"")</f>
        <v>2</v>
      </c>
      <c r="R196" s="80" t="str">
        <f>REPLACE(INDEX(GroupVertices[Group],MATCH(Edges[[#This Row],[Vertex 2]],GroupVertices[Vertex],0)),1,1,"")</f>
        <v>2</v>
      </c>
      <c r="S196" s="35"/>
      <c r="T196" s="35"/>
      <c r="U196" s="35"/>
      <c r="V196" s="35"/>
      <c r="W196" s="35"/>
      <c r="X196" s="35"/>
      <c r="Y196" s="35"/>
      <c r="Z196" s="35"/>
      <c r="AA196" s="35"/>
    </row>
    <row r="197" spans="1:27" ht="15">
      <c r="A197" s="65" t="s">
        <v>216</v>
      </c>
      <c r="B197" s="65" t="s">
        <v>397</v>
      </c>
      <c r="C197" s="66" t="s">
        <v>3534</v>
      </c>
      <c r="D197" s="67">
        <v>5</v>
      </c>
      <c r="E197" s="68"/>
      <c r="F197" s="69">
        <v>25</v>
      </c>
      <c r="G197" s="66"/>
      <c r="H197" s="70"/>
      <c r="I197" s="71"/>
      <c r="J197" s="71"/>
      <c r="K197" s="35" t="s">
        <v>65</v>
      </c>
      <c r="L197" s="79">
        <v>197</v>
      </c>
      <c r="M197" s="79"/>
      <c r="N197" s="73"/>
      <c r="O197" s="81" t="s">
        <v>613</v>
      </c>
      <c r="P197">
        <v>1</v>
      </c>
      <c r="Q197" s="80" t="str">
        <f>REPLACE(INDEX(GroupVertices[Group],MATCH(Edges[[#This Row],[Vertex 1]],GroupVertices[Vertex],0)),1,1,"")</f>
        <v>2</v>
      </c>
      <c r="R197" s="80" t="str">
        <f>REPLACE(INDEX(GroupVertices[Group],MATCH(Edges[[#This Row],[Vertex 2]],GroupVertices[Vertex],0)),1,1,"")</f>
        <v>2</v>
      </c>
      <c r="S197" s="35"/>
      <c r="T197" s="35"/>
      <c r="U197" s="35"/>
      <c r="V197" s="35"/>
      <c r="W197" s="35"/>
      <c r="X197" s="35"/>
      <c r="Y197" s="35"/>
      <c r="Z197" s="35"/>
      <c r="AA197" s="35"/>
    </row>
    <row r="198" spans="1:27" ht="15">
      <c r="A198" s="65" t="s">
        <v>216</v>
      </c>
      <c r="B198" s="65" t="s">
        <v>398</v>
      </c>
      <c r="C198" s="66" t="s">
        <v>3534</v>
      </c>
      <c r="D198" s="67">
        <v>5</v>
      </c>
      <c r="E198" s="68"/>
      <c r="F198" s="69">
        <v>25</v>
      </c>
      <c r="G198" s="66"/>
      <c r="H198" s="70"/>
      <c r="I198" s="71"/>
      <c r="J198" s="71"/>
      <c r="K198" s="35" t="s">
        <v>65</v>
      </c>
      <c r="L198" s="79">
        <v>198</v>
      </c>
      <c r="M198" s="79"/>
      <c r="N198" s="73"/>
      <c r="O198" s="81" t="s">
        <v>613</v>
      </c>
      <c r="P198">
        <v>1</v>
      </c>
      <c r="Q198" s="80" t="str">
        <f>REPLACE(INDEX(GroupVertices[Group],MATCH(Edges[[#This Row],[Vertex 1]],GroupVertices[Vertex],0)),1,1,"")</f>
        <v>2</v>
      </c>
      <c r="R198" s="80" t="str">
        <f>REPLACE(INDEX(GroupVertices[Group],MATCH(Edges[[#This Row],[Vertex 2]],GroupVertices[Vertex],0)),1,1,"")</f>
        <v>2</v>
      </c>
      <c r="S198" s="35"/>
      <c r="T198" s="35"/>
      <c r="U198" s="35"/>
      <c r="V198" s="35"/>
      <c r="W198" s="35"/>
      <c r="X198" s="35"/>
      <c r="Y198" s="35"/>
      <c r="Z198" s="35"/>
      <c r="AA198" s="35"/>
    </row>
    <row r="199" spans="1:27" ht="15">
      <c r="A199" s="65" t="s">
        <v>216</v>
      </c>
      <c r="B199" s="65" t="s">
        <v>399</v>
      </c>
      <c r="C199" s="66" t="s">
        <v>3534</v>
      </c>
      <c r="D199" s="67">
        <v>5</v>
      </c>
      <c r="E199" s="68"/>
      <c r="F199" s="69">
        <v>25</v>
      </c>
      <c r="G199" s="66"/>
      <c r="H199" s="70"/>
      <c r="I199" s="71"/>
      <c r="J199" s="71"/>
      <c r="K199" s="35" t="s">
        <v>65</v>
      </c>
      <c r="L199" s="79">
        <v>199</v>
      </c>
      <c r="M199" s="79"/>
      <c r="N199" s="73"/>
      <c r="O199" s="81" t="s">
        <v>613</v>
      </c>
      <c r="P199">
        <v>1</v>
      </c>
      <c r="Q199" s="80" t="str">
        <f>REPLACE(INDEX(GroupVertices[Group],MATCH(Edges[[#This Row],[Vertex 1]],GroupVertices[Vertex],0)),1,1,"")</f>
        <v>2</v>
      </c>
      <c r="R199" s="80" t="str">
        <f>REPLACE(INDEX(GroupVertices[Group],MATCH(Edges[[#This Row],[Vertex 2]],GroupVertices[Vertex],0)),1,1,"")</f>
        <v>2</v>
      </c>
      <c r="S199" s="35"/>
      <c r="T199" s="35"/>
      <c r="U199" s="35"/>
      <c r="V199" s="35"/>
      <c r="W199" s="35"/>
      <c r="X199" s="35"/>
      <c r="Y199" s="35"/>
      <c r="Z199" s="35"/>
      <c r="AA199" s="35"/>
    </row>
    <row r="200" spans="1:27" ht="15">
      <c r="A200" s="65" t="s">
        <v>216</v>
      </c>
      <c r="B200" s="65" t="s">
        <v>400</v>
      </c>
      <c r="C200" s="66" t="s">
        <v>3534</v>
      </c>
      <c r="D200" s="67">
        <v>5</v>
      </c>
      <c r="E200" s="68"/>
      <c r="F200" s="69">
        <v>25</v>
      </c>
      <c r="G200" s="66"/>
      <c r="H200" s="70"/>
      <c r="I200" s="71"/>
      <c r="J200" s="71"/>
      <c r="K200" s="35" t="s">
        <v>65</v>
      </c>
      <c r="L200" s="79">
        <v>200</v>
      </c>
      <c r="M200" s="79"/>
      <c r="N200" s="73"/>
      <c r="O200" s="81" t="s">
        <v>613</v>
      </c>
      <c r="P200">
        <v>1</v>
      </c>
      <c r="Q200" s="80" t="str">
        <f>REPLACE(INDEX(GroupVertices[Group],MATCH(Edges[[#This Row],[Vertex 1]],GroupVertices[Vertex],0)),1,1,"")</f>
        <v>2</v>
      </c>
      <c r="R200" s="80" t="str">
        <f>REPLACE(INDEX(GroupVertices[Group],MATCH(Edges[[#This Row],[Vertex 2]],GroupVertices[Vertex],0)),1,1,"")</f>
        <v>2</v>
      </c>
      <c r="S200" s="35"/>
      <c r="T200" s="35"/>
      <c r="U200" s="35"/>
      <c r="V200" s="35"/>
      <c r="W200" s="35"/>
      <c r="X200" s="35"/>
      <c r="Y200" s="35"/>
      <c r="Z200" s="35"/>
      <c r="AA200" s="35"/>
    </row>
    <row r="201" spans="1:27" ht="15">
      <c r="A201" s="65" t="s">
        <v>216</v>
      </c>
      <c r="B201" s="65" t="s">
        <v>401</v>
      </c>
      <c r="C201" s="66" t="s">
        <v>3534</v>
      </c>
      <c r="D201" s="67">
        <v>5</v>
      </c>
      <c r="E201" s="68"/>
      <c r="F201" s="69">
        <v>25</v>
      </c>
      <c r="G201" s="66"/>
      <c r="H201" s="70"/>
      <c r="I201" s="71"/>
      <c r="J201" s="71"/>
      <c r="K201" s="35" t="s">
        <v>65</v>
      </c>
      <c r="L201" s="79">
        <v>201</v>
      </c>
      <c r="M201" s="79"/>
      <c r="N201" s="73"/>
      <c r="O201" s="81" t="s">
        <v>613</v>
      </c>
      <c r="P201">
        <v>1</v>
      </c>
      <c r="Q201" s="80" t="str">
        <f>REPLACE(INDEX(GroupVertices[Group],MATCH(Edges[[#This Row],[Vertex 1]],GroupVertices[Vertex],0)),1,1,"")</f>
        <v>2</v>
      </c>
      <c r="R201" s="80" t="str">
        <f>REPLACE(INDEX(GroupVertices[Group],MATCH(Edges[[#This Row],[Vertex 2]],GroupVertices[Vertex],0)),1,1,"")</f>
        <v>2</v>
      </c>
      <c r="S201" s="35"/>
      <c r="T201" s="35"/>
      <c r="U201" s="35"/>
      <c r="V201" s="35"/>
      <c r="W201" s="35"/>
      <c r="X201" s="35"/>
      <c r="Y201" s="35"/>
      <c r="Z201" s="35"/>
      <c r="AA201" s="35"/>
    </row>
    <row r="202" spans="1:27" ht="15">
      <c r="A202" s="65" t="s">
        <v>216</v>
      </c>
      <c r="B202" s="65" t="s">
        <v>402</v>
      </c>
      <c r="C202" s="66" t="s">
        <v>3534</v>
      </c>
      <c r="D202" s="67">
        <v>5</v>
      </c>
      <c r="E202" s="68"/>
      <c r="F202" s="69">
        <v>25</v>
      </c>
      <c r="G202" s="66"/>
      <c r="H202" s="70"/>
      <c r="I202" s="71"/>
      <c r="J202" s="71"/>
      <c r="K202" s="35" t="s">
        <v>65</v>
      </c>
      <c r="L202" s="79">
        <v>202</v>
      </c>
      <c r="M202" s="79"/>
      <c r="N202" s="73"/>
      <c r="O202" s="81" t="s">
        <v>613</v>
      </c>
      <c r="P202">
        <v>1</v>
      </c>
      <c r="Q202" s="80" t="str">
        <f>REPLACE(INDEX(GroupVertices[Group],MATCH(Edges[[#This Row],[Vertex 1]],GroupVertices[Vertex],0)),1,1,"")</f>
        <v>2</v>
      </c>
      <c r="R202" s="80" t="str">
        <f>REPLACE(INDEX(GroupVertices[Group],MATCH(Edges[[#This Row],[Vertex 2]],GroupVertices[Vertex],0)),1,1,"")</f>
        <v>2</v>
      </c>
      <c r="S202" s="35"/>
      <c r="T202" s="35"/>
      <c r="U202" s="35"/>
      <c r="V202" s="35"/>
      <c r="W202" s="35"/>
      <c r="X202" s="35"/>
      <c r="Y202" s="35"/>
      <c r="Z202" s="35"/>
      <c r="AA202" s="35"/>
    </row>
    <row r="203" spans="1:27" ht="15">
      <c r="A203" s="65" t="s">
        <v>216</v>
      </c>
      <c r="B203" s="65" t="s">
        <v>403</v>
      </c>
      <c r="C203" s="66" t="s">
        <v>3534</v>
      </c>
      <c r="D203" s="67">
        <v>5</v>
      </c>
      <c r="E203" s="68"/>
      <c r="F203" s="69">
        <v>25</v>
      </c>
      <c r="G203" s="66"/>
      <c r="H203" s="70"/>
      <c r="I203" s="71"/>
      <c r="J203" s="71"/>
      <c r="K203" s="35" t="s">
        <v>65</v>
      </c>
      <c r="L203" s="79">
        <v>203</v>
      </c>
      <c r="M203" s="79"/>
      <c r="N203" s="73"/>
      <c r="O203" s="81" t="s">
        <v>613</v>
      </c>
      <c r="P203">
        <v>1</v>
      </c>
      <c r="Q203" s="80" t="str">
        <f>REPLACE(INDEX(GroupVertices[Group],MATCH(Edges[[#This Row],[Vertex 1]],GroupVertices[Vertex],0)),1,1,"")</f>
        <v>2</v>
      </c>
      <c r="R203" s="80" t="str">
        <f>REPLACE(INDEX(GroupVertices[Group],MATCH(Edges[[#This Row],[Vertex 2]],GroupVertices[Vertex],0)),1,1,"")</f>
        <v>2</v>
      </c>
      <c r="S203" s="35"/>
      <c r="T203" s="35"/>
      <c r="U203" s="35"/>
      <c r="V203" s="35"/>
      <c r="W203" s="35"/>
      <c r="X203" s="35"/>
      <c r="Y203" s="35"/>
      <c r="Z203" s="35"/>
      <c r="AA203" s="35"/>
    </row>
    <row r="204" spans="1:27" ht="15">
      <c r="A204" s="65" t="s">
        <v>216</v>
      </c>
      <c r="B204" s="65" t="s">
        <v>404</v>
      </c>
      <c r="C204" s="66" t="s">
        <v>3534</v>
      </c>
      <c r="D204" s="67">
        <v>5</v>
      </c>
      <c r="E204" s="68"/>
      <c r="F204" s="69">
        <v>25</v>
      </c>
      <c r="G204" s="66"/>
      <c r="H204" s="70"/>
      <c r="I204" s="71"/>
      <c r="J204" s="71"/>
      <c r="K204" s="35" t="s">
        <v>65</v>
      </c>
      <c r="L204" s="79">
        <v>204</v>
      </c>
      <c r="M204" s="79"/>
      <c r="N204" s="73"/>
      <c r="O204" s="81" t="s">
        <v>613</v>
      </c>
      <c r="P204">
        <v>1</v>
      </c>
      <c r="Q204" s="80" t="str">
        <f>REPLACE(INDEX(GroupVertices[Group],MATCH(Edges[[#This Row],[Vertex 1]],GroupVertices[Vertex],0)),1,1,"")</f>
        <v>2</v>
      </c>
      <c r="R204" s="80" t="str">
        <f>REPLACE(INDEX(GroupVertices[Group],MATCH(Edges[[#This Row],[Vertex 2]],GroupVertices[Vertex],0)),1,1,"")</f>
        <v>2</v>
      </c>
      <c r="S204" s="35"/>
      <c r="T204" s="35"/>
      <c r="U204" s="35"/>
      <c r="V204" s="35"/>
      <c r="W204" s="35"/>
      <c r="X204" s="35"/>
      <c r="Y204" s="35"/>
      <c r="Z204" s="35"/>
      <c r="AA204" s="35"/>
    </row>
    <row r="205" spans="1:27" ht="15">
      <c r="A205" s="65" t="s">
        <v>213</v>
      </c>
      <c r="B205" s="65" t="s">
        <v>369</v>
      </c>
      <c r="C205" s="66" t="s">
        <v>3534</v>
      </c>
      <c r="D205" s="67">
        <v>5</v>
      </c>
      <c r="E205" s="68"/>
      <c r="F205" s="69">
        <v>25</v>
      </c>
      <c r="G205" s="66"/>
      <c r="H205" s="70"/>
      <c r="I205" s="71"/>
      <c r="J205" s="71"/>
      <c r="K205" s="35" t="s">
        <v>65</v>
      </c>
      <c r="L205" s="79">
        <v>205</v>
      </c>
      <c r="M205" s="79"/>
      <c r="N205" s="73"/>
      <c r="O205" s="81" t="s">
        <v>613</v>
      </c>
      <c r="P205">
        <v>1</v>
      </c>
      <c r="Q205" s="80" t="str">
        <f>REPLACE(INDEX(GroupVertices[Group],MATCH(Edges[[#This Row],[Vertex 1]],GroupVertices[Vertex],0)),1,1,"")</f>
        <v>4</v>
      </c>
      <c r="R205" s="80" t="str">
        <f>REPLACE(INDEX(GroupVertices[Group],MATCH(Edges[[#This Row],[Vertex 2]],GroupVertices[Vertex],0)),1,1,"")</f>
        <v>4</v>
      </c>
      <c r="S205" s="35"/>
      <c r="T205" s="35"/>
      <c r="U205" s="35"/>
      <c r="V205" s="35"/>
      <c r="W205" s="35"/>
      <c r="X205" s="35"/>
      <c r="Y205" s="35"/>
      <c r="Z205" s="35"/>
      <c r="AA205" s="35"/>
    </row>
    <row r="206" spans="1:27" ht="15">
      <c r="A206" s="65" t="s">
        <v>214</v>
      </c>
      <c r="B206" s="65" t="s">
        <v>369</v>
      </c>
      <c r="C206" s="66" t="s">
        <v>3534</v>
      </c>
      <c r="D206" s="67">
        <v>5</v>
      </c>
      <c r="E206" s="68"/>
      <c r="F206" s="69">
        <v>25</v>
      </c>
      <c r="G206" s="66"/>
      <c r="H206" s="70"/>
      <c r="I206" s="71"/>
      <c r="J206" s="71"/>
      <c r="K206" s="35" t="s">
        <v>65</v>
      </c>
      <c r="L206" s="79">
        <v>206</v>
      </c>
      <c r="M206" s="79"/>
      <c r="N206" s="73"/>
      <c r="O206" s="81" t="s">
        <v>613</v>
      </c>
      <c r="P206">
        <v>1</v>
      </c>
      <c r="Q206" s="80" t="str">
        <f>REPLACE(INDEX(GroupVertices[Group],MATCH(Edges[[#This Row],[Vertex 1]],GroupVertices[Vertex],0)),1,1,"")</f>
        <v>6</v>
      </c>
      <c r="R206" s="80" t="str">
        <f>REPLACE(INDEX(GroupVertices[Group],MATCH(Edges[[#This Row],[Vertex 2]],GroupVertices[Vertex],0)),1,1,"")</f>
        <v>4</v>
      </c>
      <c r="S206" s="35"/>
      <c r="T206" s="35"/>
      <c r="U206" s="35"/>
      <c r="V206" s="35"/>
      <c r="W206" s="35"/>
      <c r="X206" s="35"/>
      <c r="Y206" s="35"/>
      <c r="Z206" s="35"/>
      <c r="AA206" s="35"/>
    </row>
    <row r="207" spans="1:27" ht="15">
      <c r="A207" s="65" t="s">
        <v>216</v>
      </c>
      <c r="B207" s="65" t="s">
        <v>369</v>
      </c>
      <c r="C207" s="66" t="s">
        <v>3534</v>
      </c>
      <c r="D207" s="67">
        <v>5</v>
      </c>
      <c r="E207" s="68"/>
      <c r="F207" s="69">
        <v>25</v>
      </c>
      <c r="G207" s="66"/>
      <c r="H207" s="70"/>
      <c r="I207" s="71"/>
      <c r="J207" s="71"/>
      <c r="K207" s="35" t="s">
        <v>65</v>
      </c>
      <c r="L207" s="79">
        <v>207</v>
      </c>
      <c r="M207" s="79"/>
      <c r="N207" s="73"/>
      <c r="O207" s="81" t="s">
        <v>613</v>
      </c>
      <c r="P207">
        <v>1</v>
      </c>
      <c r="Q207" s="80" t="str">
        <f>REPLACE(INDEX(GroupVertices[Group],MATCH(Edges[[#This Row],[Vertex 1]],GroupVertices[Vertex],0)),1,1,"")</f>
        <v>2</v>
      </c>
      <c r="R207" s="80" t="str">
        <f>REPLACE(INDEX(GroupVertices[Group],MATCH(Edges[[#This Row],[Vertex 2]],GroupVertices[Vertex],0)),1,1,"")</f>
        <v>4</v>
      </c>
      <c r="S207" s="35"/>
      <c r="T207" s="35"/>
      <c r="U207" s="35"/>
      <c r="V207" s="35"/>
      <c r="W207" s="35"/>
      <c r="X207" s="35"/>
      <c r="Y207" s="35"/>
      <c r="Z207" s="35"/>
      <c r="AA207" s="35"/>
    </row>
    <row r="208" spans="1:27" ht="15">
      <c r="A208" s="65" t="s">
        <v>216</v>
      </c>
      <c r="B208" s="65" t="s">
        <v>405</v>
      </c>
      <c r="C208" s="66" t="s">
        <v>3534</v>
      </c>
      <c r="D208" s="67">
        <v>5</v>
      </c>
      <c r="E208" s="68"/>
      <c r="F208" s="69">
        <v>25</v>
      </c>
      <c r="G208" s="66"/>
      <c r="H208" s="70"/>
      <c r="I208" s="71"/>
      <c r="J208" s="71"/>
      <c r="K208" s="35" t="s">
        <v>65</v>
      </c>
      <c r="L208" s="79">
        <v>208</v>
      </c>
      <c r="M208" s="79"/>
      <c r="N208" s="73"/>
      <c r="O208" s="81" t="s">
        <v>613</v>
      </c>
      <c r="P208">
        <v>1</v>
      </c>
      <c r="Q208" s="80" t="str">
        <f>REPLACE(INDEX(GroupVertices[Group],MATCH(Edges[[#This Row],[Vertex 1]],GroupVertices[Vertex],0)),1,1,"")</f>
        <v>2</v>
      </c>
      <c r="R208" s="80" t="str">
        <f>REPLACE(INDEX(GroupVertices[Group],MATCH(Edges[[#This Row],[Vertex 2]],GroupVertices[Vertex],0)),1,1,"")</f>
        <v>2</v>
      </c>
      <c r="S208" s="35"/>
      <c r="T208" s="35"/>
      <c r="U208" s="35"/>
      <c r="V208" s="35"/>
      <c r="W208" s="35"/>
      <c r="X208" s="35"/>
      <c r="Y208" s="35"/>
      <c r="Z208" s="35"/>
      <c r="AA208" s="35"/>
    </row>
    <row r="209" spans="1:27" ht="15">
      <c r="A209" s="65" t="s">
        <v>212</v>
      </c>
      <c r="B209" s="65" t="s">
        <v>370</v>
      </c>
      <c r="C209" s="66" t="s">
        <v>3534</v>
      </c>
      <c r="D209" s="67">
        <v>5</v>
      </c>
      <c r="E209" s="68"/>
      <c r="F209" s="69">
        <v>25</v>
      </c>
      <c r="G209" s="66"/>
      <c r="H209" s="70"/>
      <c r="I209" s="71"/>
      <c r="J209" s="71"/>
      <c r="K209" s="35" t="s">
        <v>65</v>
      </c>
      <c r="L209" s="79">
        <v>209</v>
      </c>
      <c r="M209" s="79"/>
      <c r="N209" s="73"/>
      <c r="O209" s="81" t="s">
        <v>613</v>
      </c>
      <c r="P209">
        <v>1</v>
      </c>
      <c r="Q209" s="80" t="str">
        <f>REPLACE(INDEX(GroupVertices[Group],MATCH(Edges[[#This Row],[Vertex 1]],GroupVertices[Vertex],0)),1,1,"")</f>
        <v>7</v>
      </c>
      <c r="R209" s="80" t="str">
        <f>REPLACE(INDEX(GroupVertices[Group],MATCH(Edges[[#This Row],[Vertex 2]],GroupVertices[Vertex],0)),1,1,"")</f>
        <v>2</v>
      </c>
      <c r="S209" s="35"/>
      <c r="T209" s="35"/>
      <c r="U209" s="35"/>
      <c r="V209" s="35"/>
      <c r="W209" s="35"/>
      <c r="X209" s="35"/>
      <c r="Y209" s="35"/>
      <c r="Z209" s="35"/>
      <c r="AA209" s="35"/>
    </row>
    <row r="210" spans="1:27" ht="15">
      <c r="A210" s="65" t="s">
        <v>213</v>
      </c>
      <c r="B210" s="65" t="s">
        <v>370</v>
      </c>
      <c r="C210" s="66" t="s">
        <v>3534</v>
      </c>
      <c r="D210" s="67">
        <v>5</v>
      </c>
      <c r="E210" s="68"/>
      <c r="F210" s="69">
        <v>25</v>
      </c>
      <c r="G210" s="66"/>
      <c r="H210" s="70"/>
      <c r="I210" s="71"/>
      <c r="J210" s="71"/>
      <c r="K210" s="35" t="s">
        <v>65</v>
      </c>
      <c r="L210" s="79">
        <v>210</v>
      </c>
      <c r="M210" s="79"/>
      <c r="N210" s="73"/>
      <c r="O210" s="81" t="s">
        <v>613</v>
      </c>
      <c r="P210">
        <v>1</v>
      </c>
      <c r="Q210" s="80" t="str">
        <f>REPLACE(INDEX(GroupVertices[Group],MATCH(Edges[[#This Row],[Vertex 1]],GroupVertices[Vertex],0)),1,1,"")</f>
        <v>4</v>
      </c>
      <c r="R210" s="80" t="str">
        <f>REPLACE(INDEX(GroupVertices[Group],MATCH(Edges[[#This Row],[Vertex 2]],GroupVertices[Vertex],0)),1,1,"")</f>
        <v>2</v>
      </c>
      <c r="S210" s="35"/>
      <c r="T210" s="35"/>
      <c r="U210" s="35"/>
      <c r="V210" s="35"/>
      <c r="W210" s="35"/>
      <c r="X210" s="35"/>
      <c r="Y210" s="35"/>
      <c r="Z210" s="35"/>
      <c r="AA210" s="35"/>
    </row>
    <row r="211" spans="1:27" ht="15">
      <c r="A211" s="65" t="s">
        <v>214</v>
      </c>
      <c r="B211" s="65" t="s">
        <v>370</v>
      </c>
      <c r="C211" s="66" t="s">
        <v>3534</v>
      </c>
      <c r="D211" s="67">
        <v>5</v>
      </c>
      <c r="E211" s="68"/>
      <c r="F211" s="69">
        <v>25</v>
      </c>
      <c r="G211" s="66"/>
      <c r="H211" s="70"/>
      <c r="I211" s="71"/>
      <c r="J211" s="71"/>
      <c r="K211" s="35" t="s">
        <v>65</v>
      </c>
      <c r="L211" s="79">
        <v>211</v>
      </c>
      <c r="M211" s="79"/>
      <c r="N211" s="73"/>
      <c r="O211" s="81" t="s">
        <v>613</v>
      </c>
      <c r="P211">
        <v>1</v>
      </c>
      <c r="Q211" s="80" t="str">
        <f>REPLACE(INDEX(GroupVertices[Group],MATCH(Edges[[#This Row],[Vertex 1]],GroupVertices[Vertex],0)),1,1,"")</f>
        <v>6</v>
      </c>
      <c r="R211" s="80" t="str">
        <f>REPLACE(INDEX(GroupVertices[Group],MATCH(Edges[[#This Row],[Vertex 2]],GroupVertices[Vertex],0)),1,1,"")</f>
        <v>2</v>
      </c>
      <c r="S211" s="35"/>
      <c r="T211" s="35"/>
      <c r="U211" s="35"/>
      <c r="V211" s="35"/>
      <c r="W211" s="35"/>
      <c r="X211" s="35"/>
      <c r="Y211" s="35"/>
      <c r="Z211" s="35"/>
      <c r="AA211" s="35"/>
    </row>
    <row r="212" spans="1:27" ht="15">
      <c r="A212" s="65" t="s">
        <v>216</v>
      </c>
      <c r="B212" s="65" t="s">
        <v>370</v>
      </c>
      <c r="C212" s="66" t="s">
        <v>3534</v>
      </c>
      <c r="D212" s="67">
        <v>5</v>
      </c>
      <c r="E212" s="68"/>
      <c r="F212" s="69">
        <v>25</v>
      </c>
      <c r="G212" s="66"/>
      <c r="H212" s="70"/>
      <c r="I212" s="71"/>
      <c r="J212" s="71"/>
      <c r="K212" s="35" t="s">
        <v>65</v>
      </c>
      <c r="L212" s="79">
        <v>212</v>
      </c>
      <c r="M212" s="79"/>
      <c r="N212" s="73"/>
      <c r="O212" s="81" t="s">
        <v>613</v>
      </c>
      <c r="P212">
        <v>1</v>
      </c>
      <c r="Q212" s="80" t="str">
        <f>REPLACE(INDEX(GroupVertices[Group],MATCH(Edges[[#This Row],[Vertex 1]],GroupVertices[Vertex],0)),1,1,"")</f>
        <v>2</v>
      </c>
      <c r="R212" s="80" t="str">
        <f>REPLACE(INDEX(GroupVertices[Group],MATCH(Edges[[#This Row],[Vertex 2]],GroupVertices[Vertex],0)),1,1,"")</f>
        <v>2</v>
      </c>
      <c r="S212" s="35"/>
      <c r="T212" s="35"/>
      <c r="U212" s="35"/>
      <c r="V212" s="35"/>
      <c r="W212" s="35"/>
      <c r="X212" s="35"/>
      <c r="Y212" s="35"/>
      <c r="Z212" s="35"/>
      <c r="AA212" s="35"/>
    </row>
    <row r="213" spans="1:27" ht="15">
      <c r="A213" s="65" t="s">
        <v>216</v>
      </c>
      <c r="B213" s="65" t="s">
        <v>406</v>
      </c>
      <c r="C213" s="66" t="s">
        <v>3534</v>
      </c>
      <c r="D213" s="67">
        <v>5</v>
      </c>
      <c r="E213" s="68"/>
      <c r="F213" s="69">
        <v>25</v>
      </c>
      <c r="G213" s="66"/>
      <c r="H213" s="70"/>
      <c r="I213" s="71"/>
      <c r="J213" s="71"/>
      <c r="K213" s="35" t="s">
        <v>65</v>
      </c>
      <c r="L213" s="79">
        <v>213</v>
      </c>
      <c r="M213" s="79"/>
      <c r="N213" s="73"/>
      <c r="O213" s="81" t="s">
        <v>613</v>
      </c>
      <c r="P213">
        <v>1</v>
      </c>
      <c r="Q213" s="80" t="str">
        <f>REPLACE(INDEX(GroupVertices[Group],MATCH(Edges[[#This Row],[Vertex 1]],GroupVertices[Vertex],0)),1,1,"")</f>
        <v>2</v>
      </c>
      <c r="R213" s="80" t="str">
        <f>REPLACE(INDEX(GroupVertices[Group],MATCH(Edges[[#This Row],[Vertex 2]],GroupVertices[Vertex],0)),1,1,"")</f>
        <v>2</v>
      </c>
      <c r="S213" s="35"/>
      <c r="T213" s="35"/>
      <c r="U213" s="35"/>
      <c r="V213" s="35"/>
      <c r="W213" s="35"/>
      <c r="X213" s="35"/>
      <c r="Y213" s="35"/>
      <c r="Z213" s="35"/>
      <c r="AA213" s="35"/>
    </row>
    <row r="214" spans="1:27" ht="15">
      <c r="A214" s="65" t="s">
        <v>216</v>
      </c>
      <c r="B214" s="65" t="s">
        <v>407</v>
      </c>
      <c r="C214" s="66" t="s">
        <v>3534</v>
      </c>
      <c r="D214" s="67">
        <v>5</v>
      </c>
      <c r="E214" s="68"/>
      <c r="F214" s="69">
        <v>25</v>
      </c>
      <c r="G214" s="66"/>
      <c r="H214" s="70"/>
      <c r="I214" s="71"/>
      <c r="J214" s="71"/>
      <c r="K214" s="35" t="s">
        <v>65</v>
      </c>
      <c r="L214" s="79">
        <v>214</v>
      </c>
      <c r="M214" s="79"/>
      <c r="N214" s="73"/>
      <c r="O214" s="81" t="s">
        <v>613</v>
      </c>
      <c r="P214">
        <v>1</v>
      </c>
      <c r="Q214" s="80" t="str">
        <f>REPLACE(INDEX(GroupVertices[Group],MATCH(Edges[[#This Row],[Vertex 1]],GroupVertices[Vertex],0)),1,1,"")</f>
        <v>2</v>
      </c>
      <c r="R214" s="80" t="str">
        <f>REPLACE(INDEX(GroupVertices[Group],MATCH(Edges[[#This Row],[Vertex 2]],GroupVertices[Vertex],0)),1,1,"")</f>
        <v>2</v>
      </c>
      <c r="S214" s="35"/>
      <c r="T214" s="35"/>
      <c r="U214" s="35"/>
      <c r="V214" s="35"/>
      <c r="W214" s="35"/>
      <c r="X214" s="35"/>
      <c r="Y214" s="35"/>
      <c r="Z214" s="35"/>
      <c r="AA214" s="35"/>
    </row>
    <row r="215" spans="1:27" ht="15">
      <c r="A215" s="65" t="s">
        <v>216</v>
      </c>
      <c r="B215" s="65" t="s">
        <v>408</v>
      </c>
      <c r="C215" s="66" t="s">
        <v>3534</v>
      </c>
      <c r="D215" s="67">
        <v>5</v>
      </c>
      <c r="E215" s="68"/>
      <c r="F215" s="69">
        <v>25</v>
      </c>
      <c r="G215" s="66"/>
      <c r="H215" s="70"/>
      <c r="I215" s="71"/>
      <c r="J215" s="71"/>
      <c r="K215" s="35" t="s">
        <v>65</v>
      </c>
      <c r="L215" s="79">
        <v>215</v>
      </c>
      <c r="M215" s="79"/>
      <c r="N215" s="73"/>
      <c r="O215" s="81" t="s">
        <v>613</v>
      </c>
      <c r="P215">
        <v>1</v>
      </c>
      <c r="Q215" s="80" t="str">
        <f>REPLACE(INDEX(GroupVertices[Group],MATCH(Edges[[#This Row],[Vertex 1]],GroupVertices[Vertex],0)),1,1,"")</f>
        <v>2</v>
      </c>
      <c r="R215" s="80" t="str">
        <f>REPLACE(INDEX(GroupVertices[Group],MATCH(Edges[[#This Row],[Vertex 2]],GroupVertices[Vertex],0)),1,1,"")</f>
        <v>2</v>
      </c>
      <c r="S215" s="35"/>
      <c r="T215" s="35"/>
      <c r="U215" s="35"/>
      <c r="V215" s="35"/>
      <c r="W215" s="35"/>
      <c r="X215" s="35"/>
      <c r="Y215" s="35"/>
      <c r="Z215" s="35"/>
      <c r="AA215" s="35"/>
    </row>
    <row r="216" spans="1:27" ht="15">
      <c r="A216" s="65" t="s">
        <v>216</v>
      </c>
      <c r="B216" s="65" t="s">
        <v>409</v>
      </c>
      <c r="C216" s="66" t="s">
        <v>3534</v>
      </c>
      <c r="D216" s="67">
        <v>5</v>
      </c>
      <c r="E216" s="68"/>
      <c r="F216" s="69">
        <v>25</v>
      </c>
      <c r="G216" s="66"/>
      <c r="H216" s="70"/>
      <c r="I216" s="71"/>
      <c r="J216" s="71"/>
      <c r="K216" s="35" t="s">
        <v>65</v>
      </c>
      <c r="L216" s="79">
        <v>216</v>
      </c>
      <c r="M216" s="79"/>
      <c r="N216" s="73"/>
      <c r="O216" s="81" t="s">
        <v>613</v>
      </c>
      <c r="P216">
        <v>1</v>
      </c>
      <c r="Q216" s="80" t="str">
        <f>REPLACE(INDEX(GroupVertices[Group],MATCH(Edges[[#This Row],[Vertex 1]],GroupVertices[Vertex],0)),1,1,"")</f>
        <v>2</v>
      </c>
      <c r="R216" s="80" t="str">
        <f>REPLACE(INDEX(GroupVertices[Group],MATCH(Edges[[#This Row],[Vertex 2]],GroupVertices[Vertex],0)),1,1,"")</f>
        <v>2</v>
      </c>
      <c r="S216" s="35"/>
      <c r="T216" s="35"/>
      <c r="U216" s="35"/>
      <c r="V216" s="35"/>
      <c r="W216" s="35"/>
      <c r="X216" s="35"/>
      <c r="Y216" s="35"/>
      <c r="Z216" s="35"/>
      <c r="AA216" s="35"/>
    </row>
    <row r="217" spans="1:27" ht="15">
      <c r="A217" s="65" t="s">
        <v>216</v>
      </c>
      <c r="B217" s="65" t="s">
        <v>410</v>
      </c>
      <c r="C217" s="66" t="s">
        <v>3534</v>
      </c>
      <c r="D217" s="67">
        <v>5</v>
      </c>
      <c r="E217" s="68"/>
      <c r="F217" s="69">
        <v>25</v>
      </c>
      <c r="G217" s="66"/>
      <c r="H217" s="70"/>
      <c r="I217" s="71"/>
      <c r="J217" s="71"/>
      <c r="K217" s="35" t="s">
        <v>65</v>
      </c>
      <c r="L217" s="79">
        <v>217</v>
      </c>
      <c r="M217" s="79"/>
      <c r="N217" s="73"/>
      <c r="O217" s="81" t="s">
        <v>613</v>
      </c>
      <c r="P217">
        <v>1</v>
      </c>
      <c r="Q217" s="80" t="str">
        <f>REPLACE(INDEX(GroupVertices[Group],MATCH(Edges[[#This Row],[Vertex 1]],GroupVertices[Vertex],0)),1,1,"")</f>
        <v>2</v>
      </c>
      <c r="R217" s="80" t="str">
        <f>REPLACE(INDEX(GroupVertices[Group],MATCH(Edges[[#This Row],[Vertex 2]],GroupVertices[Vertex],0)),1,1,"")</f>
        <v>2</v>
      </c>
      <c r="S217" s="35"/>
      <c r="T217" s="35"/>
      <c r="U217" s="35"/>
      <c r="V217" s="35"/>
      <c r="W217" s="35"/>
      <c r="X217" s="35"/>
      <c r="Y217" s="35"/>
      <c r="Z217" s="35"/>
      <c r="AA217" s="35"/>
    </row>
    <row r="218" spans="1:27" ht="15">
      <c r="A218" s="65" t="s">
        <v>214</v>
      </c>
      <c r="B218" s="65" t="s">
        <v>372</v>
      </c>
      <c r="C218" s="66" t="s">
        <v>3534</v>
      </c>
      <c r="D218" s="67">
        <v>5</v>
      </c>
      <c r="E218" s="68"/>
      <c r="F218" s="69">
        <v>25</v>
      </c>
      <c r="G218" s="66"/>
      <c r="H218" s="70"/>
      <c r="I218" s="71"/>
      <c r="J218" s="71"/>
      <c r="K218" s="35" t="s">
        <v>65</v>
      </c>
      <c r="L218" s="79">
        <v>218</v>
      </c>
      <c r="M218" s="79"/>
      <c r="N218" s="73"/>
      <c r="O218" s="81" t="s">
        <v>613</v>
      </c>
      <c r="P218">
        <v>1</v>
      </c>
      <c r="Q218" s="80" t="str">
        <f>REPLACE(INDEX(GroupVertices[Group],MATCH(Edges[[#This Row],[Vertex 1]],GroupVertices[Vertex],0)),1,1,"")</f>
        <v>6</v>
      </c>
      <c r="R218" s="80" t="str">
        <f>REPLACE(INDEX(GroupVertices[Group],MATCH(Edges[[#This Row],[Vertex 2]],GroupVertices[Vertex],0)),1,1,"")</f>
        <v>2</v>
      </c>
      <c r="S218" s="35"/>
      <c r="T218" s="35"/>
      <c r="U218" s="35"/>
      <c r="V218" s="35"/>
      <c r="W218" s="35"/>
      <c r="X218" s="35"/>
      <c r="Y218" s="35"/>
      <c r="Z218" s="35"/>
      <c r="AA218" s="35"/>
    </row>
    <row r="219" spans="1:27" ht="15">
      <c r="A219" s="65" t="s">
        <v>216</v>
      </c>
      <c r="B219" s="65" t="s">
        <v>372</v>
      </c>
      <c r="C219" s="66" t="s">
        <v>3534</v>
      </c>
      <c r="D219" s="67">
        <v>5</v>
      </c>
      <c r="E219" s="68"/>
      <c r="F219" s="69">
        <v>25</v>
      </c>
      <c r="G219" s="66"/>
      <c r="H219" s="70"/>
      <c r="I219" s="71"/>
      <c r="J219" s="71"/>
      <c r="K219" s="35" t="s">
        <v>65</v>
      </c>
      <c r="L219" s="79">
        <v>219</v>
      </c>
      <c r="M219" s="79"/>
      <c r="N219" s="73"/>
      <c r="O219" s="81" t="s">
        <v>613</v>
      </c>
      <c r="P219">
        <v>1</v>
      </c>
      <c r="Q219" s="80" t="str">
        <f>REPLACE(INDEX(GroupVertices[Group],MATCH(Edges[[#This Row],[Vertex 1]],GroupVertices[Vertex],0)),1,1,"")</f>
        <v>2</v>
      </c>
      <c r="R219" s="80" t="str">
        <f>REPLACE(INDEX(GroupVertices[Group],MATCH(Edges[[#This Row],[Vertex 2]],GroupVertices[Vertex],0)),1,1,"")</f>
        <v>2</v>
      </c>
      <c r="S219" s="35"/>
      <c r="T219" s="35"/>
      <c r="U219" s="35"/>
      <c r="V219" s="35"/>
      <c r="W219" s="35"/>
      <c r="X219" s="35"/>
      <c r="Y219" s="35"/>
      <c r="Z219" s="35"/>
      <c r="AA219" s="35"/>
    </row>
    <row r="220" spans="1:27" ht="15">
      <c r="A220" s="65" t="s">
        <v>214</v>
      </c>
      <c r="B220" s="65" t="s">
        <v>411</v>
      </c>
      <c r="C220" s="66" t="s">
        <v>3534</v>
      </c>
      <c r="D220" s="67">
        <v>5</v>
      </c>
      <c r="E220" s="68"/>
      <c r="F220" s="69">
        <v>25</v>
      </c>
      <c r="G220" s="66"/>
      <c r="H220" s="70"/>
      <c r="I220" s="71"/>
      <c r="J220" s="71"/>
      <c r="K220" s="35" t="s">
        <v>65</v>
      </c>
      <c r="L220" s="79">
        <v>220</v>
      </c>
      <c r="M220" s="79"/>
      <c r="N220" s="73"/>
      <c r="O220" s="81" t="s">
        <v>613</v>
      </c>
      <c r="P220">
        <v>1</v>
      </c>
      <c r="Q220" s="80" t="str">
        <f>REPLACE(INDEX(GroupVertices[Group],MATCH(Edges[[#This Row],[Vertex 1]],GroupVertices[Vertex],0)),1,1,"")</f>
        <v>6</v>
      </c>
      <c r="R220" s="80" t="str">
        <f>REPLACE(INDEX(GroupVertices[Group],MATCH(Edges[[#This Row],[Vertex 2]],GroupVertices[Vertex],0)),1,1,"")</f>
        <v>6</v>
      </c>
      <c r="S220" s="35"/>
      <c r="T220" s="35"/>
      <c r="U220" s="35"/>
      <c r="V220" s="35"/>
      <c r="W220" s="35"/>
      <c r="X220" s="35"/>
      <c r="Y220" s="35"/>
      <c r="Z220" s="35"/>
      <c r="AA220" s="35"/>
    </row>
    <row r="221" spans="1:27" ht="15">
      <c r="A221" s="65" t="s">
        <v>216</v>
      </c>
      <c r="B221" s="65" t="s">
        <v>411</v>
      </c>
      <c r="C221" s="66" t="s">
        <v>3534</v>
      </c>
      <c r="D221" s="67">
        <v>5</v>
      </c>
      <c r="E221" s="68"/>
      <c r="F221" s="69">
        <v>25</v>
      </c>
      <c r="G221" s="66"/>
      <c r="H221" s="70"/>
      <c r="I221" s="71"/>
      <c r="J221" s="71"/>
      <c r="K221" s="35" t="s">
        <v>65</v>
      </c>
      <c r="L221" s="79">
        <v>221</v>
      </c>
      <c r="M221" s="79"/>
      <c r="N221" s="73"/>
      <c r="O221" s="81" t="s">
        <v>613</v>
      </c>
      <c r="P221">
        <v>1</v>
      </c>
      <c r="Q221" s="80" t="str">
        <f>REPLACE(INDEX(GroupVertices[Group],MATCH(Edges[[#This Row],[Vertex 1]],GroupVertices[Vertex],0)),1,1,"")</f>
        <v>2</v>
      </c>
      <c r="R221" s="80" t="str">
        <f>REPLACE(INDEX(GroupVertices[Group],MATCH(Edges[[#This Row],[Vertex 2]],GroupVertices[Vertex],0)),1,1,"")</f>
        <v>6</v>
      </c>
      <c r="S221" s="35"/>
      <c r="T221" s="35"/>
      <c r="U221" s="35"/>
      <c r="V221" s="35"/>
      <c r="W221" s="35"/>
      <c r="X221" s="35"/>
      <c r="Y221" s="35"/>
      <c r="Z221" s="35"/>
      <c r="AA221" s="35"/>
    </row>
    <row r="222" spans="1:27" ht="15">
      <c r="A222" s="65" t="s">
        <v>216</v>
      </c>
      <c r="B222" s="65" t="s">
        <v>412</v>
      </c>
      <c r="C222" s="66" t="s">
        <v>3534</v>
      </c>
      <c r="D222" s="67">
        <v>5</v>
      </c>
      <c r="E222" s="68"/>
      <c r="F222" s="69">
        <v>25</v>
      </c>
      <c r="G222" s="66"/>
      <c r="H222" s="70"/>
      <c r="I222" s="71"/>
      <c r="J222" s="71"/>
      <c r="K222" s="35" t="s">
        <v>65</v>
      </c>
      <c r="L222" s="79">
        <v>222</v>
      </c>
      <c r="M222" s="79"/>
      <c r="N222" s="73"/>
      <c r="O222" s="81" t="s">
        <v>613</v>
      </c>
      <c r="P222">
        <v>1</v>
      </c>
      <c r="Q222" s="80" t="str">
        <f>REPLACE(INDEX(GroupVertices[Group],MATCH(Edges[[#This Row],[Vertex 1]],GroupVertices[Vertex],0)),1,1,"")</f>
        <v>2</v>
      </c>
      <c r="R222" s="80" t="str">
        <f>REPLACE(INDEX(GroupVertices[Group],MATCH(Edges[[#This Row],[Vertex 2]],GroupVertices[Vertex],0)),1,1,"")</f>
        <v>2</v>
      </c>
      <c r="S222" s="35"/>
      <c r="T222" s="35"/>
      <c r="U222" s="35"/>
      <c r="V222" s="35"/>
      <c r="W222" s="35"/>
      <c r="X222" s="35"/>
      <c r="Y222" s="35"/>
      <c r="Z222" s="35"/>
      <c r="AA222" s="35"/>
    </row>
    <row r="223" spans="1:27" ht="15">
      <c r="A223" s="65" t="s">
        <v>216</v>
      </c>
      <c r="B223" s="65" t="s">
        <v>413</v>
      </c>
      <c r="C223" s="66" t="s">
        <v>3534</v>
      </c>
      <c r="D223" s="67">
        <v>5</v>
      </c>
      <c r="E223" s="68"/>
      <c r="F223" s="69">
        <v>25</v>
      </c>
      <c r="G223" s="66"/>
      <c r="H223" s="70"/>
      <c r="I223" s="71"/>
      <c r="J223" s="71"/>
      <c r="K223" s="35" t="s">
        <v>65</v>
      </c>
      <c r="L223" s="79">
        <v>223</v>
      </c>
      <c r="M223" s="79"/>
      <c r="N223" s="73"/>
      <c r="O223" s="81" t="s">
        <v>613</v>
      </c>
      <c r="P223">
        <v>1</v>
      </c>
      <c r="Q223" s="80" t="str">
        <f>REPLACE(INDEX(GroupVertices[Group],MATCH(Edges[[#This Row],[Vertex 1]],GroupVertices[Vertex],0)),1,1,"")</f>
        <v>2</v>
      </c>
      <c r="R223" s="80" t="str">
        <f>REPLACE(INDEX(GroupVertices[Group],MATCH(Edges[[#This Row],[Vertex 2]],GroupVertices[Vertex],0)),1,1,"")</f>
        <v>2</v>
      </c>
      <c r="S223" s="35"/>
      <c r="T223" s="35"/>
      <c r="U223" s="35"/>
      <c r="V223" s="35"/>
      <c r="W223" s="35"/>
      <c r="X223" s="35"/>
      <c r="Y223" s="35"/>
      <c r="Z223" s="35"/>
      <c r="AA223" s="35"/>
    </row>
    <row r="224" spans="1:27" ht="15">
      <c r="A224" s="65" t="s">
        <v>214</v>
      </c>
      <c r="B224" s="65" t="s">
        <v>414</v>
      </c>
      <c r="C224" s="66" t="s">
        <v>3534</v>
      </c>
      <c r="D224" s="67">
        <v>5</v>
      </c>
      <c r="E224" s="68"/>
      <c r="F224" s="69">
        <v>25</v>
      </c>
      <c r="G224" s="66"/>
      <c r="H224" s="70"/>
      <c r="I224" s="71"/>
      <c r="J224" s="71"/>
      <c r="K224" s="35" t="s">
        <v>65</v>
      </c>
      <c r="L224" s="79">
        <v>224</v>
      </c>
      <c r="M224" s="79"/>
      <c r="N224" s="73"/>
      <c r="O224" s="81" t="s">
        <v>613</v>
      </c>
      <c r="P224">
        <v>1</v>
      </c>
      <c r="Q224" s="80" t="str">
        <f>REPLACE(INDEX(GroupVertices[Group],MATCH(Edges[[#This Row],[Vertex 1]],GroupVertices[Vertex],0)),1,1,"")</f>
        <v>6</v>
      </c>
      <c r="R224" s="80" t="str">
        <f>REPLACE(INDEX(GroupVertices[Group],MATCH(Edges[[#This Row],[Vertex 2]],GroupVertices[Vertex],0)),1,1,"")</f>
        <v>2</v>
      </c>
      <c r="S224" s="35"/>
      <c r="T224" s="35"/>
      <c r="U224" s="35"/>
      <c r="V224" s="35"/>
      <c r="W224" s="35"/>
      <c r="X224" s="35"/>
      <c r="Y224" s="35"/>
      <c r="Z224" s="35"/>
      <c r="AA224" s="35"/>
    </row>
    <row r="225" spans="1:27" ht="15">
      <c r="A225" s="65" t="s">
        <v>216</v>
      </c>
      <c r="B225" s="65" t="s">
        <v>414</v>
      </c>
      <c r="C225" s="66" t="s">
        <v>3534</v>
      </c>
      <c r="D225" s="67">
        <v>5</v>
      </c>
      <c r="E225" s="68"/>
      <c r="F225" s="69">
        <v>25</v>
      </c>
      <c r="G225" s="66"/>
      <c r="H225" s="70"/>
      <c r="I225" s="71"/>
      <c r="J225" s="71"/>
      <c r="K225" s="35" t="s">
        <v>65</v>
      </c>
      <c r="L225" s="79">
        <v>225</v>
      </c>
      <c r="M225" s="79"/>
      <c r="N225" s="73"/>
      <c r="O225" s="81" t="s">
        <v>613</v>
      </c>
      <c r="P225">
        <v>1</v>
      </c>
      <c r="Q225" s="80" t="str">
        <f>REPLACE(INDEX(GroupVertices[Group],MATCH(Edges[[#This Row],[Vertex 1]],GroupVertices[Vertex],0)),1,1,"")</f>
        <v>2</v>
      </c>
      <c r="R225" s="80" t="str">
        <f>REPLACE(INDEX(GroupVertices[Group],MATCH(Edges[[#This Row],[Vertex 2]],GroupVertices[Vertex],0)),1,1,"")</f>
        <v>2</v>
      </c>
      <c r="S225" s="35"/>
      <c r="T225" s="35"/>
      <c r="U225" s="35"/>
      <c r="V225" s="35"/>
      <c r="W225" s="35"/>
      <c r="X225" s="35"/>
      <c r="Y225" s="35"/>
      <c r="Z225" s="35"/>
      <c r="AA225" s="35"/>
    </row>
    <row r="226" spans="1:27" ht="15">
      <c r="A226" s="65" t="s">
        <v>216</v>
      </c>
      <c r="B226" s="65" t="s">
        <v>415</v>
      </c>
      <c r="C226" s="66" t="s">
        <v>3534</v>
      </c>
      <c r="D226" s="67">
        <v>5</v>
      </c>
      <c r="E226" s="68"/>
      <c r="F226" s="69">
        <v>25</v>
      </c>
      <c r="G226" s="66"/>
      <c r="H226" s="70"/>
      <c r="I226" s="71"/>
      <c r="J226" s="71"/>
      <c r="K226" s="35" t="s">
        <v>65</v>
      </c>
      <c r="L226" s="79">
        <v>226</v>
      </c>
      <c r="M226" s="79"/>
      <c r="N226" s="73"/>
      <c r="O226" s="81" t="s">
        <v>613</v>
      </c>
      <c r="P226">
        <v>1</v>
      </c>
      <c r="Q226" s="80" t="str">
        <f>REPLACE(INDEX(GroupVertices[Group],MATCH(Edges[[#This Row],[Vertex 1]],GroupVertices[Vertex],0)),1,1,"")</f>
        <v>2</v>
      </c>
      <c r="R226" s="80" t="str">
        <f>REPLACE(INDEX(GroupVertices[Group],MATCH(Edges[[#This Row],[Vertex 2]],GroupVertices[Vertex],0)),1,1,"")</f>
        <v>2</v>
      </c>
      <c r="S226" s="35"/>
      <c r="T226" s="35"/>
      <c r="U226" s="35"/>
      <c r="V226" s="35"/>
      <c r="W226" s="35"/>
      <c r="X226" s="35"/>
      <c r="Y226" s="35"/>
      <c r="Z226" s="35"/>
      <c r="AA226" s="35"/>
    </row>
    <row r="227" spans="1:27" ht="15">
      <c r="A227" s="65" t="s">
        <v>216</v>
      </c>
      <c r="B227" s="65" t="s">
        <v>416</v>
      </c>
      <c r="C227" s="66" t="s">
        <v>3534</v>
      </c>
      <c r="D227" s="67">
        <v>5</v>
      </c>
      <c r="E227" s="68"/>
      <c r="F227" s="69">
        <v>25</v>
      </c>
      <c r="G227" s="66"/>
      <c r="H227" s="70"/>
      <c r="I227" s="71"/>
      <c r="J227" s="71"/>
      <c r="K227" s="35" t="s">
        <v>65</v>
      </c>
      <c r="L227" s="79">
        <v>227</v>
      </c>
      <c r="M227" s="79"/>
      <c r="N227" s="73"/>
      <c r="O227" s="81" t="s">
        <v>613</v>
      </c>
      <c r="P227">
        <v>1</v>
      </c>
      <c r="Q227" s="80" t="str">
        <f>REPLACE(INDEX(GroupVertices[Group],MATCH(Edges[[#This Row],[Vertex 1]],GroupVertices[Vertex],0)),1,1,"")</f>
        <v>2</v>
      </c>
      <c r="R227" s="80" t="str">
        <f>REPLACE(INDEX(GroupVertices[Group],MATCH(Edges[[#This Row],[Vertex 2]],GroupVertices[Vertex],0)),1,1,"")</f>
        <v>2</v>
      </c>
      <c r="S227" s="35"/>
      <c r="T227" s="35"/>
      <c r="U227" s="35"/>
      <c r="V227" s="35"/>
      <c r="W227" s="35"/>
      <c r="X227" s="35"/>
      <c r="Y227" s="35"/>
      <c r="Z227" s="35"/>
      <c r="AA227" s="35"/>
    </row>
    <row r="228" spans="1:27" ht="15">
      <c r="A228" s="65" t="s">
        <v>216</v>
      </c>
      <c r="B228" s="65" t="s">
        <v>417</v>
      </c>
      <c r="C228" s="66" t="s">
        <v>3534</v>
      </c>
      <c r="D228" s="67">
        <v>5</v>
      </c>
      <c r="E228" s="68"/>
      <c r="F228" s="69">
        <v>25</v>
      </c>
      <c r="G228" s="66"/>
      <c r="H228" s="70"/>
      <c r="I228" s="71"/>
      <c r="J228" s="71"/>
      <c r="K228" s="35" t="s">
        <v>65</v>
      </c>
      <c r="L228" s="79">
        <v>228</v>
      </c>
      <c r="M228" s="79"/>
      <c r="N228" s="73"/>
      <c r="O228" s="81" t="s">
        <v>613</v>
      </c>
      <c r="P228">
        <v>1</v>
      </c>
      <c r="Q228" s="80" t="str">
        <f>REPLACE(INDEX(GroupVertices[Group],MATCH(Edges[[#This Row],[Vertex 1]],GroupVertices[Vertex],0)),1,1,"")</f>
        <v>2</v>
      </c>
      <c r="R228" s="80" t="str">
        <f>REPLACE(INDEX(GroupVertices[Group],MATCH(Edges[[#This Row],[Vertex 2]],GroupVertices[Vertex],0)),1,1,"")</f>
        <v>2</v>
      </c>
      <c r="S228" s="35"/>
      <c r="T228" s="35"/>
      <c r="U228" s="35"/>
      <c r="V228" s="35"/>
      <c r="W228" s="35"/>
      <c r="X228" s="35"/>
      <c r="Y228" s="35"/>
      <c r="Z228" s="35"/>
      <c r="AA228" s="35"/>
    </row>
    <row r="229" spans="1:27" ht="15">
      <c r="A229" s="65" t="s">
        <v>216</v>
      </c>
      <c r="B229" s="65" t="s">
        <v>418</v>
      </c>
      <c r="C229" s="66" t="s">
        <v>3534</v>
      </c>
      <c r="D229" s="67">
        <v>5</v>
      </c>
      <c r="E229" s="68"/>
      <c r="F229" s="69">
        <v>25</v>
      </c>
      <c r="G229" s="66"/>
      <c r="H229" s="70"/>
      <c r="I229" s="71"/>
      <c r="J229" s="71"/>
      <c r="K229" s="35" t="s">
        <v>65</v>
      </c>
      <c r="L229" s="79">
        <v>229</v>
      </c>
      <c r="M229" s="79"/>
      <c r="N229" s="73"/>
      <c r="O229" s="81" t="s">
        <v>613</v>
      </c>
      <c r="P229">
        <v>1</v>
      </c>
      <c r="Q229" s="80" t="str">
        <f>REPLACE(INDEX(GroupVertices[Group],MATCH(Edges[[#This Row],[Vertex 1]],GroupVertices[Vertex],0)),1,1,"")</f>
        <v>2</v>
      </c>
      <c r="R229" s="80" t="str">
        <f>REPLACE(INDEX(GroupVertices[Group],MATCH(Edges[[#This Row],[Vertex 2]],GroupVertices[Vertex],0)),1,1,"")</f>
        <v>2</v>
      </c>
      <c r="S229" s="35"/>
      <c r="T229" s="35"/>
      <c r="U229" s="35"/>
      <c r="V229" s="35"/>
      <c r="W229" s="35"/>
      <c r="X229" s="35"/>
      <c r="Y229" s="35"/>
      <c r="Z229" s="35"/>
      <c r="AA229" s="35"/>
    </row>
    <row r="230" spans="1:27" ht="15">
      <c r="A230" s="65" t="s">
        <v>216</v>
      </c>
      <c r="B230" s="65" t="s">
        <v>419</v>
      </c>
      <c r="C230" s="66" t="s">
        <v>3534</v>
      </c>
      <c r="D230" s="67">
        <v>5</v>
      </c>
      <c r="E230" s="68"/>
      <c r="F230" s="69">
        <v>25</v>
      </c>
      <c r="G230" s="66"/>
      <c r="H230" s="70"/>
      <c r="I230" s="71"/>
      <c r="J230" s="71"/>
      <c r="K230" s="35" t="s">
        <v>65</v>
      </c>
      <c r="L230" s="79">
        <v>230</v>
      </c>
      <c r="M230" s="79"/>
      <c r="N230" s="73"/>
      <c r="O230" s="81" t="s">
        <v>613</v>
      </c>
      <c r="P230">
        <v>1</v>
      </c>
      <c r="Q230" s="80" t="str">
        <f>REPLACE(INDEX(GroupVertices[Group],MATCH(Edges[[#This Row],[Vertex 1]],GroupVertices[Vertex],0)),1,1,"")</f>
        <v>2</v>
      </c>
      <c r="R230" s="80" t="str">
        <f>REPLACE(INDEX(GroupVertices[Group],MATCH(Edges[[#This Row],[Vertex 2]],GroupVertices[Vertex],0)),1,1,"")</f>
        <v>2</v>
      </c>
      <c r="S230" s="35"/>
      <c r="T230" s="35"/>
      <c r="U230" s="35"/>
      <c r="V230" s="35"/>
      <c r="W230" s="35"/>
      <c r="X230" s="35"/>
      <c r="Y230" s="35"/>
      <c r="Z230" s="35"/>
      <c r="AA230" s="35"/>
    </row>
    <row r="231" spans="1:27" ht="15">
      <c r="A231" s="65" t="s">
        <v>214</v>
      </c>
      <c r="B231" s="65" t="s">
        <v>420</v>
      </c>
      <c r="C231" s="66" t="s">
        <v>3534</v>
      </c>
      <c r="D231" s="67">
        <v>5</v>
      </c>
      <c r="E231" s="68"/>
      <c r="F231" s="69">
        <v>25</v>
      </c>
      <c r="G231" s="66"/>
      <c r="H231" s="70"/>
      <c r="I231" s="71"/>
      <c r="J231" s="71"/>
      <c r="K231" s="35" t="s">
        <v>65</v>
      </c>
      <c r="L231" s="79">
        <v>231</v>
      </c>
      <c r="M231" s="79"/>
      <c r="N231" s="73"/>
      <c r="O231" s="81" t="s">
        <v>613</v>
      </c>
      <c r="P231">
        <v>1</v>
      </c>
      <c r="Q231" s="80" t="str">
        <f>REPLACE(INDEX(GroupVertices[Group],MATCH(Edges[[#This Row],[Vertex 1]],GroupVertices[Vertex],0)),1,1,"")</f>
        <v>6</v>
      </c>
      <c r="R231" s="80" t="str">
        <f>REPLACE(INDEX(GroupVertices[Group],MATCH(Edges[[#This Row],[Vertex 2]],GroupVertices[Vertex],0)),1,1,"")</f>
        <v>2</v>
      </c>
      <c r="S231" s="35"/>
      <c r="T231" s="35"/>
      <c r="U231" s="35"/>
      <c r="V231" s="35"/>
      <c r="W231" s="35"/>
      <c r="X231" s="35"/>
      <c r="Y231" s="35"/>
      <c r="Z231" s="35"/>
      <c r="AA231" s="35"/>
    </row>
    <row r="232" spans="1:27" ht="15">
      <c r="A232" s="65" t="s">
        <v>216</v>
      </c>
      <c r="B232" s="65" t="s">
        <v>420</v>
      </c>
      <c r="C232" s="66" t="s">
        <v>3534</v>
      </c>
      <c r="D232" s="67">
        <v>5</v>
      </c>
      <c r="E232" s="68"/>
      <c r="F232" s="69">
        <v>25</v>
      </c>
      <c r="G232" s="66"/>
      <c r="H232" s="70"/>
      <c r="I232" s="71"/>
      <c r="J232" s="71"/>
      <c r="K232" s="35" t="s">
        <v>65</v>
      </c>
      <c r="L232" s="79">
        <v>232</v>
      </c>
      <c r="M232" s="79"/>
      <c r="N232" s="73"/>
      <c r="O232" s="81" t="s">
        <v>613</v>
      </c>
      <c r="P232">
        <v>1</v>
      </c>
      <c r="Q232" s="80" t="str">
        <f>REPLACE(INDEX(GroupVertices[Group],MATCH(Edges[[#This Row],[Vertex 1]],GroupVertices[Vertex],0)),1,1,"")</f>
        <v>2</v>
      </c>
      <c r="R232" s="80" t="str">
        <f>REPLACE(INDEX(GroupVertices[Group],MATCH(Edges[[#This Row],[Vertex 2]],GroupVertices[Vertex],0)),1,1,"")</f>
        <v>2</v>
      </c>
      <c r="S232" s="35"/>
      <c r="T232" s="35"/>
      <c r="U232" s="35"/>
      <c r="V232" s="35"/>
      <c r="W232" s="35"/>
      <c r="X232" s="35"/>
      <c r="Y232" s="35"/>
      <c r="Z232" s="35"/>
      <c r="AA232" s="35"/>
    </row>
    <row r="233" spans="1:27" ht="15">
      <c r="A233" s="65" t="s">
        <v>216</v>
      </c>
      <c r="B233" s="65" t="s">
        <v>421</v>
      </c>
      <c r="C233" s="66" t="s">
        <v>3534</v>
      </c>
      <c r="D233" s="67">
        <v>5</v>
      </c>
      <c r="E233" s="68"/>
      <c r="F233" s="69">
        <v>25</v>
      </c>
      <c r="G233" s="66"/>
      <c r="H233" s="70"/>
      <c r="I233" s="71"/>
      <c r="J233" s="71"/>
      <c r="K233" s="35" t="s">
        <v>65</v>
      </c>
      <c r="L233" s="79">
        <v>233</v>
      </c>
      <c r="M233" s="79"/>
      <c r="N233" s="73"/>
      <c r="O233" s="81" t="s">
        <v>613</v>
      </c>
      <c r="P233">
        <v>1</v>
      </c>
      <c r="Q233" s="80" t="str">
        <f>REPLACE(INDEX(GroupVertices[Group],MATCH(Edges[[#This Row],[Vertex 1]],GroupVertices[Vertex],0)),1,1,"")</f>
        <v>2</v>
      </c>
      <c r="R233" s="80" t="str">
        <f>REPLACE(INDEX(GroupVertices[Group],MATCH(Edges[[#This Row],[Vertex 2]],GroupVertices[Vertex],0)),1,1,"")</f>
        <v>2</v>
      </c>
      <c r="S233" s="35"/>
      <c r="T233" s="35"/>
      <c r="U233" s="35"/>
      <c r="V233" s="35"/>
      <c r="W233" s="35"/>
      <c r="X233" s="35"/>
      <c r="Y233" s="35"/>
      <c r="Z233" s="35"/>
      <c r="AA233" s="35"/>
    </row>
    <row r="234" spans="1:27" ht="15">
      <c r="A234" s="65" t="s">
        <v>216</v>
      </c>
      <c r="B234" s="65" t="s">
        <v>422</v>
      </c>
      <c r="C234" s="66" t="s">
        <v>3534</v>
      </c>
      <c r="D234" s="67">
        <v>5</v>
      </c>
      <c r="E234" s="68"/>
      <c r="F234" s="69">
        <v>25</v>
      </c>
      <c r="G234" s="66"/>
      <c r="H234" s="70"/>
      <c r="I234" s="71"/>
      <c r="J234" s="71"/>
      <c r="K234" s="35" t="s">
        <v>65</v>
      </c>
      <c r="L234" s="79">
        <v>234</v>
      </c>
      <c r="M234" s="79"/>
      <c r="N234" s="73"/>
      <c r="O234" s="81" t="s">
        <v>613</v>
      </c>
      <c r="P234">
        <v>1</v>
      </c>
      <c r="Q234" s="80" t="str">
        <f>REPLACE(INDEX(GroupVertices[Group],MATCH(Edges[[#This Row],[Vertex 1]],GroupVertices[Vertex],0)),1,1,"")</f>
        <v>2</v>
      </c>
      <c r="R234" s="80" t="str">
        <f>REPLACE(INDEX(GroupVertices[Group],MATCH(Edges[[#This Row],[Vertex 2]],GroupVertices[Vertex],0)),1,1,"")</f>
        <v>2</v>
      </c>
      <c r="S234" s="35"/>
      <c r="T234" s="35"/>
      <c r="U234" s="35"/>
      <c r="V234" s="35"/>
      <c r="W234" s="35"/>
      <c r="X234" s="35"/>
      <c r="Y234" s="35"/>
      <c r="Z234" s="35"/>
      <c r="AA234" s="35"/>
    </row>
    <row r="235" spans="1:27" ht="15">
      <c r="A235" s="65" t="s">
        <v>212</v>
      </c>
      <c r="B235" s="65" t="s">
        <v>423</v>
      </c>
      <c r="C235" s="66" t="s">
        <v>3534</v>
      </c>
      <c r="D235" s="67">
        <v>5</v>
      </c>
      <c r="E235" s="68"/>
      <c r="F235" s="69">
        <v>25</v>
      </c>
      <c r="G235" s="66"/>
      <c r="H235" s="70"/>
      <c r="I235" s="71"/>
      <c r="J235" s="71"/>
      <c r="K235" s="35" t="s">
        <v>65</v>
      </c>
      <c r="L235" s="79">
        <v>235</v>
      </c>
      <c r="M235" s="79"/>
      <c r="N235" s="73"/>
      <c r="O235" s="81" t="s">
        <v>613</v>
      </c>
      <c r="P235">
        <v>1</v>
      </c>
      <c r="Q235" s="80" t="str">
        <f>REPLACE(INDEX(GroupVertices[Group],MATCH(Edges[[#This Row],[Vertex 1]],GroupVertices[Vertex],0)),1,1,"")</f>
        <v>7</v>
      </c>
      <c r="R235" s="80" t="str">
        <f>REPLACE(INDEX(GroupVertices[Group],MATCH(Edges[[#This Row],[Vertex 2]],GroupVertices[Vertex],0)),1,1,"")</f>
        <v>4</v>
      </c>
      <c r="S235" s="35"/>
      <c r="T235" s="35"/>
      <c r="U235" s="35"/>
      <c r="V235" s="35"/>
      <c r="W235" s="35"/>
      <c r="X235" s="35"/>
      <c r="Y235" s="35"/>
      <c r="Z235" s="35"/>
      <c r="AA235" s="35"/>
    </row>
    <row r="236" spans="1:27" ht="15">
      <c r="A236" s="65" t="s">
        <v>213</v>
      </c>
      <c r="B236" s="65" t="s">
        <v>423</v>
      </c>
      <c r="C236" s="66" t="s">
        <v>3534</v>
      </c>
      <c r="D236" s="67">
        <v>5</v>
      </c>
      <c r="E236" s="68"/>
      <c r="F236" s="69">
        <v>25</v>
      </c>
      <c r="G236" s="66"/>
      <c r="H236" s="70"/>
      <c r="I236" s="71"/>
      <c r="J236" s="71"/>
      <c r="K236" s="35" t="s">
        <v>65</v>
      </c>
      <c r="L236" s="79">
        <v>236</v>
      </c>
      <c r="M236" s="79"/>
      <c r="N236" s="73"/>
      <c r="O236" s="81" t="s">
        <v>613</v>
      </c>
      <c r="P236">
        <v>1</v>
      </c>
      <c r="Q236" s="80" t="str">
        <f>REPLACE(INDEX(GroupVertices[Group],MATCH(Edges[[#This Row],[Vertex 1]],GroupVertices[Vertex],0)),1,1,"")</f>
        <v>4</v>
      </c>
      <c r="R236" s="80" t="str">
        <f>REPLACE(INDEX(GroupVertices[Group],MATCH(Edges[[#This Row],[Vertex 2]],GroupVertices[Vertex],0)),1,1,"")</f>
        <v>4</v>
      </c>
      <c r="S236" s="35"/>
      <c r="T236" s="35"/>
      <c r="U236" s="35"/>
      <c r="V236" s="35"/>
      <c r="W236" s="35"/>
      <c r="X236" s="35"/>
      <c r="Y236" s="35"/>
      <c r="Z236" s="35"/>
      <c r="AA236" s="35"/>
    </row>
    <row r="237" spans="1:27" ht="15">
      <c r="A237" s="65" t="s">
        <v>214</v>
      </c>
      <c r="B237" s="65" t="s">
        <v>423</v>
      </c>
      <c r="C237" s="66" t="s">
        <v>3534</v>
      </c>
      <c r="D237" s="67">
        <v>5</v>
      </c>
      <c r="E237" s="68"/>
      <c r="F237" s="69">
        <v>25</v>
      </c>
      <c r="G237" s="66"/>
      <c r="H237" s="70"/>
      <c r="I237" s="71"/>
      <c r="J237" s="71"/>
      <c r="K237" s="35" t="s">
        <v>65</v>
      </c>
      <c r="L237" s="79">
        <v>237</v>
      </c>
      <c r="M237" s="79"/>
      <c r="N237" s="73"/>
      <c r="O237" s="81" t="s">
        <v>613</v>
      </c>
      <c r="P237">
        <v>1</v>
      </c>
      <c r="Q237" s="80" t="str">
        <f>REPLACE(INDEX(GroupVertices[Group],MATCH(Edges[[#This Row],[Vertex 1]],GroupVertices[Vertex],0)),1,1,"")</f>
        <v>6</v>
      </c>
      <c r="R237" s="80" t="str">
        <f>REPLACE(INDEX(GroupVertices[Group],MATCH(Edges[[#This Row],[Vertex 2]],GroupVertices[Vertex],0)),1,1,"")</f>
        <v>4</v>
      </c>
      <c r="S237" s="35"/>
      <c r="T237" s="35"/>
      <c r="U237" s="35"/>
      <c r="V237" s="35"/>
      <c r="W237" s="35"/>
      <c r="X237" s="35"/>
      <c r="Y237" s="35"/>
      <c r="Z237" s="35"/>
      <c r="AA237" s="35"/>
    </row>
    <row r="238" spans="1:27" ht="15">
      <c r="A238" s="65" t="s">
        <v>216</v>
      </c>
      <c r="B238" s="65" t="s">
        <v>423</v>
      </c>
      <c r="C238" s="66" t="s">
        <v>3534</v>
      </c>
      <c r="D238" s="67">
        <v>5</v>
      </c>
      <c r="E238" s="68"/>
      <c r="F238" s="69">
        <v>25</v>
      </c>
      <c r="G238" s="66"/>
      <c r="H238" s="70"/>
      <c r="I238" s="71"/>
      <c r="J238" s="71"/>
      <c r="K238" s="35" t="s">
        <v>65</v>
      </c>
      <c r="L238" s="79">
        <v>238</v>
      </c>
      <c r="M238" s="79"/>
      <c r="N238" s="73"/>
      <c r="O238" s="81" t="s">
        <v>613</v>
      </c>
      <c r="P238">
        <v>1</v>
      </c>
      <c r="Q238" s="80" t="str">
        <f>REPLACE(INDEX(GroupVertices[Group],MATCH(Edges[[#This Row],[Vertex 1]],GroupVertices[Vertex],0)),1,1,"")</f>
        <v>2</v>
      </c>
      <c r="R238" s="80" t="str">
        <f>REPLACE(INDEX(GroupVertices[Group],MATCH(Edges[[#This Row],[Vertex 2]],GroupVertices[Vertex],0)),1,1,"")</f>
        <v>4</v>
      </c>
      <c r="S238" s="35"/>
      <c r="T238" s="35"/>
      <c r="U238" s="35"/>
      <c r="V238" s="35"/>
      <c r="W238" s="35"/>
      <c r="X238" s="35"/>
      <c r="Y238" s="35"/>
      <c r="Z238" s="35"/>
      <c r="AA238" s="35"/>
    </row>
    <row r="239" spans="1:27" ht="15">
      <c r="A239" s="65" t="s">
        <v>216</v>
      </c>
      <c r="B239" s="65" t="s">
        <v>424</v>
      </c>
      <c r="C239" s="66" t="s">
        <v>3534</v>
      </c>
      <c r="D239" s="67">
        <v>5</v>
      </c>
      <c r="E239" s="68"/>
      <c r="F239" s="69">
        <v>25</v>
      </c>
      <c r="G239" s="66"/>
      <c r="H239" s="70"/>
      <c r="I239" s="71"/>
      <c r="J239" s="71"/>
      <c r="K239" s="35" t="s">
        <v>65</v>
      </c>
      <c r="L239" s="79">
        <v>239</v>
      </c>
      <c r="M239" s="79"/>
      <c r="N239" s="73"/>
      <c r="O239" s="81" t="s">
        <v>613</v>
      </c>
      <c r="P239">
        <v>1</v>
      </c>
      <c r="Q239" s="80" t="str">
        <f>REPLACE(INDEX(GroupVertices[Group],MATCH(Edges[[#This Row],[Vertex 1]],GroupVertices[Vertex],0)),1,1,"")</f>
        <v>2</v>
      </c>
      <c r="R239" s="80" t="str">
        <f>REPLACE(INDEX(GroupVertices[Group],MATCH(Edges[[#This Row],[Vertex 2]],GroupVertices[Vertex],0)),1,1,"")</f>
        <v>2</v>
      </c>
      <c r="S239" s="35"/>
      <c r="T239" s="35"/>
      <c r="U239" s="35"/>
      <c r="V239" s="35"/>
      <c r="W239" s="35"/>
      <c r="X239" s="35"/>
      <c r="Y239" s="35"/>
      <c r="Z239" s="35"/>
      <c r="AA239" s="35"/>
    </row>
    <row r="240" spans="1:27" ht="15">
      <c r="A240" s="65" t="s">
        <v>214</v>
      </c>
      <c r="B240" s="65" t="s">
        <v>425</v>
      </c>
      <c r="C240" s="66" t="s">
        <v>3534</v>
      </c>
      <c r="D240" s="67">
        <v>5</v>
      </c>
      <c r="E240" s="68"/>
      <c r="F240" s="69">
        <v>25</v>
      </c>
      <c r="G240" s="66"/>
      <c r="H240" s="70"/>
      <c r="I240" s="71"/>
      <c r="J240" s="71"/>
      <c r="K240" s="35" t="s">
        <v>65</v>
      </c>
      <c r="L240" s="79">
        <v>240</v>
      </c>
      <c r="M240" s="79"/>
      <c r="N240" s="73"/>
      <c r="O240" s="81" t="s">
        <v>613</v>
      </c>
      <c r="P240">
        <v>1</v>
      </c>
      <c r="Q240" s="80" t="str">
        <f>REPLACE(INDEX(GroupVertices[Group],MATCH(Edges[[#This Row],[Vertex 1]],GroupVertices[Vertex],0)),1,1,"")</f>
        <v>6</v>
      </c>
      <c r="R240" s="80" t="str">
        <f>REPLACE(INDEX(GroupVertices[Group],MATCH(Edges[[#This Row],[Vertex 2]],GroupVertices[Vertex],0)),1,1,"")</f>
        <v>2</v>
      </c>
      <c r="S240" s="35"/>
      <c r="T240" s="35"/>
      <c r="U240" s="35"/>
      <c r="V240" s="35"/>
      <c r="W240" s="35"/>
      <c r="X240" s="35"/>
      <c r="Y240" s="35"/>
      <c r="Z240" s="35"/>
      <c r="AA240" s="35"/>
    </row>
    <row r="241" spans="1:27" ht="15">
      <c r="A241" s="65" t="s">
        <v>216</v>
      </c>
      <c r="B241" s="65" t="s">
        <v>425</v>
      </c>
      <c r="C241" s="66" t="s">
        <v>3534</v>
      </c>
      <c r="D241" s="67">
        <v>5</v>
      </c>
      <c r="E241" s="68"/>
      <c r="F241" s="69">
        <v>25</v>
      </c>
      <c r="G241" s="66"/>
      <c r="H241" s="70"/>
      <c r="I241" s="71"/>
      <c r="J241" s="71"/>
      <c r="K241" s="35" t="s">
        <v>65</v>
      </c>
      <c r="L241" s="79">
        <v>241</v>
      </c>
      <c r="M241" s="79"/>
      <c r="N241" s="73"/>
      <c r="O241" s="81" t="s">
        <v>613</v>
      </c>
      <c r="P241">
        <v>1</v>
      </c>
      <c r="Q241" s="80" t="str">
        <f>REPLACE(INDEX(GroupVertices[Group],MATCH(Edges[[#This Row],[Vertex 1]],GroupVertices[Vertex],0)),1,1,"")</f>
        <v>2</v>
      </c>
      <c r="R241" s="80" t="str">
        <f>REPLACE(INDEX(GroupVertices[Group],MATCH(Edges[[#This Row],[Vertex 2]],GroupVertices[Vertex],0)),1,1,"")</f>
        <v>2</v>
      </c>
      <c r="S241" s="35"/>
      <c r="T241" s="35"/>
      <c r="U241" s="35"/>
      <c r="V241" s="35"/>
      <c r="W241" s="35"/>
      <c r="X241" s="35"/>
      <c r="Y241" s="35"/>
      <c r="Z241" s="35"/>
      <c r="AA241" s="35"/>
    </row>
    <row r="242" spans="1:27" ht="15">
      <c r="A242" s="65" t="s">
        <v>216</v>
      </c>
      <c r="B242" s="65" t="s">
        <v>426</v>
      </c>
      <c r="C242" s="66" t="s">
        <v>3534</v>
      </c>
      <c r="D242" s="67">
        <v>5</v>
      </c>
      <c r="E242" s="68"/>
      <c r="F242" s="69">
        <v>25</v>
      </c>
      <c r="G242" s="66"/>
      <c r="H242" s="70"/>
      <c r="I242" s="71"/>
      <c r="J242" s="71"/>
      <c r="K242" s="35" t="s">
        <v>65</v>
      </c>
      <c r="L242" s="79">
        <v>242</v>
      </c>
      <c r="M242" s="79"/>
      <c r="N242" s="73"/>
      <c r="O242" s="81" t="s">
        <v>613</v>
      </c>
      <c r="P242">
        <v>1</v>
      </c>
      <c r="Q242" s="80" t="str">
        <f>REPLACE(INDEX(GroupVertices[Group],MATCH(Edges[[#This Row],[Vertex 1]],GroupVertices[Vertex],0)),1,1,"")</f>
        <v>2</v>
      </c>
      <c r="R242" s="80" t="str">
        <f>REPLACE(INDEX(GroupVertices[Group],MATCH(Edges[[#This Row],[Vertex 2]],GroupVertices[Vertex],0)),1,1,"")</f>
        <v>2</v>
      </c>
      <c r="S242" s="35"/>
      <c r="T242" s="35"/>
      <c r="U242" s="35"/>
      <c r="V242" s="35"/>
      <c r="W242" s="35"/>
      <c r="X242" s="35"/>
      <c r="Y242" s="35"/>
      <c r="Z242" s="35"/>
      <c r="AA242" s="35"/>
    </row>
    <row r="243" spans="1:27" ht="15">
      <c r="A243" s="65" t="s">
        <v>216</v>
      </c>
      <c r="B243" s="65" t="s">
        <v>427</v>
      </c>
      <c r="C243" s="66" t="s">
        <v>3534</v>
      </c>
      <c r="D243" s="67">
        <v>5</v>
      </c>
      <c r="E243" s="68"/>
      <c r="F243" s="69">
        <v>25</v>
      </c>
      <c r="G243" s="66"/>
      <c r="H243" s="70"/>
      <c r="I243" s="71"/>
      <c r="J243" s="71"/>
      <c r="K243" s="35" t="s">
        <v>65</v>
      </c>
      <c r="L243" s="79">
        <v>243</v>
      </c>
      <c r="M243" s="79"/>
      <c r="N243" s="73"/>
      <c r="O243" s="81" t="s">
        <v>613</v>
      </c>
      <c r="P243">
        <v>1</v>
      </c>
      <c r="Q243" s="80" t="str">
        <f>REPLACE(INDEX(GroupVertices[Group],MATCH(Edges[[#This Row],[Vertex 1]],GroupVertices[Vertex],0)),1,1,"")</f>
        <v>2</v>
      </c>
      <c r="R243" s="80" t="str">
        <f>REPLACE(INDEX(GroupVertices[Group],MATCH(Edges[[#This Row],[Vertex 2]],GroupVertices[Vertex],0)),1,1,"")</f>
        <v>2</v>
      </c>
      <c r="S243" s="35"/>
      <c r="T243" s="35"/>
      <c r="U243" s="35"/>
      <c r="V243" s="35"/>
      <c r="W243" s="35"/>
      <c r="X243" s="35"/>
      <c r="Y243" s="35"/>
      <c r="Z243" s="35"/>
      <c r="AA243" s="35"/>
    </row>
    <row r="244" spans="1:27" ht="15">
      <c r="A244" s="65" t="s">
        <v>216</v>
      </c>
      <c r="B244" s="65" t="s">
        <v>428</v>
      </c>
      <c r="C244" s="66" t="s">
        <v>3534</v>
      </c>
      <c r="D244" s="67">
        <v>5</v>
      </c>
      <c r="E244" s="68"/>
      <c r="F244" s="69">
        <v>25</v>
      </c>
      <c r="G244" s="66"/>
      <c r="H244" s="70"/>
      <c r="I244" s="71"/>
      <c r="J244" s="71"/>
      <c r="K244" s="35" t="s">
        <v>65</v>
      </c>
      <c r="L244" s="79">
        <v>244</v>
      </c>
      <c r="M244" s="79"/>
      <c r="N244" s="73"/>
      <c r="O244" s="81" t="s">
        <v>613</v>
      </c>
      <c r="P244">
        <v>1</v>
      </c>
      <c r="Q244" s="80" t="str">
        <f>REPLACE(INDEX(GroupVertices[Group],MATCH(Edges[[#This Row],[Vertex 1]],GroupVertices[Vertex],0)),1,1,"")</f>
        <v>2</v>
      </c>
      <c r="R244" s="80" t="str">
        <f>REPLACE(INDEX(GroupVertices[Group],MATCH(Edges[[#This Row],[Vertex 2]],GroupVertices[Vertex],0)),1,1,"")</f>
        <v>2</v>
      </c>
      <c r="S244" s="35"/>
      <c r="T244" s="35"/>
      <c r="U244" s="35"/>
      <c r="V244" s="35"/>
      <c r="W244" s="35"/>
      <c r="X244" s="35"/>
      <c r="Y244" s="35"/>
      <c r="Z244" s="35"/>
      <c r="AA244" s="35"/>
    </row>
    <row r="245" spans="1:27" ht="15">
      <c r="A245" s="65" t="s">
        <v>213</v>
      </c>
      <c r="B245" s="65" t="s">
        <v>380</v>
      </c>
      <c r="C245" s="66" t="s">
        <v>3534</v>
      </c>
      <c r="D245" s="67">
        <v>5</v>
      </c>
      <c r="E245" s="68"/>
      <c r="F245" s="69">
        <v>25</v>
      </c>
      <c r="G245" s="66"/>
      <c r="H245" s="70"/>
      <c r="I245" s="71"/>
      <c r="J245" s="71"/>
      <c r="K245" s="35" t="s">
        <v>65</v>
      </c>
      <c r="L245" s="79">
        <v>245</v>
      </c>
      <c r="M245" s="79"/>
      <c r="N245" s="73"/>
      <c r="O245" s="81" t="s">
        <v>613</v>
      </c>
      <c r="P245">
        <v>1</v>
      </c>
      <c r="Q245" s="80" t="str">
        <f>REPLACE(INDEX(GroupVertices[Group],MATCH(Edges[[#This Row],[Vertex 1]],GroupVertices[Vertex],0)),1,1,"")</f>
        <v>4</v>
      </c>
      <c r="R245" s="80" t="str">
        <f>REPLACE(INDEX(GroupVertices[Group],MATCH(Edges[[#This Row],[Vertex 2]],GroupVertices[Vertex],0)),1,1,"")</f>
        <v>2</v>
      </c>
      <c r="S245" s="35"/>
      <c r="T245" s="35"/>
      <c r="U245" s="35"/>
      <c r="V245" s="35"/>
      <c r="W245" s="35"/>
      <c r="X245" s="35"/>
      <c r="Y245" s="35"/>
      <c r="Z245" s="35"/>
      <c r="AA245" s="35"/>
    </row>
    <row r="246" spans="1:27" ht="15">
      <c r="A246" s="65" t="s">
        <v>216</v>
      </c>
      <c r="B246" s="65" t="s">
        <v>380</v>
      </c>
      <c r="C246" s="66" t="s">
        <v>3534</v>
      </c>
      <c r="D246" s="67">
        <v>5</v>
      </c>
      <c r="E246" s="68"/>
      <c r="F246" s="69">
        <v>25</v>
      </c>
      <c r="G246" s="66"/>
      <c r="H246" s="70"/>
      <c r="I246" s="71"/>
      <c r="J246" s="71"/>
      <c r="K246" s="35" t="s">
        <v>65</v>
      </c>
      <c r="L246" s="79">
        <v>246</v>
      </c>
      <c r="M246" s="79"/>
      <c r="N246" s="73"/>
      <c r="O246" s="81" t="s">
        <v>613</v>
      </c>
      <c r="P246">
        <v>1</v>
      </c>
      <c r="Q246" s="80" t="str">
        <f>REPLACE(INDEX(GroupVertices[Group],MATCH(Edges[[#This Row],[Vertex 1]],GroupVertices[Vertex],0)),1,1,"")</f>
        <v>2</v>
      </c>
      <c r="R246" s="80" t="str">
        <f>REPLACE(INDEX(GroupVertices[Group],MATCH(Edges[[#This Row],[Vertex 2]],GroupVertices[Vertex],0)),1,1,"")</f>
        <v>2</v>
      </c>
      <c r="S246" s="35"/>
      <c r="T246" s="35"/>
      <c r="U246" s="35"/>
      <c r="V246" s="35"/>
      <c r="W246" s="35"/>
      <c r="X246" s="35"/>
      <c r="Y246" s="35"/>
      <c r="Z246" s="35"/>
      <c r="AA246" s="35"/>
    </row>
    <row r="247" spans="1:27" ht="15">
      <c r="A247" s="65" t="s">
        <v>216</v>
      </c>
      <c r="B247" s="65" t="s">
        <v>429</v>
      </c>
      <c r="C247" s="66" t="s">
        <v>3534</v>
      </c>
      <c r="D247" s="67">
        <v>5</v>
      </c>
      <c r="E247" s="68"/>
      <c r="F247" s="69">
        <v>25</v>
      </c>
      <c r="G247" s="66"/>
      <c r="H247" s="70"/>
      <c r="I247" s="71"/>
      <c r="J247" s="71"/>
      <c r="K247" s="35" t="s">
        <v>65</v>
      </c>
      <c r="L247" s="79">
        <v>247</v>
      </c>
      <c r="M247" s="79"/>
      <c r="N247" s="73"/>
      <c r="O247" s="81" t="s">
        <v>613</v>
      </c>
      <c r="P247">
        <v>1</v>
      </c>
      <c r="Q247" s="80" t="str">
        <f>REPLACE(INDEX(GroupVertices[Group],MATCH(Edges[[#This Row],[Vertex 1]],GroupVertices[Vertex],0)),1,1,"")</f>
        <v>2</v>
      </c>
      <c r="R247" s="80" t="str">
        <f>REPLACE(INDEX(GroupVertices[Group],MATCH(Edges[[#This Row],[Vertex 2]],GroupVertices[Vertex],0)),1,1,"")</f>
        <v>2</v>
      </c>
      <c r="S247" s="35"/>
      <c r="T247" s="35"/>
      <c r="U247" s="35"/>
      <c r="V247" s="35"/>
      <c r="W247" s="35"/>
      <c r="X247" s="35"/>
      <c r="Y247" s="35"/>
      <c r="Z247" s="35"/>
      <c r="AA247" s="35"/>
    </row>
    <row r="248" spans="1:27" ht="15">
      <c r="A248" s="65" t="s">
        <v>216</v>
      </c>
      <c r="B248" s="65" t="s">
        <v>430</v>
      </c>
      <c r="C248" s="66" t="s">
        <v>3534</v>
      </c>
      <c r="D248" s="67">
        <v>5</v>
      </c>
      <c r="E248" s="68"/>
      <c r="F248" s="69">
        <v>25</v>
      </c>
      <c r="G248" s="66"/>
      <c r="H248" s="70"/>
      <c r="I248" s="71"/>
      <c r="J248" s="71"/>
      <c r="K248" s="35" t="s">
        <v>65</v>
      </c>
      <c r="L248" s="79">
        <v>248</v>
      </c>
      <c r="M248" s="79"/>
      <c r="N248" s="73"/>
      <c r="O248" s="81" t="s">
        <v>613</v>
      </c>
      <c r="P248">
        <v>1</v>
      </c>
      <c r="Q248" s="80" t="str">
        <f>REPLACE(INDEX(GroupVertices[Group],MATCH(Edges[[#This Row],[Vertex 1]],GroupVertices[Vertex],0)),1,1,"")</f>
        <v>2</v>
      </c>
      <c r="R248" s="80" t="str">
        <f>REPLACE(INDEX(GroupVertices[Group],MATCH(Edges[[#This Row],[Vertex 2]],GroupVertices[Vertex],0)),1,1,"")</f>
        <v>2</v>
      </c>
      <c r="S248" s="35"/>
      <c r="T248" s="35"/>
      <c r="U248" s="35"/>
      <c r="V248" s="35"/>
      <c r="W248" s="35"/>
      <c r="X248" s="35"/>
      <c r="Y248" s="35"/>
      <c r="Z248" s="35"/>
      <c r="AA248" s="35"/>
    </row>
    <row r="249" spans="1:27" ht="15">
      <c r="A249" s="65" t="s">
        <v>216</v>
      </c>
      <c r="B249" s="65" t="s">
        <v>431</v>
      </c>
      <c r="C249" s="66" t="s">
        <v>3534</v>
      </c>
      <c r="D249" s="67">
        <v>5</v>
      </c>
      <c r="E249" s="68"/>
      <c r="F249" s="69">
        <v>25</v>
      </c>
      <c r="G249" s="66"/>
      <c r="H249" s="70"/>
      <c r="I249" s="71"/>
      <c r="J249" s="71"/>
      <c r="K249" s="35" t="s">
        <v>65</v>
      </c>
      <c r="L249" s="79">
        <v>249</v>
      </c>
      <c r="M249" s="79"/>
      <c r="N249" s="73"/>
      <c r="O249" s="81" t="s">
        <v>613</v>
      </c>
      <c r="P249">
        <v>1</v>
      </c>
      <c r="Q249" s="80" t="str">
        <f>REPLACE(INDEX(GroupVertices[Group],MATCH(Edges[[#This Row],[Vertex 1]],GroupVertices[Vertex],0)),1,1,"")</f>
        <v>2</v>
      </c>
      <c r="R249" s="80" t="str">
        <f>REPLACE(INDEX(GroupVertices[Group],MATCH(Edges[[#This Row],[Vertex 2]],GroupVertices[Vertex],0)),1,1,"")</f>
        <v>2</v>
      </c>
      <c r="S249" s="35"/>
      <c r="T249" s="35"/>
      <c r="U249" s="35"/>
      <c r="V249" s="35"/>
      <c r="W249" s="35"/>
      <c r="X249" s="35"/>
      <c r="Y249" s="35"/>
      <c r="Z249" s="35"/>
      <c r="AA249" s="35"/>
    </row>
    <row r="250" spans="1:27" ht="15">
      <c r="A250" s="65" t="s">
        <v>216</v>
      </c>
      <c r="B250" s="65" t="s">
        <v>432</v>
      </c>
      <c r="C250" s="66" t="s">
        <v>3534</v>
      </c>
      <c r="D250" s="67">
        <v>5</v>
      </c>
      <c r="E250" s="68"/>
      <c r="F250" s="69">
        <v>25</v>
      </c>
      <c r="G250" s="66"/>
      <c r="H250" s="70"/>
      <c r="I250" s="71"/>
      <c r="J250" s="71"/>
      <c r="K250" s="35" t="s">
        <v>65</v>
      </c>
      <c r="L250" s="79">
        <v>250</v>
      </c>
      <c r="M250" s="79"/>
      <c r="N250" s="73"/>
      <c r="O250" s="81" t="s">
        <v>613</v>
      </c>
      <c r="P250">
        <v>1</v>
      </c>
      <c r="Q250" s="80" t="str">
        <f>REPLACE(INDEX(GroupVertices[Group],MATCH(Edges[[#This Row],[Vertex 1]],GroupVertices[Vertex],0)),1,1,"")</f>
        <v>2</v>
      </c>
      <c r="R250" s="80" t="str">
        <f>REPLACE(INDEX(GroupVertices[Group],MATCH(Edges[[#This Row],[Vertex 2]],GroupVertices[Vertex],0)),1,1,"")</f>
        <v>2</v>
      </c>
      <c r="S250" s="35"/>
      <c r="T250" s="35"/>
      <c r="U250" s="35"/>
      <c r="V250" s="35"/>
      <c r="W250" s="35"/>
      <c r="X250" s="35"/>
      <c r="Y250" s="35"/>
      <c r="Z250" s="35"/>
      <c r="AA250" s="35"/>
    </row>
    <row r="251" spans="1:27" ht="15">
      <c r="A251" s="65" t="s">
        <v>216</v>
      </c>
      <c r="B251" s="65" t="s">
        <v>433</v>
      </c>
      <c r="C251" s="66" t="s">
        <v>3534</v>
      </c>
      <c r="D251" s="67">
        <v>5</v>
      </c>
      <c r="E251" s="68"/>
      <c r="F251" s="69">
        <v>25</v>
      </c>
      <c r="G251" s="66"/>
      <c r="H251" s="70"/>
      <c r="I251" s="71"/>
      <c r="J251" s="71"/>
      <c r="K251" s="35" t="s">
        <v>65</v>
      </c>
      <c r="L251" s="79">
        <v>251</v>
      </c>
      <c r="M251" s="79"/>
      <c r="N251" s="73"/>
      <c r="O251" s="81" t="s">
        <v>613</v>
      </c>
      <c r="P251">
        <v>1</v>
      </c>
      <c r="Q251" s="80" t="str">
        <f>REPLACE(INDEX(GroupVertices[Group],MATCH(Edges[[#This Row],[Vertex 1]],GroupVertices[Vertex],0)),1,1,"")</f>
        <v>2</v>
      </c>
      <c r="R251" s="80" t="str">
        <f>REPLACE(INDEX(GroupVertices[Group],MATCH(Edges[[#This Row],[Vertex 2]],GroupVertices[Vertex],0)),1,1,"")</f>
        <v>2</v>
      </c>
      <c r="S251" s="35"/>
      <c r="T251" s="35"/>
      <c r="U251" s="35"/>
      <c r="V251" s="35"/>
      <c r="W251" s="35"/>
      <c r="X251" s="35"/>
      <c r="Y251" s="35"/>
      <c r="Z251" s="35"/>
      <c r="AA251" s="35"/>
    </row>
    <row r="252" spans="1:27" ht="15">
      <c r="A252" s="65" t="s">
        <v>216</v>
      </c>
      <c r="B252" s="65" t="s">
        <v>434</v>
      </c>
      <c r="C252" s="66" t="s">
        <v>3534</v>
      </c>
      <c r="D252" s="67">
        <v>5</v>
      </c>
      <c r="E252" s="68"/>
      <c r="F252" s="69">
        <v>25</v>
      </c>
      <c r="G252" s="66"/>
      <c r="H252" s="70"/>
      <c r="I252" s="71"/>
      <c r="J252" s="71"/>
      <c r="K252" s="35" t="s">
        <v>65</v>
      </c>
      <c r="L252" s="79">
        <v>252</v>
      </c>
      <c r="M252" s="79"/>
      <c r="N252" s="73"/>
      <c r="O252" s="81" t="s">
        <v>613</v>
      </c>
      <c r="P252">
        <v>1</v>
      </c>
      <c r="Q252" s="80" t="str">
        <f>REPLACE(INDEX(GroupVertices[Group],MATCH(Edges[[#This Row],[Vertex 1]],GroupVertices[Vertex],0)),1,1,"")</f>
        <v>2</v>
      </c>
      <c r="R252" s="80" t="str">
        <f>REPLACE(INDEX(GroupVertices[Group],MATCH(Edges[[#This Row],[Vertex 2]],GroupVertices[Vertex],0)),1,1,"")</f>
        <v>2</v>
      </c>
      <c r="S252" s="35"/>
      <c r="T252" s="35"/>
      <c r="U252" s="35"/>
      <c r="V252" s="35"/>
      <c r="W252" s="35"/>
      <c r="X252" s="35"/>
      <c r="Y252" s="35"/>
      <c r="Z252" s="35"/>
      <c r="AA252" s="35"/>
    </row>
    <row r="253" spans="1:27" ht="15">
      <c r="A253" s="65" t="s">
        <v>216</v>
      </c>
      <c r="B253" s="65" t="s">
        <v>435</v>
      </c>
      <c r="C253" s="66" t="s">
        <v>3534</v>
      </c>
      <c r="D253" s="67">
        <v>5</v>
      </c>
      <c r="E253" s="68"/>
      <c r="F253" s="69">
        <v>25</v>
      </c>
      <c r="G253" s="66"/>
      <c r="H253" s="70"/>
      <c r="I253" s="71"/>
      <c r="J253" s="71"/>
      <c r="K253" s="35" t="s">
        <v>65</v>
      </c>
      <c r="L253" s="79">
        <v>253</v>
      </c>
      <c r="M253" s="79"/>
      <c r="N253" s="73"/>
      <c r="O253" s="81" t="s">
        <v>613</v>
      </c>
      <c r="P253">
        <v>1</v>
      </c>
      <c r="Q253" s="80" t="str">
        <f>REPLACE(INDEX(GroupVertices[Group],MATCH(Edges[[#This Row],[Vertex 1]],GroupVertices[Vertex],0)),1,1,"")</f>
        <v>2</v>
      </c>
      <c r="R253" s="80" t="str">
        <f>REPLACE(INDEX(GroupVertices[Group],MATCH(Edges[[#This Row],[Vertex 2]],GroupVertices[Vertex],0)),1,1,"")</f>
        <v>2</v>
      </c>
      <c r="S253" s="35"/>
      <c r="T253" s="35"/>
      <c r="U253" s="35"/>
      <c r="V253" s="35"/>
      <c r="W253" s="35"/>
      <c r="X253" s="35"/>
      <c r="Y253" s="35"/>
      <c r="Z253" s="35"/>
      <c r="AA253" s="35"/>
    </row>
    <row r="254" spans="1:27" ht="15">
      <c r="A254" s="65" t="s">
        <v>216</v>
      </c>
      <c r="B254" s="65" t="s">
        <v>436</v>
      </c>
      <c r="C254" s="66" t="s">
        <v>3534</v>
      </c>
      <c r="D254" s="67">
        <v>5</v>
      </c>
      <c r="E254" s="68"/>
      <c r="F254" s="69">
        <v>25</v>
      </c>
      <c r="G254" s="66"/>
      <c r="H254" s="70"/>
      <c r="I254" s="71"/>
      <c r="J254" s="71"/>
      <c r="K254" s="35" t="s">
        <v>65</v>
      </c>
      <c r="L254" s="79">
        <v>254</v>
      </c>
      <c r="M254" s="79"/>
      <c r="N254" s="73"/>
      <c r="O254" s="81" t="s">
        <v>613</v>
      </c>
      <c r="P254">
        <v>1</v>
      </c>
      <c r="Q254" s="80" t="str">
        <f>REPLACE(INDEX(GroupVertices[Group],MATCH(Edges[[#This Row],[Vertex 1]],GroupVertices[Vertex],0)),1,1,"")</f>
        <v>2</v>
      </c>
      <c r="R254" s="80" t="str">
        <f>REPLACE(INDEX(GroupVertices[Group],MATCH(Edges[[#This Row],[Vertex 2]],GroupVertices[Vertex],0)),1,1,"")</f>
        <v>2</v>
      </c>
      <c r="S254" s="35"/>
      <c r="T254" s="35"/>
      <c r="U254" s="35"/>
      <c r="V254" s="35"/>
      <c r="W254" s="35"/>
      <c r="X254" s="35"/>
      <c r="Y254" s="35"/>
      <c r="Z254" s="35"/>
      <c r="AA254" s="35"/>
    </row>
    <row r="255" spans="1:27" ht="15">
      <c r="A255" s="65" t="s">
        <v>216</v>
      </c>
      <c r="B255" s="65" t="s">
        <v>437</v>
      </c>
      <c r="C255" s="66" t="s">
        <v>3534</v>
      </c>
      <c r="D255" s="67">
        <v>5</v>
      </c>
      <c r="E255" s="68"/>
      <c r="F255" s="69">
        <v>25</v>
      </c>
      <c r="G255" s="66"/>
      <c r="H255" s="70"/>
      <c r="I255" s="71"/>
      <c r="J255" s="71"/>
      <c r="K255" s="35" t="s">
        <v>65</v>
      </c>
      <c r="L255" s="79">
        <v>255</v>
      </c>
      <c r="M255" s="79"/>
      <c r="N255" s="73"/>
      <c r="O255" s="81" t="s">
        <v>613</v>
      </c>
      <c r="P255">
        <v>1</v>
      </c>
      <c r="Q255" s="80" t="str">
        <f>REPLACE(INDEX(GroupVertices[Group],MATCH(Edges[[#This Row],[Vertex 1]],GroupVertices[Vertex],0)),1,1,"")</f>
        <v>2</v>
      </c>
      <c r="R255" s="80" t="str">
        <f>REPLACE(INDEX(GroupVertices[Group],MATCH(Edges[[#This Row],[Vertex 2]],GroupVertices[Vertex],0)),1,1,"")</f>
        <v>2</v>
      </c>
      <c r="S255" s="35"/>
      <c r="T255" s="35"/>
      <c r="U255" s="35"/>
      <c r="V255" s="35"/>
      <c r="W255" s="35"/>
      <c r="X255" s="35"/>
      <c r="Y255" s="35"/>
      <c r="Z255" s="35"/>
      <c r="AA255" s="35"/>
    </row>
    <row r="256" spans="1:27" ht="15">
      <c r="A256" s="65" t="s">
        <v>216</v>
      </c>
      <c r="B256" s="65" t="s">
        <v>438</v>
      </c>
      <c r="C256" s="66" t="s">
        <v>3534</v>
      </c>
      <c r="D256" s="67">
        <v>5</v>
      </c>
      <c r="E256" s="68"/>
      <c r="F256" s="69">
        <v>25</v>
      </c>
      <c r="G256" s="66"/>
      <c r="H256" s="70"/>
      <c r="I256" s="71"/>
      <c r="J256" s="71"/>
      <c r="K256" s="35" t="s">
        <v>65</v>
      </c>
      <c r="L256" s="79">
        <v>256</v>
      </c>
      <c r="M256" s="79"/>
      <c r="N256" s="73"/>
      <c r="O256" s="81" t="s">
        <v>613</v>
      </c>
      <c r="P256">
        <v>1</v>
      </c>
      <c r="Q256" s="80" t="str">
        <f>REPLACE(INDEX(GroupVertices[Group],MATCH(Edges[[#This Row],[Vertex 1]],GroupVertices[Vertex],0)),1,1,"")</f>
        <v>2</v>
      </c>
      <c r="R256" s="80" t="str">
        <f>REPLACE(INDEX(GroupVertices[Group],MATCH(Edges[[#This Row],[Vertex 2]],GroupVertices[Vertex],0)),1,1,"")</f>
        <v>2</v>
      </c>
      <c r="S256" s="35"/>
      <c r="T256" s="35"/>
      <c r="U256" s="35"/>
      <c r="V256" s="35"/>
      <c r="W256" s="35"/>
      <c r="X256" s="35"/>
      <c r="Y256" s="35"/>
      <c r="Z256" s="35"/>
      <c r="AA256" s="35"/>
    </row>
    <row r="257" spans="1:27" ht="15">
      <c r="A257" s="65" t="s">
        <v>212</v>
      </c>
      <c r="B257" s="65" t="s">
        <v>439</v>
      </c>
      <c r="C257" s="66" t="s">
        <v>3534</v>
      </c>
      <c r="D257" s="67">
        <v>5</v>
      </c>
      <c r="E257" s="68"/>
      <c r="F257" s="69">
        <v>25</v>
      </c>
      <c r="G257" s="66"/>
      <c r="H257" s="70"/>
      <c r="I257" s="71"/>
      <c r="J257" s="71"/>
      <c r="K257" s="35" t="s">
        <v>65</v>
      </c>
      <c r="L257" s="79">
        <v>257</v>
      </c>
      <c r="M257" s="79"/>
      <c r="N257" s="73"/>
      <c r="O257" s="81" t="s">
        <v>613</v>
      </c>
      <c r="P257">
        <v>1</v>
      </c>
      <c r="Q257" s="80" t="str">
        <f>REPLACE(INDEX(GroupVertices[Group],MATCH(Edges[[#This Row],[Vertex 1]],GroupVertices[Vertex],0)),1,1,"")</f>
        <v>7</v>
      </c>
      <c r="R257" s="80" t="str">
        <f>REPLACE(INDEX(GroupVertices[Group],MATCH(Edges[[#This Row],[Vertex 2]],GroupVertices[Vertex],0)),1,1,"")</f>
        <v>7</v>
      </c>
      <c r="S257" s="35"/>
      <c r="T257" s="35"/>
      <c r="U257" s="35"/>
      <c r="V257" s="35"/>
      <c r="W257" s="35"/>
      <c r="X257" s="35"/>
      <c r="Y257" s="35"/>
      <c r="Z257" s="35"/>
      <c r="AA257" s="35"/>
    </row>
    <row r="258" spans="1:27" ht="15">
      <c r="A258" s="65" t="s">
        <v>213</v>
      </c>
      <c r="B258" s="65" t="s">
        <v>439</v>
      </c>
      <c r="C258" s="66" t="s">
        <v>3534</v>
      </c>
      <c r="D258" s="67">
        <v>5</v>
      </c>
      <c r="E258" s="68"/>
      <c r="F258" s="69">
        <v>25</v>
      </c>
      <c r="G258" s="66"/>
      <c r="H258" s="70"/>
      <c r="I258" s="71"/>
      <c r="J258" s="71"/>
      <c r="K258" s="35" t="s">
        <v>65</v>
      </c>
      <c r="L258" s="79">
        <v>258</v>
      </c>
      <c r="M258" s="79"/>
      <c r="N258" s="73"/>
      <c r="O258" s="81" t="s">
        <v>613</v>
      </c>
      <c r="P258">
        <v>1</v>
      </c>
      <c r="Q258" s="80" t="str">
        <f>REPLACE(INDEX(GroupVertices[Group],MATCH(Edges[[#This Row],[Vertex 1]],GroupVertices[Vertex],0)),1,1,"")</f>
        <v>4</v>
      </c>
      <c r="R258" s="80" t="str">
        <f>REPLACE(INDEX(GroupVertices[Group],MATCH(Edges[[#This Row],[Vertex 2]],GroupVertices[Vertex],0)),1,1,"")</f>
        <v>7</v>
      </c>
      <c r="S258" s="35"/>
      <c r="T258" s="35"/>
      <c r="U258" s="35"/>
      <c r="V258" s="35"/>
      <c r="W258" s="35"/>
      <c r="X258" s="35"/>
      <c r="Y258" s="35"/>
      <c r="Z258" s="35"/>
      <c r="AA258" s="35"/>
    </row>
    <row r="259" spans="1:27" ht="15">
      <c r="A259" s="65" t="s">
        <v>216</v>
      </c>
      <c r="B259" s="65" t="s">
        <v>439</v>
      </c>
      <c r="C259" s="66" t="s">
        <v>3534</v>
      </c>
      <c r="D259" s="67">
        <v>5</v>
      </c>
      <c r="E259" s="68"/>
      <c r="F259" s="69">
        <v>25</v>
      </c>
      <c r="G259" s="66"/>
      <c r="H259" s="70"/>
      <c r="I259" s="71"/>
      <c r="J259" s="71"/>
      <c r="K259" s="35" t="s">
        <v>65</v>
      </c>
      <c r="L259" s="79">
        <v>259</v>
      </c>
      <c r="M259" s="79"/>
      <c r="N259" s="73"/>
      <c r="O259" s="81" t="s">
        <v>613</v>
      </c>
      <c r="P259">
        <v>1</v>
      </c>
      <c r="Q259" s="80" t="str">
        <f>REPLACE(INDEX(GroupVertices[Group],MATCH(Edges[[#This Row],[Vertex 1]],GroupVertices[Vertex],0)),1,1,"")</f>
        <v>2</v>
      </c>
      <c r="R259" s="80" t="str">
        <f>REPLACE(INDEX(GroupVertices[Group],MATCH(Edges[[#This Row],[Vertex 2]],GroupVertices[Vertex],0)),1,1,"")</f>
        <v>7</v>
      </c>
      <c r="S259" s="35"/>
      <c r="T259" s="35"/>
      <c r="U259" s="35"/>
      <c r="V259" s="35"/>
      <c r="W259" s="35"/>
      <c r="X259" s="35"/>
      <c r="Y259" s="35"/>
      <c r="Z259" s="35"/>
      <c r="AA259" s="35"/>
    </row>
    <row r="260" spans="1:27" ht="15">
      <c r="A260" s="65" t="s">
        <v>216</v>
      </c>
      <c r="B260" s="65" t="s">
        <v>440</v>
      </c>
      <c r="C260" s="66" t="s">
        <v>3534</v>
      </c>
      <c r="D260" s="67">
        <v>5</v>
      </c>
      <c r="E260" s="68"/>
      <c r="F260" s="69">
        <v>25</v>
      </c>
      <c r="G260" s="66"/>
      <c r="H260" s="70"/>
      <c r="I260" s="71"/>
      <c r="J260" s="71"/>
      <c r="K260" s="35" t="s">
        <v>65</v>
      </c>
      <c r="L260" s="79">
        <v>260</v>
      </c>
      <c r="M260" s="79"/>
      <c r="N260" s="73"/>
      <c r="O260" s="81" t="s">
        <v>613</v>
      </c>
      <c r="P260">
        <v>1</v>
      </c>
      <c r="Q260" s="80" t="str">
        <f>REPLACE(INDEX(GroupVertices[Group],MATCH(Edges[[#This Row],[Vertex 1]],GroupVertices[Vertex],0)),1,1,"")</f>
        <v>2</v>
      </c>
      <c r="R260" s="80" t="str">
        <f>REPLACE(INDEX(GroupVertices[Group],MATCH(Edges[[#This Row],[Vertex 2]],GroupVertices[Vertex],0)),1,1,"")</f>
        <v>2</v>
      </c>
      <c r="S260" s="35"/>
      <c r="T260" s="35"/>
      <c r="U260" s="35"/>
      <c r="V260" s="35"/>
      <c r="W260" s="35"/>
      <c r="X260" s="35"/>
      <c r="Y260" s="35"/>
      <c r="Z260" s="35"/>
      <c r="AA260" s="35"/>
    </row>
    <row r="261" spans="1:27" ht="15">
      <c r="A261" s="65" t="s">
        <v>216</v>
      </c>
      <c r="B261" s="65" t="s">
        <v>441</v>
      </c>
      <c r="C261" s="66" t="s">
        <v>3534</v>
      </c>
      <c r="D261" s="67">
        <v>5</v>
      </c>
      <c r="E261" s="68"/>
      <c r="F261" s="69">
        <v>25</v>
      </c>
      <c r="G261" s="66"/>
      <c r="H261" s="70"/>
      <c r="I261" s="71"/>
      <c r="J261" s="71"/>
      <c r="K261" s="35" t="s">
        <v>65</v>
      </c>
      <c r="L261" s="79">
        <v>261</v>
      </c>
      <c r="M261" s="79"/>
      <c r="N261" s="73"/>
      <c r="O261" s="81" t="s">
        <v>613</v>
      </c>
      <c r="P261">
        <v>1</v>
      </c>
      <c r="Q261" s="80" t="str">
        <f>REPLACE(INDEX(GroupVertices[Group],MATCH(Edges[[#This Row],[Vertex 1]],GroupVertices[Vertex],0)),1,1,"")</f>
        <v>2</v>
      </c>
      <c r="R261" s="80" t="str">
        <f>REPLACE(INDEX(GroupVertices[Group],MATCH(Edges[[#This Row],[Vertex 2]],GroupVertices[Vertex],0)),1,1,"")</f>
        <v>2</v>
      </c>
      <c r="S261" s="35"/>
      <c r="T261" s="35"/>
      <c r="U261" s="35"/>
      <c r="V261" s="35"/>
      <c r="W261" s="35"/>
      <c r="X261" s="35"/>
      <c r="Y261" s="35"/>
      <c r="Z261" s="35"/>
      <c r="AA261" s="35"/>
    </row>
    <row r="262" spans="1:27" ht="15">
      <c r="A262" s="65" t="s">
        <v>216</v>
      </c>
      <c r="B262" s="65" t="s">
        <v>442</v>
      </c>
      <c r="C262" s="66" t="s">
        <v>3534</v>
      </c>
      <c r="D262" s="67">
        <v>5</v>
      </c>
      <c r="E262" s="68"/>
      <c r="F262" s="69">
        <v>25</v>
      </c>
      <c r="G262" s="66"/>
      <c r="H262" s="70"/>
      <c r="I262" s="71"/>
      <c r="J262" s="71"/>
      <c r="K262" s="35" t="s">
        <v>65</v>
      </c>
      <c r="L262" s="79">
        <v>262</v>
      </c>
      <c r="M262" s="79"/>
      <c r="N262" s="73"/>
      <c r="O262" s="81" t="s">
        <v>613</v>
      </c>
      <c r="P262">
        <v>1</v>
      </c>
      <c r="Q262" s="80" t="str">
        <f>REPLACE(INDEX(GroupVertices[Group],MATCH(Edges[[#This Row],[Vertex 1]],GroupVertices[Vertex],0)),1,1,"")</f>
        <v>2</v>
      </c>
      <c r="R262" s="80" t="str">
        <f>REPLACE(INDEX(GroupVertices[Group],MATCH(Edges[[#This Row],[Vertex 2]],GroupVertices[Vertex],0)),1,1,"")</f>
        <v>2</v>
      </c>
      <c r="S262" s="35"/>
      <c r="T262" s="35"/>
      <c r="U262" s="35"/>
      <c r="V262" s="35"/>
      <c r="W262" s="35"/>
      <c r="X262" s="35"/>
      <c r="Y262" s="35"/>
      <c r="Z262" s="35"/>
      <c r="AA262" s="35"/>
    </row>
    <row r="263" spans="1:27" ht="15">
      <c r="A263" s="65" t="s">
        <v>216</v>
      </c>
      <c r="B263" s="65" t="s">
        <v>443</v>
      </c>
      <c r="C263" s="66" t="s">
        <v>3534</v>
      </c>
      <c r="D263" s="67">
        <v>5</v>
      </c>
      <c r="E263" s="68"/>
      <c r="F263" s="69">
        <v>25</v>
      </c>
      <c r="G263" s="66"/>
      <c r="H263" s="70"/>
      <c r="I263" s="71"/>
      <c r="J263" s="71"/>
      <c r="K263" s="35" t="s">
        <v>65</v>
      </c>
      <c r="L263" s="79">
        <v>263</v>
      </c>
      <c r="M263" s="79"/>
      <c r="N263" s="73"/>
      <c r="O263" s="81" t="s">
        <v>613</v>
      </c>
      <c r="P263">
        <v>1</v>
      </c>
      <c r="Q263" s="80" t="str">
        <f>REPLACE(INDEX(GroupVertices[Group],MATCH(Edges[[#This Row],[Vertex 1]],GroupVertices[Vertex],0)),1,1,"")</f>
        <v>2</v>
      </c>
      <c r="R263" s="80" t="str">
        <f>REPLACE(INDEX(GroupVertices[Group],MATCH(Edges[[#This Row],[Vertex 2]],GroupVertices[Vertex],0)),1,1,"")</f>
        <v>2</v>
      </c>
      <c r="S263" s="35"/>
      <c r="T263" s="35"/>
      <c r="U263" s="35"/>
      <c r="V263" s="35"/>
      <c r="W263" s="35"/>
      <c r="X263" s="35"/>
      <c r="Y263" s="35"/>
      <c r="Z263" s="35"/>
      <c r="AA263" s="35"/>
    </row>
    <row r="264" spans="1:27" ht="15">
      <c r="A264" s="65" t="s">
        <v>216</v>
      </c>
      <c r="B264" s="65" t="s">
        <v>444</v>
      </c>
      <c r="C264" s="66" t="s">
        <v>3534</v>
      </c>
      <c r="D264" s="67">
        <v>5</v>
      </c>
      <c r="E264" s="68"/>
      <c r="F264" s="69">
        <v>25</v>
      </c>
      <c r="G264" s="66"/>
      <c r="H264" s="70"/>
      <c r="I264" s="71"/>
      <c r="J264" s="71"/>
      <c r="K264" s="35" t="s">
        <v>65</v>
      </c>
      <c r="L264" s="79">
        <v>264</v>
      </c>
      <c r="M264" s="79"/>
      <c r="N264" s="73"/>
      <c r="O264" s="81" t="s">
        <v>613</v>
      </c>
      <c r="P264">
        <v>1</v>
      </c>
      <c r="Q264" s="80" t="str">
        <f>REPLACE(INDEX(GroupVertices[Group],MATCH(Edges[[#This Row],[Vertex 1]],GroupVertices[Vertex],0)),1,1,"")</f>
        <v>2</v>
      </c>
      <c r="R264" s="80" t="str">
        <f>REPLACE(INDEX(GroupVertices[Group],MATCH(Edges[[#This Row],[Vertex 2]],GroupVertices[Vertex],0)),1,1,"")</f>
        <v>2</v>
      </c>
      <c r="S264" s="35"/>
      <c r="T264" s="35"/>
      <c r="U264" s="35"/>
      <c r="V264" s="35"/>
      <c r="W264" s="35"/>
      <c r="X264" s="35"/>
      <c r="Y264" s="35"/>
      <c r="Z264" s="35"/>
      <c r="AA264" s="35"/>
    </row>
    <row r="265" spans="1:27" ht="15">
      <c r="A265" s="65" t="s">
        <v>216</v>
      </c>
      <c r="B265" s="65" t="s">
        <v>445</v>
      </c>
      <c r="C265" s="66" t="s">
        <v>3534</v>
      </c>
      <c r="D265" s="67">
        <v>5</v>
      </c>
      <c r="E265" s="68"/>
      <c r="F265" s="69">
        <v>25</v>
      </c>
      <c r="G265" s="66"/>
      <c r="H265" s="70"/>
      <c r="I265" s="71"/>
      <c r="J265" s="71"/>
      <c r="K265" s="35" t="s">
        <v>65</v>
      </c>
      <c r="L265" s="79">
        <v>265</v>
      </c>
      <c r="M265" s="79"/>
      <c r="N265" s="73"/>
      <c r="O265" s="81" t="s">
        <v>613</v>
      </c>
      <c r="P265">
        <v>1</v>
      </c>
      <c r="Q265" s="80" t="str">
        <f>REPLACE(INDEX(GroupVertices[Group],MATCH(Edges[[#This Row],[Vertex 1]],GroupVertices[Vertex],0)),1,1,"")</f>
        <v>2</v>
      </c>
      <c r="R265" s="80" t="str">
        <f>REPLACE(INDEX(GroupVertices[Group],MATCH(Edges[[#This Row],[Vertex 2]],GroupVertices[Vertex],0)),1,1,"")</f>
        <v>2</v>
      </c>
      <c r="S265" s="35"/>
      <c r="T265" s="35"/>
      <c r="U265" s="35"/>
      <c r="V265" s="35"/>
      <c r="W265" s="35"/>
      <c r="X265" s="35"/>
      <c r="Y265" s="35"/>
      <c r="Z265" s="35"/>
      <c r="AA265" s="35"/>
    </row>
    <row r="266" spans="1:27" ht="15">
      <c r="A266" s="65" t="s">
        <v>213</v>
      </c>
      <c r="B266" s="65" t="s">
        <v>446</v>
      </c>
      <c r="C266" s="66" t="s">
        <v>3534</v>
      </c>
      <c r="D266" s="67">
        <v>5</v>
      </c>
      <c r="E266" s="68"/>
      <c r="F266" s="69">
        <v>25</v>
      </c>
      <c r="G266" s="66"/>
      <c r="H266" s="70"/>
      <c r="I266" s="71"/>
      <c r="J266" s="71"/>
      <c r="K266" s="35" t="s">
        <v>65</v>
      </c>
      <c r="L266" s="79">
        <v>266</v>
      </c>
      <c r="M266" s="79"/>
      <c r="N266" s="73"/>
      <c r="O266" s="81" t="s">
        <v>613</v>
      </c>
      <c r="P266">
        <v>1</v>
      </c>
      <c r="Q266" s="80" t="str">
        <f>REPLACE(INDEX(GroupVertices[Group],MATCH(Edges[[#This Row],[Vertex 1]],GroupVertices[Vertex],0)),1,1,"")</f>
        <v>4</v>
      </c>
      <c r="R266" s="80" t="str">
        <f>REPLACE(INDEX(GroupVertices[Group],MATCH(Edges[[#This Row],[Vertex 2]],GroupVertices[Vertex],0)),1,1,"")</f>
        <v>2</v>
      </c>
      <c r="S266" s="35"/>
      <c r="T266" s="35"/>
      <c r="U266" s="35"/>
      <c r="V266" s="35"/>
      <c r="W266" s="35"/>
      <c r="X266" s="35"/>
      <c r="Y266" s="35"/>
      <c r="Z266" s="35"/>
      <c r="AA266" s="35"/>
    </row>
    <row r="267" spans="1:27" ht="15">
      <c r="A267" s="65" t="s">
        <v>216</v>
      </c>
      <c r="B267" s="65" t="s">
        <v>446</v>
      </c>
      <c r="C267" s="66" t="s">
        <v>3534</v>
      </c>
      <c r="D267" s="67">
        <v>5</v>
      </c>
      <c r="E267" s="68"/>
      <c r="F267" s="69">
        <v>25</v>
      </c>
      <c r="G267" s="66"/>
      <c r="H267" s="70"/>
      <c r="I267" s="71"/>
      <c r="J267" s="71"/>
      <c r="K267" s="35" t="s">
        <v>65</v>
      </c>
      <c r="L267" s="79">
        <v>267</v>
      </c>
      <c r="M267" s="79"/>
      <c r="N267" s="73"/>
      <c r="O267" s="81" t="s">
        <v>613</v>
      </c>
      <c r="P267">
        <v>1</v>
      </c>
      <c r="Q267" s="80" t="str">
        <f>REPLACE(INDEX(GroupVertices[Group],MATCH(Edges[[#This Row],[Vertex 1]],GroupVertices[Vertex],0)),1,1,"")</f>
        <v>2</v>
      </c>
      <c r="R267" s="80" t="str">
        <f>REPLACE(INDEX(GroupVertices[Group],MATCH(Edges[[#This Row],[Vertex 2]],GroupVertices[Vertex],0)),1,1,"")</f>
        <v>2</v>
      </c>
      <c r="S267" s="35"/>
      <c r="T267" s="35"/>
      <c r="U267" s="35"/>
      <c r="V267" s="35"/>
      <c r="W267" s="35"/>
      <c r="X267" s="35"/>
      <c r="Y267" s="35"/>
      <c r="Z267" s="35"/>
      <c r="AA267" s="35"/>
    </row>
    <row r="268" spans="1:27" ht="15">
      <c r="A268" s="65" t="s">
        <v>217</v>
      </c>
      <c r="B268" s="65" t="s">
        <v>447</v>
      </c>
      <c r="C268" s="66" t="s">
        <v>3534</v>
      </c>
      <c r="D268" s="67">
        <v>5</v>
      </c>
      <c r="E268" s="68"/>
      <c r="F268" s="69">
        <v>25</v>
      </c>
      <c r="G268" s="66"/>
      <c r="H268" s="70"/>
      <c r="I268" s="71"/>
      <c r="J268" s="71"/>
      <c r="K268" s="35" t="s">
        <v>65</v>
      </c>
      <c r="L268" s="79">
        <v>268</v>
      </c>
      <c r="M268" s="79"/>
      <c r="N268" s="73"/>
      <c r="O268" s="81" t="s">
        <v>613</v>
      </c>
      <c r="P268">
        <v>1</v>
      </c>
      <c r="Q268" s="80" t="str">
        <f>REPLACE(INDEX(GroupVertices[Group],MATCH(Edges[[#This Row],[Vertex 1]],GroupVertices[Vertex],0)),1,1,"")</f>
        <v>1</v>
      </c>
      <c r="R268" s="80" t="str">
        <f>REPLACE(INDEX(GroupVertices[Group],MATCH(Edges[[#This Row],[Vertex 2]],GroupVertices[Vertex],0)),1,1,"")</f>
        <v>1</v>
      </c>
      <c r="S268" s="35"/>
      <c r="T268" s="35"/>
      <c r="U268" s="35"/>
      <c r="V268" s="35"/>
      <c r="W268" s="35"/>
      <c r="X268" s="35"/>
      <c r="Y268" s="35"/>
      <c r="Z268" s="35"/>
      <c r="AA268" s="35"/>
    </row>
    <row r="269" spans="1:27" ht="15">
      <c r="A269" s="65" t="s">
        <v>217</v>
      </c>
      <c r="B269" s="65" t="s">
        <v>448</v>
      </c>
      <c r="C269" s="66" t="s">
        <v>3534</v>
      </c>
      <c r="D269" s="67">
        <v>5</v>
      </c>
      <c r="E269" s="68"/>
      <c r="F269" s="69">
        <v>25</v>
      </c>
      <c r="G269" s="66"/>
      <c r="H269" s="70"/>
      <c r="I269" s="71"/>
      <c r="J269" s="71"/>
      <c r="K269" s="35" t="s">
        <v>65</v>
      </c>
      <c r="L269" s="79">
        <v>269</v>
      </c>
      <c r="M269" s="79"/>
      <c r="N269" s="73"/>
      <c r="O269" s="81" t="s">
        <v>613</v>
      </c>
      <c r="P269">
        <v>1</v>
      </c>
      <c r="Q269" s="80" t="str">
        <f>REPLACE(INDEX(GroupVertices[Group],MATCH(Edges[[#This Row],[Vertex 1]],GroupVertices[Vertex],0)),1,1,"")</f>
        <v>1</v>
      </c>
      <c r="R269" s="80" t="str">
        <f>REPLACE(INDEX(GroupVertices[Group],MATCH(Edges[[#This Row],[Vertex 2]],GroupVertices[Vertex],0)),1,1,"")</f>
        <v>1</v>
      </c>
      <c r="S269" s="35"/>
      <c r="T269" s="35"/>
      <c r="U269" s="35"/>
      <c r="V269" s="35"/>
      <c r="W269" s="35"/>
      <c r="X269" s="35"/>
      <c r="Y269" s="35"/>
      <c r="Z269" s="35"/>
      <c r="AA269" s="35"/>
    </row>
    <row r="270" spans="1:27" ht="15">
      <c r="A270" s="65" t="s">
        <v>217</v>
      </c>
      <c r="B270" s="65" t="s">
        <v>449</v>
      </c>
      <c r="C270" s="66" t="s">
        <v>3534</v>
      </c>
      <c r="D270" s="67">
        <v>5</v>
      </c>
      <c r="E270" s="68"/>
      <c r="F270" s="69">
        <v>25</v>
      </c>
      <c r="G270" s="66"/>
      <c r="H270" s="70"/>
      <c r="I270" s="71"/>
      <c r="J270" s="71"/>
      <c r="K270" s="35" t="s">
        <v>65</v>
      </c>
      <c r="L270" s="79">
        <v>270</v>
      </c>
      <c r="M270" s="79"/>
      <c r="N270" s="73"/>
      <c r="O270" s="81" t="s">
        <v>613</v>
      </c>
      <c r="P270">
        <v>1</v>
      </c>
      <c r="Q270" s="80" t="str">
        <f>REPLACE(INDEX(GroupVertices[Group],MATCH(Edges[[#This Row],[Vertex 1]],GroupVertices[Vertex],0)),1,1,"")</f>
        <v>1</v>
      </c>
      <c r="R270" s="80" t="str">
        <f>REPLACE(INDEX(GroupVertices[Group],MATCH(Edges[[#This Row],[Vertex 2]],GroupVertices[Vertex],0)),1,1,"")</f>
        <v>1</v>
      </c>
      <c r="S270" s="35"/>
      <c r="T270" s="35"/>
      <c r="U270" s="35"/>
      <c r="V270" s="35"/>
      <c r="W270" s="35"/>
      <c r="X270" s="35"/>
      <c r="Y270" s="35"/>
      <c r="Z270" s="35"/>
      <c r="AA270" s="35"/>
    </row>
    <row r="271" spans="1:27" ht="15">
      <c r="A271" s="65" t="s">
        <v>217</v>
      </c>
      <c r="B271" s="65" t="s">
        <v>450</v>
      </c>
      <c r="C271" s="66" t="s">
        <v>3534</v>
      </c>
      <c r="D271" s="67">
        <v>5</v>
      </c>
      <c r="E271" s="68"/>
      <c r="F271" s="69">
        <v>25</v>
      </c>
      <c r="G271" s="66"/>
      <c r="H271" s="70"/>
      <c r="I271" s="71"/>
      <c r="J271" s="71"/>
      <c r="K271" s="35" t="s">
        <v>65</v>
      </c>
      <c r="L271" s="79">
        <v>271</v>
      </c>
      <c r="M271" s="79"/>
      <c r="N271" s="73"/>
      <c r="O271" s="81" t="s">
        <v>613</v>
      </c>
      <c r="P271">
        <v>1</v>
      </c>
      <c r="Q271" s="80" t="str">
        <f>REPLACE(INDEX(GroupVertices[Group],MATCH(Edges[[#This Row],[Vertex 1]],GroupVertices[Vertex],0)),1,1,"")</f>
        <v>1</v>
      </c>
      <c r="R271" s="80" t="str">
        <f>REPLACE(INDEX(GroupVertices[Group],MATCH(Edges[[#This Row],[Vertex 2]],GroupVertices[Vertex],0)),1,1,"")</f>
        <v>1</v>
      </c>
      <c r="S271" s="35"/>
      <c r="T271" s="35"/>
      <c r="U271" s="35"/>
      <c r="V271" s="35"/>
      <c r="W271" s="35"/>
      <c r="X271" s="35"/>
      <c r="Y271" s="35"/>
      <c r="Z271" s="35"/>
      <c r="AA271" s="35"/>
    </row>
    <row r="272" spans="1:27" ht="15">
      <c r="A272" s="65" t="s">
        <v>217</v>
      </c>
      <c r="B272" s="65" t="s">
        <v>451</v>
      </c>
      <c r="C272" s="66" t="s">
        <v>3534</v>
      </c>
      <c r="D272" s="67">
        <v>5</v>
      </c>
      <c r="E272" s="68"/>
      <c r="F272" s="69">
        <v>25</v>
      </c>
      <c r="G272" s="66"/>
      <c r="H272" s="70"/>
      <c r="I272" s="71"/>
      <c r="J272" s="71"/>
      <c r="K272" s="35" t="s">
        <v>65</v>
      </c>
      <c r="L272" s="79">
        <v>272</v>
      </c>
      <c r="M272" s="79"/>
      <c r="N272" s="73"/>
      <c r="O272" s="81" t="s">
        <v>613</v>
      </c>
      <c r="P272">
        <v>1</v>
      </c>
      <c r="Q272" s="80" t="str">
        <f>REPLACE(INDEX(GroupVertices[Group],MATCH(Edges[[#This Row],[Vertex 1]],GroupVertices[Vertex],0)),1,1,"")</f>
        <v>1</v>
      </c>
      <c r="R272" s="80" t="str">
        <f>REPLACE(INDEX(GroupVertices[Group],MATCH(Edges[[#This Row],[Vertex 2]],GroupVertices[Vertex],0)),1,1,"")</f>
        <v>1</v>
      </c>
      <c r="S272" s="35"/>
      <c r="T272" s="35"/>
      <c r="U272" s="35"/>
      <c r="V272" s="35"/>
      <c r="W272" s="35"/>
      <c r="X272" s="35"/>
      <c r="Y272" s="35"/>
      <c r="Z272" s="35"/>
      <c r="AA272" s="35"/>
    </row>
    <row r="273" spans="1:27" ht="15">
      <c r="A273" s="65" t="s">
        <v>217</v>
      </c>
      <c r="B273" s="65" t="s">
        <v>452</v>
      </c>
      <c r="C273" s="66" t="s">
        <v>3534</v>
      </c>
      <c r="D273" s="67">
        <v>5</v>
      </c>
      <c r="E273" s="68"/>
      <c r="F273" s="69">
        <v>25</v>
      </c>
      <c r="G273" s="66"/>
      <c r="H273" s="70"/>
      <c r="I273" s="71"/>
      <c r="J273" s="71"/>
      <c r="K273" s="35" t="s">
        <v>65</v>
      </c>
      <c r="L273" s="79">
        <v>273</v>
      </c>
      <c r="M273" s="79"/>
      <c r="N273" s="73"/>
      <c r="O273" s="81" t="s">
        <v>613</v>
      </c>
      <c r="P273">
        <v>1</v>
      </c>
      <c r="Q273" s="80" t="str">
        <f>REPLACE(INDEX(GroupVertices[Group],MATCH(Edges[[#This Row],[Vertex 1]],GroupVertices[Vertex],0)),1,1,"")</f>
        <v>1</v>
      </c>
      <c r="R273" s="80" t="str">
        <f>REPLACE(INDEX(GroupVertices[Group],MATCH(Edges[[#This Row],[Vertex 2]],GroupVertices[Vertex],0)),1,1,"")</f>
        <v>1</v>
      </c>
      <c r="S273" s="35"/>
      <c r="T273" s="35"/>
      <c r="U273" s="35"/>
      <c r="V273" s="35"/>
      <c r="W273" s="35"/>
      <c r="X273" s="35"/>
      <c r="Y273" s="35"/>
      <c r="Z273" s="35"/>
      <c r="AA273" s="35"/>
    </row>
    <row r="274" spans="1:27" ht="15">
      <c r="A274" s="65" t="s">
        <v>212</v>
      </c>
      <c r="B274" s="65" t="s">
        <v>371</v>
      </c>
      <c r="C274" s="66" t="s">
        <v>3534</v>
      </c>
      <c r="D274" s="67">
        <v>5</v>
      </c>
      <c r="E274" s="68"/>
      <c r="F274" s="69">
        <v>25</v>
      </c>
      <c r="G274" s="66"/>
      <c r="H274" s="70"/>
      <c r="I274" s="71"/>
      <c r="J274" s="71"/>
      <c r="K274" s="35" t="s">
        <v>65</v>
      </c>
      <c r="L274" s="79">
        <v>274</v>
      </c>
      <c r="M274" s="79"/>
      <c r="N274" s="73"/>
      <c r="O274" s="81" t="s">
        <v>613</v>
      </c>
      <c r="P274">
        <v>1</v>
      </c>
      <c r="Q274" s="80" t="str">
        <f>REPLACE(INDEX(GroupVertices[Group],MATCH(Edges[[#This Row],[Vertex 1]],GroupVertices[Vertex],0)),1,1,"")</f>
        <v>7</v>
      </c>
      <c r="R274" s="80" t="str">
        <f>REPLACE(INDEX(GroupVertices[Group],MATCH(Edges[[#This Row],[Vertex 2]],GroupVertices[Vertex],0)),1,1,"")</f>
        <v>1</v>
      </c>
      <c r="S274" s="35"/>
      <c r="T274" s="35"/>
      <c r="U274" s="35"/>
      <c r="V274" s="35"/>
      <c r="W274" s="35"/>
      <c r="X274" s="35"/>
      <c r="Y274" s="35"/>
      <c r="Z274" s="35"/>
      <c r="AA274" s="35"/>
    </row>
    <row r="275" spans="1:27" ht="15">
      <c r="A275" s="65" t="s">
        <v>217</v>
      </c>
      <c r="B275" s="65" t="s">
        <v>371</v>
      </c>
      <c r="C275" s="66" t="s">
        <v>3534</v>
      </c>
      <c r="D275" s="67">
        <v>5</v>
      </c>
      <c r="E275" s="68"/>
      <c r="F275" s="69">
        <v>25</v>
      </c>
      <c r="G275" s="66"/>
      <c r="H275" s="70"/>
      <c r="I275" s="71"/>
      <c r="J275" s="71"/>
      <c r="K275" s="35" t="s">
        <v>65</v>
      </c>
      <c r="L275" s="79">
        <v>275</v>
      </c>
      <c r="M275" s="79"/>
      <c r="N275" s="73"/>
      <c r="O275" s="81" t="s">
        <v>613</v>
      </c>
      <c r="P275">
        <v>1</v>
      </c>
      <c r="Q275" s="80" t="str">
        <f>REPLACE(INDEX(GroupVertices[Group],MATCH(Edges[[#This Row],[Vertex 1]],GroupVertices[Vertex],0)),1,1,"")</f>
        <v>1</v>
      </c>
      <c r="R275" s="80" t="str">
        <f>REPLACE(INDEX(GroupVertices[Group],MATCH(Edges[[#This Row],[Vertex 2]],GroupVertices[Vertex],0)),1,1,"")</f>
        <v>1</v>
      </c>
      <c r="S275" s="35"/>
      <c r="T275" s="35"/>
      <c r="U275" s="35"/>
      <c r="V275" s="35"/>
      <c r="W275" s="35"/>
      <c r="X275" s="35"/>
      <c r="Y275" s="35"/>
      <c r="Z275" s="35"/>
      <c r="AA275" s="35"/>
    </row>
    <row r="276" spans="1:27" ht="15">
      <c r="A276" s="65" t="s">
        <v>212</v>
      </c>
      <c r="B276" s="65" t="s">
        <v>453</v>
      </c>
      <c r="C276" s="66" t="s">
        <v>3534</v>
      </c>
      <c r="D276" s="67">
        <v>5</v>
      </c>
      <c r="E276" s="68"/>
      <c r="F276" s="69">
        <v>25</v>
      </c>
      <c r="G276" s="66"/>
      <c r="H276" s="70"/>
      <c r="I276" s="71"/>
      <c r="J276" s="71"/>
      <c r="K276" s="35" t="s">
        <v>65</v>
      </c>
      <c r="L276" s="79">
        <v>276</v>
      </c>
      <c r="M276" s="79"/>
      <c r="N276" s="73"/>
      <c r="O276" s="81" t="s">
        <v>613</v>
      </c>
      <c r="P276">
        <v>1</v>
      </c>
      <c r="Q276" s="80" t="str">
        <f>REPLACE(INDEX(GroupVertices[Group],MATCH(Edges[[#This Row],[Vertex 1]],GroupVertices[Vertex],0)),1,1,"")</f>
        <v>7</v>
      </c>
      <c r="R276" s="80" t="str">
        <f>REPLACE(INDEX(GroupVertices[Group],MATCH(Edges[[#This Row],[Vertex 2]],GroupVertices[Vertex],0)),1,1,"")</f>
        <v>1</v>
      </c>
      <c r="S276" s="35"/>
      <c r="T276" s="35"/>
      <c r="U276" s="35"/>
      <c r="V276" s="35"/>
      <c r="W276" s="35"/>
      <c r="X276" s="35"/>
      <c r="Y276" s="35"/>
      <c r="Z276" s="35"/>
      <c r="AA276" s="35"/>
    </row>
    <row r="277" spans="1:27" ht="15">
      <c r="A277" s="65" t="s">
        <v>217</v>
      </c>
      <c r="B277" s="65" t="s">
        <v>453</v>
      </c>
      <c r="C277" s="66" t="s">
        <v>3534</v>
      </c>
      <c r="D277" s="67">
        <v>5</v>
      </c>
      <c r="E277" s="68"/>
      <c r="F277" s="69">
        <v>25</v>
      </c>
      <c r="G277" s="66"/>
      <c r="H277" s="70"/>
      <c r="I277" s="71"/>
      <c r="J277" s="71"/>
      <c r="K277" s="35" t="s">
        <v>65</v>
      </c>
      <c r="L277" s="79">
        <v>277</v>
      </c>
      <c r="M277" s="79"/>
      <c r="N277" s="73"/>
      <c r="O277" s="81" t="s">
        <v>613</v>
      </c>
      <c r="P277">
        <v>1</v>
      </c>
      <c r="Q277" s="80" t="str">
        <f>REPLACE(INDEX(GroupVertices[Group],MATCH(Edges[[#This Row],[Vertex 1]],GroupVertices[Vertex],0)),1,1,"")</f>
        <v>1</v>
      </c>
      <c r="R277" s="80" t="str">
        <f>REPLACE(INDEX(GroupVertices[Group],MATCH(Edges[[#This Row],[Vertex 2]],GroupVertices[Vertex],0)),1,1,"")</f>
        <v>1</v>
      </c>
      <c r="S277" s="35"/>
      <c r="T277" s="35"/>
      <c r="U277" s="35"/>
      <c r="V277" s="35"/>
      <c r="W277" s="35"/>
      <c r="X277" s="35"/>
      <c r="Y277" s="35"/>
      <c r="Z277" s="35"/>
      <c r="AA277" s="35"/>
    </row>
    <row r="278" spans="1:27" ht="15">
      <c r="A278" s="65" t="s">
        <v>217</v>
      </c>
      <c r="B278" s="65" t="s">
        <v>454</v>
      </c>
      <c r="C278" s="66" t="s">
        <v>3534</v>
      </c>
      <c r="D278" s="67">
        <v>5</v>
      </c>
      <c r="E278" s="68"/>
      <c r="F278" s="69">
        <v>25</v>
      </c>
      <c r="G278" s="66"/>
      <c r="H278" s="70"/>
      <c r="I278" s="71"/>
      <c r="J278" s="71"/>
      <c r="K278" s="35" t="s">
        <v>65</v>
      </c>
      <c r="L278" s="79">
        <v>278</v>
      </c>
      <c r="M278" s="79"/>
      <c r="N278" s="73"/>
      <c r="O278" s="81" t="s">
        <v>613</v>
      </c>
      <c r="P278">
        <v>1</v>
      </c>
      <c r="Q278" s="80" t="str">
        <f>REPLACE(INDEX(GroupVertices[Group],MATCH(Edges[[#This Row],[Vertex 1]],GroupVertices[Vertex],0)),1,1,"")</f>
        <v>1</v>
      </c>
      <c r="R278" s="80" t="str">
        <f>REPLACE(INDEX(GroupVertices[Group],MATCH(Edges[[#This Row],[Vertex 2]],GroupVertices[Vertex],0)),1,1,"")</f>
        <v>1</v>
      </c>
      <c r="S278" s="35"/>
      <c r="T278" s="35"/>
      <c r="U278" s="35"/>
      <c r="V278" s="35"/>
      <c r="W278" s="35"/>
      <c r="X278" s="35"/>
      <c r="Y278" s="35"/>
      <c r="Z278" s="35"/>
      <c r="AA278" s="35"/>
    </row>
    <row r="279" spans="1:27" ht="15">
      <c r="A279" s="65" t="s">
        <v>217</v>
      </c>
      <c r="B279" s="65" t="s">
        <v>455</v>
      </c>
      <c r="C279" s="66" t="s">
        <v>3534</v>
      </c>
      <c r="D279" s="67">
        <v>5</v>
      </c>
      <c r="E279" s="68"/>
      <c r="F279" s="69">
        <v>25</v>
      </c>
      <c r="G279" s="66"/>
      <c r="H279" s="70"/>
      <c r="I279" s="71"/>
      <c r="J279" s="71"/>
      <c r="K279" s="35" t="s">
        <v>65</v>
      </c>
      <c r="L279" s="79">
        <v>279</v>
      </c>
      <c r="M279" s="79"/>
      <c r="N279" s="73"/>
      <c r="O279" s="81" t="s">
        <v>613</v>
      </c>
      <c r="P279">
        <v>1</v>
      </c>
      <c r="Q279" s="80" t="str">
        <f>REPLACE(INDEX(GroupVertices[Group],MATCH(Edges[[#This Row],[Vertex 1]],GroupVertices[Vertex],0)),1,1,"")</f>
        <v>1</v>
      </c>
      <c r="R279" s="80" t="str">
        <f>REPLACE(INDEX(GroupVertices[Group],MATCH(Edges[[#This Row],[Vertex 2]],GroupVertices[Vertex],0)),1,1,"")</f>
        <v>1</v>
      </c>
      <c r="S279" s="35"/>
      <c r="T279" s="35"/>
      <c r="U279" s="35"/>
      <c r="V279" s="35"/>
      <c r="W279" s="35"/>
      <c r="X279" s="35"/>
      <c r="Y279" s="35"/>
      <c r="Z279" s="35"/>
      <c r="AA279" s="35"/>
    </row>
    <row r="280" spans="1:27" ht="15">
      <c r="A280" s="65" t="s">
        <v>217</v>
      </c>
      <c r="B280" s="65" t="s">
        <v>456</v>
      </c>
      <c r="C280" s="66" t="s">
        <v>3534</v>
      </c>
      <c r="D280" s="67">
        <v>5</v>
      </c>
      <c r="E280" s="68"/>
      <c r="F280" s="69">
        <v>25</v>
      </c>
      <c r="G280" s="66"/>
      <c r="H280" s="70"/>
      <c r="I280" s="71"/>
      <c r="J280" s="71"/>
      <c r="K280" s="35" t="s">
        <v>65</v>
      </c>
      <c r="L280" s="79">
        <v>280</v>
      </c>
      <c r="M280" s="79"/>
      <c r="N280" s="73"/>
      <c r="O280" s="81" t="s">
        <v>613</v>
      </c>
      <c r="P280">
        <v>1</v>
      </c>
      <c r="Q280" s="80" t="str">
        <f>REPLACE(INDEX(GroupVertices[Group],MATCH(Edges[[#This Row],[Vertex 1]],GroupVertices[Vertex],0)),1,1,"")</f>
        <v>1</v>
      </c>
      <c r="R280" s="80" t="str">
        <f>REPLACE(INDEX(GroupVertices[Group],MATCH(Edges[[#This Row],[Vertex 2]],GroupVertices[Vertex],0)),1,1,"")</f>
        <v>1</v>
      </c>
      <c r="S280" s="35"/>
      <c r="T280" s="35"/>
      <c r="U280" s="35"/>
      <c r="V280" s="35"/>
      <c r="W280" s="35"/>
      <c r="X280" s="35"/>
      <c r="Y280" s="35"/>
      <c r="Z280" s="35"/>
      <c r="AA280" s="35"/>
    </row>
    <row r="281" spans="1:27" ht="15">
      <c r="A281" s="65" t="s">
        <v>217</v>
      </c>
      <c r="B281" s="65" t="s">
        <v>457</v>
      </c>
      <c r="C281" s="66" t="s">
        <v>3534</v>
      </c>
      <c r="D281" s="67">
        <v>5</v>
      </c>
      <c r="E281" s="68"/>
      <c r="F281" s="69">
        <v>25</v>
      </c>
      <c r="G281" s="66"/>
      <c r="H281" s="70"/>
      <c r="I281" s="71"/>
      <c r="J281" s="71"/>
      <c r="K281" s="35" t="s">
        <v>65</v>
      </c>
      <c r="L281" s="79">
        <v>281</v>
      </c>
      <c r="M281" s="79"/>
      <c r="N281" s="73"/>
      <c r="O281" s="81" t="s">
        <v>613</v>
      </c>
      <c r="P281">
        <v>1</v>
      </c>
      <c r="Q281" s="80" t="str">
        <f>REPLACE(INDEX(GroupVertices[Group],MATCH(Edges[[#This Row],[Vertex 1]],GroupVertices[Vertex],0)),1,1,"")</f>
        <v>1</v>
      </c>
      <c r="R281" s="80" t="str">
        <f>REPLACE(INDEX(GroupVertices[Group],MATCH(Edges[[#This Row],[Vertex 2]],GroupVertices[Vertex],0)),1,1,"")</f>
        <v>1</v>
      </c>
      <c r="S281" s="35"/>
      <c r="T281" s="35"/>
      <c r="U281" s="35"/>
      <c r="V281" s="35"/>
      <c r="W281" s="35"/>
      <c r="X281" s="35"/>
      <c r="Y281" s="35"/>
      <c r="Z281" s="35"/>
      <c r="AA281" s="35"/>
    </row>
    <row r="282" spans="1:27" ht="15">
      <c r="A282" s="65" t="s">
        <v>217</v>
      </c>
      <c r="B282" s="65" t="s">
        <v>458</v>
      </c>
      <c r="C282" s="66" t="s">
        <v>3534</v>
      </c>
      <c r="D282" s="67">
        <v>5</v>
      </c>
      <c r="E282" s="68"/>
      <c r="F282" s="69">
        <v>25</v>
      </c>
      <c r="G282" s="66"/>
      <c r="H282" s="70"/>
      <c r="I282" s="71"/>
      <c r="J282" s="71"/>
      <c r="K282" s="35" t="s">
        <v>65</v>
      </c>
      <c r="L282" s="79">
        <v>282</v>
      </c>
      <c r="M282" s="79"/>
      <c r="N282" s="73"/>
      <c r="O282" s="81" t="s">
        <v>613</v>
      </c>
      <c r="P282">
        <v>1</v>
      </c>
      <c r="Q282" s="80" t="str">
        <f>REPLACE(INDEX(GroupVertices[Group],MATCH(Edges[[#This Row],[Vertex 1]],GroupVertices[Vertex],0)),1,1,"")</f>
        <v>1</v>
      </c>
      <c r="R282" s="80" t="str">
        <f>REPLACE(INDEX(GroupVertices[Group],MATCH(Edges[[#This Row],[Vertex 2]],GroupVertices[Vertex],0)),1,1,"")</f>
        <v>1</v>
      </c>
      <c r="S282" s="35"/>
      <c r="T282" s="35"/>
      <c r="U282" s="35"/>
      <c r="V282" s="35"/>
      <c r="W282" s="35"/>
      <c r="X282" s="35"/>
      <c r="Y282" s="35"/>
      <c r="Z282" s="35"/>
      <c r="AA282" s="35"/>
    </row>
    <row r="283" spans="1:27" ht="15">
      <c r="A283" s="65" t="s">
        <v>217</v>
      </c>
      <c r="B283" s="65" t="s">
        <v>459</v>
      </c>
      <c r="C283" s="66" t="s">
        <v>3534</v>
      </c>
      <c r="D283" s="67">
        <v>5</v>
      </c>
      <c r="E283" s="68"/>
      <c r="F283" s="69">
        <v>25</v>
      </c>
      <c r="G283" s="66"/>
      <c r="H283" s="70"/>
      <c r="I283" s="71"/>
      <c r="J283" s="71"/>
      <c r="K283" s="35" t="s">
        <v>65</v>
      </c>
      <c r="L283" s="79">
        <v>283</v>
      </c>
      <c r="M283" s="79"/>
      <c r="N283" s="73"/>
      <c r="O283" s="81" t="s">
        <v>613</v>
      </c>
      <c r="P283">
        <v>1</v>
      </c>
      <c r="Q283" s="80" t="str">
        <f>REPLACE(INDEX(GroupVertices[Group],MATCH(Edges[[#This Row],[Vertex 1]],GroupVertices[Vertex],0)),1,1,"")</f>
        <v>1</v>
      </c>
      <c r="R283" s="80" t="str">
        <f>REPLACE(INDEX(GroupVertices[Group],MATCH(Edges[[#This Row],[Vertex 2]],GroupVertices[Vertex],0)),1,1,"")</f>
        <v>1</v>
      </c>
      <c r="S283" s="35"/>
      <c r="T283" s="35"/>
      <c r="U283" s="35"/>
      <c r="V283" s="35"/>
      <c r="W283" s="35"/>
      <c r="X283" s="35"/>
      <c r="Y283" s="35"/>
      <c r="Z283" s="35"/>
      <c r="AA283" s="35"/>
    </row>
    <row r="284" spans="1:27" ht="15">
      <c r="A284" s="65" t="s">
        <v>217</v>
      </c>
      <c r="B284" s="65" t="s">
        <v>460</v>
      </c>
      <c r="C284" s="66" t="s">
        <v>3534</v>
      </c>
      <c r="D284" s="67">
        <v>5</v>
      </c>
      <c r="E284" s="68"/>
      <c r="F284" s="69">
        <v>25</v>
      </c>
      <c r="G284" s="66"/>
      <c r="H284" s="70"/>
      <c r="I284" s="71"/>
      <c r="J284" s="71"/>
      <c r="K284" s="35" t="s">
        <v>65</v>
      </c>
      <c r="L284" s="79">
        <v>284</v>
      </c>
      <c r="M284" s="79"/>
      <c r="N284" s="73"/>
      <c r="O284" s="81" t="s">
        <v>613</v>
      </c>
      <c r="P284">
        <v>1</v>
      </c>
      <c r="Q284" s="80" t="str">
        <f>REPLACE(INDEX(GroupVertices[Group],MATCH(Edges[[#This Row],[Vertex 1]],GroupVertices[Vertex],0)),1,1,"")</f>
        <v>1</v>
      </c>
      <c r="R284" s="80" t="str">
        <f>REPLACE(INDEX(GroupVertices[Group],MATCH(Edges[[#This Row],[Vertex 2]],GroupVertices[Vertex],0)),1,1,"")</f>
        <v>1</v>
      </c>
      <c r="S284" s="35"/>
      <c r="T284" s="35"/>
      <c r="U284" s="35"/>
      <c r="V284" s="35"/>
      <c r="W284" s="35"/>
      <c r="X284" s="35"/>
      <c r="Y284" s="35"/>
      <c r="Z284" s="35"/>
      <c r="AA284" s="35"/>
    </row>
    <row r="285" spans="1:27" ht="15">
      <c r="A285" s="65" t="s">
        <v>217</v>
      </c>
      <c r="B285" s="65" t="s">
        <v>461</v>
      </c>
      <c r="C285" s="66" t="s">
        <v>3534</v>
      </c>
      <c r="D285" s="67">
        <v>5</v>
      </c>
      <c r="E285" s="68"/>
      <c r="F285" s="69">
        <v>25</v>
      </c>
      <c r="G285" s="66"/>
      <c r="H285" s="70"/>
      <c r="I285" s="71"/>
      <c r="J285" s="71"/>
      <c r="K285" s="35" t="s">
        <v>65</v>
      </c>
      <c r="L285" s="79">
        <v>285</v>
      </c>
      <c r="M285" s="79"/>
      <c r="N285" s="73"/>
      <c r="O285" s="81" t="s">
        <v>613</v>
      </c>
      <c r="P285">
        <v>1</v>
      </c>
      <c r="Q285" s="80" t="str">
        <f>REPLACE(INDEX(GroupVertices[Group],MATCH(Edges[[#This Row],[Vertex 1]],GroupVertices[Vertex],0)),1,1,"")</f>
        <v>1</v>
      </c>
      <c r="R285" s="80" t="str">
        <f>REPLACE(INDEX(GroupVertices[Group],MATCH(Edges[[#This Row],[Vertex 2]],GroupVertices[Vertex],0)),1,1,"")</f>
        <v>1</v>
      </c>
      <c r="S285" s="35"/>
      <c r="T285" s="35"/>
      <c r="U285" s="35"/>
      <c r="V285" s="35"/>
      <c r="W285" s="35"/>
      <c r="X285" s="35"/>
      <c r="Y285" s="35"/>
      <c r="Z285" s="35"/>
      <c r="AA285" s="35"/>
    </row>
    <row r="286" spans="1:27" ht="15">
      <c r="A286" s="65" t="s">
        <v>212</v>
      </c>
      <c r="B286" s="65" t="s">
        <v>383</v>
      </c>
      <c r="C286" s="66" t="s">
        <v>3534</v>
      </c>
      <c r="D286" s="67">
        <v>5</v>
      </c>
      <c r="E286" s="68"/>
      <c r="F286" s="69">
        <v>25</v>
      </c>
      <c r="G286" s="66"/>
      <c r="H286" s="70"/>
      <c r="I286" s="71"/>
      <c r="J286" s="71"/>
      <c r="K286" s="35" t="s">
        <v>65</v>
      </c>
      <c r="L286" s="79">
        <v>286</v>
      </c>
      <c r="M286" s="79"/>
      <c r="N286" s="73"/>
      <c r="O286" s="81" t="s">
        <v>613</v>
      </c>
      <c r="P286">
        <v>1</v>
      </c>
      <c r="Q286" s="80" t="str">
        <f>REPLACE(INDEX(GroupVertices[Group],MATCH(Edges[[#This Row],[Vertex 1]],GroupVertices[Vertex],0)),1,1,"")</f>
        <v>7</v>
      </c>
      <c r="R286" s="80" t="str">
        <f>REPLACE(INDEX(GroupVertices[Group],MATCH(Edges[[#This Row],[Vertex 2]],GroupVertices[Vertex],0)),1,1,"")</f>
        <v>1</v>
      </c>
      <c r="S286" s="35"/>
      <c r="T286" s="35"/>
      <c r="U286" s="35"/>
      <c r="V286" s="35"/>
      <c r="W286" s="35"/>
      <c r="X286" s="35"/>
      <c r="Y286" s="35"/>
      <c r="Z286" s="35"/>
      <c r="AA286" s="35"/>
    </row>
    <row r="287" spans="1:27" ht="15">
      <c r="A287" s="65" t="s">
        <v>213</v>
      </c>
      <c r="B287" s="65" t="s">
        <v>383</v>
      </c>
      <c r="C287" s="66" t="s">
        <v>3534</v>
      </c>
      <c r="D287" s="67">
        <v>5</v>
      </c>
      <c r="E287" s="68"/>
      <c r="F287" s="69">
        <v>25</v>
      </c>
      <c r="G287" s="66"/>
      <c r="H287" s="70"/>
      <c r="I287" s="71"/>
      <c r="J287" s="71"/>
      <c r="K287" s="35" t="s">
        <v>65</v>
      </c>
      <c r="L287" s="79">
        <v>287</v>
      </c>
      <c r="M287" s="79"/>
      <c r="N287" s="73"/>
      <c r="O287" s="81" t="s">
        <v>613</v>
      </c>
      <c r="P287">
        <v>1</v>
      </c>
      <c r="Q287" s="80" t="str">
        <f>REPLACE(INDEX(GroupVertices[Group],MATCH(Edges[[#This Row],[Vertex 1]],GroupVertices[Vertex],0)),1,1,"")</f>
        <v>4</v>
      </c>
      <c r="R287" s="80" t="str">
        <f>REPLACE(INDEX(GroupVertices[Group],MATCH(Edges[[#This Row],[Vertex 2]],GroupVertices[Vertex],0)),1,1,"")</f>
        <v>1</v>
      </c>
      <c r="S287" s="35"/>
      <c r="T287" s="35"/>
      <c r="U287" s="35"/>
      <c r="V287" s="35"/>
      <c r="W287" s="35"/>
      <c r="X287" s="35"/>
      <c r="Y287" s="35"/>
      <c r="Z287" s="35"/>
      <c r="AA287" s="35"/>
    </row>
    <row r="288" spans="1:27" ht="15">
      <c r="A288" s="65" t="s">
        <v>216</v>
      </c>
      <c r="B288" s="65" t="s">
        <v>383</v>
      </c>
      <c r="C288" s="66" t="s">
        <v>3534</v>
      </c>
      <c r="D288" s="67">
        <v>5</v>
      </c>
      <c r="E288" s="68"/>
      <c r="F288" s="69">
        <v>25</v>
      </c>
      <c r="G288" s="66"/>
      <c r="H288" s="70"/>
      <c r="I288" s="71"/>
      <c r="J288" s="71"/>
      <c r="K288" s="35" t="s">
        <v>65</v>
      </c>
      <c r="L288" s="79">
        <v>288</v>
      </c>
      <c r="M288" s="79"/>
      <c r="N288" s="73"/>
      <c r="O288" s="81" t="s">
        <v>613</v>
      </c>
      <c r="P288">
        <v>1</v>
      </c>
      <c r="Q288" s="80" t="str">
        <f>REPLACE(INDEX(GroupVertices[Group],MATCH(Edges[[#This Row],[Vertex 1]],GroupVertices[Vertex],0)),1,1,"")</f>
        <v>2</v>
      </c>
      <c r="R288" s="80" t="str">
        <f>REPLACE(INDEX(GroupVertices[Group],MATCH(Edges[[#This Row],[Vertex 2]],GroupVertices[Vertex],0)),1,1,"")</f>
        <v>1</v>
      </c>
      <c r="S288" s="35"/>
      <c r="T288" s="35"/>
      <c r="U288" s="35"/>
      <c r="V288" s="35"/>
      <c r="W288" s="35"/>
      <c r="X288" s="35"/>
      <c r="Y288" s="35"/>
      <c r="Z288" s="35"/>
      <c r="AA288" s="35"/>
    </row>
    <row r="289" spans="1:27" ht="15">
      <c r="A289" s="65" t="s">
        <v>217</v>
      </c>
      <c r="B289" s="65" t="s">
        <v>383</v>
      </c>
      <c r="C289" s="66" t="s">
        <v>3534</v>
      </c>
      <c r="D289" s="67">
        <v>5</v>
      </c>
      <c r="E289" s="68"/>
      <c r="F289" s="69">
        <v>25</v>
      </c>
      <c r="G289" s="66"/>
      <c r="H289" s="70"/>
      <c r="I289" s="71"/>
      <c r="J289" s="71"/>
      <c r="K289" s="35" t="s">
        <v>65</v>
      </c>
      <c r="L289" s="79">
        <v>289</v>
      </c>
      <c r="M289" s="79"/>
      <c r="N289" s="73"/>
      <c r="O289" s="81" t="s">
        <v>613</v>
      </c>
      <c r="P289">
        <v>1</v>
      </c>
      <c r="Q289" s="80" t="str">
        <f>REPLACE(INDEX(GroupVertices[Group],MATCH(Edges[[#This Row],[Vertex 1]],GroupVertices[Vertex],0)),1,1,"")</f>
        <v>1</v>
      </c>
      <c r="R289" s="80" t="str">
        <f>REPLACE(INDEX(GroupVertices[Group],MATCH(Edges[[#This Row],[Vertex 2]],GroupVertices[Vertex],0)),1,1,"")</f>
        <v>1</v>
      </c>
      <c r="S289" s="35"/>
      <c r="T289" s="35"/>
      <c r="U289" s="35"/>
      <c r="V289" s="35"/>
      <c r="W289" s="35"/>
      <c r="X289" s="35"/>
      <c r="Y289" s="35"/>
      <c r="Z289" s="35"/>
      <c r="AA289" s="35"/>
    </row>
    <row r="290" spans="1:27" ht="15">
      <c r="A290" s="65" t="s">
        <v>217</v>
      </c>
      <c r="B290" s="65" t="s">
        <v>462</v>
      </c>
      <c r="C290" s="66" t="s">
        <v>3534</v>
      </c>
      <c r="D290" s="67">
        <v>5</v>
      </c>
      <c r="E290" s="68"/>
      <c r="F290" s="69">
        <v>25</v>
      </c>
      <c r="G290" s="66"/>
      <c r="H290" s="70"/>
      <c r="I290" s="71"/>
      <c r="J290" s="71"/>
      <c r="K290" s="35" t="s">
        <v>65</v>
      </c>
      <c r="L290" s="79">
        <v>290</v>
      </c>
      <c r="M290" s="79"/>
      <c r="N290" s="73"/>
      <c r="O290" s="81" t="s">
        <v>613</v>
      </c>
      <c r="P290">
        <v>1</v>
      </c>
      <c r="Q290" s="80" t="str">
        <f>REPLACE(INDEX(GroupVertices[Group],MATCH(Edges[[#This Row],[Vertex 1]],GroupVertices[Vertex],0)),1,1,"")</f>
        <v>1</v>
      </c>
      <c r="R290" s="80" t="str">
        <f>REPLACE(INDEX(GroupVertices[Group],MATCH(Edges[[#This Row],[Vertex 2]],GroupVertices[Vertex],0)),1,1,"")</f>
        <v>1</v>
      </c>
      <c r="S290" s="35"/>
      <c r="T290" s="35"/>
      <c r="U290" s="35"/>
      <c r="V290" s="35"/>
      <c r="W290" s="35"/>
      <c r="X290" s="35"/>
      <c r="Y290" s="35"/>
      <c r="Z290" s="35"/>
      <c r="AA290" s="35"/>
    </row>
    <row r="291" spans="1:27" ht="15">
      <c r="A291" s="65" t="s">
        <v>213</v>
      </c>
      <c r="B291" s="65" t="s">
        <v>392</v>
      </c>
      <c r="C291" s="66" t="s">
        <v>3534</v>
      </c>
      <c r="D291" s="67">
        <v>5</v>
      </c>
      <c r="E291" s="68"/>
      <c r="F291" s="69">
        <v>25</v>
      </c>
      <c r="G291" s="66"/>
      <c r="H291" s="70"/>
      <c r="I291" s="71"/>
      <c r="J291" s="71"/>
      <c r="K291" s="35" t="s">
        <v>65</v>
      </c>
      <c r="L291" s="79">
        <v>291</v>
      </c>
      <c r="M291" s="79"/>
      <c r="N291" s="73"/>
      <c r="O291" s="81" t="s">
        <v>613</v>
      </c>
      <c r="P291">
        <v>1</v>
      </c>
      <c r="Q291" s="80" t="str">
        <f>REPLACE(INDEX(GroupVertices[Group],MATCH(Edges[[#This Row],[Vertex 1]],GroupVertices[Vertex],0)),1,1,"")</f>
        <v>4</v>
      </c>
      <c r="R291" s="80" t="str">
        <f>REPLACE(INDEX(GroupVertices[Group],MATCH(Edges[[#This Row],[Vertex 2]],GroupVertices[Vertex],0)),1,1,"")</f>
        <v>1</v>
      </c>
      <c r="S291" s="35"/>
      <c r="T291" s="35"/>
      <c r="U291" s="35"/>
      <c r="V291" s="35"/>
      <c r="W291" s="35"/>
      <c r="X291" s="35"/>
      <c r="Y291" s="35"/>
      <c r="Z291" s="35"/>
      <c r="AA291" s="35"/>
    </row>
    <row r="292" spans="1:27" ht="15">
      <c r="A292" s="65" t="s">
        <v>217</v>
      </c>
      <c r="B292" s="65" t="s">
        <v>392</v>
      </c>
      <c r="C292" s="66" t="s">
        <v>3534</v>
      </c>
      <c r="D292" s="67">
        <v>5</v>
      </c>
      <c r="E292" s="68"/>
      <c r="F292" s="69">
        <v>25</v>
      </c>
      <c r="G292" s="66"/>
      <c r="H292" s="70"/>
      <c r="I292" s="71"/>
      <c r="J292" s="71"/>
      <c r="K292" s="35" t="s">
        <v>65</v>
      </c>
      <c r="L292" s="79">
        <v>292</v>
      </c>
      <c r="M292" s="79"/>
      <c r="N292" s="73"/>
      <c r="O292" s="81" t="s">
        <v>613</v>
      </c>
      <c r="P292">
        <v>1</v>
      </c>
      <c r="Q292" s="80" t="str">
        <f>REPLACE(INDEX(GroupVertices[Group],MATCH(Edges[[#This Row],[Vertex 1]],GroupVertices[Vertex],0)),1,1,"")</f>
        <v>1</v>
      </c>
      <c r="R292" s="80" t="str">
        <f>REPLACE(INDEX(GroupVertices[Group],MATCH(Edges[[#This Row],[Vertex 2]],GroupVertices[Vertex],0)),1,1,"")</f>
        <v>1</v>
      </c>
      <c r="S292" s="35"/>
      <c r="T292" s="35"/>
      <c r="U292" s="35"/>
      <c r="V292" s="35"/>
      <c r="W292" s="35"/>
      <c r="X292" s="35"/>
      <c r="Y292" s="35"/>
      <c r="Z292" s="35"/>
      <c r="AA292" s="35"/>
    </row>
    <row r="293" spans="1:27" ht="15">
      <c r="A293" s="65" t="s">
        <v>217</v>
      </c>
      <c r="B293" s="65" t="s">
        <v>463</v>
      </c>
      <c r="C293" s="66" t="s">
        <v>3534</v>
      </c>
      <c r="D293" s="67">
        <v>5</v>
      </c>
      <c r="E293" s="68"/>
      <c r="F293" s="69">
        <v>25</v>
      </c>
      <c r="G293" s="66"/>
      <c r="H293" s="70"/>
      <c r="I293" s="71"/>
      <c r="J293" s="71"/>
      <c r="K293" s="35" t="s">
        <v>65</v>
      </c>
      <c r="L293" s="79">
        <v>293</v>
      </c>
      <c r="M293" s="79"/>
      <c r="N293" s="73"/>
      <c r="O293" s="81" t="s">
        <v>613</v>
      </c>
      <c r="P293">
        <v>1</v>
      </c>
      <c r="Q293" s="80" t="str">
        <f>REPLACE(INDEX(GroupVertices[Group],MATCH(Edges[[#This Row],[Vertex 1]],GroupVertices[Vertex],0)),1,1,"")</f>
        <v>1</v>
      </c>
      <c r="R293" s="80" t="str">
        <f>REPLACE(INDEX(GroupVertices[Group],MATCH(Edges[[#This Row],[Vertex 2]],GroupVertices[Vertex],0)),1,1,"")</f>
        <v>1</v>
      </c>
      <c r="S293" s="35"/>
      <c r="T293" s="35"/>
      <c r="U293" s="35"/>
      <c r="V293" s="35"/>
      <c r="W293" s="35"/>
      <c r="X293" s="35"/>
      <c r="Y293" s="35"/>
      <c r="Z293" s="35"/>
      <c r="AA293" s="35"/>
    </row>
    <row r="294" spans="1:27" ht="15">
      <c r="A294" s="65" t="s">
        <v>217</v>
      </c>
      <c r="B294" s="65" t="s">
        <v>390</v>
      </c>
      <c r="C294" s="66" t="s">
        <v>3534</v>
      </c>
      <c r="D294" s="67">
        <v>5</v>
      </c>
      <c r="E294" s="68"/>
      <c r="F294" s="69">
        <v>25</v>
      </c>
      <c r="G294" s="66"/>
      <c r="H294" s="70"/>
      <c r="I294" s="71"/>
      <c r="J294" s="71"/>
      <c r="K294" s="35" t="s">
        <v>65</v>
      </c>
      <c r="L294" s="79">
        <v>294</v>
      </c>
      <c r="M294" s="79"/>
      <c r="N294" s="73"/>
      <c r="O294" s="81" t="s">
        <v>613</v>
      </c>
      <c r="P294">
        <v>1</v>
      </c>
      <c r="Q294" s="80" t="str">
        <f>REPLACE(INDEX(GroupVertices[Group],MATCH(Edges[[#This Row],[Vertex 1]],GroupVertices[Vertex],0)),1,1,"")</f>
        <v>1</v>
      </c>
      <c r="R294" s="80" t="str">
        <f>REPLACE(INDEX(GroupVertices[Group],MATCH(Edges[[#This Row],[Vertex 2]],GroupVertices[Vertex],0)),1,1,"")</f>
        <v>1</v>
      </c>
      <c r="S294" s="35"/>
      <c r="T294" s="35"/>
      <c r="U294" s="35"/>
      <c r="V294" s="35"/>
      <c r="W294" s="35"/>
      <c r="X294" s="35"/>
      <c r="Y294" s="35"/>
      <c r="Z294" s="35"/>
      <c r="AA294" s="35"/>
    </row>
    <row r="295" spans="1:27" ht="15">
      <c r="A295" s="65" t="s">
        <v>217</v>
      </c>
      <c r="B295" s="65" t="s">
        <v>464</v>
      </c>
      <c r="C295" s="66" t="s">
        <v>3534</v>
      </c>
      <c r="D295" s="67">
        <v>5</v>
      </c>
      <c r="E295" s="68"/>
      <c r="F295" s="69">
        <v>25</v>
      </c>
      <c r="G295" s="66"/>
      <c r="H295" s="70"/>
      <c r="I295" s="71"/>
      <c r="J295" s="71"/>
      <c r="K295" s="35" t="s">
        <v>65</v>
      </c>
      <c r="L295" s="79">
        <v>295</v>
      </c>
      <c r="M295" s="79"/>
      <c r="N295" s="73"/>
      <c r="O295" s="81" t="s">
        <v>613</v>
      </c>
      <c r="P295">
        <v>1</v>
      </c>
      <c r="Q295" s="80" t="str">
        <f>REPLACE(INDEX(GroupVertices[Group],MATCH(Edges[[#This Row],[Vertex 1]],GroupVertices[Vertex],0)),1,1,"")</f>
        <v>1</v>
      </c>
      <c r="R295" s="80" t="str">
        <f>REPLACE(INDEX(GroupVertices[Group],MATCH(Edges[[#This Row],[Vertex 2]],GroupVertices[Vertex],0)),1,1,"")</f>
        <v>1</v>
      </c>
      <c r="S295" s="35"/>
      <c r="T295" s="35"/>
      <c r="U295" s="35"/>
      <c r="V295" s="35"/>
      <c r="W295" s="35"/>
      <c r="X295" s="35"/>
      <c r="Y295" s="35"/>
      <c r="Z295" s="35"/>
      <c r="AA295" s="35"/>
    </row>
    <row r="296" spans="1:27" ht="15">
      <c r="A296" s="65" t="s">
        <v>216</v>
      </c>
      <c r="B296" s="65" t="s">
        <v>465</v>
      </c>
      <c r="C296" s="66" t="s">
        <v>3534</v>
      </c>
      <c r="D296" s="67">
        <v>5</v>
      </c>
      <c r="E296" s="68"/>
      <c r="F296" s="69">
        <v>25</v>
      </c>
      <c r="G296" s="66"/>
      <c r="H296" s="70"/>
      <c r="I296" s="71"/>
      <c r="J296" s="71"/>
      <c r="K296" s="35" t="s">
        <v>65</v>
      </c>
      <c r="L296" s="79">
        <v>296</v>
      </c>
      <c r="M296" s="79"/>
      <c r="N296" s="73"/>
      <c r="O296" s="81" t="s">
        <v>613</v>
      </c>
      <c r="P296">
        <v>1</v>
      </c>
      <c r="Q296" s="80" t="str">
        <f>REPLACE(INDEX(GroupVertices[Group],MATCH(Edges[[#This Row],[Vertex 1]],GroupVertices[Vertex],0)),1,1,"")</f>
        <v>2</v>
      </c>
      <c r="R296" s="80" t="str">
        <f>REPLACE(INDEX(GroupVertices[Group],MATCH(Edges[[#This Row],[Vertex 2]],GroupVertices[Vertex],0)),1,1,"")</f>
        <v>1</v>
      </c>
      <c r="S296" s="35"/>
      <c r="T296" s="35"/>
      <c r="U296" s="35"/>
      <c r="V296" s="35"/>
      <c r="W296" s="35"/>
      <c r="X296" s="35"/>
      <c r="Y296" s="35"/>
      <c r="Z296" s="35"/>
      <c r="AA296" s="35"/>
    </row>
    <row r="297" spans="1:27" ht="15">
      <c r="A297" s="65" t="s">
        <v>217</v>
      </c>
      <c r="B297" s="65" t="s">
        <v>465</v>
      </c>
      <c r="C297" s="66" t="s">
        <v>3534</v>
      </c>
      <c r="D297" s="67">
        <v>5</v>
      </c>
      <c r="E297" s="68"/>
      <c r="F297" s="69">
        <v>25</v>
      </c>
      <c r="G297" s="66"/>
      <c r="H297" s="70"/>
      <c r="I297" s="71"/>
      <c r="J297" s="71"/>
      <c r="K297" s="35" t="s">
        <v>65</v>
      </c>
      <c r="L297" s="79">
        <v>297</v>
      </c>
      <c r="M297" s="79"/>
      <c r="N297" s="73"/>
      <c r="O297" s="81" t="s">
        <v>613</v>
      </c>
      <c r="P297">
        <v>1</v>
      </c>
      <c r="Q297" s="80" t="str">
        <f>REPLACE(INDEX(GroupVertices[Group],MATCH(Edges[[#This Row],[Vertex 1]],GroupVertices[Vertex],0)),1,1,"")</f>
        <v>1</v>
      </c>
      <c r="R297" s="80" t="str">
        <f>REPLACE(INDEX(GroupVertices[Group],MATCH(Edges[[#This Row],[Vertex 2]],GroupVertices[Vertex],0)),1,1,"")</f>
        <v>1</v>
      </c>
      <c r="S297" s="35"/>
      <c r="T297" s="35"/>
      <c r="U297" s="35"/>
      <c r="V297" s="35"/>
      <c r="W297" s="35"/>
      <c r="X297" s="35"/>
      <c r="Y297" s="35"/>
      <c r="Z297" s="35"/>
      <c r="AA297" s="35"/>
    </row>
    <row r="298" spans="1:27" ht="15">
      <c r="A298" s="65" t="s">
        <v>217</v>
      </c>
      <c r="B298" s="65" t="s">
        <v>391</v>
      </c>
      <c r="C298" s="66" t="s">
        <v>3534</v>
      </c>
      <c r="D298" s="67">
        <v>5</v>
      </c>
      <c r="E298" s="68"/>
      <c r="F298" s="69">
        <v>25</v>
      </c>
      <c r="G298" s="66"/>
      <c r="H298" s="70"/>
      <c r="I298" s="71"/>
      <c r="J298" s="71"/>
      <c r="K298" s="35" t="s">
        <v>65</v>
      </c>
      <c r="L298" s="79">
        <v>298</v>
      </c>
      <c r="M298" s="79"/>
      <c r="N298" s="73"/>
      <c r="O298" s="81" t="s">
        <v>613</v>
      </c>
      <c r="P298">
        <v>1</v>
      </c>
      <c r="Q298" s="80" t="str">
        <f>REPLACE(INDEX(GroupVertices[Group],MATCH(Edges[[#This Row],[Vertex 1]],GroupVertices[Vertex],0)),1,1,"")</f>
        <v>1</v>
      </c>
      <c r="R298" s="80" t="str">
        <f>REPLACE(INDEX(GroupVertices[Group],MATCH(Edges[[#This Row],[Vertex 2]],GroupVertices[Vertex],0)),1,1,"")</f>
        <v>1</v>
      </c>
      <c r="S298" s="35"/>
      <c r="T298" s="35"/>
      <c r="U298" s="35"/>
      <c r="V298" s="35"/>
      <c r="W298" s="35"/>
      <c r="X298" s="35"/>
      <c r="Y298" s="35"/>
      <c r="Z298" s="35"/>
      <c r="AA298" s="35"/>
    </row>
    <row r="299" spans="1:27" ht="15">
      <c r="A299" s="65" t="s">
        <v>217</v>
      </c>
      <c r="B299" s="65" t="s">
        <v>466</v>
      </c>
      <c r="C299" s="66" t="s">
        <v>3534</v>
      </c>
      <c r="D299" s="67">
        <v>5</v>
      </c>
      <c r="E299" s="68"/>
      <c r="F299" s="69">
        <v>25</v>
      </c>
      <c r="G299" s="66"/>
      <c r="H299" s="70"/>
      <c r="I299" s="71"/>
      <c r="J299" s="71"/>
      <c r="K299" s="35" t="s">
        <v>65</v>
      </c>
      <c r="L299" s="79">
        <v>299</v>
      </c>
      <c r="M299" s="79"/>
      <c r="N299" s="73"/>
      <c r="O299" s="81" t="s">
        <v>613</v>
      </c>
      <c r="P299">
        <v>1</v>
      </c>
      <c r="Q299" s="80" t="str">
        <f>REPLACE(INDEX(GroupVertices[Group],MATCH(Edges[[#This Row],[Vertex 1]],GroupVertices[Vertex],0)),1,1,"")</f>
        <v>1</v>
      </c>
      <c r="R299" s="80" t="str">
        <f>REPLACE(INDEX(GroupVertices[Group],MATCH(Edges[[#This Row],[Vertex 2]],GroupVertices[Vertex],0)),1,1,"")</f>
        <v>1</v>
      </c>
      <c r="S299" s="35"/>
      <c r="T299" s="35"/>
      <c r="U299" s="35"/>
      <c r="V299" s="35"/>
      <c r="W299" s="35"/>
      <c r="X299" s="35"/>
      <c r="Y299" s="35"/>
      <c r="Z299" s="35"/>
      <c r="AA299" s="35"/>
    </row>
    <row r="300" spans="1:27" ht="15">
      <c r="A300" s="65" t="s">
        <v>217</v>
      </c>
      <c r="B300" s="65" t="s">
        <v>377</v>
      </c>
      <c r="C300" s="66" t="s">
        <v>3534</v>
      </c>
      <c r="D300" s="67">
        <v>5</v>
      </c>
      <c r="E300" s="68"/>
      <c r="F300" s="69">
        <v>25</v>
      </c>
      <c r="G300" s="66"/>
      <c r="H300" s="70"/>
      <c r="I300" s="71"/>
      <c r="J300" s="71"/>
      <c r="K300" s="35" t="s">
        <v>65</v>
      </c>
      <c r="L300" s="79">
        <v>300</v>
      </c>
      <c r="M300" s="79"/>
      <c r="N300" s="73"/>
      <c r="O300" s="81" t="s">
        <v>613</v>
      </c>
      <c r="P300">
        <v>1</v>
      </c>
      <c r="Q300" s="80" t="str">
        <f>REPLACE(INDEX(GroupVertices[Group],MATCH(Edges[[#This Row],[Vertex 1]],GroupVertices[Vertex],0)),1,1,"")</f>
        <v>1</v>
      </c>
      <c r="R300" s="80" t="str">
        <f>REPLACE(INDEX(GroupVertices[Group],MATCH(Edges[[#This Row],[Vertex 2]],GroupVertices[Vertex],0)),1,1,"")</f>
        <v>1</v>
      </c>
      <c r="S300" s="35"/>
      <c r="T300" s="35"/>
      <c r="U300" s="35"/>
      <c r="V300" s="35"/>
      <c r="W300" s="35"/>
      <c r="X300" s="35"/>
      <c r="Y300" s="35"/>
      <c r="Z300" s="35"/>
      <c r="AA300" s="35"/>
    </row>
    <row r="301" spans="1:27" ht="15">
      <c r="A301" s="65" t="s">
        <v>217</v>
      </c>
      <c r="B301" s="65" t="s">
        <v>214</v>
      </c>
      <c r="C301" s="66" t="s">
        <v>3534</v>
      </c>
      <c r="D301" s="67">
        <v>5</v>
      </c>
      <c r="E301" s="68"/>
      <c r="F301" s="69">
        <v>25</v>
      </c>
      <c r="G301" s="66"/>
      <c r="H301" s="70"/>
      <c r="I301" s="71"/>
      <c r="J301" s="71"/>
      <c r="K301" s="35" t="s">
        <v>65</v>
      </c>
      <c r="L301" s="79">
        <v>301</v>
      </c>
      <c r="M301" s="79"/>
      <c r="N301" s="73"/>
      <c r="O301" s="81" t="s">
        <v>613</v>
      </c>
      <c r="P301">
        <v>1</v>
      </c>
      <c r="Q301" s="80" t="str">
        <f>REPLACE(INDEX(GroupVertices[Group],MATCH(Edges[[#This Row],[Vertex 1]],GroupVertices[Vertex],0)),1,1,"")</f>
        <v>1</v>
      </c>
      <c r="R301" s="80" t="str">
        <f>REPLACE(INDEX(GroupVertices[Group],MATCH(Edges[[#This Row],[Vertex 2]],GroupVertices[Vertex],0)),1,1,"")</f>
        <v>6</v>
      </c>
      <c r="S301" s="35"/>
      <c r="T301" s="35"/>
      <c r="U301" s="35"/>
      <c r="V301" s="35"/>
      <c r="W301" s="35"/>
      <c r="X301" s="35"/>
      <c r="Y301" s="35"/>
      <c r="Z301" s="35"/>
      <c r="AA301" s="35"/>
    </row>
    <row r="302" spans="1:27" ht="15">
      <c r="A302" s="65" t="s">
        <v>217</v>
      </c>
      <c r="B302" s="65" t="s">
        <v>467</v>
      </c>
      <c r="C302" s="66" t="s">
        <v>3534</v>
      </c>
      <c r="D302" s="67">
        <v>5</v>
      </c>
      <c r="E302" s="68"/>
      <c r="F302" s="69">
        <v>25</v>
      </c>
      <c r="G302" s="66"/>
      <c r="H302" s="70"/>
      <c r="I302" s="71"/>
      <c r="J302" s="71"/>
      <c r="K302" s="35" t="s">
        <v>65</v>
      </c>
      <c r="L302" s="79">
        <v>302</v>
      </c>
      <c r="M302" s="79"/>
      <c r="N302" s="73"/>
      <c r="O302" s="81" t="s">
        <v>613</v>
      </c>
      <c r="P302">
        <v>1</v>
      </c>
      <c r="Q302" s="80" t="str">
        <f>REPLACE(INDEX(GroupVertices[Group],MATCH(Edges[[#This Row],[Vertex 1]],GroupVertices[Vertex],0)),1,1,"")</f>
        <v>1</v>
      </c>
      <c r="R302" s="80" t="str">
        <f>REPLACE(INDEX(GroupVertices[Group],MATCH(Edges[[#This Row],[Vertex 2]],GroupVertices[Vertex],0)),1,1,"")</f>
        <v>3</v>
      </c>
      <c r="S302" s="35"/>
      <c r="T302" s="35"/>
      <c r="U302" s="35"/>
      <c r="V302" s="35"/>
      <c r="W302" s="35"/>
      <c r="X302" s="35"/>
      <c r="Y302" s="35"/>
      <c r="Z302" s="35"/>
      <c r="AA302" s="35"/>
    </row>
    <row r="303" spans="1:27" ht="15">
      <c r="A303" s="65" t="s">
        <v>217</v>
      </c>
      <c r="B303" s="65" t="s">
        <v>373</v>
      </c>
      <c r="C303" s="66" t="s">
        <v>3534</v>
      </c>
      <c r="D303" s="67">
        <v>5</v>
      </c>
      <c r="E303" s="68"/>
      <c r="F303" s="69">
        <v>25</v>
      </c>
      <c r="G303" s="66"/>
      <c r="H303" s="70"/>
      <c r="I303" s="71"/>
      <c r="J303" s="71"/>
      <c r="K303" s="35" t="s">
        <v>65</v>
      </c>
      <c r="L303" s="79">
        <v>303</v>
      </c>
      <c r="M303" s="79"/>
      <c r="N303" s="73"/>
      <c r="O303" s="81" t="s">
        <v>613</v>
      </c>
      <c r="P303">
        <v>1</v>
      </c>
      <c r="Q303" s="80" t="str">
        <f>REPLACE(INDEX(GroupVertices[Group],MATCH(Edges[[#This Row],[Vertex 1]],GroupVertices[Vertex],0)),1,1,"")</f>
        <v>1</v>
      </c>
      <c r="R303" s="80" t="str">
        <f>REPLACE(INDEX(GroupVertices[Group],MATCH(Edges[[#This Row],[Vertex 2]],GroupVertices[Vertex],0)),1,1,"")</f>
        <v>1</v>
      </c>
      <c r="S303" s="35"/>
      <c r="T303" s="35"/>
      <c r="U303" s="35"/>
      <c r="V303" s="35"/>
      <c r="W303" s="35"/>
      <c r="X303" s="35"/>
      <c r="Y303" s="35"/>
      <c r="Z303" s="35"/>
      <c r="AA303" s="35"/>
    </row>
    <row r="304" spans="1:27" ht="15">
      <c r="A304" s="65" t="s">
        <v>217</v>
      </c>
      <c r="B304" s="65" t="s">
        <v>468</v>
      </c>
      <c r="C304" s="66" t="s">
        <v>3534</v>
      </c>
      <c r="D304" s="67">
        <v>5</v>
      </c>
      <c r="E304" s="68"/>
      <c r="F304" s="69">
        <v>25</v>
      </c>
      <c r="G304" s="66"/>
      <c r="H304" s="70"/>
      <c r="I304" s="71"/>
      <c r="J304" s="71"/>
      <c r="K304" s="35" t="s">
        <v>65</v>
      </c>
      <c r="L304" s="79">
        <v>304</v>
      </c>
      <c r="M304" s="79"/>
      <c r="N304" s="73"/>
      <c r="O304" s="81" t="s">
        <v>613</v>
      </c>
      <c r="P304">
        <v>1</v>
      </c>
      <c r="Q304" s="80" t="str">
        <f>REPLACE(INDEX(GroupVertices[Group],MATCH(Edges[[#This Row],[Vertex 1]],GroupVertices[Vertex],0)),1,1,"")</f>
        <v>1</v>
      </c>
      <c r="R304" s="80" t="str">
        <f>REPLACE(INDEX(GroupVertices[Group],MATCH(Edges[[#This Row],[Vertex 2]],GroupVertices[Vertex],0)),1,1,"")</f>
        <v>1</v>
      </c>
      <c r="S304" s="35"/>
      <c r="T304" s="35"/>
      <c r="U304" s="35"/>
      <c r="V304" s="35"/>
      <c r="W304" s="35"/>
      <c r="X304" s="35"/>
      <c r="Y304" s="35"/>
      <c r="Z304" s="35"/>
      <c r="AA304" s="35"/>
    </row>
    <row r="305" spans="1:27" ht="15">
      <c r="A305" s="65" t="s">
        <v>217</v>
      </c>
      <c r="B305" s="65" t="s">
        <v>216</v>
      </c>
      <c r="C305" s="66" t="s">
        <v>3534</v>
      </c>
      <c r="D305" s="67">
        <v>5</v>
      </c>
      <c r="E305" s="68"/>
      <c r="F305" s="69">
        <v>25</v>
      </c>
      <c r="G305" s="66"/>
      <c r="H305" s="70"/>
      <c r="I305" s="71"/>
      <c r="J305" s="71"/>
      <c r="K305" s="35" t="s">
        <v>65</v>
      </c>
      <c r="L305" s="79">
        <v>305</v>
      </c>
      <c r="M305" s="79"/>
      <c r="N305" s="73"/>
      <c r="O305" s="81" t="s">
        <v>613</v>
      </c>
      <c r="P305">
        <v>1</v>
      </c>
      <c r="Q305" s="80" t="str">
        <f>REPLACE(INDEX(GroupVertices[Group],MATCH(Edges[[#This Row],[Vertex 1]],GroupVertices[Vertex],0)),1,1,"")</f>
        <v>1</v>
      </c>
      <c r="R305" s="80" t="str">
        <f>REPLACE(INDEX(GroupVertices[Group],MATCH(Edges[[#This Row],[Vertex 2]],GroupVertices[Vertex],0)),1,1,"")</f>
        <v>2</v>
      </c>
      <c r="S305" s="35"/>
      <c r="T305" s="35"/>
      <c r="U305" s="35"/>
      <c r="V305" s="35"/>
      <c r="W305" s="35"/>
      <c r="X305" s="35"/>
      <c r="Y305" s="35"/>
      <c r="Z305" s="35"/>
      <c r="AA305" s="35"/>
    </row>
    <row r="306" spans="1:27" ht="15">
      <c r="A306" s="65" t="s">
        <v>217</v>
      </c>
      <c r="B306" s="65" t="s">
        <v>382</v>
      </c>
      <c r="C306" s="66" t="s">
        <v>3534</v>
      </c>
      <c r="D306" s="67">
        <v>5</v>
      </c>
      <c r="E306" s="68"/>
      <c r="F306" s="69">
        <v>25</v>
      </c>
      <c r="G306" s="66"/>
      <c r="H306" s="70"/>
      <c r="I306" s="71"/>
      <c r="J306" s="71"/>
      <c r="K306" s="35" t="s">
        <v>65</v>
      </c>
      <c r="L306" s="79">
        <v>306</v>
      </c>
      <c r="M306" s="79"/>
      <c r="N306" s="73"/>
      <c r="O306" s="81" t="s">
        <v>613</v>
      </c>
      <c r="P306">
        <v>1</v>
      </c>
      <c r="Q306" s="80" t="str">
        <f>REPLACE(INDEX(GroupVertices[Group],MATCH(Edges[[#This Row],[Vertex 1]],GroupVertices[Vertex],0)),1,1,"")</f>
        <v>1</v>
      </c>
      <c r="R306" s="80" t="str">
        <f>REPLACE(INDEX(GroupVertices[Group],MATCH(Edges[[#This Row],[Vertex 2]],GroupVertices[Vertex],0)),1,1,"")</f>
        <v>1</v>
      </c>
      <c r="S306" s="35"/>
      <c r="T306" s="35"/>
      <c r="U306" s="35"/>
      <c r="V306" s="35"/>
      <c r="W306" s="35"/>
      <c r="X306" s="35"/>
      <c r="Y306" s="35"/>
      <c r="Z306" s="35"/>
      <c r="AA306" s="35"/>
    </row>
    <row r="307" spans="1:27" ht="15">
      <c r="A307" s="65" t="s">
        <v>217</v>
      </c>
      <c r="B307" s="65" t="s">
        <v>469</v>
      </c>
      <c r="C307" s="66" t="s">
        <v>3534</v>
      </c>
      <c r="D307" s="67">
        <v>5</v>
      </c>
      <c r="E307" s="68"/>
      <c r="F307" s="69">
        <v>25</v>
      </c>
      <c r="G307" s="66"/>
      <c r="H307" s="70"/>
      <c r="I307" s="71"/>
      <c r="J307" s="71"/>
      <c r="K307" s="35" t="s">
        <v>65</v>
      </c>
      <c r="L307" s="79">
        <v>307</v>
      </c>
      <c r="M307" s="79"/>
      <c r="N307" s="73"/>
      <c r="O307" s="81" t="s">
        <v>613</v>
      </c>
      <c r="P307">
        <v>1</v>
      </c>
      <c r="Q307" s="80" t="str">
        <f>REPLACE(INDEX(GroupVertices[Group],MATCH(Edges[[#This Row],[Vertex 1]],GroupVertices[Vertex],0)),1,1,"")</f>
        <v>1</v>
      </c>
      <c r="R307" s="80" t="str">
        <f>REPLACE(INDEX(GroupVertices[Group],MATCH(Edges[[#This Row],[Vertex 2]],GroupVertices[Vertex],0)),1,1,"")</f>
        <v>1</v>
      </c>
      <c r="S307" s="35"/>
      <c r="T307" s="35"/>
      <c r="U307" s="35"/>
      <c r="V307" s="35"/>
      <c r="W307" s="35"/>
      <c r="X307" s="35"/>
      <c r="Y307" s="35"/>
      <c r="Z307" s="35"/>
      <c r="AA307" s="35"/>
    </row>
    <row r="308" spans="1:27" ht="15">
      <c r="A308" s="65" t="s">
        <v>217</v>
      </c>
      <c r="B308" s="65" t="s">
        <v>470</v>
      </c>
      <c r="C308" s="66" t="s">
        <v>3534</v>
      </c>
      <c r="D308" s="67">
        <v>5</v>
      </c>
      <c r="E308" s="68"/>
      <c r="F308" s="69">
        <v>25</v>
      </c>
      <c r="G308" s="66"/>
      <c r="H308" s="70"/>
      <c r="I308" s="71"/>
      <c r="J308" s="71"/>
      <c r="K308" s="35" t="s">
        <v>65</v>
      </c>
      <c r="L308" s="79">
        <v>308</v>
      </c>
      <c r="M308" s="79"/>
      <c r="N308" s="73"/>
      <c r="O308" s="81" t="s">
        <v>613</v>
      </c>
      <c r="P308">
        <v>1</v>
      </c>
      <c r="Q308" s="80" t="str">
        <f>REPLACE(INDEX(GroupVertices[Group],MATCH(Edges[[#This Row],[Vertex 1]],GroupVertices[Vertex],0)),1,1,"")</f>
        <v>1</v>
      </c>
      <c r="R308" s="80" t="str">
        <f>REPLACE(INDEX(GroupVertices[Group],MATCH(Edges[[#This Row],[Vertex 2]],GroupVertices[Vertex],0)),1,1,"")</f>
        <v>3</v>
      </c>
      <c r="S308" s="35"/>
      <c r="T308" s="35"/>
      <c r="U308" s="35"/>
      <c r="V308" s="35"/>
      <c r="W308" s="35"/>
      <c r="X308" s="35"/>
      <c r="Y308" s="35"/>
      <c r="Z308" s="35"/>
      <c r="AA308" s="35"/>
    </row>
    <row r="309" spans="1:27" ht="15">
      <c r="A309" s="65" t="s">
        <v>217</v>
      </c>
      <c r="B309" s="65" t="s">
        <v>386</v>
      </c>
      <c r="C309" s="66" t="s">
        <v>3534</v>
      </c>
      <c r="D309" s="67">
        <v>5</v>
      </c>
      <c r="E309" s="68"/>
      <c r="F309" s="69">
        <v>25</v>
      </c>
      <c r="G309" s="66"/>
      <c r="H309" s="70"/>
      <c r="I309" s="71"/>
      <c r="J309" s="71"/>
      <c r="K309" s="35" t="s">
        <v>65</v>
      </c>
      <c r="L309" s="79">
        <v>309</v>
      </c>
      <c r="M309" s="79"/>
      <c r="N309" s="73"/>
      <c r="O309" s="81" t="s">
        <v>613</v>
      </c>
      <c r="P309">
        <v>1</v>
      </c>
      <c r="Q309" s="80" t="str">
        <f>REPLACE(INDEX(GroupVertices[Group],MATCH(Edges[[#This Row],[Vertex 1]],GroupVertices[Vertex],0)),1,1,"")</f>
        <v>1</v>
      </c>
      <c r="R309" s="80" t="str">
        <f>REPLACE(INDEX(GroupVertices[Group],MATCH(Edges[[#This Row],[Vertex 2]],GroupVertices[Vertex],0)),1,1,"")</f>
        <v>1</v>
      </c>
      <c r="S309" s="35"/>
      <c r="T309" s="35"/>
      <c r="U309" s="35"/>
      <c r="V309" s="35"/>
      <c r="W309" s="35"/>
      <c r="X309" s="35"/>
      <c r="Y309" s="35"/>
      <c r="Z309" s="35"/>
      <c r="AA309" s="35"/>
    </row>
    <row r="310" spans="1:27" ht="15">
      <c r="A310" s="65" t="s">
        <v>217</v>
      </c>
      <c r="B310" s="65" t="s">
        <v>389</v>
      </c>
      <c r="C310" s="66" t="s">
        <v>3534</v>
      </c>
      <c r="D310" s="67">
        <v>5</v>
      </c>
      <c r="E310" s="68"/>
      <c r="F310" s="69">
        <v>25</v>
      </c>
      <c r="G310" s="66"/>
      <c r="H310" s="70"/>
      <c r="I310" s="71"/>
      <c r="J310" s="71"/>
      <c r="K310" s="35" t="s">
        <v>65</v>
      </c>
      <c r="L310" s="79">
        <v>310</v>
      </c>
      <c r="M310" s="79"/>
      <c r="N310" s="73"/>
      <c r="O310" s="81" t="s">
        <v>613</v>
      </c>
      <c r="P310">
        <v>1</v>
      </c>
      <c r="Q310" s="80" t="str">
        <f>REPLACE(INDEX(GroupVertices[Group],MATCH(Edges[[#This Row],[Vertex 1]],GroupVertices[Vertex],0)),1,1,"")</f>
        <v>1</v>
      </c>
      <c r="R310" s="80" t="str">
        <f>REPLACE(INDEX(GroupVertices[Group],MATCH(Edges[[#This Row],[Vertex 2]],GroupVertices[Vertex],0)),1,1,"")</f>
        <v>1</v>
      </c>
      <c r="S310" s="35"/>
      <c r="T310" s="35"/>
      <c r="U310" s="35"/>
      <c r="V310" s="35"/>
      <c r="W310" s="35"/>
      <c r="X310" s="35"/>
      <c r="Y310" s="35"/>
      <c r="Z310" s="35"/>
      <c r="AA310" s="35"/>
    </row>
    <row r="311" spans="1:27" ht="15">
      <c r="A311" s="65" t="s">
        <v>217</v>
      </c>
      <c r="B311" s="65" t="s">
        <v>471</v>
      </c>
      <c r="C311" s="66" t="s">
        <v>3534</v>
      </c>
      <c r="D311" s="67">
        <v>5</v>
      </c>
      <c r="E311" s="68"/>
      <c r="F311" s="69">
        <v>25</v>
      </c>
      <c r="G311" s="66"/>
      <c r="H311" s="70"/>
      <c r="I311" s="71"/>
      <c r="J311" s="71"/>
      <c r="K311" s="35" t="s">
        <v>65</v>
      </c>
      <c r="L311" s="79">
        <v>311</v>
      </c>
      <c r="M311" s="79"/>
      <c r="N311" s="73"/>
      <c r="O311" s="81" t="s">
        <v>613</v>
      </c>
      <c r="P311">
        <v>1</v>
      </c>
      <c r="Q311" s="80" t="str">
        <f>REPLACE(INDEX(GroupVertices[Group],MATCH(Edges[[#This Row],[Vertex 1]],GroupVertices[Vertex],0)),1,1,"")</f>
        <v>1</v>
      </c>
      <c r="R311" s="80" t="str">
        <f>REPLACE(INDEX(GroupVertices[Group],MATCH(Edges[[#This Row],[Vertex 2]],GroupVertices[Vertex],0)),1,1,"")</f>
        <v>1</v>
      </c>
      <c r="S311" s="35"/>
      <c r="T311" s="35"/>
      <c r="U311" s="35"/>
      <c r="V311" s="35"/>
      <c r="W311" s="35"/>
      <c r="X311" s="35"/>
      <c r="Y311" s="35"/>
      <c r="Z311" s="35"/>
      <c r="AA311" s="35"/>
    </row>
    <row r="312" spans="1:27" ht="15">
      <c r="A312" s="65" t="s">
        <v>217</v>
      </c>
      <c r="B312" s="65" t="s">
        <v>219</v>
      </c>
      <c r="C312" s="66" t="s">
        <v>3534</v>
      </c>
      <c r="D312" s="67">
        <v>5</v>
      </c>
      <c r="E312" s="68"/>
      <c r="F312" s="69">
        <v>25</v>
      </c>
      <c r="G312" s="66"/>
      <c r="H312" s="70"/>
      <c r="I312" s="71"/>
      <c r="J312" s="71"/>
      <c r="K312" s="35" t="s">
        <v>65</v>
      </c>
      <c r="L312" s="79">
        <v>312</v>
      </c>
      <c r="M312" s="79"/>
      <c r="N312" s="73"/>
      <c r="O312" s="81" t="s">
        <v>613</v>
      </c>
      <c r="P312">
        <v>1</v>
      </c>
      <c r="Q312" s="80" t="str">
        <f>REPLACE(INDEX(GroupVertices[Group],MATCH(Edges[[#This Row],[Vertex 1]],GroupVertices[Vertex],0)),1,1,"")</f>
        <v>1</v>
      </c>
      <c r="R312" s="80" t="str">
        <f>REPLACE(INDEX(GroupVertices[Group],MATCH(Edges[[#This Row],[Vertex 2]],GroupVertices[Vertex],0)),1,1,"")</f>
        <v>5</v>
      </c>
      <c r="S312" s="35"/>
      <c r="T312" s="35"/>
      <c r="U312" s="35"/>
      <c r="V312" s="35"/>
      <c r="W312" s="35"/>
      <c r="X312" s="35"/>
      <c r="Y312" s="35"/>
      <c r="Z312" s="35"/>
      <c r="AA312" s="35"/>
    </row>
    <row r="313" spans="1:27" ht="15">
      <c r="A313" s="65" t="s">
        <v>217</v>
      </c>
      <c r="B313" s="65" t="s">
        <v>472</v>
      </c>
      <c r="C313" s="66" t="s">
        <v>3534</v>
      </c>
      <c r="D313" s="67">
        <v>5</v>
      </c>
      <c r="E313" s="68"/>
      <c r="F313" s="69">
        <v>25</v>
      </c>
      <c r="G313" s="66"/>
      <c r="H313" s="70"/>
      <c r="I313" s="71"/>
      <c r="J313" s="71"/>
      <c r="K313" s="35" t="s">
        <v>65</v>
      </c>
      <c r="L313" s="79">
        <v>313</v>
      </c>
      <c r="M313" s="79"/>
      <c r="N313" s="73"/>
      <c r="O313" s="81" t="s">
        <v>613</v>
      </c>
      <c r="P313">
        <v>1</v>
      </c>
      <c r="Q313" s="80" t="str">
        <f>REPLACE(INDEX(GroupVertices[Group],MATCH(Edges[[#This Row],[Vertex 1]],GroupVertices[Vertex],0)),1,1,"")</f>
        <v>1</v>
      </c>
      <c r="R313" s="80" t="str">
        <f>REPLACE(INDEX(GroupVertices[Group],MATCH(Edges[[#This Row],[Vertex 2]],GroupVertices[Vertex],0)),1,1,"")</f>
        <v>3</v>
      </c>
      <c r="S313" s="35"/>
      <c r="T313" s="35"/>
      <c r="U313" s="35"/>
      <c r="V313" s="35"/>
      <c r="W313" s="35"/>
      <c r="X313" s="35"/>
      <c r="Y313" s="35"/>
      <c r="Z313" s="35"/>
      <c r="AA313" s="35"/>
    </row>
    <row r="314" spans="1:27" ht="15">
      <c r="A314" s="65" t="s">
        <v>217</v>
      </c>
      <c r="B314" s="65" t="s">
        <v>387</v>
      </c>
      <c r="C314" s="66" t="s">
        <v>3534</v>
      </c>
      <c r="D314" s="67">
        <v>5</v>
      </c>
      <c r="E314" s="68"/>
      <c r="F314" s="69">
        <v>25</v>
      </c>
      <c r="G314" s="66"/>
      <c r="H314" s="70"/>
      <c r="I314" s="71"/>
      <c r="J314" s="71"/>
      <c r="K314" s="35" t="s">
        <v>65</v>
      </c>
      <c r="L314" s="79">
        <v>314</v>
      </c>
      <c r="M314" s="79"/>
      <c r="N314" s="73"/>
      <c r="O314" s="81" t="s">
        <v>613</v>
      </c>
      <c r="P314">
        <v>1</v>
      </c>
      <c r="Q314" s="80" t="str">
        <f>REPLACE(INDEX(GroupVertices[Group],MATCH(Edges[[#This Row],[Vertex 1]],GroupVertices[Vertex],0)),1,1,"")</f>
        <v>1</v>
      </c>
      <c r="R314" s="80" t="str">
        <f>REPLACE(INDEX(GroupVertices[Group],MATCH(Edges[[#This Row],[Vertex 2]],GroupVertices[Vertex],0)),1,1,"")</f>
        <v>1</v>
      </c>
      <c r="S314" s="35"/>
      <c r="T314" s="35"/>
      <c r="U314" s="35"/>
      <c r="V314" s="35"/>
      <c r="W314" s="35"/>
      <c r="X314" s="35"/>
      <c r="Y314" s="35"/>
      <c r="Z314" s="35"/>
      <c r="AA314" s="35"/>
    </row>
    <row r="315" spans="1:27" ht="15">
      <c r="A315" s="65" t="s">
        <v>217</v>
      </c>
      <c r="B315" s="65" t="s">
        <v>213</v>
      </c>
      <c r="C315" s="66" t="s">
        <v>3534</v>
      </c>
      <c r="D315" s="67">
        <v>5</v>
      </c>
      <c r="E315" s="68"/>
      <c r="F315" s="69">
        <v>25</v>
      </c>
      <c r="G315" s="66"/>
      <c r="H315" s="70"/>
      <c r="I315" s="71"/>
      <c r="J315" s="71"/>
      <c r="K315" s="35" t="s">
        <v>65</v>
      </c>
      <c r="L315" s="79">
        <v>315</v>
      </c>
      <c r="M315" s="79"/>
      <c r="N315" s="73"/>
      <c r="O315" s="81" t="s">
        <v>613</v>
      </c>
      <c r="P315">
        <v>1</v>
      </c>
      <c r="Q315" s="80" t="str">
        <f>REPLACE(INDEX(GroupVertices[Group],MATCH(Edges[[#This Row],[Vertex 1]],GroupVertices[Vertex],0)),1,1,"")</f>
        <v>1</v>
      </c>
      <c r="R315" s="80" t="str">
        <f>REPLACE(INDEX(GroupVertices[Group],MATCH(Edges[[#This Row],[Vertex 2]],GroupVertices[Vertex],0)),1,1,"")</f>
        <v>4</v>
      </c>
      <c r="S315" s="35"/>
      <c r="T315" s="35"/>
      <c r="U315" s="35"/>
      <c r="V315" s="35"/>
      <c r="W315" s="35"/>
      <c r="X315" s="35"/>
      <c r="Y315" s="35"/>
      <c r="Z315" s="35"/>
      <c r="AA315" s="35"/>
    </row>
    <row r="316" spans="1:27" ht="15">
      <c r="A316" s="65" t="s">
        <v>217</v>
      </c>
      <c r="B316" s="65" t="s">
        <v>393</v>
      </c>
      <c r="C316" s="66" t="s">
        <v>3534</v>
      </c>
      <c r="D316" s="67">
        <v>5</v>
      </c>
      <c r="E316" s="68"/>
      <c r="F316" s="69">
        <v>25</v>
      </c>
      <c r="G316" s="66"/>
      <c r="H316" s="70"/>
      <c r="I316" s="71"/>
      <c r="J316" s="71"/>
      <c r="K316" s="35" t="s">
        <v>65</v>
      </c>
      <c r="L316" s="79">
        <v>316</v>
      </c>
      <c r="M316" s="79"/>
      <c r="N316" s="73"/>
      <c r="O316" s="81" t="s">
        <v>613</v>
      </c>
      <c r="P316">
        <v>1</v>
      </c>
      <c r="Q316" s="80" t="str">
        <f>REPLACE(INDEX(GroupVertices[Group],MATCH(Edges[[#This Row],[Vertex 1]],GroupVertices[Vertex],0)),1,1,"")</f>
        <v>1</v>
      </c>
      <c r="R316" s="80" t="str">
        <f>REPLACE(INDEX(GroupVertices[Group],MATCH(Edges[[#This Row],[Vertex 2]],GroupVertices[Vertex],0)),1,1,"")</f>
        <v>1</v>
      </c>
      <c r="S316" s="35"/>
      <c r="T316" s="35"/>
      <c r="U316" s="35"/>
      <c r="V316" s="35"/>
      <c r="W316" s="35"/>
      <c r="X316" s="35"/>
      <c r="Y316" s="35"/>
      <c r="Z316" s="35"/>
      <c r="AA316" s="35"/>
    </row>
    <row r="317" spans="1:27" ht="15">
      <c r="A317" s="65" t="s">
        <v>217</v>
      </c>
      <c r="B317" s="65" t="s">
        <v>388</v>
      </c>
      <c r="C317" s="66" t="s">
        <v>3534</v>
      </c>
      <c r="D317" s="67">
        <v>5</v>
      </c>
      <c r="E317" s="68"/>
      <c r="F317" s="69">
        <v>25</v>
      </c>
      <c r="G317" s="66"/>
      <c r="H317" s="70"/>
      <c r="I317" s="71"/>
      <c r="J317" s="71"/>
      <c r="K317" s="35" t="s">
        <v>65</v>
      </c>
      <c r="L317" s="79">
        <v>317</v>
      </c>
      <c r="M317" s="79"/>
      <c r="N317" s="73"/>
      <c r="O317" s="81" t="s">
        <v>613</v>
      </c>
      <c r="P317">
        <v>1</v>
      </c>
      <c r="Q317" s="80" t="str">
        <f>REPLACE(INDEX(GroupVertices[Group],MATCH(Edges[[#This Row],[Vertex 1]],GroupVertices[Vertex],0)),1,1,"")</f>
        <v>1</v>
      </c>
      <c r="R317" s="80" t="str">
        <f>REPLACE(INDEX(GroupVertices[Group],MATCH(Edges[[#This Row],[Vertex 2]],GroupVertices[Vertex],0)),1,1,"")</f>
        <v>1</v>
      </c>
      <c r="S317" s="35"/>
      <c r="T317" s="35"/>
      <c r="U317" s="35"/>
      <c r="V317" s="35"/>
      <c r="W317" s="35"/>
      <c r="X317" s="35"/>
      <c r="Y317" s="35"/>
      <c r="Z317" s="35"/>
      <c r="AA317" s="35"/>
    </row>
    <row r="318" spans="1:27" ht="15">
      <c r="A318" s="65" t="s">
        <v>218</v>
      </c>
      <c r="B318" s="65" t="s">
        <v>473</v>
      </c>
      <c r="C318" s="66" t="s">
        <v>3534</v>
      </c>
      <c r="D318" s="67">
        <v>5</v>
      </c>
      <c r="E318" s="68"/>
      <c r="F318" s="69">
        <v>25</v>
      </c>
      <c r="G318" s="66"/>
      <c r="H318" s="70"/>
      <c r="I318" s="71"/>
      <c r="J318" s="71"/>
      <c r="K318" s="35" t="s">
        <v>65</v>
      </c>
      <c r="L318" s="79">
        <v>318</v>
      </c>
      <c r="M318" s="79"/>
      <c r="N318" s="73"/>
      <c r="O318" s="81" t="s">
        <v>613</v>
      </c>
      <c r="P318">
        <v>1</v>
      </c>
      <c r="Q318" s="80" t="str">
        <f>REPLACE(INDEX(GroupVertices[Group],MATCH(Edges[[#This Row],[Vertex 1]],GroupVertices[Vertex],0)),1,1,"")</f>
        <v>3</v>
      </c>
      <c r="R318" s="80" t="str">
        <f>REPLACE(INDEX(GroupVertices[Group],MATCH(Edges[[#This Row],[Vertex 2]],GroupVertices[Vertex],0)),1,1,"")</f>
        <v>3</v>
      </c>
      <c r="S318" s="35"/>
      <c r="T318" s="35"/>
      <c r="U318" s="35"/>
      <c r="V318" s="35"/>
      <c r="W318" s="35"/>
      <c r="X318" s="35"/>
      <c r="Y318" s="35"/>
      <c r="Z318" s="35"/>
      <c r="AA318" s="35"/>
    </row>
    <row r="319" spans="1:27" ht="15">
      <c r="A319" s="65" t="s">
        <v>218</v>
      </c>
      <c r="B319" s="65" t="s">
        <v>474</v>
      </c>
      <c r="C319" s="66" t="s">
        <v>3534</v>
      </c>
      <c r="D319" s="67">
        <v>5</v>
      </c>
      <c r="E319" s="68"/>
      <c r="F319" s="69">
        <v>25</v>
      </c>
      <c r="G319" s="66"/>
      <c r="H319" s="70"/>
      <c r="I319" s="71"/>
      <c r="J319" s="71"/>
      <c r="K319" s="35" t="s">
        <v>65</v>
      </c>
      <c r="L319" s="79">
        <v>319</v>
      </c>
      <c r="M319" s="79"/>
      <c r="N319" s="73"/>
      <c r="O319" s="81" t="s">
        <v>613</v>
      </c>
      <c r="P319">
        <v>1</v>
      </c>
      <c r="Q319" s="80" t="str">
        <f>REPLACE(INDEX(GroupVertices[Group],MATCH(Edges[[#This Row],[Vertex 1]],GroupVertices[Vertex],0)),1,1,"")</f>
        <v>3</v>
      </c>
      <c r="R319" s="80" t="str">
        <f>REPLACE(INDEX(GroupVertices[Group],MATCH(Edges[[#This Row],[Vertex 2]],GroupVertices[Vertex],0)),1,1,"")</f>
        <v>3</v>
      </c>
      <c r="S319" s="35"/>
      <c r="T319" s="35"/>
      <c r="U319" s="35"/>
      <c r="V319" s="35"/>
      <c r="W319" s="35"/>
      <c r="X319" s="35"/>
      <c r="Y319" s="35"/>
      <c r="Z319" s="35"/>
      <c r="AA319" s="35"/>
    </row>
    <row r="320" spans="1:27" ht="15">
      <c r="A320" s="65" t="s">
        <v>218</v>
      </c>
      <c r="B320" s="65" t="s">
        <v>475</v>
      </c>
      <c r="C320" s="66" t="s">
        <v>3534</v>
      </c>
      <c r="D320" s="67">
        <v>5</v>
      </c>
      <c r="E320" s="68"/>
      <c r="F320" s="69">
        <v>25</v>
      </c>
      <c r="G320" s="66"/>
      <c r="H320" s="70"/>
      <c r="I320" s="71"/>
      <c r="J320" s="71"/>
      <c r="K320" s="35" t="s">
        <v>65</v>
      </c>
      <c r="L320" s="79">
        <v>320</v>
      </c>
      <c r="M320" s="79"/>
      <c r="N320" s="73"/>
      <c r="O320" s="81" t="s">
        <v>613</v>
      </c>
      <c r="P320">
        <v>1</v>
      </c>
      <c r="Q320" s="80" t="str">
        <f>REPLACE(INDEX(GroupVertices[Group],MATCH(Edges[[#This Row],[Vertex 1]],GroupVertices[Vertex],0)),1,1,"")</f>
        <v>3</v>
      </c>
      <c r="R320" s="80" t="str">
        <f>REPLACE(INDEX(GroupVertices[Group],MATCH(Edges[[#This Row],[Vertex 2]],GroupVertices[Vertex],0)),1,1,"")</f>
        <v>3</v>
      </c>
      <c r="S320" s="35"/>
      <c r="T320" s="35"/>
      <c r="U320" s="35"/>
      <c r="V320" s="35"/>
      <c r="W320" s="35"/>
      <c r="X320" s="35"/>
      <c r="Y320" s="35"/>
      <c r="Z320" s="35"/>
      <c r="AA320" s="35"/>
    </row>
    <row r="321" spans="1:27" ht="15">
      <c r="A321" s="65" t="s">
        <v>218</v>
      </c>
      <c r="B321" s="65" t="s">
        <v>476</v>
      </c>
      <c r="C321" s="66" t="s">
        <v>3534</v>
      </c>
      <c r="D321" s="67">
        <v>5</v>
      </c>
      <c r="E321" s="68"/>
      <c r="F321" s="69">
        <v>25</v>
      </c>
      <c r="G321" s="66"/>
      <c r="H321" s="70"/>
      <c r="I321" s="71"/>
      <c r="J321" s="71"/>
      <c r="K321" s="35" t="s">
        <v>65</v>
      </c>
      <c r="L321" s="79">
        <v>321</v>
      </c>
      <c r="M321" s="79"/>
      <c r="N321" s="73"/>
      <c r="O321" s="81" t="s">
        <v>613</v>
      </c>
      <c r="P321">
        <v>1</v>
      </c>
      <c r="Q321" s="80" t="str">
        <f>REPLACE(INDEX(GroupVertices[Group],MATCH(Edges[[#This Row],[Vertex 1]],GroupVertices[Vertex],0)),1,1,"")</f>
        <v>3</v>
      </c>
      <c r="R321" s="80" t="str">
        <f>REPLACE(INDEX(GroupVertices[Group],MATCH(Edges[[#This Row],[Vertex 2]],GroupVertices[Vertex],0)),1,1,"")</f>
        <v>3</v>
      </c>
      <c r="S321" s="35"/>
      <c r="T321" s="35"/>
      <c r="U321" s="35"/>
      <c r="V321" s="35"/>
      <c r="W321" s="35"/>
      <c r="X321" s="35"/>
      <c r="Y321" s="35"/>
      <c r="Z321" s="35"/>
      <c r="AA321" s="35"/>
    </row>
    <row r="322" spans="1:27" ht="15">
      <c r="A322" s="65" t="s">
        <v>218</v>
      </c>
      <c r="B322" s="65" t="s">
        <v>477</v>
      </c>
      <c r="C322" s="66" t="s">
        <v>3534</v>
      </c>
      <c r="D322" s="67">
        <v>5</v>
      </c>
      <c r="E322" s="68"/>
      <c r="F322" s="69">
        <v>25</v>
      </c>
      <c r="G322" s="66"/>
      <c r="H322" s="70"/>
      <c r="I322" s="71"/>
      <c r="J322" s="71"/>
      <c r="K322" s="35" t="s">
        <v>65</v>
      </c>
      <c r="L322" s="79">
        <v>322</v>
      </c>
      <c r="M322" s="79"/>
      <c r="N322" s="73"/>
      <c r="O322" s="81" t="s">
        <v>613</v>
      </c>
      <c r="P322">
        <v>1</v>
      </c>
      <c r="Q322" s="80" t="str">
        <f>REPLACE(INDEX(GroupVertices[Group],MATCH(Edges[[#This Row],[Vertex 1]],GroupVertices[Vertex],0)),1,1,"")</f>
        <v>3</v>
      </c>
      <c r="R322" s="80" t="str">
        <f>REPLACE(INDEX(GroupVertices[Group],MATCH(Edges[[#This Row],[Vertex 2]],GroupVertices[Vertex],0)),1,1,"")</f>
        <v>3</v>
      </c>
      <c r="S322" s="35"/>
      <c r="T322" s="35"/>
      <c r="U322" s="35"/>
      <c r="V322" s="35"/>
      <c r="W322" s="35"/>
      <c r="X322" s="35"/>
      <c r="Y322" s="35"/>
      <c r="Z322" s="35"/>
      <c r="AA322" s="35"/>
    </row>
    <row r="323" spans="1:27" ht="15">
      <c r="A323" s="65" t="s">
        <v>218</v>
      </c>
      <c r="B323" s="65" t="s">
        <v>478</v>
      </c>
      <c r="C323" s="66" t="s">
        <v>3534</v>
      </c>
      <c r="D323" s="67">
        <v>5</v>
      </c>
      <c r="E323" s="68"/>
      <c r="F323" s="69">
        <v>25</v>
      </c>
      <c r="G323" s="66"/>
      <c r="H323" s="70"/>
      <c r="I323" s="71"/>
      <c r="J323" s="71"/>
      <c r="K323" s="35" t="s">
        <v>65</v>
      </c>
      <c r="L323" s="79">
        <v>323</v>
      </c>
      <c r="M323" s="79"/>
      <c r="N323" s="73"/>
      <c r="O323" s="81" t="s">
        <v>613</v>
      </c>
      <c r="P323">
        <v>1</v>
      </c>
      <c r="Q323" s="80" t="str">
        <f>REPLACE(INDEX(GroupVertices[Group],MATCH(Edges[[#This Row],[Vertex 1]],GroupVertices[Vertex],0)),1,1,"")</f>
        <v>3</v>
      </c>
      <c r="R323" s="80" t="str">
        <f>REPLACE(INDEX(GroupVertices[Group],MATCH(Edges[[#This Row],[Vertex 2]],GroupVertices[Vertex],0)),1,1,"")</f>
        <v>3</v>
      </c>
      <c r="S323" s="35"/>
      <c r="T323" s="35"/>
      <c r="U323" s="35"/>
      <c r="V323" s="35"/>
      <c r="W323" s="35"/>
      <c r="X323" s="35"/>
      <c r="Y323" s="35"/>
      <c r="Z323" s="35"/>
      <c r="AA323" s="35"/>
    </row>
    <row r="324" spans="1:27" ht="15">
      <c r="A324" s="65" t="s">
        <v>218</v>
      </c>
      <c r="B324" s="65" t="s">
        <v>479</v>
      </c>
      <c r="C324" s="66" t="s">
        <v>3534</v>
      </c>
      <c r="D324" s="67">
        <v>5</v>
      </c>
      <c r="E324" s="68"/>
      <c r="F324" s="69">
        <v>25</v>
      </c>
      <c r="G324" s="66"/>
      <c r="H324" s="70"/>
      <c r="I324" s="71"/>
      <c r="J324" s="71"/>
      <c r="K324" s="35" t="s">
        <v>65</v>
      </c>
      <c r="L324" s="79">
        <v>324</v>
      </c>
      <c r="M324" s="79"/>
      <c r="N324" s="73"/>
      <c r="O324" s="81" t="s">
        <v>613</v>
      </c>
      <c r="P324">
        <v>1</v>
      </c>
      <c r="Q324" s="80" t="str">
        <f>REPLACE(INDEX(GroupVertices[Group],MATCH(Edges[[#This Row],[Vertex 1]],GroupVertices[Vertex],0)),1,1,"")</f>
        <v>3</v>
      </c>
      <c r="R324" s="80" t="str">
        <f>REPLACE(INDEX(GroupVertices[Group],MATCH(Edges[[#This Row],[Vertex 2]],GroupVertices[Vertex],0)),1,1,"")</f>
        <v>3</v>
      </c>
      <c r="S324" s="35"/>
      <c r="T324" s="35"/>
      <c r="U324" s="35"/>
      <c r="V324" s="35"/>
      <c r="W324" s="35"/>
      <c r="X324" s="35"/>
      <c r="Y324" s="35"/>
      <c r="Z324" s="35"/>
      <c r="AA324" s="35"/>
    </row>
    <row r="325" spans="1:27" ht="15">
      <c r="A325" s="65" t="s">
        <v>218</v>
      </c>
      <c r="B325" s="65" t="s">
        <v>468</v>
      </c>
      <c r="C325" s="66" t="s">
        <v>3534</v>
      </c>
      <c r="D325" s="67">
        <v>5</v>
      </c>
      <c r="E325" s="68"/>
      <c r="F325" s="69">
        <v>25</v>
      </c>
      <c r="G325" s="66"/>
      <c r="H325" s="70"/>
      <c r="I325" s="71"/>
      <c r="J325" s="71"/>
      <c r="K325" s="35" t="s">
        <v>65</v>
      </c>
      <c r="L325" s="79">
        <v>325</v>
      </c>
      <c r="M325" s="79"/>
      <c r="N325" s="73"/>
      <c r="O325" s="81" t="s">
        <v>613</v>
      </c>
      <c r="P325">
        <v>1</v>
      </c>
      <c r="Q325" s="80" t="str">
        <f>REPLACE(INDEX(GroupVertices[Group],MATCH(Edges[[#This Row],[Vertex 1]],GroupVertices[Vertex],0)),1,1,"")</f>
        <v>3</v>
      </c>
      <c r="R325" s="80" t="str">
        <f>REPLACE(INDEX(GroupVertices[Group],MATCH(Edges[[#This Row],[Vertex 2]],GroupVertices[Vertex],0)),1,1,"")</f>
        <v>1</v>
      </c>
      <c r="S325" s="35"/>
      <c r="T325" s="35"/>
      <c r="U325" s="35"/>
      <c r="V325" s="35"/>
      <c r="W325" s="35"/>
      <c r="X325" s="35"/>
      <c r="Y325" s="35"/>
      <c r="Z325" s="35"/>
      <c r="AA325" s="35"/>
    </row>
    <row r="326" spans="1:27" ht="15">
      <c r="A326" s="65" t="s">
        <v>218</v>
      </c>
      <c r="B326" s="65" t="s">
        <v>480</v>
      </c>
      <c r="C326" s="66" t="s">
        <v>3534</v>
      </c>
      <c r="D326" s="67">
        <v>5</v>
      </c>
      <c r="E326" s="68"/>
      <c r="F326" s="69">
        <v>25</v>
      </c>
      <c r="G326" s="66"/>
      <c r="H326" s="70"/>
      <c r="I326" s="71"/>
      <c r="J326" s="71"/>
      <c r="K326" s="35" t="s">
        <v>65</v>
      </c>
      <c r="L326" s="79">
        <v>326</v>
      </c>
      <c r="M326" s="79"/>
      <c r="N326" s="73"/>
      <c r="O326" s="81" t="s">
        <v>613</v>
      </c>
      <c r="P326">
        <v>1</v>
      </c>
      <c r="Q326" s="80" t="str">
        <f>REPLACE(INDEX(GroupVertices[Group],MATCH(Edges[[#This Row],[Vertex 1]],GroupVertices[Vertex],0)),1,1,"")</f>
        <v>3</v>
      </c>
      <c r="R326" s="80" t="str">
        <f>REPLACE(INDEX(GroupVertices[Group],MATCH(Edges[[#This Row],[Vertex 2]],GroupVertices[Vertex],0)),1,1,"")</f>
        <v>3</v>
      </c>
      <c r="S326" s="35"/>
      <c r="T326" s="35"/>
      <c r="U326" s="35"/>
      <c r="V326" s="35"/>
      <c r="W326" s="35"/>
      <c r="X326" s="35"/>
      <c r="Y326" s="35"/>
      <c r="Z326" s="35"/>
      <c r="AA326" s="35"/>
    </row>
    <row r="327" spans="1:27" ht="15">
      <c r="A327" s="65" t="s">
        <v>218</v>
      </c>
      <c r="B327" s="65" t="s">
        <v>481</v>
      </c>
      <c r="C327" s="66" t="s">
        <v>3534</v>
      </c>
      <c r="D327" s="67">
        <v>5</v>
      </c>
      <c r="E327" s="68"/>
      <c r="F327" s="69">
        <v>25</v>
      </c>
      <c r="G327" s="66"/>
      <c r="H327" s="70"/>
      <c r="I327" s="71"/>
      <c r="J327" s="71"/>
      <c r="K327" s="35" t="s">
        <v>65</v>
      </c>
      <c r="L327" s="79">
        <v>327</v>
      </c>
      <c r="M327" s="79"/>
      <c r="N327" s="73"/>
      <c r="O327" s="81" t="s">
        <v>613</v>
      </c>
      <c r="P327">
        <v>1</v>
      </c>
      <c r="Q327" s="80" t="str">
        <f>REPLACE(INDEX(GroupVertices[Group],MATCH(Edges[[#This Row],[Vertex 1]],GroupVertices[Vertex],0)),1,1,"")</f>
        <v>3</v>
      </c>
      <c r="R327" s="80" t="str">
        <f>REPLACE(INDEX(GroupVertices[Group],MATCH(Edges[[#This Row],[Vertex 2]],GroupVertices[Vertex],0)),1,1,"")</f>
        <v>3</v>
      </c>
      <c r="S327" s="35"/>
      <c r="T327" s="35"/>
      <c r="U327" s="35"/>
      <c r="V327" s="35"/>
      <c r="W327" s="35"/>
      <c r="X327" s="35"/>
      <c r="Y327" s="35"/>
      <c r="Z327" s="35"/>
      <c r="AA327" s="35"/>
    </row>
    <row r="328" spans="1:27" ht="15">
      <c r="A328" s="65" t="s">
        <v>218</v>
      </c>
      <c r="B328" s="65" t="s">
        <v>482</v>
      </c>
      <c r="C328" s="66" t="s">
        <v>3534</v>
      </c>
      <c r="D328" s="67">
        <v>5</v>
      </c>
      <c r="E328" s="68"/>
      <c r="F328" s="69">
        <v>25</v>
      </c>
      <c r="G328" s="66"/>
      <c r="H328" s="70"/>
      <c r="I328" s="71"/>
      <c r="J328" s="71"/>
      <c r="K328" s="35" t="s">
        <v>65</v>
      </c>
      <c r="L328" s="79">
        <v>328</v>
      </c>
      <c r="M328" s="79"/>
      <c r="N328" s="73"/>
      <c r="O328" s="81" t="s">
        <v>613</v>
      </c>
      <c r="P328">
        <v>1</v>
      </c>
      <c r="Q328" s="80" t="str">
        <f>REPLACE(INDEX(GroupVertices[Group],MATCH(Edges[[#This Row],[Vertex 1]],GroupVertices[Vertex],0)),1,1,"")</f>
        <v>3</v>
      </c>
      <c r="R328" s="80" t="str">
        <f>REPLACE(INDEX(GroupVertices[Group],MATCH(Edges[[#This Row],[Vertex 2]],GroupVertices[Vertex],0)),1,1,"")</f>
        <v>3</v>
      </c>
      <c r="S328" s="35"/>
      <c r="T328" s="35"/>
      <c r="U328" s="35"/>
      <c r="V328" s="35"/>
      <c r="W328" s="35"/>
      <c r="X328" s="35"/>
      <c r="Y328" s="35"/>
      <c r="Z328" s="35"/>
      <c r="AA328" s="35"/>
    </row>
    <row r="329" spans="1:27" ht="15">
      <c r="A329" s="65" t="s">
        <v>213</v>
      </c>
      <c r="B329" s="65" t="s">
        <v>373</v>
      </c>
      <c r="C329" s="66" t="s">
        <v>3534</v>
      </c>
      <c r="D329" s="67">
        <v>5</v>
      </c>
      <c r="E329" s="68"/>
      <c r="F329" s="69">
        <v>25</v>
      </c>
      <c r="G329" s="66"/>
      <c r="H329" s="70"/>
      <c r="I329" s="71"/>
      <c r="J329" s="71"/>
      <c r="K329" s="35" t="s">
        <v>65</v>
      </c>
      <c r="L329" s="79">
        <v>329</v>
      </c>
      <c r="M329" s="79"/>
      <c r="N329" s="73"/>
      <c r="O329" s="81" t="s">
        <v>613</v>
      </c>
      <c r="P329">
        <v>1</v>
      </c>
      <c r="Q329" s="80" t="str">
        <f>REPLACE(INDEX(GroupVertices[Group],MATCH(Edges[[#This Row],[Vertex 1]],GroupVertices[Vertex],0)),1,1,"")</f>
        <v>4</v>
      </c>
      <c r="R329" s="80" t="str">
        <f>REPLACE(INDEX(GroupVertices[Group],MATCH(Edges[[#This Row],[Vertex 2]],GroupVertices[Vertex],0)),1,1,"")</f>
        <v>1</v>
      </c>
      <c r="S329" s="35"/>
      <c r="T329" s="35"/>
      <c r="U329" s="35"/>
      <c r="V329" s="35"/>
      <c r="W329" s="35"/>
      <c r="X329" s="35"/>
      <c r="Y329" s="35"/>
      <c r="Z329" s="35"/>
      <c r="AA329" s="35"/>
    </row>
    <row r="330" spans="1:27" ht="15">
      <c r="A330" s="65" t="s">
        <v>218</v>
      </c>
      <c r="B330" s="65" t="s">
        <v>373</v>
      </c>
      <c r="C330" s="66" t="s">
        <v>3534</v>
      </c>
      <c r="D330" s="67">
        <v>5</v>
      </c>
      <c r="E330" s="68"/>
      <c r="F330" s="69">
        <v>25</v>
      </c>
      <c r="G330" s="66"/>
      <c r="H330" s="70"/>
      <c r="I330" s="71"/>
      <c r="J330" s="71"/>
      <c r="K330" s="35" t="s">
        <v>65</v>
      </c>
      <c r="L330" s="79">
        <v>330</v>
      </c>
      <c r="M330" s="79"/>
      <c r="N330" s="73"/>
      <c r="O330" s="81" t="s">
        <v>613</v>
      </c>
      <c r="P330">
        <v>1</v>
      </c>
      <c r="Q330" s="80" t="str">
        <f>REPLACE(INDEX(GroupVertices[Group],MATCH(Edges[[#This Row],[Vertex 1]],GroupVertices[Vertex],0)),1,1,"")</f>
        <v>3</v>
      </c>
      <c r="R330" s="80" t="str">
        <f>REPLACE(INDEX(GroupVertices[Group],MATCH(Edges[[#This Row],[Vertex 2]],GroupVertices[Vertex],0)),1,1,"")</f>
        <v>1</v>
      </c>
      <c r="S330" s="35"/>
      <c r="T330" s="35"/>
      <c r="U330" s="35"/>
      <c r="V330" s="35"/>
      <c r="W330" s="35"/>
      <c r="X330" s="35"/>
      <c r="Y330" s="35"/>
      <c r="Z330" s="35"/>
      <c r="AA330" s="35"/>
    </row>
    <row r="331" spans="1:27" ht="15">
      <c r="A331" s="65" t="s">
        <v>218</v>
      </c>
      <c r="B331" s="65" t="s">
        <v>483</v>
      </c>
      <c r="C331" s="66" t="s">
        <v>3534</v>
      </c>
      <c r="D331" s="67">
        <v>5</v>
      </c>
      <c r="E331" s="68"/>
      <c r="F331" s="69">
        <v>25</v>
      </c>
      <c r="G331" s="66"/>
      <c r="H331" s="70"/>
      <c r="I331" s="71"/>
      <c r="J331" s="71"/>
      <c r="K331" s="35" t="s">
        <v>65</v>
      </c>
      <c r="L331" s="79">
        <v>331</v>
      </c>
      <c r="M331" s="79"/>
      <c r="N331" s="73"/>
      <c r="O331" s="81" t="s">
        <v>613</v>
      </c>
      <c r="P331">
        <v>1</v>
      </c>
      <c r="Q331" s="80" t="str">
        <f>REPLACE(INDEX(GroupVertices[Group],MATCH(Edges[[#This Row],[Vertex 1]],GroupVertices[Vertex],0)),1,1,"")</f>
        <v>3</v>
      </c>
      <c r="R331" s="80" t="str">
        <f>REPLACE(INDEX(GroupVertices[Group],MATCH(Edges[[#This Row],[Vertex 2]],GroupVertices[Vertex],0)),1,1,"")</f>
        <v>3</v>
      </c>
      <c r="S331" s="35"/>
      <c r="T331" s="35"/>
      <c r="U331" s="35"/>
      <c r="V331" s="35"/>
      <c r="W331" s="35"/>
      <c r="X331" s="35"/>
      <c r="Y331" s="35"/>
      <c r="Z331" s="35"/>
      <c r="AA331" s="35"/>
    </row>
    <row r="332" spans="1:27" ht="15">
      <c r="A332" s="65" t="s">
        <v>218</v>
      </c>
      <c r="B332" s="65" t="s">
        <v>484</v>
      </c>
      <c r="C332" s="66" t="s">
        <v>3534</v>
      </c>
      <c r="D332" s="67">
        <v>5</v>
      </c>
      <c r="E332" s="68"/>
      <c r="F332" s="69">
        <v>25</v>
      </c>
      <c r="G332" s="66"/>
      <c r="H332" s="70"/>
      <c r="I332" s="71"/>
      <c r="J332" s="71"/>
      <c r="K332" s="35" t="s">
        <v>65</v>
      </c>
      <c r="L332" s="79">
        <v>332</v>
      </c>
      <c r="M332" s="79"/>
      <c r="N332" s="73"/>
      <c r="O332" s="81" t="s">
        <v>613</v>
      </c>
      <c r="P332">
        <v>1</v>
      </c>
      <c r="Q332" s="80" t="str">
        <f>REPLACE(INDEX(GroupVertices[Group],MATCH(Edges[[#This Row],[Vertex 1]],GroupVertices[Vertex],0)),1,1,"")</f>
        <v>3</v>
      </c>
      <c r="R332" s="80" t="str">
        <f>REPLACE(INDEX(GroupVertices[Group],MATCH(Edges[[#This Row],[Vertex 2]],GroupVertices[Vertex],0)),1,1,"")</f>
        <v>3</v>
      </c>
      <c r="S332" s="35"/>
      <c r="T332" s="35"/>
      <c r="U332" s="35"/>
      <c r="V332" s="35"/>
      <c r="W332" s="35"/>
      <c r="X332" s="35"/>
      <c r="Y332" s="35"/>
      <c r="Z332" s="35"/>
      <c r="AA332" s="35"/>
    </row>
    <row r="333" spans="1:27" ht="15">
      <c r="A333" s="65" t="s">
        <v>218</v>
      </c>
      <c r="B333" s="65" t="s">
        <v>485</v>
      </c>
      <c r="C333" s="66" t="s">
        <v>3534</v>
      </c>
      <c r="D333" s="67">
        <v>5</v>
      </c>
      <c r="E333" s="68"/>
      <c r="F333" s="69">
        <v>25</v>
      </c>
      <c r="G333" s="66"/>
      <c r="H333" s="70"/>
      <c r="I333" s="71"/>
      <c r="J333" s="71"/>
      <c r="K333" s="35" t="s">
        <v>65</v>
      </c>
      <c r="L333" s="79">
        <v>333</v>
      </c>
      <c r="M333" s="79"/>
      <c r="N333" s="73"/>
      <c r="O333" s="81" t="s">
        <v>613</v>
      </c>
      <c r="P333">
        <v>1</v>
      </c>
      <c r="Q333" s="80" t="str">
        <f>REPLACE(INDEX(GroupVertices[Group],MATCH(Edges[[#This Row],[Vertex 1]],GroupVertices[Vertex],0)),1,1,"")</f>
        <v>3</v>
      </c>
      <c r="R333" s="80" t="str">
        <f>REPLACE(INDEX(GroupVertices[Group],MATCH(Edges[[#This Row],[Vertex 2]],GroupVertices[Vertex],0)),1,1,"")</f>
        <v>3</v>
      </c>
      <c r="S333" s="35"/>
      <c r="T333" s="35"/>
      <c r="U333" s="35"/>
      <c r="V333" s="35"/>
      <c r="W333" s="35"/>
      <c r="X333" s="35"/>
      <c r="Y333" s="35"/>
      <c r="Z333" s="35"/>
      <c r="AA333" s="35"/>
    </row>
    <row r="334" spans="1:27" ht="15">
      <c r="A334" s="65" t="s">
        <v>218</v>
      </c>
      <c r="B334" s="65" t="s">
        <v>486</v>
      </c>
      <c r="C334" s="66" t="s">
        <v>3534</v>
      </c>
      <c r="D334" s="67">
        <v>5</v>
      </c>
      <c r="E334" s="68"/>
      <c r="F334" s="69">
        <v>25</v>
      </c>
      <c r="G334" s="66"/>
      <c r="H334" s="70"/>
      <c r="I334" s="71"/>
      <c r="J334" s="71"/>
      <c r="K334" s="35" t="s">
        <v>65</v>
      </c>
      <c r="L334" s="79">
        <v>334</v>
      </c>
      <c r="M334" s="79"/>
      <c r="N334" s="73"/>
      <c r="O334" s="81" t="s">
        <v>613</v>
      </c>
      <c r="P334">
        <v>1</v>
      </c>
      <c r="Q334" s="80" t="str">
        <f>REPLACE(INDEX(GroupVertices[Group],MATCH(Edges[[#This Row],[Vertex 1]],GroupVertices[Vertex],0)),1,1,"")</f>
        <v>3</v>
      </c>
      <c r="R334" s="80" t="str">
        <f>REPLACE(INDEX(GroupVertices[Group],MATCH(Edges[[#This Row],[Vertex 2]],GroupVertices[Vertex],0)),1,1,"")</f>
        <v>3</v>
      </c>
      <c r="S334" s="35"/>
      <c r="T334" s="35"/>
      <c r="U334" s="35"/>
      <c r="V334" s="35"/>
      <c r="W334" s="35"/>
      <c r="X334" s="35"/>
      <c r="Y334" s="35"/>
      <c r="Z334" s="35"/>
      <c r="AA334" s="35"/>
    </row>
    <row r="335" spans="1:27" ht="15">
      <c r="A335" s="65" t="s">
        <v>218</v>
      </c>
      <c r="B335" s="65" t="s">
        <v>487</v>
      </c>
      <c r="C335" s="66" t="s">
        <v>3534</v>
      </c>
      <c r="D335" s="67">
        <v>5</v>
      </c>
      <c r="E335" s="68"/>
      <c r="F335" s="69">
        <v>25</v>
      </c>
      <c r="G335" s="66"/>
      <c r="H335" s="70"/>
      <c r="I335" s="71"/>
      <c r="J335" s="71"/>
      <c r="K335" s="35" t="s">
        <v>65</v>
      </c>
      <c r="L335" s="79">
        <v>335</v>
      </c>
      <c r="M335" s="79"/>
      <c r="N335" s="73"/>
      <c r="O335" s="81" t="s">
        <v>613</v>
      </c>
      <c r="P335">
        <v>1</v>
      </c>
      <c r="Q335" s="80" t="str">
        <f>REPLACE(INDEX(GroupVertices[Group],MATCH(Edges[[#This Row],[Vertex 1]],GroupVertices[Vertex],0)),1,1,"")</f>
        <v>3</v>
      </c>
      <c r="R335" s="80" t="str">
        <f>REPLACE(INDEX(GroupVertices[Group],MATCH(Edges[[#This Row],[Vertex 2]],GroupVertices[Vertex],0)),1,1,"")</f>
        <v>3</v>
      </c>
      <c r="S335" s="35"/>
      <c r="T335" s="35"/>
      <c r="U335" s="35"/>
      <c r="V335" s="35"/>
      <c r="W335" s="35"/>
      <c r="X335" s="35"/>
      <c r="Y335" s="35"/>
      <c r="Z335" s="35"/>
      <c r="AA335" s="35"/>
    </row>
    <row r="336" spans="1:27" ht="15">
      <c r="A336" s="65" t="s">
        <v>218</v>
      </c>
      <c r="B336" s="65" t="s">
        <v>488</v>
      </c>
      <c r="C336" s="66" t="s">
        <v>3534</v>
      </c>
      <c r="D336" s="67">
        <v>5</v>
      </c>
      <c r="E336" s="68"/>
      <c r="F336" s="69">
        <v>25</v>
      </c>
      <c r="G336" s="66"/>
      <c r="H336" s="70"/>
      <c r="I336" s="71"/>
      <c r="J336" s="71"/>
      <c r="K336" s="35" t="s">
        <v>65</v>
      </c>
      <c r="L336" s="79">
        <v>336</v>
      </c>
      <c r="M336" s="79"/>
      <c r="N336" s="73"/>
      <c r="O336" s="81" t="s">
        <v>613</v>
      </c>
      <c r="P336">
        <v>1</v>
      </c>
      <c r="Q336" s="80" t="str">
        <f>REPLACE(INDEX(GroupVertices[Group],MATCH(Edges[[#This Row],[Vertex 1]],GroupVertices[Vertex],0)),1,1,"")</f>
        <v>3</v>
      </c>
      <c r="R336" s="80" t="str">
        <f>REPLACE(INDEX(GroupVertices[Group],MATCH(Edges[[#This Row],[Vertex 2]],GroupVertices[Vertex],0)),1,1,"")</f>
        <v>3</v>
      </c>
      <c r="S336" s="35"/>
      <c r="T336" s="35"/>
      <c r="U336" s="35"/>
      <c r="V336" s="35"/>
      <c r="W336" s="35"/>
      <c r="X336" s="35"/>
      <c r="Y336" s="35"/>
      <c r="Z336" s="35"/>
      <c r="AA336" s="35"/>
    </row>
    <row r="337" spans="1:27" ht="15">
      <c r="A337" s="65" t="s">
        <v>218</v>
      </c>
      <c r="B337" s="65" t="s">
        <v>489</v>
      </c>
      <c r="C337" s="66" t="s">
        <v>3534</v>
      </c>
      <c r="D337" s="67">
        <v>5</v>
      </c>
      <c r="E337" s="68"/>
      <c r="F337" s="69">
        <v>25</v>
      </c>
      <c r="G337" s="66"/>
      <c r="H337" s="70"/>
      <c r="I337" s="71"/>
      <c r="J337" s="71"/>
      <c r="K337" s="35" t="s">
        <v>65</v>
      </c>
      <c r="L337" s="79">
        <v>337</v>
      </c>
      <c r="M337" s="79"/>
      <c r="N337" s="73"/>
      <c r="O337" s="81" t="s">
        <v>613</v>
      </c>
      <c r="P337">
        <v>1</v>
      </c>
      <c r="Q337" s="80" t="str">
        <f>REPLACE(INDEX(GroupVertices[Group],MATCH(Edges[[#This Row],[Vertex 1]],GroupVertices[Vertex],0)),1,1,"")</f>
        <v>3</v>
      </c>
      <c r="R337" s="80" t="str">
        <f>REPLACE(INDEX(GroupVertices[Group],MATCH(Edges[[#This Row],[Vertex 2]],GroupVertices[Vertex],0)),1,1,"")</f>
        <v>3</v>
      </c>
      <c r="S337" s="35"/>
      <c r="T337" s="35"/>
      <c r="U337" s="35"/>
      <c r="V337" s="35"/>
      <c r="W337" s="35"/>
      <c r="X337" s="35"/>
      <c r="Y337" s="35"/>
      <c r="Z337" s="35"/>
      <c r="AA337" s="35"/>
    </row>
    <row r="338" spans="1:27" ht="15">
      <c r="A338" s="65" t="s">
        <v>218</v>
      </c>
      <c r="B338" s="65" t="s">
        <v>490</v>
      </c>
      <c r="C338" s="66" t="s">
        <v>3534</v>
      </c>
      <c r="D338" s="67">
        <v>5</v>
      </c>
      <c r="E338" s="68"/>
      <c r="F338" s="69">
        <v>25</v>
      </c>
      <c r="G338" s="66"/>
      <c r="H338" s="70"/>
      <c r="I338" s="71"/>
      <c r="J338" s="71"/>
      <c r="K338" s="35" t="s">
        <v>65</v>
      </c>
      <c r="L338" s="79">
        <v>338</v>
      </c>
      <c r="M338" s="79"/>
      <c r="N338" s="73"/>
      <c r="O338" s="81" t="s">
        <v>613</v>
      </c>
      <c r="P338">
        <v>1</v>
      </c>
      <c r="Q338" s="80" t="str">
        <f>REPLACE(INDEX(GroupVertices[Group],MATCH(Edges[[#This Row],[Vertex 1]],GroupVertices[Vertex],0)),1,1,"")</f>
        <v>3</v>
      </c>
      <c r="R338" s="80" t="str">
        <f>REPLACE(INDEX(GroupVertices[Group],MATCH(Edges[[#This Row],[Vertex 2]],GroupVertices[Vertex],0)),1,1,"")</f>
        <v>3</v>
      </c>
      <c r="S338" s="35"/>
      <c r="T338" s="35"/>
      <c r="U338" s="35"/>
      <c r="V338" s="35"/>
      <c r="W338" s="35"/>
      <c r="X338" s="35"/>
      <c r="Y338" s="35"/>
      <c r="Z338" s="35"/>
      <c r="AA338" s="35"/>
    </row>
    <row r="339" spans="1:27" ht="15">
      <c r="A339" s="65" t="s">
        <v>218</v>
      </c>
      <c r="B339" s="65" t="s">
        <v>491</v>
      </c>
      <c r="C339" s="66" t="s">
        <v>3534</v>
      </c>
      <c r="D339" s="67">
        <v>5</v>
      </c>
      <c r="E339" s="68"/>
      <c r="F339" s="69">
        <v>25</v>
      </c>
      <c r="G339" s="66"/>
      <c r="H339" s="70"/>
      <c r="I339" s="71"/>
      <c r="J339" s="71"/>
      <c r="K339" s="35" t="s">
        <v>65</v>
      </c>
      <c r="L339" s="79">
        <v>339</v>
      </c>
      <c r="M339" s="79"/>
      <c r="N339" s="73"/>
      <c r="O339" s="81" t="s">
        <v>613</v>
      </c>
      <c r="P339">
        <v>1</v>
      </c>
      <c r="Q339" s="80" t="str">
        <f>REPLACE(INDEX(GroupVertices[Group],MATCH(Edges[[#This Row],[Vertex 1]],GroupVertices[Vertex],0)),1,1,"")</f>
        <v>3</v>
      </c>
      <c r="R339" s="80" t="str">
        <f>REPLACE(INDEX(GroupVertices[Group],MATCH(Edges[[#This Row],[Vertex 2]],GroupVertices[Vertex],0)),1,1,"")</f>
        <v>3</v>
      </c>
      <c r="S339" s="35"/>
      <c r="T339" s="35"/>
      <c r="U339" s="35"/>
      <c r="V339" s="35"/>
      <c r="W339" s="35"/>
      <c r="X339" s="35"/>
      <c r="Y339" s="35"/>
      <c r="Z339" s="35"/>
      <c r="AA339" s="35"/>
    </row>
    <row r="340" spans="1:27" ht="15">
      <c r="A340" s="65" t="s">
        <v>218</v>
      </c>
      <c r="B340" s="65" t="s">
        <v>492</v>
      </c>
      <c r="C340" s="66" t="s">
        <v>3534</v>
      </c>
      <c r="D340" s="67">
        <v>5</v>
      </c>
      <c r="E340" s="68"/>
      <c r="F340" s="69">
        <v>25</v>
      </c>
      <c r="G340" s="66"/>
      <c r="H340" s="70"/>
      <c r="I340" s="71"/>
      <c r="J340" s="71"/>
      <c r="K340" s="35" t="s">
        <v>65</v>
      </c>
      <c r="L340" s="79">
        <v>340</v>
      </c>
      <c r="M340" s="79"/>
      <c r="N340" s="73"/>
      <c r="O340" s="81" t="s">
        <v>613</v>
      </c>
      <c r="P340">
        <v>1</v>
      </c>
      <c r="Q340" s="80" t="str">
        <f>REPLACE(INDEX(GroupVertices[Group],MATCH(Edges[[#This Row],[Vertex 1]],GroupVertices[Vertex],0)),1,1,"")</f>
        <v>3</v>
      </c>
      <c r="R340" s="80" t="str">
        <f>REPLACE(INDEX(GroupVertices[Group],MATCH(Edges[[#This Row],[Vertex 2]],GroupVertices[Vertex],0)),1,1,"")</f>
        <v>3</v>
      </c>
      <c r="S340" s="35"/>
      <c r="T340" s="35"/>
      <c r="U340" s="35"/>
      <c r="V340" s="35"/>
      <c r="W340" s="35"/>
      <c r="X340" s="35"/>
      <c r="Y340" s="35"/>
      <c r="Z340" s="35"/>
      <c r="AA340" s="35"/>
    </row>
    <row r="341" spans="1:27" ht="15">
      <c r="A341" s="65" t="s">
        <v>218</v>
      </c>
      <c r="B341" s="65" t="s">
        <v>493</v>
      </c>
      <c r="C341" s="66" t="s">
        <v>3534</v>
      </c>
      <c r="D341" s="67">
        <v>5</v>
      </c>
      <c r="E341" s="68"/>
      <c r="F341" s="69">
        <v>25</v>
      </c>
      <c r="G341" s="66"/>
      <c r="H341" s="70"/>
      <c r="I341" s="71"/>
      <c r="J341" s="71"/>
      <c r="K341" s="35" t="s">
        <v>65</v>
      </c>
      <c r="L341" s="79">
        <v>341</v>
      </c>
      <c r="M341" s="79"/>
      <c r="N341" s="73"/>
      <c r="O341" s="81" t="s">
        <v>613</v>
      </c>
      <c r="P341">
        <v>1</v>
      </c>
      <c r="Q341" s="80" t="str">
        <f>REPLACE(INDEX(GroupVertices[Group],MATCH(Edges[[#This Row],[Vertex 1]],GroupVertices[Vertex],0)),1,1,"")</f>
        <v>3</v>
      </c>
      <c r="R341" s="80" t="str">
        <f>REPLACE(INDEX(GroupVertices[Group],MATCH(Edges[[#This Row],[Vertex 2]],GroupVertices[Vertex],0)),1,1,"")</f>
        <v>3</v>
      </c>
      <c r="S341" s="35"/>
      <c r="T341" s="35"/>
      <c r="U341" s="35"/>
      <c r="V341" s="35"/>
      <c r="W341" s="35"/>
      <c r="X341" s="35"/>
      <c r="Y341" s="35"/>
      <c r="Z341" s="35"/>
      <c r="AA341" s="35"/>
    </row>
    <row r="342" spans="1:27" ht="15">
      <c r="A342" s="65" t="s">
        <v>218</v>
      </c>
      <c r="B342" s="65" t="s">
        <v>494</v>
      </c>
      <c r="C342" s="66" t="s">
        <v>3534</v>
      </c>
      <c r="D342" s="67">
        <v>5</v>
      </c>
      <c r="E342" s="68"/>
      <c r="F342" s="69">
        <v>25</v>
      </c>
      <c r="G342" s="66"/>
      <c r="H342" s="70"/>
      <c r="I342" s="71"/>
      <c r="J342" s="71"/>
      <c r="K342" s="35" t="s">
        <v>65</v>
      </c>
      <c r="L342" s="79">
        <v>342</v>
      </c>
      <c r="M342" s="79"/>
      <c r="N342" s="73"/>
      <c r="O342" s="81" t="s">
        <v>613</v>
      </c>
      <c r="P342">
        <v>1</v>
      </c>
      <c r="Q342" s="80" t="str">
        <f>REPLACE(INDEX(GroupVertices[Group],MATCH(Edges[[#This Row],[Vertex 1]],GroupVertices[Vertex],0)),1,1,"")</f>
        <v>3</v>
      </c>
      <c r="R342" s="80" t="str">
        <f>REPLACE(INDEX(GroupVertices[Group],MATCH(Edges[[#This Row],[Vertex 2]],GroupVertices[Vertex],0)),1,1,"")</f>
        <v>3</v>
      </c>
      <c r="S342" s="35"/>
      <c r="T342" s="35"/>
      <c r="U342" s="35"/>
      <c r="V342" s="35"/>
      <c r="W342" s="35"/>
      <c r="X342" s="35"/>
      <c r="Y342" s="35"/>
      <c r="Z342" s="35"/>
      <c r="AA342" s="35"/>
    </row>
    <row r="343" spans="1:27" ht="15">
      <c r="A343" s="65" t="s">
        <v>218</v>
      </c>
      <c r="B343" s="65" t="s">
        <v>495</v>
      </c>
      <c r="C343" s="66" t="s">
        <v>3534</v>
      </c>
      <c r="D343" s="67">
        <v>5</v>
      </c>
      <c r="E343" s="68"/>
      <c r="F343" s="69">
        <v>25</v>
      </c>
      <c r="G343" s="66"/>
      <c r="H343" s="70"/>
      <c r="I343" s="71"/>
      <c r="J343" s="71"/>
      <c r="K343" s="35" t="s">
        <v>65</v>
      </c>
      <c r="L343" s="79">
        <v>343</v>
      </c>
      <c r="M343" s="79"/>
      <c r="N343" s="73"/>
      <c r="O343" s="81" t="s">
        <v>613</v>
      </c>
      <c r="P343">
        <v>1</v>
      </c>
      <c r="Q343" s="80" t="str">
        <f>REPLACE(INDEX(GroupVertices[Group],MATCH(Edges[[#This Row],[Vertex 1]],GroupVertices[Vertex],0)),1,1,"")</f>
        <v>3</v>
      </c>
      <c r="R343" s="80" t="str">
        <f>REPLACE(INDEX(GroupVertices[Group],MATCH(Edges[[#This Row],[Vertex 2]],GroupVertices[Vertex],0)),1,1,"")</f>
        <v>3</v>
      </c>
      <c r="S343" s="35"/>
      <c r="T343" s="35"/>
      <c r="U343" s="35"/>
      <c r="V343" s="35"/>
      <c r="W343" s="35"/>
      <c r="X343" s="35"/>
      <c r="Y343" s="35"/>
      <c r="Z343" s="35"/>
      <c r="AA343" s="35"/>
    </row>
    <row r="344" spans="1:27" ht="15">
      <c r="A344" s="65" t="s">
        <v>218</v>
      </c>
      <c r="B344" s="65" t="s">
        <v>496</v>
      </c>
      <c r="C344" s="66" t="s">
        <v>3534</v>
      </c>
      <c r="D344" s="67">
        <v>5</v>
      </c>
      <c r="E344" s="68"/>
      <c r="F344" s="69">
        <v>25</v>
      </c>
      <c r="G344" s="66"/>
      <c r="H344" s="70"/>
      <c r="I344" s="71"/>
      <c r="J344" s="71"/>
      <c r="K344" s="35" t="s">
        <v>65</v>
      </c>
      <c r="L344" s="79">
        <v>344</v>
      </c>
      <c r="M344" s="79"/>
      <c r="N344" s="73"/>
      <c r="O344" s="81" t="s">
        <v>613</v>
      </c>
      <c r="P344">
        <v>1</v>
      </c>
      <c r="Q344" s="80" t="str">
        <f>REPLACE(INDEX(GroupVertices[Group],MATCH(Edges[[#This Row],[Vertex 1]],GroupVertices[Vertex],0)),1,1,"")</f>
        <v>3</v>
      </c>
      <c r="R344" s="80" t="str">
        <f>REPLACE(INDEX(GroupVertices[Group],MATCH(Edges[[#This Row],[Vertex 2]],GroupVertices[Vertex],0)),1,1,"")</f>
        <v>3</v>
      </c>
      <c r="S344" s="35"/>
      <c r="T344" s="35"/>
      <c r="U344" s="35"/>
      <c r="V344" s="35"/>
      <c r="W344" s="35"/>
      <c r="X344" s="35"/>
      <c r="Y344" s="35"/>
      <c r="Z344" s="35"/>
      <c r="AA344" s="35"/>
    </row>
    <row r="345" spans="1:27" ht="15">
      <c r="A345" s="65" t="s">
        <v>218</v>
      </c>
      <c r="B345" s="65" t="s">
        <v>497</v>
      </c>
      <c r="C345" s="66" t="s">
        <v>3534</v>
      </c>
      <c r="D345" s="67">
        <v>5</v>
      </c>
      <c r="E345" s="68"/>
      <c r="F345" s="69">
        <v>25</v>
      </c>
      <c r="G345" s="66"/>
      <c r="H345" s="70"/>
      <c r="I345" s="71"/>
      <c r="J345" s="71"/>
      <c r="K345" s="35" t="s">
        <v>65</v>
      </c>
      <c r="L345" s="79">
        <v>345</v>
      </c>
      <c r="M345" s="79"/>
      <c r="N345" s="73"/>
      <c r="O345" s="81" t="s">
        <v>613</v>
      </c>
      <c r="P345">
        <v>1</v>
      </c>
      <c r="Q345" s="80" t="str">
        <f>REPLACE(INDEX(GroupVertices[Group],MATCH(Edges[[#This Row],[Vertex 1]],GroupVertices[Vertex],0)),1,1,"")</f>
        <v>3</v>
      </c>
      <c r="R345" s="80" t="str">
        <f>REPLACE(INDEX(GroupVertices[Group],MATCH(Edges[[#This Row],[Vertex 2]],GroupVertices[Vertex],0)),1,1,"")</f>
        <v>3</v>
      </c>
      <c r="S345" s="35"/>
      <c r="T345" s="35"/>
      <c r="U345" s="35"/>
      <c r="V345" s="35"/>
      <c r="W345" s="35"/>
      <c r="X345" s="35"/>
      <c r="Y345" s="35"/>
      <c r="Z345" s="35"/>
      <c r="AA345" s="35"/>
    </row>
    <row r="346" spans="1:27" ht="15">
      <c r="A346" s="65" t="s">
        <v>218</v>
      </c>
      <c r="B346" s="65" t="s">
        <v>498</v>
      </c>
      <c r="C346" s="66" t="s">
        <v>3534</v>
      </c>
      <c r="D346" s="67">
        <v>5</v>
      </c>
      <c r="E346" s="68"/>
      <c r="F346" s="69">
        <v>25</v>
      </c>
      <c r="G346" s="66"/>
      <c r="H346" s="70"/>
      <c r="I346" s="71"/>
      <c r="J346" s="71"/>
      <c r="K346" s="35" t="s">
        <v>65</v>
      </c>
      <c r="L346" s="79">
        <v>346</v>
      </c>
      <c r="M346" s="79"/>
      <c r="N346" s="73"/>
      <c r="O346" s="81" t="s">
        <v>613</v>
      </c>
      <c r="P346">
        <v>1</v>
      </c>
      <c r="Q346" s="80" t="str">
        <f>REPLACE(INDEX(GroupVertices[Group],MATCH(Edges[[#This Row],[Vertex 1]],GroupVertices[Vertex],0)),1,1,"")</f>
        <v>3</v>
      </c>
      <c r="R346" s="80" t="str">
        <f>REPLACE(INDEX(GroupVertices[Group],MATCH(Edges[[#This Row],[Vertex 2]],GroupVertices[Vertex],0)),1,1,"")</f>
        <v>3</v>
      </c>
      <c r="S346" s="35"/>
      <c r="T346" s="35"/>
      <c r="U346" s="35"/>
      <c r="V346" s="35"/>
      <c r="W346" s="35"/>
      <c r="X346" s="35"/>
      <c r="Y346" s="35"/>
      <c r="Z346" s="35"/>
      <c r="AA346" s="35"/>
    </row>
    <row r="347" spans="1:27" ht="15">
      <c r="A347" s="65" t="s">
        <v>218</v>
      </c>
      <c r="B347" s="65" t="s">
        <v>469</v>
      </c>
      <c r="C347" s="66" t="s">
        <v>3534</v>
      </c>
      <c r="D347" s="67">
        <v>5</v>
      </c>
      <c r="E347" s="68"/>
      <c r="F347" s="69">
        <v>25</v>
      </c>
      <c r="G347" s="66"/>
      <c r="H347" s="70"/>
      <c r="I347" s="71"/>
      <c r="J347" s="71"/>
      <c r="K347" s="35" t="s">
        <v>65</v>
      </c>
      <c r="L347" s="79">
        <v>347</v>
      </c>
      <c r="M347" s="79"/>
      <c r="N347" s="73"/>
      <c r="O347" s="81" t="s">
        <v>613</v>
      </c>
      <c r="P347">
        <v>1</v>
      </c>
      <c r="Q347" s="80" t="str">
        <f>REPLACE(INDEX(GroupVertices[Group],MATCH(Edges[[#This Row],[Vertex 1]],GroupVertices[Vertex],0)),1,1,"")</f>
        <v>3</v>
      </c>
      <c r="R347" s="80" t="str">
        <f>REPLACE(INDEX(GroupVertices[Group],MATCH(Edges[[#This Row],[Vertex 2]],GroupVertices[Vertex],0)),1,1,"")</f>
        <v>1</v>
      </c>
      <c r="S347" s="35"/>
      <c r="T347" s="35"/>
      <c r="U347" s="35"/>
      <c r="V347" s="35"/>
      <c r="W347" s="35"/>
      <c r="X347" s="35"/>
      <c r="Y347" s="35"/>
      <c r="Z347" s="35"/>
      <c r="AA347" s="35"/>
    </row>
    <row r="348" spans="1:27" ht="15">
      <c r="A348" s="65" t="s">
        <v>218</v>
      </c>
      <c r="B348" s="65" t="s">
        <v>499</v>
      </c>
      <c r="C348" s="66" t="s">
        <v>3534</v>
      </c>
      <c r="D348" s="67">
        <v>5</v>
      </c>
      <c r="E348" s="68"/>
      <c r="F348" s="69">
        <v>25</v>
      </c>
      <c r="G348" s="66"/>
      <c r="H348" s="70"/>
      <c r="I348" s="71"/>
      <c r="J348" s="71"/>
      <c r="K348" s="35" t="s">
        <v>65</v>
      </c>
      <c r="L348" s="79">
        <v>348</v>
      </c>
      <c r="M348" s="79"/>
      <c r="N348" s="73"/>
      <c r="O348" s="81" t="s">
        <v>613</v>
      </c>
      <c r="P348">
        <v>1</v>
      </c>
      <c r="Q348" s="80" t="str">
        <f>REPLACE(INDEX(GroupVertices[Group],MATCH(Edges[[#This Row],[Vertex 1]],GroupVertices[Vertex],0)),1,1,"")</f>
        <v>3</v>
      </c>
      <c r="R348" s="80" t="str">
        <f>REPLACE(INDEX(GroupVertices[Group],MATCH(Edges[[#This Row],[Vertex 2]],GroupVertices[Vertex],0)),1,1,"")</f>
        <v>3</v>
      </c>
      <c r="S348" s="35"/>
      <c r="T348" s="35"/>
      <c r="U348" s="35"/>
      <c r="V348" s="35"/>
      <c r="W348" s="35"/>
      <c r="X348" s="35"/>
      <c r="Y348" s="35"/>
      <c r="Z348" s="35"/>
      <c r="AA348" s="35"/>
    </row>
    <row r="349" spans="1:27" ht="15">
      <c r="A349" s="65" t="s">
        <v>212</v>
      </c>
      <c r="B349" s="65" t="s">
        <v>467</v>
      </c>
      <c r="C349" s="66" t="s">
        <v>3534</v>
      </c>
      <c r="D349" s="67">
        <v>5</v>
      </c>
      <c r="E349" s="68"/>
      <c r="F349" s="69">
        <v>25</v>
      </c>
      <c r="G349" s="66"/>
      <c r="H349" s="70"/>
      <c r="I349" s="71"/>
      <c r="J349" s="71"/>
      <c r="K349" s="35" t="s">
        <v>65</v>
      </c>
      <c r="L349" s="79">
        <v>349</v>
      </c>
      <c r="M349" s="79"/>
      <c r="N349" s="73"/>
      <c r="O349" s="81" t="s">
        <v>613</v>
      </c>
      <c r="P349">
        <v>1</v>
      </c>
      <c r="Q349" s="80" t="str">
        <f>REPLACE(INDEX(GroupVertices[Group],MATCH(Edges[[#This Row],[Vertex 1]],GroupVertices[Vertex],0)),1,1,"")</f>
        <v>7</v>
      </c>
      <c r="R349" s="80" t="str">
        <f>REPLACE(INDEX(GroupVertices[Group],MATCH(Edges[[#This Row],[Vertex 2]],GroupVertices[Vertex],0)),1,1,"")</f>
        <v>3</v>
      </c>
      <c r="S349" s="35"/>
      <c r="T349" s="35"/>
      <c r="U349" s="35"/>
      <c r="V349" s="35"/>
      <c r="W349" s="35"/>
      <c r="X349" s="35"/>
      <c r="Y349" s="35"/>
      <c r="Z349" s="35"/>
      <c r="AA349" s="35"/>
    </row>
    <row r="350" spans="1:27" ht="15">
      <c r="A350" s="65" t="s">
        <v>218</v>
      </c>
      <c r="B350" s="65" t="s">
        <v>467</v>
      </c>
      <c r="C350" s="66" t="s">
        <v>3534</v>
      </c>
      <c r="D350" s="67">
        <v>5</v>
      </c>
      <c r="E350" s="68"/>
      <c r="F350" s="69">
        <v>25</v>
      </c>
      <c r="G350" s="66"/>
      <c r="H350" s="70"/>
      <c r="I350" s="71"/>
      <c r="J350" s="71"/>
      <c r="K350" s="35" t="s">
        <v>65</v>
      </c>
      <c r="L350" s="79">
        <v>350</v>
      </c>
      <c r="M350" s="79"/>
      <c r="N350" s="73"/>
      <c r="O350" s="81" t="s">
        <v>613</v>
      </c>
      <c r="P350">
        <v>1</v>
      </c>
      <c r="Q350" s="80" t="str">
        <f>REPLACE(INDEX(GroupVertices[Group],MATCH(Edges[[#This Row],[Vertex 1]],GroupVertices[Vertex],0)),1,1,"")</f>
        <v>3</v>
      </c>
      <c r="R350" s="80" t="str">
        <f>REPLACE(INDEX(GroupVertices[Group],MATCH(Edges[[#This Row],[Vertex 2]],GroupVertices[Vertex],0)),1,1,"")</f>
        <v>3</v>
      </c>
      <c r="S350" s="35"/>
      <c r="T350" s="35"/>
      <c r="U350" s="35"/>
      <c r="V350" s="35"/>
      <c r="W350" s="35"/>
      <c r="X350" s="35"/>
      <c r="Y350" s="35"/>
      <c r="Z350" s="35"/>
      <c r="AA350" s="35"/>
    </row>
    <row r="351" spans="1:27" ht="15">
      <c r="A351" s="65" t="s">
        <v>218</v>
      </c>
      <c r="B351" s="65" t="s">
        <v>500</v>
      </c>
      <c r="C351" s="66" t="s">
        <v>3534</v>
      </c>
      <c r="D351" s="67">
        <v>5</v>
      </c>
      <c r="E351" s="68"/>
      <c r="F351" s="69">
        <v>25</v>
      </c>
      <c r="G351" s="66"/>
      <c r="H351" s="70"/>
      <c r="I351" s="71"/>
      <c r="J351" s="71"/>
      <c r="K351" s="35" t="s">
        <v>65</v>
      </c>
      <c r="L351" s="79">
        <v>351</v>
      </c>
      <c r="M351" s="79"/>
      <c r="N351" s="73"/>
      <c r="O351" s="81" t="s">
        <v>613</v>
      </c>
      <c r="P351">
        <v>1</v>
      </c>
      <c r="Q351" s="80" t="str">
        <f>REPLACE(INDEX(GroupVertices[Group],MATCH(Edges[[#This Row],[Vertex 1]],GroupVertices[Vertex],0)),1,1,"")</f>
        <v>3</v>
      </c>
      <c r="R351" s="80" t="str">
        <f>REPLACE(INDEX(GroupVertices[Group],MATCH(Edges[[#This Row],[Vertex 2]],GroupVertices[Vertex],0)),1,1,"")</f>
        <v>3</v>
      </c>
      <c r="S351" s="35"/>
      <c r="T351" s="35"/>
      <c r="U351" s="35"/>
      <c r="V351" s="35"/>
      <c r="W351" s="35"/>
      <c r="X351" s="35"/>
      <c r="Y351" s="35"/>
      <c r="Z351" s="35"/>
      <c r="AA351" s="35"/>
    </row>
    <row r="352" spans="1:27" ht="15">
      <c r="A352" s="65" t="s">
        <v>218</v>
      </c>
      <c r="B352" s="65" t="s">
        <v>501</v>
      </c>
      <c r="C352" s="66" t="s">
        <v>3534</v>
      </c>
      <c r="D352" s="67">
        <v>5</v>
      </c>
      <c r="E352" s="68"/>
      <c r="F352" s="69">
        <v>25</v>
      </c>
      <c r="G352" s="66"/>
      <c r="H352" s="70"/>
      <c r="I352" s="71"/>
      <c r="J352" s="71"/>
      <c r="K352" s="35" t="s">
        <v>65</v>
      </c>
      <c r="L352" s="79">
        <v>352</v>
      </c>
      <c r="M352" s="79"/>
      <c r="N352" s="73"/>
      <c r="O352" s="81" t="s">
        <v>613</v>
      </c>
      <c r="P352">
        <v>1</v>
      </c>
      <c r="Q352" s="80" t="str">
        <f>REPLACE(INDEX(GroupVertices[Group],MATCH(Edges[[#This Row],[Vertex 1]],GroupVertices[Vertex],0)),1,1,"")</f>
        <v>3</v>
      </c>
      <c r="R352" s="80" t="str">
        <f>REPLACE(INDEX(GroupVertices[Group],MATCH(Edges[[#This Row],[Vertex 2]],GroupVertices[Vertex],0)),1,1,"")</f>
        <v>3</v>
      </c>
      <c r="S352" s="35"/>
      <c r="T352" s="35"/>
      <c r="U352" s="35"/>
      <c r="V352" s="35"/>
      <c r="W352" s="35"/>
      <c r="X352" s="35"/>
      <c r="Y352" s="35"/>
      <c r="Z352" s="35"/>
      <c r="AA352" s="35"/>
    </row>
    <row r="353" spans="1:27" ht="15">
      <c r="A353" s="65" t="s">
        <v>218</v>
      </c>
      <c r="B353" s="65" t="s">
        <v>502</v>
      </c>
      <c r="C353" s="66" t="s">
        <v>3534</v>
      </c>
      <c r="D353" s="67">
        <v>5</v>
      </c>
      <c r="E353" s="68"/>
      <c r="F353" s="69">
        <v>25</v>
      </c>
      <c r="G353" s="66"/>
      <c r="H353" s="70"/>
      <c r="I353" s="71"/>
      <c r="J353" s="71"/>
      <c r="K353" s="35" t="s">
        <v>65</v>
      </c>
      <c r="L353" s="79">
        <v>353</v>
      </c>
      <c r="M353" s="79"/>
      <c r="N353" s="73"/>
      <c r="O353" s="81" t="s">
        <v>613</v>
      </c>
      <c r="P353">
        <v>1</v>
      </c>
      <c r="Q353" s="80" t="str">
        <f>REPLACE(INDEX(GroupVertices[Group],MATCH(Edges[[#This Row],[Vertex 1]],GroupVertices[Vertex],0)),1,1,"")</f>
        <v>3</v>
      </c>
      <c r="R353" s="80" t="str">
        <f>REPLACE(INDEX(GroupVertices[Group],MATCH(Edges[[#This Row],[Vertex 2]],GroupVertices[Vertex],0)),1,1,"")</f>
        <v>3</v>
      </c>
      <c r="S353" s="35"/>
      <c r="T353" s="35"/>
      <c r="U353" s="35"/>
      <c r="V353" s="35"/>
      <c r="W353" s="35"/>
      <c r="X353" s="35"/>
      <c r="Y353" s="35"/>
      <c r="Z353" s="35"/>
      <c r="AA353" s="35"/>
    </row>
    <row r="354" spans="1:27" ht="15">
      <c r="A354" s="65" t="s">
        <v>218</v>
      </c>
      <c r="B354" s="65" t="s">
        <v>503</v>
      </c>
      <c r="C354" s="66" t="s">
        <v>3534</v>
      </c>
      <c r="D354" s="67">
        <v>5</v>
      </c>
      <c r="E354" s="68"/>
      <c r="F354" s="69">
        <v>25</v>
      </c>
      <c r="G354" s="66"/>
      <c r="H354" s="70"/>
      <c r="I354" s="71"/>
      <c r="J354" s="71"/>
      <c r="K354" s="35" t="s">
        <v>65</v>
      </c>
      <c r="L354" s="79">
        <v>354</v>
      </c>
      <c r="M354" s="79"/>
      <c r="N354" s="73"/>
      <c r="O354" s="81" t="s">
        <v>613</v>
      </c>
      <c r="P354">
        <v>1</v>
      </c>
      <c r="Q354" s="80" t="str">
        <f>REPLACE(INDEX(GroupVertices[Group],MATCH(Edges[[#This Row],[Vertex 1]],GroupVertices[Vertex],0)),1,1,"")</f>
        <v>3</v>
      </c>
      <c r="R354" s="80" t="str">
        <f>REPLACE(INDEX(GroupVertices[Group],MATCH(Edges[[#This Row],[Vertex 2]],GroupVertices[Vertex],0)),1,1,"")</f>
        <v>3</v>
      </c>
      <c r="S354" s="35"/>
      <c r="T354" s="35"/>
      <c r="U354" s="35"/>
      <c r="V354" s="35"/>
      <c r="W354" s="35"/>
      <c r="X354" s="35"/>
      <c r="Y354" s="35"/>
      <c r="Z354" s="35"/>
      <c r="AA354" s="35"/>
    </row>
    <row r="355" spans="1:27" ht="15">
      <c r="A355" s="65" t="s">
        <v>218</v>
      </c>
      <c r="B355" s="65" t="s">
        <v>504</v>
      </c>
      <c r="C355" s="66" t="s">
        <v>3534</v>
      </c>
      <c r="D355" s="67">
        <v>5</v>
      </c>
      <c r="E355" s="68"/>
      <c r="F355" s="69">
        <v>25</v>
      </c>
      <c r="G355" s="66"/>
      <c r="H355" s="70"/>
      <c r="I355" s="71"/>
      <c r="J355" s="71"/>
      <c r="K355" s="35" t="s">
        <v>65</v>
      </c>
      <c r="L355" s="79">
        <v>355</v>
      </c>
      <c r="M355" s="79"/>
      <c r="N355" s="73"/>
      <c r="O355" s="81" t="s">
        <v>613</v>
      </c>
      <c r="P355">
        <v>1</v>
      </c>
      <c r="Q355" s="80" t="str">
        <f>REPLACE(INDEX(GroupVertices[Group],MATCH(Edges[[#This Row],[Vertex 1]],GroupVertices[Vertex],0)),1,1,"")</f>
        <v>3</v>
      </c>
      <c r="R355" s="80" t="str">
        <f>REPLACE(INDEX(GroupVertices[Group],MATCH(Edges[[#This Row],[Vertex 2]],GroupVertices[Vertex],0)),1,1,"")</f>
        <v>3</v>
      </c>
      <c r="S355" s="35"/>
      <c r="T355" s="35"/>
      <c r="U355" s="35"/>
      <c r="V355" s="35"/>
      <c r="W355" s="35"/>
      <c r="X355" s="35"/>
      <c r="Y355" s="35"/>
      <c r="Z355" s="35"/>
      <c r="AA355" s="35"/>
    </row>
    <row r="356" spans="1:27" ht="15">
      <c r="A356" s="65" t="s">
        <v>218</v>
      </c>
      <c r="B356" s="65" t="s">
        <v>382</v>
      </c>
      <c r="C356" s="66" t="s">
        <v>3534</v>
      </c>
      <c r="D356" s="67">
        <v>5</v>
      </c>
      <c r="E356" s="68"/>
      <c r="F356" s="69">
        <v>25</v>
      </c>
      <c r="G356" s="66"/>
      <c r="H356" s="70"/>
      <c r="I356" s="71"/>
      <c r="J356" s="71"/>
      <c r="K356" s="35" t="s">
        <v>65</v>
      </c>
      <c r="L356" s="79">
        <v>356</v>
      </c>
      <c r="M356" s="79"/>
      <c r="N356" s="73"/>
      <c r="O356" s="81" t="s">
        <v>613</v>
      </c>
      <c r="P356">
        <v>1</v>
      </c>
      <c r="Q356" s="80" t="str">
        <f>REPLACE(INDEX(GroupVertices[Group],MATCH(Edges[[#This Row],[Vertex 1]],GroupVertices[Vertex],0)),1,1,"")</f>
        <v>3</v>
      </c>
      <c r="R356" s="80" t="str">
        <f>REPLACE(INDEX(GroupVertices[Group],MATCH(Edges[[#This Row],[Vertex 2]],GroupVertices[Vertex],0)),1,1,"")</f>
        <v>1</v>
      </c>
      <c r="S356" s="35"/>
      <c r="T356" s="35"/>
      <c r="U356" s="35"/>
      <c r="V356" s="35"/>
      <c r="W356" s="35"/>
      <c r="X356" s="35"/>
      <c r="Y356" s="35"/>
      <c r="Z356" s="35"/>
      <c r="AA356" s="35"/>
    </row>
    <row r="357" spans="1:27" ht="15">
      <c r="A357" s="65" t="s">
        <v>218</v>
      </c>
      <c r="B357" s="65" t="s">
        <v>505</v>
      </c>
      <c r="C357" s="66" t="s">
        <v>3534</v>
      </c>
      <c r="D357" s="67">
        <v>5</v>
      </c>
      <c r="E357" s="68"/>
      <c r="F357" s="69">
        <v>25</v>
      </c>
      <c r="G357" s="66"/>
      <c r="H357" s="70"/>
      <c r="I357" s="71"/>
      <c r="J357" s="71"/>
      <c r="K357" s="35" t="s">
        <v>65</v>
      </c>
      <c r="L357" s="79">
        <v>357</v>
      </c>
      <c r="M357" s="79"/>
      <c r="N357" s="73"/>
      <c r="O357" s="81" t="s">
        <v>613</v>
      </c>
      <c r="P357">
        <v>1</v>
      </c>
      <c r="Q357" s="80" t="str">
        <f>REPLACE(INDEX(GroupVertices[Group],MATCH(Edges[[#This Row],[Vertex 1]],GroupVertices[Vertex],0)),1,1,"")</f>
        <v>3</v>
      </c>
      <c r="R357" s="80" t="str">
        <f>REPLACE(INDEX(GroupVertices[Group],MATCH(Edges[[#This Row],[Vertex 2]],GroupVertices[Vertex],0)),1,1,"")</f>
        <v>3</v>
      </c>
      <c r="S357" s="35"/>
      <c r="T357" s="35"/>
      <c r="U357" s="35"/>
      <c r="V357" s="35"/>
      <c r="W357" s="35"/>
      <c r="X357" s="35"/>
      <c r="Y357" s="35"/>
      <c r="Z357" s="35"/>
      <c r="AA357" s="35"/>
    </row>
    <row r="358" spans="1:27" ht="15">
      <c r="A358" s="65" t="s">
        <v>218</v>
      </c>
      <c r="B358" s="65" t="s">
        <v>506</v>
      </c>
      <c r="C358" s="66" t="s">
        <v>3534</v>
      </c>
      <c r="D358" s="67">
        <v>5</v>
      </c>
      <c r="E358" s="68"/>
      <c r="F358" s="69">
        <v>25</v>
      </c>
      <c r="G358" s="66"/>
      <c r="H358" s="70"/>
      <c r="I358" s="71"/>
      <c r="J358" s="71"/>
      <c r="K358" s="35" t="s">
        <v>65</v>
      </c>
      <c r="L358" s="79">
        <v>358</v>
      </c>
      <c r="M358" s="79"/>
      <c r="N358" s="73"/>
      <c r="O358" s="81" t="s">
        <v>613</v>
      </c>
      <c r="P358">
        <v>1</v>
      </c>
      <c r="Q358" s="80" t="str">
        <f>REPLACE(INDEX(GroupVertices[Group],MATCH(Edges[[#This Row],[Vertex 1]],GroupVertices[Vertex],0)),1,1,"")</f>
        <v>3</v>
      </c>
      <c r="R358" s="80" t="str">
        <f>REPLACE(INDEX(GroupVertices[Group],MATCH(Edges[[#This Row],[Vertex 2]],GroupVertices[Vertex],0)),1,1,"")</f>
        <v>3</v>
      </c>
      <c r="S358" s="35"/>
      <c r="T358" s="35"/>
      <c r="U358" s="35"/>
      <c r="V358" s="35"/>
      <c r="W358" s="35"/>
      <c r="X358" s="35"/>
      <c r="Y358" s="35"/>
      <c r="Z358" s="35"/>
      <c r="AA358" s="35"/>
    </row>
    <row r="359" spans="1:27" ht="15">
      <c r="A359" s="65" t="s">
        <v>218</v>
      </c>
      <c r="B359" s="65" t="s">
        <v>507</v>
      </c>
      <c r="C359" s="66" t="s">
        <v>3534</v>
      </c>
      <c r="D359" s="67">
        <v>5</v>
      </c>
      <c r="E359" s="68"/>
      <c r="F359" s="69">
        <v>25</v>
      </c>
      <c r="G359" s="66"/>
      <c r="H359" s="70"/>
      <c r="I359" s="71"/>
      <c r="J359" s="71"/>
      <c r="K359" s="35" t="s">
        <v>65</v>
      </c>
      <c r="L359" s="79">
        <v>359</v>
      </c>
      <c r="M359" s="79"/>
      <c r="N359" s="73"/>
      <c r="O359" s="81" t="s">
        <v>613</v>
      </c>
      <c r="P359">
        <v>1</v>
      </c>
      <c r="Q359" s="80" t="str">
        <f>REPLACE(INDEX(GroupVertices[Group],MATCH(Edges[[#This Row],[Vertex 1]],GroupVertices[Vertex],0)),1,1,"")</f>
        <v>3</v>
      </c>
      <c r="R359" s="80" t="str">
        <f>REPLACE(INDEX(GroupVertices[Group],MATCH(Edges[[#This Row],[Vertex 2]],GroupVertices[Vertex],0)),1,1,"")</f>
        <v>3</v>
      </c>
      <c r="S359" s="35"/>
      <c r="T359" s="35"/>
      <c r="U359" s="35"/>
      <c r="V359" s="35"/>
      <c r="W359" s="35"/>
      <c r="X359" s="35"/>
      <c r="Y359" s="35"/>
      <c r="Z359" s="35"/>
      <c r="AA359" s="35"/>
    </row>
    <row r="360" spans="1:27" ht="15">
      <c r="A360" s="65" t="s">
        <v>218</v>
      </c>
      <c r="B360" s="65" t="s">
        <v>508</v>
      </c>
      <c r="C360" s="66" t="s">
        <v>3534</v>
      </c>
      <c r="D360" s="67">
        <v>5</v>
      </c>
      <c r="E360" s="68"/>
      <c r="F360" s="69">
        <v>25</v>
      </c>
      <c r="G360" s="66"/>
      <c r="H360" s="70"/>
      <c r="I360" s="71"/>
      <c r="J360" s="71"/>
      <c r="K360" s="35" t="s">
        <v>65</v>
      </c>
      <c r="L360" s="79">
        <v>360</v>
      </c>
      <c r="M360" s="79"/>
      <c r="N360" s="73"/>
      <c r="O360" s="81" t="s">
        <v>613</v>
      </c>
      <c r="P360">
        <v>1</v>
      </c>
      <c r="Q360" s="80" t="str">
        <f>REPLACE(INDEX(GroupVertices[Group],MATCH(Edges[[#This Row],[Vertex 1]],GroupVertices[Vertex],0)),1,1,"")</f>
        <v>3</v>
      </c>
      <c r="R360" s="80" t="str">
        <f>REPLACE(INDEX(GroupVertices[Group],MATCH(Edges[[#This Row],[Vertex 2]],GroupVertices[Vertex],0)),1,1,"")</f>
        <v>3</v>
      </c>
      <c r="S360" s="35"/>
      <c r="T360" s="35"/>
      <c r="U360" s="35"/>
      <c r="V360" s="35"/>
      <c r="W360" s="35"/>
      <c r="X360" s="35"/>
      <c r="Y360" s="35"/>
      <c r="Z360" s="35"/>
      <c r="AA360" s="35"/>
    </row>
    <row r="361" spans="1:27" ht="15">
      <c r="A361" s="65" t="s">
        <v>218</v>
      </c>
      <c r="B361" s="65" t="s">
        <v>509</v>
      </c>
      <c r="C361" s="66" t="s">
        <v>3534</v>
      </c>
      <c r="D361" s="67">
        <v>5</v>
      </c>
      <c r="E361" s="68"/>
      <c r="F361" s="69">
        <v>25</v>
      </c>
      <c r="G361" s="66"/>
      <c r="H361" s="70"/>
      <c r="I361" s="71"/>
      <c r="J361" s="71"/>
      <c r="K361" s="35" t="s">
        <v>65</v>
      </c>
      <c r="L361" s="79">
        <v>361</v>
      </c>
      <c r="M361" s="79"/>
      <c r="N361" s="73"/>
      <c r="O361" s="81" t="s">
        <v>613</v>
      </c>
      <c r="P361">
        <v>1</v>
      </c>
      <c r="Q361" s="80" t="str">
        <f>REPLACE(INDEX(GroupVertices[Group],MATCH(Edges[[#This Row],[Vertex 1]],GroupVertices[Vertex],0)),1,1,"")</f>
        <v>3</v>
      </c>
      <c r="R361" s="80" t="str">
        <f>REPLACE(INDEX(GroupVertices[Group],MATCH(Edges[[#This Row],[Vertex 2]],GroupVertices[Vertex],0)),1,1,"")</f>
        <v>3</v>
      </c>
      <c r="S361" s="35"/>
      <c r="T361" s="35"/>
      <c r="U361" s="35"/>
      <c r="V361" s="35"/>
      <c r="W361" s="35"/>
      <c r="X361" s="35"/>
      <c r="Y361" s="35"/>
      <c r="Z361" s="35"/>
      <c r="AA361" s="35"/>
    </row>
    <row r="362" spans="1:27" ht="15">
      <c r="A362" s="65" t="s">
        <v>218</v>
      </c>
      <c r="B362" s="65" t="s">
        <v>510</v>
      </c>
      <c r="C362" s="66" t="s">
        <v>3534</v>
      </c>
      <c r="D362" s="67">
        <v>5</v>
      </c>
      <c r="E362" s="68"/>
      <c r="F362" s="69">
        <v>25</v>
      </c>
      <c r="G362" s="66"/>
      <c r="H362" s="70"/>
      <c r="I362" s="71"/>
      <c r="J362" s="71"/>
      <c r="K362" s="35" t="s">
        <v>65</v>
      </c>
      <c r="L362" s="79">
        <v>362</v>
      </c>
      <c r="M362" s="79"/>
      <c r="N362" s="73"/>
      <c r="O362" s="81" t="s">
        <v>613</v>
      </c>
      <c r="P362">
        <v>1</v>
      </c>
      <c r="Q362" s="80" t="str">
        <f>REPLACE(INDEX(GroupVertices[Group],MATCH(Edges[[#This Row],[Vertex 1]],GroupVertices[Vertex],0)),1,1,"")</f>
        <v>3</v>
      </c>
      <c r="R362" s="80" t="str">
        <f>REPLACE(INDEX(GroupVertices[Group],MATCH(Edges[[#This Row],[Vertex 2]],GroupVertices[Vertex],0)),1,1,"")</f>
        <v>3</v>
      </c>
      <c r="S362" s="35"/>
      <c r="T362" s="35"/>
      <c r="U362" s="35"/>
      <c r="V362" s="35"/>
      <c r="W362" s="35"/>
      <c r="X362" s="35"/>
      <c r="Y362" s="35"/>
      <c r="Z362" s="35"/>
      <c r="AA362" s="35"/>
    </row>
    <row r="363" spans="1:27" ht="15">
      <c r="A363" s="65" t="s">
        <v>218</v>
      </c>
      <c r="B363" s="65" t="s">
        <v>511</v>
      </c>
      <c r="C363" s="66" t="s">
        <v>3534</v>
      </c>
      <c r="D363" s="67">
        <v>5</v>
      </c>
      <c r="E363" s="68"/>
      <c r="F363" s="69">
        <v>25</v>
      </c>
      <c r="G363" s="66"/>
      <c r="H363" s="70"/>
      <c r="I363" s="71"/>
      <c r="J363" s="71"/>
      <c r="K363" s="35" t="s">
        <v>65</v>
      </c>
      <c r="L363" s="79">
        <v>363</v>
      </c>
      <c r="M363" s="79"/>
      <c r="N363" s="73"/>
      <c r="O363" s="81" t="s">
        <v>613</v>
      </c>
      <c r="P363">
        <v>1</v>
      </c>
      <c r="Q363" s="80" t="str">
        <f>REPLACE(INDEX(GroupVertices[Group],MATCH(Edges[[#This Row],[Vertex 1]],GroupVertices[Vertex],0)),1,1,"")</f>
        <v>3</v>
      </c>
      <c r="R363" s="80" t="str">
        <f>REPLACE(INDEX(GroupVertices[Group],MATCH(Edges[[#This Row],[Vertex 2]],GroupVertices[Vertex],0)),1,1,"")</f>
        <v>3</v>
      </c>
      <c r="S363" s="35"/>
      <c r="T363" s="35"/>
      <c r="U363" s="35"/>
      <c r="V363" s="35"/>
      <c r="W363" s="35"/>
      <c r="X363" s="35"/>
      <c r="Y363" s="35"/>
      <c r="Z363" s="35"/>
      <c r="AA363" s="35"/>
    </row>
    <row r="364" spans="1:27" ht="15">
      <c r="A364" s="65" t="s">
        <v>218</v>
      </c>
      <c r="B364" s="65" t="s">
        <v>512</v>
      </c>
      <c r="C364" s="66" t="s">
        <v>3534</v>
      </c>
      <c r="D364" s="67">
        <v>5</v>
      </c>
      <c r="E364" s="68"/>
      <c r="F364" s="69">
        <v>25</v>
      </c>
      <c r="G364" s="66"/>
      <c r="H364" s="70"/>
      <c r="I364" s="71"/>
      <c r="J364" s="71"/>
      <c r="K364" s="35" t="s">
        <v>65</v>
      </c>
      <c r="L364" s="79">
        <v>364</v>
      </c>
      <c r="M364" s="79"/>
      <c r="N364" s="73"/>
      <c r="O364" s="81" t="s">
        <v>613</v>
      </c>
      <c r="P364">
        <v>1</v>
      </c>
      <c r="Q364" s="80" t="str">
        <f>REPLACE(INDEX(GroupVertices[Group],MATCH(Edges[[#This Row],[Vertex 1]],GroupVertices[Vertex],0)),1,1,"")</f>
        <v>3</v>
      </c>
      <c r="R364" s="80" t="str">
        <f>REPLACE(INDEX(GroupVertices[Group],MATCH(Edges[[#This Row],[Vertex 2]],GroupVertices[Vertex],0)),1,1,"")</f>
        <v>3</v>
      </c>
      <c r="S364" s="35"/>
      <c r="T364" s="35"/>
      <c r="U364" s="35"/>
      <c r="V364" s="35"/>
      <c r="W364" s="35"/>
      <c r="X364" s="35"/>
      <c r="Y364" s="35"/>
      <c r="Z364" s="35"/>
      <c r="AA364" s="35"/>
    </row>
    <row r="365" spans="1:27" ht="15">
      <c r="A365" s="65" t="s">
        <v>218</v>
      </c>
      <c r="B365" s="65" t="s">
        <v>513</v>
      </c>
      <c r="C365" s="66" t="s">
        <v>3534</v>
      </c>
      <c r="D365" s="67">
        <v>5</v>
      </c>
      <c r="E365" s="68"/>
      <c r="F365" s="69">
        <v>25</v>
      </c>
      <c r="G365" s="66"/>
      <c r="H365" s="70"/>
      <c r="I365" s="71"/>
      <c r="J365" s="71"/>
      <c r="K365" s="35" t="s">
        <v>65</v>
      </c>
      <c r="L365" s="79">
        <v>365</v>
      </c>
      <c r="M365" s="79"/>
      <c r="N365" s="73"/>
      <c r="O365" s="81" t="s">
        <v>613</v>
      </c>
      <c r="P365">
        <v>1</v>
      </c>
      <c r="Q365" s="80" t="str">
        <f>REPLACE(INDEX(GroupVertices[Group],MATCH(Edges[[#This Row],[Vertex 1]],GroupVertices[Vertex],0)),1,1,"")</f>
        <v>3</v>
      </c>
      <c r="R365" s="80" t="str">
        <f>REPLACE(INDEX(GroupVertices[Group],MATCH(Edges[[#This Row],[Vertex 2]],GroupVertices[Vertex],0)),1,1,"")</f>
        <v>3</v>
      </c>
      <c r="S365" s="35"/>
      <c r="T365" s="35"/>
      <c r="U365" s="35"/>
      <c r="V365" s="35"/>
      <c r="W365" s="35"/>
      <c r="X365" s="35"/>
      <c r="Y365" s="35"/>
      <c r="Z365" s="35"/>
      <c r="AA365" s="35"/>
    </row>
    <row r="366" spans="1:27" ht="15">
      <c r="A366" s="65" t="s">
        <v>218</v>
      </c>
      <c r="B366" s="65" t="s">
        <v>386</v>
      </c>
      <c r="C366" s="66" t="s">
        <v>3534</v>
      </c>
      <c r="D366" s="67">
        <v>5</v>
      </c>
      <c r="E366" s="68"/>
      <c r="F366" s="69">
        <v>25</v>
      </c>
      <c r="G366" s="66"/>
      <c r="H366" s="70"/>
      <c r="I366" s="71"/>
      <c r="J366" s="71"/>
      <c r="K366" s="35" t="s">
        <v>65</v>
      </c>
      <c r="L366" s="79">
        <v>366</v>
      </c>
      <c r="M366" s="79"/>
      <c r="N366" s="73"/>
      <c r="O366" s="81" t="s">
        <v>613</v>
      </c>
      <c r="P366">
        <v>1</v>
      </c>
      <c r="Q366" s="80" t="str">
        <f>REPLACE(INDEX(GroupVertices[Group],MATCH(Edges[[#This Row],[Vertex 1]],GroupVertices[Vertex],0)),1,1,"")</f>
        <v>3</v>
      </c>
      <c r="R366" s="80" t="str">
        <f>REPLACE(INDEX(GroupVertices[Group],MATCH(Edges[[#This Row],[Vertex 2]],GroupVertices[Vertex],0)),1,1,"")</f>
        <v>1</v>
      </c>
      <c r="S366" s="35"/>
      <c r="T366" s="35"/>
      <c r="U366" s="35"/>
      <c r="V366" s="35"/>
      <c r="W366" s="35"/>
      <c r="X366" s="35"/>
      <c r="Y366" s="35"/>
      <c r="Z366" s="35"/>
      <c r="AA366" s="35"/>
    </row>
    <row r="367" spans="1:27" ht="15">
      <c r="A367" s="65" t="s">
        <v>218</v>
      </c>
      <c r="B367" s="65" t="s">
        <v>514</v>
      </c>
      <c r="C367" s="66" t="s">
        <v>3534</v>
      </c>
      <c r="D367" s="67">
        <v>5</v>
      </c>
      <c r="E367" s="68"/>
      <c r="F367" s="69">
        <v>25</v>
      </c>
      <c r="G367" s="66"/>
      <c r="H367" s="70"/>
      <c r="I367" s="71"/>
      <c r="J367" s="71"/>
      <c r="K367" s="35" t="s">
        <v>65</v>
      </c>
      <c r="L367" s="79">
        <v>367</v>
      </c>
      <c r="M367" s="79"/>
      <c r="N367" s="73"/>
      <c r="O367" s="81" t="s">
        <v>613</v>
      </c>
      <c r="P367">
        <v>1</v>
      </c>
      <c r="Q367" s="80" t="str">
        <f>REPLACE(INDEX(GroupVertices[Group],MATCH(Edges[[#This Row],[Vertex 1]],GroupVertices[Vertex],0)),1,1,"")</f>
        <v>3</v>
      </c>
      <c r="R367" s="80" t="str">
        <f>REPLACE(INDEX(GroupVertices[Group],MATCH(Edges[[#This Row],[Vertex 2]],GroupVertices[Vertex],0)),1,1,"")</f>
        <v>3</v>
      </c>
      <c r="S367" s="35"/>
      <c r="T367" s="35"/>
      <c r="U367" s="35"/>
      <c r="V367" s="35"/>
      <c r="W367" s="35"/>
      <c r="X367" s="35"/>
      <c r="Y367" s="35"/>
      <c r="Z367" s="35"/>
      <c r="AA367" s="35"/>
    </row>
    <row r="368" spans="1:27" ht="15">
      <c r="A368" s="65" t="s">
        <v>218</v>
      </c>
      <c r="B368" s="65" t="s">
        <v>515</v>
      </c>
      <c r="C368" s="66" t="s">
        <v>3534</v>
      </c>
      <c r="D368" s="67">
        <v>5</v>
      </c>
      <c r="E368" s="68"/>
      <c r="F368" s="69">
        <v>25</v>
      </c>
      <c r="G368" s="66"/>
      <c r="H368" s="70"/>
      <c r="I368" s="71"/>
      <c r="J368" s="71"/>
      <c r="K368" s="35" t="s">
        <v>65</v>
      </c>
      <c r="L368" s="79">
        <v>368</v>
      </c>
      <c r="M368" s="79"/>
      <c r="N368" s="73"/>
      <c r="O368" s="81" t="s">
        <v>613</v>
      </c>
      <c r="P368">
        <v>1</v>
      </c>
      <c r="Q368" s="80" t="str">
        <f>REPLACE(INDEX(GroupVertices[Group],MATCH(Edges[[#This Row],[Vertex 1]],GroupVertices[Vertex],0)),1,1,"")</f>
        <v>3</v>
      </c>
      <c r="R368" s="80" t="str">
        <f>REPLACE(INDEX(GroupVertices[Group],MATCH(Edges[[#This Row],[Vertex 2]],GroupVertices[Vertex],0)),1,1,"")</f>
        <v>3</v>
      </c>
      <c r="S368" s="35"/>
      <c r="T368" s="35"/>
      <c r="U368" s="35"/>
      <c r="V368" s="35"/>
      <c r="W368" s="35"/>
      <c r="X368" s="35"/>
      <c r="Y368" s="35"/>
      <c r="Z368" s="35"/>
      <c r="AA368" s="35"/>
    </row>
    <row r="369" spans="1:27" ht="15">
      <c r="A369" s="65" t="s">
        <v>218</v>
      </c>
      <c r="B369" s="65" t="s">
        <v>516</v>
      </c>
      <c r="C369" s="66" t="s">
        <v>3534</v>
      </c>
      <c r="D369" s="67">
        <v>5</v>
      </c>
      <c r="E369" s="68"/>
      <c r="F369" s="69">
        <v>25</v>
      </c>
      <c r="G369" s="66"/>
      <c r="H369" s="70"/>
      <c r="I369" s="71"/>
      <c r="J369" s="71"/>
      <c r="K369" s="35" t="s">
        <v>65</v>
      </c>
      <c r="L369" s="79">
        <v>369</v>
      </c>
      <c r="M369" s="79"/>
      <c r="N369" s="73"/>
      <c r="O369" s="81" t="s">
        <v>613</v>
      </c>
      <c r="P369">
        <v>1</v>
      </c>
      <c r="Q369" s="80" t="str">
        <f>REPLACE(INDEX(GroupVertices[Group],MATCH(Edges[[#This Row],[Vertex 1]],GroupVertices[Vertex],0)),1,1,"")</f>
        <v>3</v>
      </c>
      <c r="R369" s="80" t="str">
        <f>REPLACE(INDEX(GroupVertices[Group],MATCH(Edges[[#This Row],[Vertex 2]],GroupVertices[Vertex],0)),1,1,"")</f>
        <v>3</v>
      </c>
      <c r="S369" s="35"/>
      <c r="T369" s="35"/>
      <c r="U369" s="35"/>
      <c r="V369" s="35"/>
      <c r="W369" s="35"/>
      <c r="X369" s="35"/>
      <c r="Y369" s="35"/>
      <c r="Z369" s="35"/>
      <c r="AA369" s="35"/>
    </row>
    <row r="370" spans="1:27" ht="15">
      <c r="A370" s="65" t="s">
        <v>218</v>
      </c>
      <c r="B370" s="65" t="s">
        <v>517</v>
      </c>
      <c r="C370" s="66" t="s">
        <v>3534</v>
      </c>
      <c r="D370" s="67">
        <v>5</v>
      </c>
      <c r="E370" s="68"/>
      <c r="F370" s="69">
        <v>25</v>
      </c>
      <c r="G370" s="66"/>
      <c r="H370" s="70"/>
      <c r="I370" s="71"/>
      <c r="J370" s="71"/>
      <c r="K370" s="35" t="s">
        <v>65</v>
      </c>
      <c r="L370" s="79">
        <v>370</v>
      </c>
      <c r="M370" s="79"/>
      <c r="N370" s="73"/>
      <c r="O370" s="81" t="s">
        <v>613</v>
      </c>
      <c r="P370">
        <v>1</v>
      </c>
      <c r="Q370" s="80" t="str">
        <f>REPLACE(INDEX(GroupVertices[Group],MATCH(Edges[[#This Row],[Vertex 1]],GroupVertices[Vertex],0)),1,1,"")</f>
        <v>3</v>
      </c>
      <c r="R370" s="80" t="str">
        <f>REPLACE(INDEX(GroupVertices[Group],MATCH(Edges[[#This Row],[Vertex 2]],GroupVertices[Vertex],0)),1,1,"")</f>
        <v>3</v>
      </c>
      <c r="S370" s="35"/>
      <c r="T370" s="35"/>
      <c r="U370" s="35"/>
      <c r="V370" s="35"/>
      <c r="W370" s="35"/>
      <c r="X370" s="35"/>
      <c r="Y370" s="35"/>
      <c r="Z370" s="35"/>
      <c r="AA370" s="35"/>
    </row>
    <row r="371" spans="1:27" ht="15">
      <c r="A371" s="65" t="s">
        <v>212</v>
      </c>
      <c r="B371" s="65" t="s">
        <v>472</v>
      </c>
      <c r="C371" s="66" t="s">
        <v>3534</v>
      </c>
      <c r="D371" s="67">
        <v>5</v>
      </c>
      <c r="E371" s="68"/>
      <c r="F371" s="69">
        <v>25</v>
      </c>
      <c r="G371" s="66"/>
      <c r="H371" s="70"/>
      <c r="I371" s="71"/>
      <c r="J371" s="71"/>
      <c r="K371" s="35" t="s">
        <v>65</v>
      </c>
      <c r="L371" s="79">
        <v>371</v>
      </c>
      <c r="M371" s="79"/>
      <c r="N371" s="73"/>
      <c r="O371" s="81" t="s">
        <v>613</v>
      </c>
      <c r="P371">
        <v>1</v>
      </c>
      <c r="Q371" s="80" t="str">
        <f>REPLACE(INDEX(GroupVertices[Group],MATCH(Edges[[#This Row],[Vertex 1]],GroupVertices[Vertex],0)),1,1,"")</f>
        <v>7</v>
      </c>
      <c r="R371" s="80" t="str">
        <f>REPLACE(INDEX(GroupVertices[Group],MATCH(Edges[[#This Row],[Vertex 2]],GroupVertices[Vertex],0)),1,1,"")</f>
        <v>3</v>
      </c>
      <c r="S371" s="35"/>
      <c r="T371" s="35"/>
      <c r="U371" s="35"/>
      <c r="V371" s="35"/>
      <c r="W371" s="35"/>
      <c r="X371" s="35"/>
      <c r="Y371" s="35"/>
      <c r="Z371" s="35"/>
      <c r="AA371" s="35"/>
    </row>
    <row r="372" spans="1:27" ht="15">
      <c r="A372" s="65" t="s">
        <v>218</v>
      </c>
      <c r="B372" s="65" t="s">
        <v>472</v>
      </c>
      <c r="C372" s="66" t="s">
        <v>3534</v>
      </c>
      <c r="D372" s="67">
        <v>5</v>
      </c>
      <c r="E372" s="68"/>
      <c r="F372" s="69">
        <v>25</v>
      </c>
      <c r="G372" s="66"/>
      <c r="H372" s="70"/>
      <c r="I372" s="71"/>
      <c r="J372" s="71"/>
      <c r="K372" s="35" t="s">
        <v>65</v>
      </c>
      <c r="L372" s="79">
        <v>372</v>
      </c>
      <c r="M372" s="79"/>
      <c r="N372" s="73"/>
      <c r="O372" s="81" t="s">
        <v>613</v>
      </c>
      <c r="P372">
        <v>1</v>
      </c>
      <c r="Q372" s="80" t="str">
        <f>REPLACE(INDEX(GroupVertices[Group],MATCH(Edges[[#This Row],[Vertex 1]],GroupVertices[Vertex],0)),1,1,"")</f>
        <v>3</v>
      </c>
      <c r="R372" s="80" t="str">
        <f>REPLACE(INDEX(GroupVertices[Group],MATCH(Edges[[#This Row],[Vertex 2]],GroupVertices[Vertex],0)),1,1,"")</f>
        <v>3</v>
      </c>
      <c r="S372" s="35"/>
      <c r="T372" s="35"/>
      <c r="U372" s="35"/>
      <c r="V372" s="35"/>
      <c r="W372" s="35"/>
      <c r="X372" s="35"/>
      <c r="Y372" s="35"/>
      <c r="Z372" s="35"/>
      <c r="AA372" s="35"/>
    </row>
    <row r="373" spans="1:27" ht="15">
      <c r="A373" s="65" t="s">
        <v>218</v>
      </c>
      <c r="B373" s="65" t="s">
        <v>518</v>
      </c>
      <c r="C373" s="66" t="s">
        <v>3534</v>
      </c>
      <c r="D373" s="67">
        <v>5</v>
      </c>
      <c r="E373" s="68"/>
      <c r="F373" s="69">
        <v>25</v>
      </c>
      <c r="G373" s="66"/>
      <c r="H373" s="70"/>
      <c r="I373" s="71"/>
      <c r="J373" s="71"/>
      <c r="K373" s="35" t="s">
        <v>65</v>
      </c>
      <c r="L373" s="79">
        <v>373</v>
      </c>
      <c r="M373" s="79"/>
      <c r="N373" s="73"/>
      <c r="O373" s="81" t="s">
        <v>613</v>
      </c>
      <c r="P373">
        <v>1</v>
      </c>
      <c r="Q373" s="80" t="str">
        <f>REPLACE(INDEX(GroupVertices[Group],MATCH(Edges[[#This Row],[Vertex 1]],GroupVertices[Vertex],0)),1,1,"")</f>
        <v>3</v>
      </c>
      <c r="R373" s="80" t="str">
        <f>REPLACE(INDEX(GroupVertices[Group],MATCH(Edges[[#This Row],[Vertex 2]],GroupVertices[Vertex],0)),1,1,"")</f>
        <v>3</v>
      </c>
      <c r="S373" s="35"/>
      <c r="T373" s="35"/>
      <c r="U373" s="35"/>
      <c r="V373" s="35"/>
      <c r="W373" s="35"/>
      <c r="X373" s="35"/>
      <c r="Y373" s="35"/>
      <c r="Z373" s="35"/>
      <c r="AA373" s="35"/>
    </row>
    <row r="374" spans="1:27" ht="15">
      <c r="A374" s="65" t="s">
        <v>218</v>
      </c>
      <c r="B374" s="65" t="s">
        <v>519</v>
      </c>
      <c r="C374" s="66" t="s">
        <v>3534</v>
      </c>
      <c r="D374" s="67">
        <v>5</v>
      </c>
      <c r="E374" s="68"/>
      <c r="F374" s="69">
        <v>25</v>
      </c>
      <c r="G374" s="66"/>
      <c r="H374" s="70"/>
      <c r="I374" s="71"/>
      <c r="J374" s="71"/>
      <c r="K374" s="35" t="s">
        <v>65</v>
      </c>
      <c r="L374" s="79">
        <v>374</v>
      </c>
      <c r="M374" s="79"/>
      <c r="N374" s="73"/>
      <c r="O374" s="81" t="s">
        <v>613</v>
      </c>
      <c r="P374">
        <v>1</v>
      </c>
      <c r="Q374" s="80" t="str">
        <f>REPLACE(INDEX(GroupVertices[Group],MATCH(Edges[[#This Row],[Vertex 1]],GroupVertices[Vertex],0)),1,1,"")</f>
        <v>3</v>
      </c>
      <c r="R374" s="80" t="str">
        <f>REPLACE(INDEX(GroupVertices[Group],MATCH(Edges[[#This Row],[Vertex 2]],GroupVertices[Vertex],0)),1,1,"")</f>
        <v>3</v>
      </c>
      <c r="S374" s="35"/>
      <c r="T374" s="35"/>
      <c r="U374" s="35"/>
      <c r="V374" s="35"/>
      <c r="W374" s="35"/>
      <c r="X374" s="35"/>
      <c r="Y374" s="35"/>
      <c r="Z374" s="35"/>
      <c r="AA374" s="35"/>
    </row>
    <row r="375" spans="1:27" ht="15">
      <c r="A375" s="65" t="s">
        <v>218</v>
      </c>
      <c r="B375" s="65" t="s">
        <v>471</v>
      </c>
      <c r="C375" s="66" t="s">
        <v>3534</v>
      </c>
      <c r="D375" s="67">
        <v>5</v>
      </c>
      <c r="E375" s="68"/>
      <c r="F375" s="69">
        <v>25</v>
      </c>
      <c r="G375" s="66"/>
      <c r="H375" s="70"/>
      <c r="I375" s="71"/>
      <c r="J375" s="71"/>
      <c r="K375" s="35" t="s">
        <v>65</v>
      </c>
      <c r="L375" s="79">
        <v>375</v>
      </c>
      <c r="M375" s="79"/>
      <c r="N375" s="73"/>
      <c r="O375" s="81" t="s">
        <v>613</v>
      </c>
      <c r="P375">
        <v>1</v>
      </c>
      <c r="Q375" s="80" t="str">
        <f>REPLACE(INDEX(GroupVertices[Group],MATCH(Edges[[#This Row],[Vertex 1]],GroupVertices[Vertex],0)),1,1,"")</f>
        <v>3</v>
      </c>
      <c r="R375" s="80" t="str">
        <f>REPLACE(INDEX(GroupVertices[Group],MATCH(Edges[[#This Row],[Vertex 2]],GroupVertices[Vertex],0)),1,1,"")</f>
        <v>1</v>
      </c>
      <c r="S375" s="35"/>
      <c r="T375" s="35"/>
      <c r="U375" s="35"/>
      <c r="V375" s="35"/>
      <c r="W375" s="35"/>
      <c r="X375" s="35"/>
      <c r="Y375" s="35"/>
      <c r="Z375" s="35"/>
      <c r="AA375" s="35"/>
    </row>
    <row r="376" spans="1:27" ht="15">
      <c r="A376" s="65" t="s">
        <v>218</v>
      </c>
      <c r="B376" s="65" t="s">
        <v>520</v>
      </c>
      <c r="C376" s="66" t="s">
        <v>3534</v>
      </c>
      <c r="D376" s="67">
        <v>5</v>
      </c>
      <c r="E376" s="68"/>
      <c r="F376" s="69">
        <v>25</v>
      </c>
      <c r="G376" s="66"/>
      <c r="H376" s="70"/>
      <c r="I376" s="71"/>
      <c r="J376" s="71"/>
      <c r="K376" s="35" t="s">
        <v>65</v>
      </c>
      <c r="L376" s="79">
        <v>376</v>
      </c>
      <c r="M376" s="79"/>
      <c r="N376" s="73"/>
      <c r="O376" s="81" t="s">
        <v>613</v>
      </c>
      <c r="P376">
        <v>1</v>
      </c>
      <c r="Q376" s="80" t="str">
        <f>REPLACE(INDEX(GroupVertices[Group],MATCH(Edges[[#This Row],[Vertex 1]],GroupVertices[Vertex],0)),1,1,"")</f>
        <v>3</v>
      </c>
      <c r="R376" s="80" t="str">
        <f>REPLACE(INDEX(GroupVertices[Group],MATCH(Edges[[#This Row],[Vertex 2]],GroupVertices[Vertex],0)),1,1,"")</f>
        <v>3</v>
      </c>
      <c r="S376" s="35"/>
      <c r="T376" s="35"/>
      <c r="U376" s="35"/>
      <c r="V376" s="35"/>
      <c r="W376" s="35"/>
      <c r="X376" s="35"/>
      <c r="Y376" s="35"/>
      <c r="Z376" s="35"/>
      <c r="AA376" s="35"/>
    </row>
    <row r="377" spans="1:27" ht="15">
      <c r="A377" s="65" t="s">
        <v>218</v>
      </c>
      <c r="B377" s="65" t="s">
        <v>389</v>
      </c>
      <c r="C377" s="66" t="s">
        <v>3534</v>
      </c>
      <c r="D377" s="67">
        <v>5</v>
      </c>
      <c r="E377" s="68"/>
      <c r="F377" s="69">
        <v>25</v>
      </c>
      <c r="G377" s="66"/>
      <c r="H377" s="70"/>
      <c r="I377" s="71"/>
      <c r="J377" s="71"/>
      <c r="K377" s="35" t="s">
        <v>65</v>
      </c>
      <c r="L377" s="79">
        <v>377</v>
      </c>
      <c r="M377" s="79"/>
      <c r="N377" s="73"/>
      <c r="O377" s="81" t="s">
        <v>613</v>
      </c>
      <c r="P377">
        <v>1</v>
      </c>
      <c r="Q377" s="80" t="str">
        <f>REPLACE(INDEX(GroupVertices[Group],MATCH(Edges[[#This Row],[Vertex 1]],GroupVertices[Vertex],0)),1,1,"")</f>
        <v>3</v>
      </c>
      <c r="R377" s="80" t="str">
        <f>REPLACE(INDEX(GroupVertices[Group],MATCH(Edges[[#This Row],[Vertex 2]],GroupVertices[Vertex],0)),1,1,"")</f>
        <v>1</v>
      </c>
      <c r="S377" s="35"/>
      <c r="T377" s="35"/>
      <c r="U377" s="35"/>
      <c r="V377" s="35"/>
      <c r="W377" s="35"/>
      <c r="X377" s="35"/>
      <c r="Y377" s="35"/>
      <c r="Z377" s="35"/>
      <c r="AA377" s="35"/>
    </row>
    <row r="378" spans="1:27" ht="15">
      <c r="A378" s="65" t="s">
        <v>218</v>
      </c>
      <c r="B378" s="65" t="s">
        <v>521</v>
      </c>
      <c r="C378" s="66" t="s">
        <v>3534</v>
      </c>
      <c r="D378" s="67">
        <v>5</v>
      </c>
      <c r="E378" s="68"/>
      <c r="F378" s="69">
        <v>25</v>
      </c>
      <c r="G378" s="66"/>
      <c r="H378" s="70"/>
      <c r="I378" s="71"/>
      <c r="J378" s="71"/>
      <c r="K378" s="35" t="s">
        <v>65</v>
      </c>
      <c r="L378" s="79">
        <v>378</v>
      </c>
      <c r="M378" s="79"/>
      <c r="N378" s="73"/>
      <c r="O378" s="81" t="s">
        <v>613</v>
      </c>
      <c r="P378">
        <v>1</v>
      </c>
      <c r="Q378" s="80" t="str">
        <f>REPLACE(INDEX(GroupVertices[Group],MATCH(Edges[[#This Row],[Vertex 1]],GroupVertices[Vertex],0)),1,1,"")</f>
        <v>3</v>
      </c>
      <c r="R378" s="80" t="str">
        <f>REPLACE(INDEX(GroupVertices[Group],MATCH(Edges[[#This Row],[Vertex 2]],GroupVertices[Vertex],0)),1,1,"")</f>
        <v>3</v>
      </c>
      <c r="S378" s="35"/>
      <c r="T378" s="35"/>
      <c r="U378" s="35"/>
      <c r="V378" s="35"/>
      <c r="W378" s="35"/>
      <c r="X378" s="35"/>
      <c r="Y378" s="35"/>
      <c r="Z378" s="35"/>
      <c r="AA378" s="35"/>
    </row>
    <row r="379" spans="1:27" ht="15">
      <c r="A379" s="65" t="s">
        <v>218</v>
      </c>
      <c r="B379" s="65" t="s">
        <v>470</v>
      </c>
      <c r="C379" s="66" t="s">
        <v>3534</v>
      </c>
      <c r="D379" s="67">
        <v>5</v>
      </c>
      <c r="E379" s="68"/>
      <c r="F379" s="69">
        <v>25</v>
      </c>
      <c r="G379" s="66"/>
      <c r="H379" s="70"/>
      <c r="I379" s="71"/>
      <c r="J379" s="71"/>
      <c r="K379" s="35" t="s">
        <v>65</v>
      </c>
      <c r="L379" s="79">
        <v>379</v>
      </c>
      <c r="M379" s="79"/>
      <c r="N379" s="73"/>
      <c r="O379" s="81" t="s">
        <v>613</v>
      </c>
      <c r="P379">
        <v>1</v>
      </c>
      <c r="Q379" s="80" t="str">
        <f>REPLACE(INDEX(GroupVertices[Group],MATCH(Edges[[#This Row],[Vertex 1]],GroupVertices[Vertex],0)),1,1,"")</f>
        <v>3</v>
      </c>
      <c r="R379" s="80" t="str">
        <f>REPLACE(INDEX(GroupVertices[Group],MATCH(Edges[[#This Row],[Vertex 2]],GroupVertices[Vertex],0)),1,1,"")</f>
        <v>3</v>
      </c>
      <c r="S379" s="35"/>
      <c r="T379" s="35"/>
      <c r="U379" s="35"/>
      <c r="V379" s="35"/>
      <c r="W379" s="35"/>
      <c r="X379" s="35"/>
      <c r="Y379" s="35"/>
      <c r="Z379" s="35"/>
      <c r="AA379" s="35"/>
    </row>
    <row r="380" spans="1:27" ht="15">
      <c r="A380" s="65" t="s">
        <v>218</v>
      </c>
      <c r="B380" s="65" t="s">
        <v>522</v>
      </c>
      <c r="C380" s="66" t="s">
        <v>3534</v>
      </c>
      <c r="D380" s="67">
        <v>5</v>
      </c>
      <c r="E380" s="68"/>
      <c r="F380" s="69">
        <v>25</v>
      </c>
      <c r="G380" s="66"/>
      <c r="H380" s="70"/>
      <c r="I380" s="71"/>
      <c r="J380" s="71"/>
      <c r="K380" s="35" t="s">
        <v>65</v>
      </c>
      <c r="L380" s="79">
        <v>380</v>
      </c>
      <c r="M380" s="79"/>
      <c r="N380" s="73"/>
      <c r="O380" s="81" t="s">
        <v>613</v>
      </c>
      <c r="P380">
        <v>1</v>
      </c>
      <c r="Q380" s="80" t="str">
        <f>REPLACE(INDEX(GroupVertices[Group],MATCH(Edges[[#This Row],[Vertex 1]],GroupVertices[Vertex],0)),1,1,"")</f>
        <v>3</v>
      </c>
      <c r="R380" s="80" t="str">
        <f>REPLACE(INDEX(GroupVertices[Group],MATCH(Edges[[#This Row],[Vertex 2]],GroupVertices[Vertex],0)),1,1,"")</f>
        <v>3</v>
      </c>
      <c r="S380" s="35"/>
      <c r="T380" s="35"/>
      <c r="U380" s="35"/>
      <c r="V380" s="35"/>
      <c r="W380" s="35"/>
      <c r="X380" s="35"/>
      <c r="Y380" s="35"/>
      <c r="Z380" s="35"/>
      <c r="AA380" s="35"/>
    </row>
    <row r="381" spans="1:27" ht="15">
      <c r="A381" s="65" t="s">
        <v>218</v>
      </c>
      <c r="B381" s="65" t="s">
        <v>523</v>
      </c>
      <c r="C381" s="66" t="s">
        <v>3534</v>
      </c>
      <c r="D381" s="67">
        <v>5</v>
      </c>
      <c r="E381" s="68"/>
      <c r="F381" s="69">
        <v>25</v>
      </c>
      <c r="G381" s="66"/>
      <c r="H381" s="70"/>
      <c r="I381" s="71"/>
      <c r="J381" s="71"/>
      <c r="K381" s="35" t="s">
        <v>65</v>
      </c>
      <c r="L381" s="79">
        <v>381</v>
      </c>
      <c r="M381" s="79"/>
      <c r="N381" s="73"/>
      <c r="O381" s="81" t="s">
        <v>613</v>
      </c>
      <c r="P381">
        <v>1</v>
      </c>
      <c r="Q381" s="80" t="str">
        <f>REPLACE(INDEX(GroupVertices[Group],MATCH(Edges[[#This Row],[Vertex 1]],GroupVertices[Vertex],0)),1,1,"")</f>
        <v>3</v>
      </c>
      <c r="R381" s="80" t="str">
        <f>REPLACE(INDEX(GroupVertices[Group],MATCH(Edges[[#This Row],[Vertex 2]],GroupVertices[Vertex],0)),1,1,"")</f>
        <v>3</v>
      </c>
      <c r="S381" s="35"/>
      <c r="T381" s="35"/>
      <c r="U381" s="35"/>
      <c r="V381" s="35"/>
      <c r="W381" s="35"/>
      <c r="X381" s="35"/>
      <c r="Y381" s="35"/>
      <c r="Z381" s="35"/>
      <c r="AA381" s="35"/>
    </row>
    <row r="382" spans="1:27" ht="15">
      <c r="A382" s="65" t="s">
        <v>218</v>
      </c>
      <c r="B382" s="65" t="s">
        <v>388</v>
      </c>
      <c r="C382" s="66" t="s">
        <v>3534</v>
      </c>
      <c r="D382" s="67">
        <v>5</v>
      </c>
      <c r="E382" s="68"/>
      <c r="F382" s="69">
        <v>25</v>
      </c>
      <c r="G382" s="66"/>
      <c r="H382" s="70"/>
      <c r="I382" s="71"/>
      <c r="J382" s="71"/>
      <c r="K382" s="35" t="s">
        <v>65</v>
      </c>
      <c r="L382" s="79">
        <v>382</v>
      </c>
      <c r="M382" s="79"/>
      <c r="N382" s="73"/>
      <c r="O382" s="81" t="s">
        <v>613</v>
      </c>
      <c r="P382">
        <v>1</v>
      </c>
      <c r="Q382" s="80" t="str">
        <f>REPLACE(INDEX(GroupVertices[Group],MATCH(Edges[[#This Row],[Vertex 1]],GroupVertices[Vertex],0)),1,1,"")</f>
        <v>3</v>
      </c>
      <c r="R382" s="80" t="str">
        <f>REPLACE(INDEX(GroupVertices[Group],MATCH(Edges[[#This Row],[Vertex 2]],GroupVertices[Vertex],0)),1,1,"")</f>
        <v>1</v>
      </c>
      <c r="S382" s="35"/>
      <c r="T382" s="35"/>
      <c r="U382" s="35"/>
      <c r="V382" s="35"/>
      <c r="W382" s="35"/>
      <c r="X382" s="35"/>
      <c r="Y382" s="35"/>
      <c r="Z382" s="35"/>
      <c r="AA382" s="35"/>
    </row>
    <row r="383" spans="1:27" ht="15">
      <c r="A383" s="65" t="s">
        <v>218</v>
      </c>
      <c r="B383" s="65" t="s">
        <v>393</v>
      </c>
      <c r="C383" s="66" t="s">
        <v>3534</v>
      </c>
      <c r="D383" s="67">
        <v>5</v>
      </c>
      <c r="E383" s="68"/>
      <c r="F383" s="69">
        <v>25</v>
      </c>
      <c r="G383" s="66"/>
      <c r="H383" s="70"/>
      <c r="I383" s="71"/>
      <c r="J383" s="71"/>
      <c r="K383" s="35" t="s">
        <v>65</v>
      </c>
      <c r="L383" s="79">
        <v>383</v>
      </c>
      <c r="M383" s="79"/>
      <c r="N383" s="73"/>
      <c r="O383" s="81" t="s">
        <v>613</v>
      </c>
      <c r="P383">
        <v>1</v>
      </c>
      <c r="Q383" s="80" t="str">
        <f>REPLACE(INDEX(GroupVertices[Group],MATCH(Edges[[#This Row],[Vertex 1]],GroupVertices[Vertex],0)),1,1,"")</f>
        <v>3</v>
      </c>
      <c r="R383" s="80" t="str">
        <f>REPLACE(INDEX(GroupVertices[Group],MATCH(Edges[[#This Row],[Vertex 2]],GroupVertices[Vertex],0)),1,1,"")</f>
        <v>1</v>
      </c>
      <c r="S383" s="35"/>
      <c r="T383" s="35"/>
      <c r="U383" s="35"/>
      <c r="V383" s="35"/>
      <c r="W383" s="35"/>
      <c r="X383" s="35"/>
      <c r="Y383" s="35"/>
      <c r="Z383" s="35"/>
      <c r="AA383" s="35"/>
    </row>
    <row r="384" spans="1:27" ht="15">
      <c r="A384" s="65" t="s">
        <v>219</v>
      </c>
      <c r="B384" s="65" t="s">
        <v>524</v>
      </c>
      <c r="C384" s="66" t="s">
        <v>3534</v>
      </c>
      <c r="D384" s="67">
        <v>5</v>
      </c>
      <c r="E384" s="68"/>
      <c r="F384" s="69">
        <v>25</v>
      </c>
      <c r="G384" s="66"/>
      <c r="H384" s="70"/>
      <c r="I384" s="71"/>
      <c r="J384" s="71"/>
      <c r="K384" s="35" t="s">
        <v>65</v>
      </c>
      <c r="L384" s="79">
        <v>384</v>
      </c>
      <c r="M384" s="79"/>
      <c r="N384" s="73"/>
      <c r="O384" s="81" t="s">
        <v>613</v>
      </c>
      <c r="P384">
        <v>1</v>
      </c>
      <c r="Q384" s="80" t="str">
        <f>REPLACE(INDEX(GroupVertices[Group],MATCH(Edges[[#This Row],[Vertex 1]],GroupVertices[Vertex],0)),1,1,"")</f>
        <v>5</v>
      </c>
      <c r="R384" s="80" t="str">
        <f>REPLACE(INDEX(GroupVertices[Group],MATCH(Edges[[#This Row],[Vertex 2]],GroupVertices[Vertex],0)),1,1,"")</f>
        <v>5</v>
      </c>
      <c r="S384" s="35"/>
      <c r="T384" s="35"/>
      <c r="U384" s="35"/>
      <c r="V384" s="35"/>
      <c r="W384" s="35"/>
      <c r="X384" s="35"/>
      <c r="Y384" s="35"/>
      <c r="Z384" s="35"/>
      <c r="AA384" s="35"/>
    </row>
    <row r="385" spans="1:27" ht="15">
      <c r="A385" s="65" t="s">
        <v>212</v>
      </c>
      <c r="B385" s="65" t="s">
        <v>525</v>
      </c>
      <c r="C385" s="66" t="s">
        <v>3534</v>
      </c>
      <c r="D385" s="67">
        <v>5</v>
      </c>
      <c r="E385" s="68"/>
      <c r="F385" s="69">
        <v>25</v>
      </c>
      <c r="G385" s="66"/>
      <c r="H385" s="70"/>
      <c r="I385" s="71"/>
      <c r="J385" s="71"/>
      <c r="K385" s="35" t="s">
        <v>65</v>
      </c>
      <c r="L385" s="79">
        <v>385</v>
      </c>
      <c r="M385" s="79"/>
      <c r="N385" s="73"/>
      <c r="O385" s="81" t="s">
        <v>613</v>
      </c>
      <c r="P385">
        <v>1</v>
      </c>
      <c r="Q385" s="80" t="str">
        <f>REPLACE(INDEX(GroupVertices[Group],MATCH(Edges[[#This Row],[Vertex 1]],GroupVertices[Vertex],0)),1,1,"")</f>
        <v>7</v>
      </c>
      <c r="R385" s="80" t="str">
        <f>REPLACE(INDEX(GroupVertices[Group],MATCH(Edges[[#This Row],[Vertex 2]],GroupVertices[Vertex],0)),1,1,"")</f>
        <v>5</v>
      </c>
      <c r="S385" s="35"/>
      <c r="T385" s="35"/>
      <c r="U385" s="35"/>
      <c r="V385" s="35"/>
      <c r="W385" s="35"/>
      <c r="X385" s="35"/>
      <c r="Y385" s="35"/>
      <c r="Z385" s="35"/>
      <c r="AA385" s="35"/>
    </row>
    <row r="386" spans="1:27" ht="15">
      <c r="A386" s="65" t="s">
        <v>214</v>
      </c>
      <c r="B386" s="65" t="s">
        <v>525</v>
      </c>
      <c r="C386" s="66" t="s">
        <v>3534</v>
      </c>
      <c r="D386" s="67">
        <v>5</v>
      </c>
      <c r="E386" s="68"/>
      <c r="F386" s="69">
        <v>25</v>
      </c>
      <c r="G386" s="66"/>
      <c r="H386" s="70"/>
      <c r="I386" s="71"/>
      <c r="J386" s="71"/>
      <c r="K386" s="35" t="s">
        <v>65</v>
      </c>
      <c r="L386" s="79">
        <v>386</v>
      </c>
      <c r="M386" s="79"/>
      <c r="N386" s="73"/>
      <c r="O386" s="81" t="s">
        <v>613</v>
      </c>
      <c r="P386">
        <v>1</v>
      </c>
      <c r="Q386" s="80" t="str">
        <f>REPLACE(INDEX(GroupVertices[Group],MATCH(Edges[[#This Row],[Vertex 1]],GroupVertices[Vertex],0)),1,1,"")</f>
        <v>6</v>
      </c>
      <c r="R386" s="80" t="str">
        <f>REPLACE(INDEX(GroupVertices[Group],MATCH(Edges[[#This Row],[Vertex 2]],GroupVertices[Vertex],0)),1,1,"")</f>
        <v>5</v>
      </c>
      <c r="S386" s="35"/>
      <c r="T386" s="35"/>
      <c r="U386" s="35"/>
      <c r="V386" s="35"/>
      <c r="W386" s="35"/>
      <c r="X386" s="35"/>
      <c r="Y386" s="35"/>
      <c r="Z386" s="35"/>
      <c r="AA386" s="35"/>
    </row>
    <row r="387" spans="1:27" ht="15">
      <c r="A387" s="65" t="s">
        <v>219</v>
      </c>
      <c r="B387" s="65" t="s">
        <v>525</v>
      </c>
      <c r="C387" s="66" t="s">
        <v>3534</v>
      </c>
      <c r="D387" s="67">
        <v>5</v>
      </c>
      <c r="E387" s="68"/>
      <c r="F387" s="69">
        <v>25</v>
      </c>
      <c r="G387" s="66"/>
      <c r="H387" s="70"/>
      <c r="I387" s="71"/>
      <c r="J387" s="71"/>
      <c r="K387" s="35" t="s">
        <v>65</v>
      </c>
      <c r="L387" s="79">
        <v>387</v>
      </c>
      <c r="M387" s="79"/>
      <c r="N387" s="73"/>
      <c r="O387" s="81" t="s">
        <v>613</v>
      </c>
      <c r="P387">
        <v>1</v>
      </c>
      <c r="Q387" s="80" t="str">
        <f>REPLACE(INDEX(GroupVertices[Group],MATCH(Edges[[#This Row],[Vertex 1]],GroupVertices[Vertex],0)),1,1,"")</f>
        <v>5</v>
      </c>
      <c r="R387" s="80" t="str">
        <f>REPLACE(INDEX(GroupVertices[Group],MATCH(Edges[[#This Row],[Vertex 2]],GroupVertices[Vertex],0)),1,1,"")</f>
        <v>5</v>
      </c>
      <c r="S387" s="35"/>
      <c r="T387" s="35"/>
      <c r="U387" s="35"/>
      <c r="V387" s="35"/>
      <c r="W387" s="35"/>
      <c r="X387" s="35"/>
      <c r="Y387" s="35"/>
      <c r="Z387" s="35"/>
      <c r="AA387" s="35"/>
    </row>
    <row r="388" spans="1:27" ht="15">
      <c r="A388" s="65" t="s">
        <v>212</v>
      </c>
      <c r="B388" s="65" t="s">
        <v>526</v>
      </c>
      <c r="C388" s="66" t="s">
        <v>3534</v>
      </c>
      <c r="D388" s="67">
        <v>5</v>
      </c>
      <c r="E388" s="68"/>
      <c r="F388" s="69">
        <v>25</v>
      </c>
      <c r="G388" s="66"/>
      <c r="H388" s="70"/>
      <c r="I388" s="71"/>
      <c r="J388" s="71"/>
      <c r="K388" s="35" t="s">
        <v>65</v>
      </c>
      <c r="L388" s="79">
        <v>388</v>
      </c>
      <c r="M388" s="79"/>
      <c r="N388" s="73"/>
      <c r="O388" s="81" t="s">
        <v>613</v>
      </c>
      <c r="P388">
        <v>1</v>
      </c>
      <c r="Q388" s="80" t="str">
        <f>REPLACE(INDEX(GroupVertices[Group],MATCH(Edges[[#This Row],[Vertex 1]],GroupVertices[Vertex],0)),1,1,"")</f>
        <v>7</v>
      </c>
      <c r="R388" s="80" t="str">
        <f>REPLACE(INDEX(GroupVertices[Group],MATCH(Edges[[#This Row],[Vertex 2]],GroupVertices[Vertex],0)),1,1,"")</f>
        <v>5</v>
      </c>
      <c r="S388" s="35"/>
      <c r="T388" s="35"/>
      <c r="U388" s="35"/>
      <c r="V388" s="35"/>
      <c r="W388" s="35"/>
      <c r="X388" s="35"/>
      <c r="Y388" s="35"/>
      <c r="Z388" s="35"/>
      <c r="AA388" s="35"/>
    </row>
    <row r="389" spans="1:27" ht="15">
      <c r="A389" s="65" t="s">
        <v>219</v>
      </c>
      <c r="B389" s="65" t="s">
        <v>526</v>
      </c>
      <c r="C389" s="66" t="s">
        <v>3534</v>
      </c>
      <c r="D389" s="67">
        <v>5</v>
      </c>
      <c r="E389" s="68"/>
      <c r="F389" s="69">
        <v>25</v>
      </c>
      <c r="G389" s="66"/>
      <c r="H389" s="70"/>
      <c r="I389" s="71"/>
      <c r="J389" s="71"/>
      <c r="K389" s="35" t="s">
        <v>65</v>
      </c>
      <c r="L389" s="79">
        <v>389</v>
      </c>
      <c r="M389" s="79"/>
      <c r="N389" s="73"/>
      <c r="O389" s="81" t="s">
        <v>613</v>
      </c>
      <c r="P389">
        <v>1</v>
      </c>
      <c r="Q389" s="80" t="str">
        <f>REPLACE(INDEX(GroupVertices[Group],MATCH(Edges[[#This Row],[Vertex 1]],GroupVertices[Vertex],0)),1,1,"")</f>
        <v>5</v>
      </c>
      <c r="R389" s="80" t="str">
        <f>REPLACE(INDEX(GroupVertices[Group],MATCH(Edges[[#This Row],[Vertex 2]],GroupVertices[Vertex],0)),1,1,"")</f>
        <v>5</v>
      </c>
      <c r="S389" s="35"/>
      <c r="T389" s="35"/>
      <c r="U389" s="35"/>
      <c r="V389" s="35"/>
      <c r="W389" s="35"/>
      <c r="X389" s="35"/>
      <c r="Y389" s="35"/>
      <c r="Z389" s="35"/>
      <c r="AA389" s="35"/>
    </row>
    <row r="390" spans="1:27" ht="15">
      <c r="A390" s="65" t="s">
        <v>219</v>
      </c>
      <c r="B390" s="65" t="s">
        <v>527</v>
      </c>
      <c r="C390" s="66" t="s">
        <v>3534</v>
      </c>
      <c r="D390" s="67">
        <v>5</v>
      </c>
      <c r="E390" s="68"/>
      <c r="F390" s="69">
        <v>25</v>
      </c>
      <c r="G390" s="66"/>
      <c r="H390" s="70"/>
      <c r="I390" s="71"/>
      <c r="J390" s="71"/>
      <c r="K390" s="35" t="s">
        <v>65</v>
      </c>
      <c r="L390" s="79">
        <v>390</v>
      </c>
      <c r="M390" s="79"/>
      <c r="N390" s="73"/>
      <c r="O390" s="81" t="s">
        <v>613</v>
      </c>
      <c r="P390">
        <v>1</v>
      </c>
      <c r="Q390" s="80" t="str">
        <f>REPLACE(INDEX(GroupVertices[Group],MATCH(Edges[[#This Row],[Vertex 1]],GroupVertices[Vertex],0)),1,1,"")</f>
        <v>5</v>
      </c>
      <c r="R390" s="80" t="str">
        <f>REPLACE(INDEX(GroupVertices[Group],MATCH(Edges[[#This Row],[Vertex 2]],GroupVertices[Vertex],0)),1,1,"")</f>
        <v>5</v>
      </c>
      <c r="S390" s="35"/>
      <c r="T390" s="35"/>
      <c r="U390" s="35"/>
      <c r="V390" s="35"/>
      <c r="W390" s="35"/>
      <c r="X390" s="35"/>
      <c r="Y390" s="35"/>
      <c r="Z390" s="35"/>
      <c r="AA390" s="35"/>
    </row>
    <row r="391" spans="1:27" ht="15">
      <c r="A391" s="65" t="s">
        <v>219</v>
      </c>
      <c r="B391" s="65" t="s">
        <v>528</v>
      </c>
      <c r="C391" s="66" t="s">
        <v>3534</v>
      </c>
      <c r="D391" s="67">
        <v>5</v>
      </c>
      <c r="E391" s="68"/>
      <c r="F391" s="69">
        <v>25</v>
      </c>
      <c r="G391" s="66"/>
      <c r="H391" s="70"/>
      <c r="I391" s="71"/>
      <c r="J391" s="71"/>
      <c r="K391" s="35" t="s">
        <v>65</v>
      </c>
      <c r="L391" s="79">
        <v>391</v>
      </c>
      <c r="M391" s="79"/>
      <c r="N391" s="73"/>
      <c r="O391" s="81" t="s">
        <v>613</v>
      </c>
      <c r="P391">
        <v>1</v>
      </c>
      <c r="Q391" s="80" t="str">
        <f>REPLACE(INDEX(GroupVertices[Group],MATCH(Edges[[#This Row],[Vertex 1]],GroupVertices[Vertex],0)),1,1,"")</f>
        <v>5</v>
      </c>
      <c r="R391" s="80" t="str">
        <f>REPLACE(INDEX(GroupVertices[Group],MATCH(Edges[[#This Row],[Vertex 2]],GroupVertices[Vertex],0)),1,1,"")</f>
        <v>5</v>
      </c>
      <c r="S391" s="35"/>
      <c r="T391" s="35"/>
      <c r="U391" s="35"/>
      <c r="V391" s="35"/>
      <c r="W391" s="35"/>
      <c r="X391" s="35"/>
      <c r="Y391" s="35"/>
      <c r="Z391" s="35"/>
      <c r="AA391" s="35"/>
    </row>
    <row r="392" spans="1:27" ht="15">
      <c r="A392" s="65" t="s">
        <v>219</v>
      </c>
      <c r="B392" s="65" t="s">
        <v>529</v>
      </c>
      <c r="C392" s="66" t="s">
        <v>3534</v>
      </c>
      <c r="D392" s="67">
        <v>5</v>
      </c>
      <c r="E392" s="68"/>
      <c r="F392" s="69">
        <v>25</v>
      </c>
      <c r="G392" s="66"/>
      <c r="H392" s="70"/>
      <c r="I392" s="71"/>
      <c r="J392" s="71"/>
      <c r="K392" s="35" t="s">
        <v>65</v>
      </c>
      <c r="L392" s="79">
        <v>392</v>
      </c>
      <c r="M392" s="79"/>
      <c r="N392" s="73"/>
      <c r="O392" s="81" t="s">
        <v>613</v>
      </c>
      <c r="P392">
        <v>1</v>
      </c>
      <c r="Q392" s="80" t="str">
        <f>REPLACE(INDEX(GroupVertices[Group],MATCH(Edges[[#This Row],[Vertex 1]],GroupVertices[Vertex],0)),1,1,"")</f>
        <v>5</v>
      </c>
      <c r="R392" s="80" t="str">
        <f>REPLACE(INDEX(GroupVertices[Group],MATCH(Edges[[#This Row],[Vertex 2]],GroupVertices[Vertex],0)),1,1,"")</f>
        <v>5</v>
      </c>
      <c r="S392" s="35"/>
      <c r="T392" s="35"/>
      <c r="U392" s="35"/>
      <c r="V392" s="35"/>
      <c r="W392" s="35"/>
      <c r="X392" s="35"/>
      <c r="Y392" s="35"/>
      <c r="Z392" s="35"/>
      <c r="AA392" s="35"/>
    </row>
    <row r="393" spans="1:27" ht="15">
      <c r="A393" s="65" t="s">
        <v>219</v>
      </c>
      <c r="B393" s="65" t="s">
        <v>530</v>
      </c>
      <c r="C393" s="66" t="s">
        <v>3534</v>
      </c>
      <c r="D393" s="67">
        <v>5</v>
      </c>
      <c r="E393" s="68"/>
      <c r="F393" s="69">
        <v>25</v>
      </c>
      <c r="G393" s="66"/>
      <c r="H393" s="70"/>
      <c r="I393" s="71"/>
      <c r="J393" s="71"/>
      <c r="K393" s="35" t="s">
        <v>65</v>
      </c>
      <c r="L393" s="79">
        <v>393</v>
      </c>
      <c r="M393" s="79"/>
      <c r="N393" s="73"/>
      <c r="O393" s="81" t="s">
        <v>613</v>
      </c>
      <c r="P393">
        <v>1</v>
      </c>
      <c r="Q393" s="80" t="str">
        <f>REPLACE(INDEX(GroupVertices[Group],MATCH(Edges[[#This Row],[Vertex 1]],GroupVertices[Vertex],0)),1,1,"")</f>
        <v>5</v>
      </c>
      <c r="R393" s="80" t="str">
        <f>REPLACE(INDEX(GroupVertices[Group],MATCH(Edges[[#This Row],[Vertex 2]],GroupVertices[Vertex],0)),1,1,"")</f>
        <v>5</v>
      </c>
      <c r="S393" s="35"/>
      <c r="T393" s="35"/>
      <c r="U393" s="35"/>
      <c r="V393" s="35"/>
      <c r="W393" s="35"/>
      <c r="X393" s="35"/>
      <c r="Y393" s="35"/>
      <c r="Z393" s="35"/>
      <c r="AA393" s="35"/>
    </row>
    <row r="394" spans="1:27" ht="15">
      <c r="A394" s="65" t="s">
        <v>219</v>
      </c>
      <c r="B394" s="65" t="s">
        <v>531</v>
      </c>
      <c r="C394" s="66" t="s">
        <v>3534</v>
      </c>
      <c r="D394" s="67">
        <v>5</v>
      </c>
      <c r="E394" s="68"/>
      <c r="F394" s="69">
        <v>25</v>
      </c>
      <c r="G394" s="66"/>
      <c r="H394" s="70"/>
      <c r="I394" s="71"/>
      <c r="J394" s="71"/>
      <c r="K394" s="35" t="s">
        <v>65</v>
      </c>
      <c r="L394" s="79">
        <v>394</v>
      </c>
      <c r="M394" s="79"/>
      <c r="N394" s="73"/>
      <c r="O394" s="81" t="s">
        <v>613</v>
      </c>
      <c r="P394">
        <v>1</v>
      </c>
      <c r="Q394" s="80" t="str">
        <f>REPLACE(INDEX(GroupVertices[Group],MATCH(Edges[[#This Row],[Vertex 1]],GroupVertices[Vertex],0)),1,1,"")</f>
        <v>5</v>
      </c>
      <c r="R394" s="80" t="str">
        <f>REPLACE(INDEX(GroupVertices[Group],MATCH(Edges[[#This Row],[Vertex 2]],GroupVertices[Vertex],0)),1,1,"")</f>
        <v>5</v>
      </c>
      <c r="S394" s="35"/>
      <c r="T394" s="35"/>
      <c r="U394" s="35"/>
      <c r="V394" s="35"/>
      <c r="W394" s="35"/>
      <c r="X394" s="35"/>
      <c r="Y394" s="35"/>
      <c r="Z394" s="35"/>
      <c r="AA394" s="35"/>
    </row>
    <row r="395" spans="1:27" ht="15">
      <c r="A395" s="65" t="s">
        <v>212</v>
      </c>
      <c r="B395" s="65" t="s">
        <v>532</v>
      </c>
      <c r="C395" s="66" t="s">
        <v>3534</v>
      </c>
      <c r="D395" s="67">
        <v>5</v>
      </c>
      <c r="E395" s="68"/>
      <c r="F395" s="69">
        <v>25</v>
      </c>
      <c r="G395" s="66"/>
      <c r="H395" s="70"/>
      <c r="I395" s="71"/>
      <c r="J395" s="71"/>
      <c r="K395" s="35" t="s">
        <v>65</v>
      </c>
      <c r="L395" s="79">
        <v>395</v>
      </c>
      <c r="M395" s="79"/>
      <c r="N395" s="73"/>
      <c r="O395" s="81" t="s">
        <v>613</v>
      </c>
      <c r="P395">
        <v>1</v>
      </c>
      <c r="Q395" s="80" t="str">
        <f>REPLACE(INDEX(GroupVertices[Group],MATCH(Edges[[#This Row],[Vertex 1]],GroupVertices[Vertex],0)),1,1,"")</f>
        <v>7</v>
      </c>
      <c r="R395" s="80" t="str">
        <f>REPLACE(INDEX(GroupVertices[Group],MATCH(Edges[[#This Row],[Vertex 2]],GroupVertices[Vertex],0)),1,1,"")</f>
        <v>7</v>
      </c>
      <c r="S395" s="35"/>
      <c r="T395" s="35"/>
      <c r="U395" s="35"/>
      <c r="V395" s="35"/>
      <c r="W395" s="35"/>
      <c r="X395" s="35"/>
      <c r="Y395" s="35"/>
      <c r="Z395" s="35"/>
      <c r="AA395" s="35"/>
    </row>
    <row r="396" spans="1:27" ht="15">
      <c r="A396" s="65" t="s">
        <v>214</v>
      </c>
      <c r="B396" s="65" t="s">
        <v>532</v>
      </c>
      <c r="C396" s="66" t="s">
        <v>3534</v>
      </c>
      <c r="D396" s="67">
        <v>5</v>
      </c>
      <c r="E396" s="68"/>
      <c r="F396" s="69">
        <v>25</v>
      </c>
      <c r="G396" s="66"/>
      <c r="H396" s="70"/>
      <c r="I396" s="71"/>
      <c r="J396" s="71"/>
      <c r="K396" s="35" t="s">
        <v>65</v>
      </c>
      <c r="L396" s="79">
        <v>396</v>
      </c>
      <c r="M396" s="79"/>
      <c r="N396" s="73"/>
      <c r="O396" s="81" t="s">
        <v>613</v>
      </c>
      <c r="P396">
        <v>1</v>
      </c>
      <c r="Q396" s="80" t="str">
        <f>REPLACE(INDEX(GroupVertices[Group],MATCH(Edges[[#This Row],[Vertex 1]],GroupVertices[Vertex],0)),1,1,"")</f>
        <v>6</v>
      </c>
      <c r="R396" s="80" t="str">
        <f>REPLACE(INDEX(GroupVertices[Group],MATCH(Edges[[#This Row],[Vertex 2]],GroupVertices[Vertex],0)),1,1,"")</f>
        <v>7</v>
      </c>
      <c r="S396" s="35"/>
      <c r="T396" s="35"/>
      <c r="U396" s="35"/>
      <c r="V396" s="35"/>
      <c r="W396" s="35"/>
      <c r="X396" s="35"/>
      <c r="Y396" s="35"/>
      <c r="Z396" s="35"/>
      <c r="AA396" s="35"/>
    </row>
    <row r="397" spans="1:27" ht="15">
      <c r="A397" s="65" t="s">
        <v>216</v>
      </c>
      <c r="B397" s="65" t="s">
        <v>532</v>
      </c>
      <c r="C397" s="66" t="s">
        <v>3534</v>
      </c>
      <c r="D397" s="67">
        <v>5</v>
      </c>
      <c r="E397" s="68"/>
      <c r="F397" s="69">
        <v>25</v>
      </c>
      <c r="G397" s="66"/>
      <c r="H397" s="70"/>
      <c r="I397" s="71"/>
      <c r="J397" s="71"/>
      <c r="K397" s="35" t="s">
        <v>65</v>
      </c>
      <c r="L397" s="79">
        <v>397</v>
      </c>
      <c r="M397" s="79"/>
      <c r="N397" s="73"/>
      <c r="O397" s="81" t="s">
        <v>613</v>
      </c>
      <c r="P397">
        <v>1</v>
      </c>
      <c r="Q397" s="80" t="str">
        <f>REPLACE(INDEX(GroupVertices[Group],MATCH(Edges[[#This Row],[Vertex 1]],GroupVertices[Vertex],0)),1,1,"")</f>
        <v>2</v>
      </c>
      <c r="R397" s="80" t="str">
        <f>REPLACE(INDEX(GroupVertices[Group],MATCH(Edges[[#This Row],[Vertex 2]],GroupVertices[Vertex],0)),1,1,"")</f>
        <v>7</v>
      </c>
      <c r="S397" s="35"/>
      <c r="T397" s="35"/>
      <c r="U397" s="35"/>
      <c r="V397" s="35"/>
      <c r="W397" s="35"/>
      <c r="X397" s="35"/>
      <c r="Y397" s="35"/>
      <c r="Z397" s="35"/>
      <c r="AA397" s="35"/>
    </row>
    <row r="398" spans="1:27" ht="15">
      <c r="A398" s="65" t="s">
        <v>219</v>
      </c>
      <c r="B398" s="65" t="s">
        <v>532</v>
      </c>
      <c r="C398" s="66" t="s">
        <v>3534</v>
      </c>
      <c r="D398" s="67">
        <v>5</v>
      </c>
      <c r="E398" s="68"/>
      <c r="F398" s="69">
        <v>25</v>
      </c>
      <c r="G398" s="66"/>
      <c r="H398" s="70"/>
      <c r="I398" s="71"/>
      <c r="J398" s="71"/>
      <c r="K398" s="35" t="s">
        <v>65</v>
      </c>
      <c r="L398" s="79">
        <v>398</v>
      </c>
      <c r="M398" s="79"/>
      <c r="N398" s="73"/>
      <c r="O398" s="81" t="s">
        <v>613</v>
      </c>
      <c r="P398">
        <v>1</v>
      </c>
      <c r="Q398" s="80" t="str">
        <f>REPLACE(INDEX(GroupVertices[Group],MATCH(Edges[[#This Row],[Vertex 1]],GroupVertices[Vertex],0)),1,1,"")</f>
        <v>5</v>
      </c>
      <c r="R398" s="80" t="str">
        <f>REPLACE(INDEX(GroupVertices[Group],MATCH(Edges[[#This Row],[Vertex 2]],GroupVertices[Vertex],0)),1,1,"")</f>
        <v>7</v>
      </c>
      <c r="S398" s="35"/>
      <c r="T398" s="35"/>
      <c r="U398" s="35"/>
      <c r="V398" s="35"/>
      <c r="W398" s="35"/>
      <c r="X398" s="35"/>
      <c r="Y398" s="35"/>
      <c r="Z398" s="35"/>
      <c r="AA398" s="35"/>
    </row>
    <row r="399" spans="1:27" ht="15">
      <c r="A399" s="65" t="s">
        <v>212</v>
      </c>
      <c r="B399" s="65" t="s">
        <v>533</v>
      </c>
      <c r="C399" s="66" t="s">
        <v>3534</v>
      </c>
      <c r="D399" s="67">
        <v>5</v>
      </c>
      <c r="E399" s="68"/>
      <c r="F399" s="69">
        <v>25</v>
      </c>
      <c r="G399" s="66"/>
      <c r="H399" s="70"/>
      <c r="I399" s="71"/>
      <c r="J399" s="71"/>
      <c r="K399" s="35" t="s">
        <v>65</v>
      </c>
      <c r="L399" s="79">
        <v>399</v>
      </c>
      <c r="M399" s="79"/>
      <c r="N399" s="73"/>
      <c r="O399" s="81" t="s">
        <v>613</v>
      </c>
      <c r="P399">
        <v>1</v>
      </c>
      <c r="Q399" s="80" t="str">
        <f>REPLACE(INDEX(GroupVertices[Group],MATCH(Edges[[#This Row],[Vertex 1]],GroupVertices[Vertex],0)),1,1,"")</f>
        <v>7</v>
      </c>
      <c r="R399" s="80" t="str">
        <f>REPLACE(INDEX(GroupVertices[Group],MATCH(Edges[[#This Row],[Vertex 2]],GroupVertices[Vertex],0)),1,1,"")</f>
        <v>4</v>
      </c>
      <c r="S399" s="35"/>
      <c r="T399" s="35"/>
      <c r="U399" s="35"/>
      <c r="V399" s="35"/>
      <c r="W399" s="35"/>
      <c r="X399" s="35"/>
      <c r="Y399" s="35"/>
      <c r="Z399" s="35"/>
      <c r="AA399" s="35"/>
    </row>
    <row r="400" spans="1:27" ht="15">
      <c r="A400" s="65" t="s">
        <v>213</v>
      </c>
      <c r="B400" s="65" t="s">
        <v>533</v>
      </c>
      <c r="C400" s="66" t="s">
        <v>3534</v>
      </c>
      <c r="D400" s="67">
        <v>5</v>
      </c>
      <c r="E400" s="68"/>
      <c r="F400" s="69">
        <v>25</v>
      </c>
      <c r="G400" s="66"/>
      <c r="H400" s="70"/>
      <c r="I400" s="71"/>
      <c r="J400" s="71"/>
      <c r="K400" s="35" t="s">
        <v>65</v>
      </c>
      <c r="L400" s="79">
        <v>400</v>
      </c>
      <c r="M400" s="79"/>
      <c r="N400" s="73"/>
      <c r="O400" s="81" t="s">
        <v>613</v>
      </c>
      <c r="P400">
        <v>1</v>
      </c>
      <c r="Q400" s="80" t="str">
        <f>REPLACE(INDEX(GroupVertices[Group],MATCH(Edges[[#This Row],[Vertex 1]],GroupVertices[Vertex],0)),1,1,"")</f>
        <v>4</v>
      </c>
      <c r="R400" s="80" t="str">
        <f>REPLACE(INDEX(GroupVertices[Group],MATCH(Edges[[#This Row],[Vertex 2]],GroupVertices[Vertex],0)),1,1,"")</f>
        <v>4</v>
      </c>
      <c r="S400" s="35"/>
      <c r="T400" s="35"/>
      <c r="U400" s="35"/>
      <c r="V400" s="35"/>
      <c r="W400" s="35"/>
      <c r="X400" s="35"/>
      <c r="Y400" s="35"/>
      <c r="Z400" s="35"/>
      <c r="AA400" s="35"/>
    </row>
    <row r="401" spans="1:27" ht="15">
      <c r="A401" s="65" t="s">
        <v>219</v>
      </c>
      <c r="B401" s="65" t="s">
        <v>533</v>
      </c>
      <c r="C401" s="66" t="s">
        <v>3534</v>
      </c>
      <c r="D401" s="67">
        <v>5</v>
      </c>
      <c r="E401" s="68"/>
      <c r="F401" s="69">
        <v>25</v>
      </c>
      <c r="G401" s="66"/>
      <c r="H401" s="70"/>
      <c r="I401" s="71"/>
      <c r="J401" s="71"/>
      <c r="K401" s="35" t="s">
        <v>65</v>
      </c>
      <c r="L401" s="79">
        <v>401</v>
      </c>
      <c r="M401" s="79"/>
      <c r="N401" s="73"/>
      <c r="O401" s="81" t="s">
        <v>613</v>
      </c>
      <c r="P401">
        <v>1</v>
      </c>
      <c r="Q401" s="80" t="str">
        <f>REPLACE(INDEX(GroupVertices[Group],MATCH(Edges[[#This Row],[Vertex 1]],GroupVertices[Vertex],0)),1,1,"")</f>
        <v>5</v>
      </c>
      <c r="R401" s="80" t="str">
        <f>REPLACE(INDEX(GroupVertices[Group],MATCH(Edges[[#This Row],[Vertex 2]],GroupVertices[Vertex],0)),1,1,"")</f>
        <v>4</v>
      </c>
      <c r="S401" s="35"/>
      <c r="T401" s="35"/>
      <c r="U401" s="35"/>
      <c r="V401" s="35"/>
      <c r="W401" s="35"/>
      <c r="X401" s="35"/>
      <c r="Y401" s="35"/>
      <c r="Z401" s="35"/>
      <c r="AA401" s="35"/>
    </row>
    <row r="402" spans="1:27" ht="15">
      <c r="A402" s="65" t="s">
        <v>219</v>
      </c>
      <c r="B402" s="65" t="s">
        <v>534</v>
      </c>
      <c r="C402" s="66" t="s">
        <v>3534</v>
      </c>
      <c r="D402" s="67">
        <v>5</v>
      </c>
      <c r="E402" s="68"/>
      <c r="F402" s="69">
        <v>25</v>
      </c>
      <c r="G402" s="66"/>
      <c r="H402" s="70"/>
      <c r="I402" s="71"/>
      <c r="J402" s="71"/>
      <c r="K402" s="35" t="s">
        <v>65</v>
      </c>
      <c r="L402" s="79">
        <v>402</v>
      </c>
      <c r="M402" s="79"/>
      <c r="N402" s="73"/>
      <c r="O402" s="81" t="s">
        <v>613</v>
      </c>
      <c r="P402">
        <v>1</v>
      </c>
      <c r="Q402" s="80" t="str">
        <f>REPLACE(INDEX(GroupVertices[Group],MATCH(Edges[[#This Row],[Vertex 1]],GroupVertices[Vertex],0)),1,1,"")</f>
        <v>5</v>
      </c>
      <c r="R402" s="80" t="str">
        <f>REPLACE(INDEX(GroupVertices[Group],MATCH(Edges[[#This Row],[Vertex 2]],GroupVertices[Vertex],0)),1,1,"")</f>
        <v>5</v>
      </c>
      <c r="S402" s="35"/>
      <c r="T402" s="35"/>
      <c r="U402" s="35"/>
      <c r="V402" s="35"/>
      <c r="W402" s="35"/>
      <c r="X402" s="35"/>
      <c r="Y402" s="35"/>
      <c r="Z402" s="35"/>
      <c r="AA402" s="35"/>
    </row>
    <row r="403" spans="1:27" ht="15">
      <c r="A403" s="65" t="s">
        <v>212</v>
      </c>
      <c r="B403" s="65" t="s">
        <v>535</v>
      </c>
      <c r="C403" s="66" t="s">
        <v>3534</v>
      </c>
      <c r="D403" s="67">
        <v>5</v>
      </c>
      <c r="E403" s="68"/>
      <c r="F403" s="69">
        <v>25</v>
      </c>
      <c r="G403" s="66"/>
      <c r="H403" s="70"/>
      <c r="I403" s="71"/>
      <c r="J403" s="71"/>
      <c r="K403" s="35" t="s">
        <v>65</v>
      </c>
      <c r="L403" s="79">
        <v>403</v>
      </c>
      <c r="M403" s="79"/>
      <c r="N403" s="73"/>
      <c r="O403" s="81" t="s">
        <v>613</v>
      </c>
      <c r="P403">
        <v>1</v>
      </c>
      <c r="Q403" s="80" t="str">
        <f>REPLACE(INDEX(GroupVertices[Group],MATCH(Edges[[#This Row],[Vertex 1]],GroupVertices[Vertex],0)),1,1,"")</f>
        <v>7</v>
      </c>
      <c r="R403" s="80" t="str">
        <f>REPLACE(INDEX(GroupVertices[Group],MATCH(Edges[[#This Row],[Vertex 2]],GroupVertices[Vertex],0)),1,1,"")</f>
        <v>7</v>
      </c>
      <c r="S403" s="35"/>
      <c r="T403" s="35"/>
      <c r="U403" s="35"/>
      <c r="V403" s="35"/>
      <c r="W403" s="35"/>
      <c r="X403" s="35"/>
      <c r="Y403" s="35"/>
      <c r="Z403" s="35"/>
      <c r="AA403" s="35"/>
    </row>
    <row r="404" spans="1:27" ht="15">
      <c r="A404" s="65" t="s">
        <v>214</v>
      </c>
      <c r="B404" s="65" t="s">
        <v>535</v>
      </c>
      <c r="C404" s="66" t="s">
        <v>3534</v>
      </c>
      <c r="D404" s="67">
        <v>5</v>
      </c>
      <c r="E404" s="68"/>
      <c r="F404" s="69">
        <v>25</v>
      </c>
      <c r="G404" s="66"/>
      <c r="H404" s="70"/>
      <c r="I404" s="71"/>
      <c r="J404" s="71"/>
      <c r="K404" s="35" t="s">
        <v>65</v>
      </c>
      <c r="L404" s="79">
        <v>404</v>
      </c>
      <c r="M404" s="79"/>
      <c r="N404" s="73"/>
      <c r="O404" s="81" t="s">
        <v>613</v>
      </c>
      <c r="P404">
        <v>1</v>
      </c>
      <c r="Q404" s="80" t="str">
        <f>REPLACE(INDEX(GroupVertices[Group],MATCH(Edges[[#This Row],[Vertex 1]],GroupVertices[Vertex],0)),1,1,"")</f>
        <v>6</v>
      </c>
      <c r="R404" s="80" t="str">
        <f>REPLACE(INDEX(GroupVertices[Group],MATCH(Edges[[#This Row],[Vertex 2]],GroupVertices[Vertex],0)),1,1,"")</f>
        <v>7</v>
      </c>
      <c r="S404" s="35"/>
      <c r="T404" s="35"/>
      <c r="U404" s="35"/>
      <c r="V404" s="35"/>
      <c r="W404" s="35"/>
      <c r="X404" s="35"/>
      <c r="Y404" s="35"/>
      <c r="Z404" s="35"/>
      <c r="AA404" s="35"/>
    </row>
    <row r="405" spans="1:27" ht="15">
      <c r="A405" s="65" t="s">
        <v>216</v>
      </c>
      <c r="B405" s="65" t="s">
        <v>535</v>
      </c>
      <c r="C405" s="66" t="s">
        <v>3534</v>
      </c>
      <c r="D405" s="67">
        <v>5</v>
      </c>
      <c r="E405" s="68"/>
      <c r="F405" s="69">
        <v>25</v>
      </c>
      <c r="G405" s="66"/>
      <c r="H405" s="70"/>
      <c r="I405" s="71"/>
      <c r="J405" s="71"/>
      <c r="K405" s="35" t="s">
        <v>65</v>
      </c>
      <c r="L405" s="79">
        <v>405</v>
      </c>
      <c r="M405" s="79"/>
      <c r="N405" s="73"/>
      <c r="O405" s="81" t="s">
        <v>613</v>
      </c>
      <c r="P405">
        <v>1</v>
      </c>
      <c r="Q405" s="80" t="str">
        <f>REPLACE(INDEX(GroupVertices[Group],MATCH(Edges[[#This Row],[Vertex 1]],GroupVertices[Vertex],0)),1,1,"")</f>
        <v>2</v>
      </c>
      <c r="R405" s="80" t="str">
        <f>REPLACE(INDEX(GroupVertices[Group],MATCH(Edges[[#This Row],[Vertex 2]],GroupVertices[Vertex],0)),1,1,"")</f>
        <v>7</v>
      </c>
      <c r="S405" s="35"/>
      <c r="T405" s="35"/>
      <c r="U405" s="35"/>
      <c r="V405" s="35"/>
      <c r="W405" s="35"/>
      <c r="X405" s="35"/>
      <c r="Y405" s="35"/>
      <c r="Z405" s="35"/>
      <c r="AA405" s="35"/>
    </row>
    <row r="406" spans="1:27" ht="15">
      <c r="A406" s="65" t="s">
        <v>219</v>
      </c>
      <c r="B406" s="65" t="s">
        <v>535</v>
      </c>
      <c r="C406" s="66" t="s">
        <v>3534</v>
      </c>
      <c r="D406" s="67">
        <v>5</v>
      </c>
      <c r="E406" s="68"/>
      <c r="F406" s="69">
        <v>25</v>
      </c>
      <c r="G406" s="66"/>
      <c r="H406" s="70"/>
      <c r="I406" s="71"/>
      <c r="J406" s="71"/>
      <c r="K406" s="35" t="s">
        <v>65</v>
      </c>
      <c r="L406" s="79">
        <v>406</v>
      </c>
      <c r="M406" s="79"/>
      <c r="N406" s="73"/>
      <c r="O406" s="81" t="s">
        <v>613</v>
      </c>
      <c r="P406">
        <v>1</v>
      </c>
      <c r="Q406" s="80" t="str">
        <f>REPLACE(INDEX(GroupVertices[Group],MATCH(Edges[[#This Row],[Vertex 1]],GroupVertices[Vertex],0)),1,1,"")</f>
        <v>5</v>
      </c>
      <c r="R406" s="80" t="str">
        <f>REPLACE(INDEX(GroupVertices[Group],MATCH(Edges[[#This Row],[Vertex 2]],GroupVertices[Vertex],0)),1,1,"")</f>
        <v>7</v>
      </c>
      <c r="S406" s="35"/>
      <c r="T406" s="35"/>
      <c r="U406" s="35"/>
      <c r="V406" s="35"/>
      <c r="W406" s="35"/>
      <c r="X406" s="35"/>
      <c r="Y406" s="35"/>
      <c r="Z406" s="35"/>
      <c r="AA406" s="35"/>
    </row>
    <row r="407" spans="1:27" ht="15">
      <c r="A407" s="65" t="s">
        <v>212</v>
      </c>
      <c r="B407" s="65" t="s">
        <v>536</v>
      </c>
      <c r="C407" s="66" t="s">
        <v>3534</v>
      </c>
      <c r="D407" s="67">
        <v>5</v>
      </c>
      <c r="E407" s="68"/>
      <c r="F407" s="69">
        <v>25</v>
      </c>
      <c r="G407" s="66"/>
      <c r="H407" s="70"/>
      <c r="I407" s="71"/>
      <c r="J407" s="71"/>
      <c r="K407" s="35" t="s">
        <v>65</v>
      </c>
      <c r="L407" s="79">
        <v>407</v>
      </c>
      <c r="M407" s="79"/>
      <c r="N407" s="73"/>
      <c r="O407" s="81" t="s">
        <v>613</v>
      </c>
      <c r="P407">
        <v>1</v>
      </c>
      <c r="Q407" s="80" t="str">
        <f>REPLACE(INDEX(GroupVertices[Group],MATCH(Edges[[#This Row],[Vertex 1]],GroupVertices[Vertex],0)),1,1,"")</f>
        <v>7</v>
      </c>
      <c r="R407" s="80" t="str">
        <f>REPLACE(INDEX(GroupVertices[Group],MATCH(Edges[[#This Row],[Vertex 2]],GroupVertices[Vertex],0)),1,1,"")</f>
        <v>5</v>
      </c>
      <c r="S407" s="35"/>
      <c r="T407" s="35"/>
      <c r="U407" s="35"/>
      <c r="V407" s="35"/>
      <c r="W407" s="35"/>
      <c r="X407" s="35"/>
      <c r="Y407" s="35"/>
      <c r="Z407" s="35"/>
      <c r="AA407" s="35"/>
    </row>
    <row r="408" spans="1:27" ht="15">
      <c r="A408" s="65" t="s">
        <v>214</v>
      </c>
      <c r="B408" s="65" t="s">
        <v>536</v>
      </c>
      <c r="C408" s="66" t="s">
        <v>3534</v>
      </c>
      <c r="D408" s="67">
        <v>5</v>
      </c>
      <c r="E408" s="68"/>
      <c r="F408" s="69">
        <v>25</v>
      </c>
      <c r="G408" s="66"/>
      <c r="H408" s="70"/>
      <c r="I408" s="71"/>
      <c r="J408" s="71"/>
      <c r="K408" s="35" t="s">
        <v>65</v>
      </c>
      <c r="L408" s="79">
        <v>408</v>
      </c>
      <c r="M408" s="79"/>
      <c r="N408" s="73"/>
      <c r="O408" s="81" t="s">
        <v>613</v>
      </c>
      <c r="P408">
        <v>1</v>
      </c>
      <c r="Q408" s="80" t="str">
        <f>REPLACE(INDEX(GroupVertices[Group],MATCH(Edges[[#This Row],[Vertex 1]],GroupVertices[Vertex],0)),1,1,"")</f>
        <v>6</v>
      </c>
      <c r="R408" s="80" t="str">
        <f>REPLACE(INDEX(GroupVertices[Group],MATCH(Edges[[#This Row],[Vertex 2]],GroupVertices[Vertex],0)),1,1,"")</f>
        <v>5</v>
      </c>
      <c r="S408" s="35"/>
      <c r="T408" s="35"/>
      <c r="U408" s="35"/>
      <c r="V408" s="35"/>
      <c r="W408" s="35"/>
      <c r="X408" s="35"/>
      <c r="Y408" s="35"/>
      <c r="Z408" s="35"/>
      <c r="AA408" s="35"/>
    </row>
    <row r="409" spans="1:27" ht="15">
      <c r="A409" s="65" t="s">
        <v>219</v>
      </c>
      <c r="B409" s="65" t="s">
        <v>536</v>
      </c>
      <c r="C409" s="66" t="s">
        <v>3534</v>
      </c>
      <c r="D409" s="67">
        <v>5</v>
      </c>
      <c r="E409" s="68"/>
      <c r="F409" s="69">
        <v>25</v>
      </c>
      <c r="G409" s="66"/>
      <c r="H409" s="70"/>
      <c r="I409" s="71"/>
      <c r="J409" s="71"/>
      <c r="K409" s="35" t="s">
        <v>65</v>
      </c>
      <c r="L409" s="79">
        <v>409</v>
      </c>
      <c r="M409" s="79"/>
      <c r="N409" s="73"/>
      <c r="O409" s="81" t="s">
        <v>613</v>
      </c>
      <c r="P409">
        <v>1</v>
      </c>
      <c r="Q409" s="80" t="str">
        <f>REPLACE(INDEX(GroupVertices[Group],MATCH(Edges[[#This Row],[Vertex 1]],GroupVertices[Vertex],0)),1,1,"")</f>
        <v>5</v>
      </c>
      <c r="R409" s="80" t="str">
        <f>REPLACE(INDEX(GroupVertices[Group],MATCH(Edges[[#This Row],[Vertex 2]],GroupVertices[Vertex],0)),1,1,"")</f>
        <v>5</v>
      </c>
      <c r="S409" s="35"/>
      <c r="T409" s="35"/>
      <c r="U409" s="35"/>
      <c r="V409" s="35"/>
      <c r="W409" s="35"/>
      <c r="X409" s="35"/>
      <c r="Y409" s="35"/>
      <c r="Z409" s="35"/>
      <c r="AA409" s="35"/>
    </row>
    <row r="410" spans="1:27" ht="15">
      <c r="A410" s="65" t="s">
        <v>214</v>
      </c>
      <c r="B410" s="65" t="s">
        <v>537</v>
      </c>
      <c r="C410" s="66" t="s">
        <v>3534</v>
      </c>
      <c r="D410" s="67">
        <v>5</v>
      </c>
      <c r="E410" s="68"/>
      <c r="F410" s="69">
        <v>25</v>
      </c>
      <c r="G410" s="66"/>
      <c r="H410" s="70"/>
      <c r="I410" s="71"/>
      <c r="J410" s="71"/>
      <c r="K410" s="35" t="s">
        <v>65</v>
      </c>
      <c r="L410" s="79">
        <v>410</v>
      </c>
      <c r="M410" s="79"/>
      <c r="N410" s="73"/>
      <c r="O410" s="81" t="s">
        <v>613</v>
      </c>
      <c r="P410">
        <v>1</v>
      </c>
      <c r="Q410" s="80" t="str">
        <f>REPLACE(INDEX(GroupVertices[Group],MATCH(Edges[[#This Row],[Vertex 1]],GroupVertices[Vertex],0)),1,1,"")</f>
        <v>6</v>
      </c>
      <c r="R410" s="80" t="str">
        <f>REPLACE(INDEX(GroupVertices[Group],MATCH(Edges[[#This Row],[Vertex 2]],GroupVertices[Vertex],0)),1,1,"")</f>
        <v>5</v>
      </c>
      <c r="S410" s="35"/>
      <c r="T410" s="35"/>
      <c r="U410" s="35"/>
      <c r="V410" s="35"/>
      <c r="W410" s="35"/>
      <c r="X410" s="35"/>
      <c r="Y410" s="35"/>
      <c r="Z410" s="35"/>
      <c r="AA410" s="35"/>
    </row>
    <row r="411" spans="1:27" ht="15">
      <c r="A411" s="65" t="s">
        <v>219</v>
      </c>
      <c r="B411" s="65" t="s">
        <v>537</v>
      </c>
      <c r="C411" s="66" t="s">
        <v>3534</v>
      </c>
      <c r="D411" s="67">
        <v>5</v>
      </c>
      <c r="E411" s="68"/>
      <c r="F411" s="69">
        <v>25</v>
      </c>
      <c r="G411" s="66"/>
      <c r="H411" s="70"/>
      <c r="I411" s="71"/>
      <c r="J411" s="71"/>
      <c r="K411" s="35" t="s">
        <v>65</v>
      </c>
      <c r="L411" s="79">
        <v>411</v>
      </c>
      <c r="M411" s="79"/>
      <c r="N411" s="73"/>
      <c r="O411" s="81" t="s">
        <v>613</v>
      </c>
      <c r="P411">
        <v>1</v>
      </c>
      <c r="Q411" s="80" t="str">
        <f>REPLACE(INDEX(GroupVertices[Group],MATCH(Edges[[#This Row],[Vertex 1]],GroupVertices[Vertex],0)),1,1,"")</f>
        <v>5</v>
      </c>
      <c r="R411" s="80" t="str">
        <f>REPLACE(INDEX(GroupVertices[Group],MATCH(Edges[[#This Row],[Vertex 2]],GroupVertices[Vertex],0)),1,1,"")</f>
        <v>5</v>
      </c>
      <c r="S411" s="35"/>
      <c r="T411" s="35"/>
      <c r="U411" s="35"/>
      <c r="V411" s="35"/>
      <c r="W411" s="35"/>
      <c r="X411" s="35"/>
      <c r="Y411" s="35"/>
      <c r="Z411" s="35"/>
      <c r="AA411" s="35"/>
    </row>
    <row r="412" spans="1:27" ht="15">
      <c r="A412" s="65" t="s">
        <v>219</v>
      </c>
      <c r="B412" s="65" t="s">
        <v>538</v>
      </c>
      <c r="C412" s="66" t="s">
        <v>3534</v>
      </c>
      <c r="D412" s="67">
        <v>5</v>
      </c>
      <c r="E412" s="68"/>
      <c r="F412" s="69">
        <v>25</v>
      </c>
      <c r="G412" s="66"/>
      <c r="H412" s="70"/>
      <c r="I412" s="71"/>
      <c r="J412" s="71"/>
      <c r="K412" s="35" t="s">
        <v>65</v>
      </c>
      <c r="L412" s="79">
        <v>412</v>
      </c>
      <c r="M412" s="79"/>
      <c r="N412" s="73"/>
      <c r="O412" s="81" t="s">
        <v>613</v>
      </c>
      <c r="P412">
        <v>1</v>
      </c>
      <c r="Q412" s="80" t="str">
        <f>REPLACE(INDEX(GroupVertices[Group],MATCH(Edges[[#This Row],[Vertex 1]],GroupVertices[Vertex],0)),1,1,"")</f>
        <v>5</v>
      </c>
      <c r="R412" s="80" t="str">
        <f>REPLACE(INDEX(GroupVertices[Group],MATCH(Edges[[#This Row],[Vertex 2]],GroupVertices[Vertex],0)),1,1,"")</f>
        <v>5</v>
      </c>
      <c r="S412" s="35"/>
      <c r="T412" s="35"/>
      <c r="U412" s="35"/>
      <c r="V412" s="35"/>
      <c r="W412" s="35"/>
      <c r="X412" s="35"/>
      <c r="Y412" s="35"/>
      <c r="Z412" s="35"/>
      <c r="AA412" s="35"/>
    </row>
    <row r="413" spans="1:27" ht="15">
      <c r="A413" s="65" t="s">
        <v>214</v>
      </c>
      <c r="B413" s="65" t="s">
        <v>539</v>
      </c>
      <c r="C413" s="66" t="s">
        <v>3534</v>
      </c>
      <c r="D413" s="67">
        <v>5</v>
      </c>
      <c r="E413" s="68"/>
      <c r="F413" s="69">
        <v>25</v>
      </c>
      <c r="G413" s="66"/>
      <c r="H413" s="70"/>
      <c r="I413" s="71"/>
      <c r="J413" s="71"/>
      <c r="K413" s="35" t="s">
        <v>65</v>
      </c>
      <c r="L413" s="79">
        <v>413</v>
      </c>
      <c r="M413" s="79"/>
      <c r="N413" s="73"/>
      <c r="O413" s="81" t="s">
        <v>613</v>
      </c>
      <c r="P413">
        <v>1</v>
      </c>
      <c r="Q413" s="80" t="str">
        <f>REPLACE(INDEX(GroupVertices[Group],MATCH(Edges[[#This Row],[Vertex 1]],GroupVertices[Vertex],0)),1,1,"")</f>
        <v>6</v>
      </c>
      <c r="R413" s="80" t="str">
        <f>REPLACE(INDEX(GroupVertices[Group],MATCH(Edges[[#This Row],[Vertex 2]],GroupVertices[Vertex],0)),1,1,"")</f>
        <v>6</v>
      </c>
      <c r="S413" s="35"/>
      <c r="T413" s="35"/>
      <c r="U413" s="35"/>
      <c r="V413" s="35"/>
      <c r="W413" s="35"/>
      <c r="X413" s="35"/>
      <c r="Y413" s="35"/>
      <c r="Z413" s="35"/>
      <c r="AA413" s="35"/>
    </row>
    <row r="414" spans="1:27" ht="15">
      <c r="A414" s="65" t="s">
        <v>219</v>
      </c>
      <c r="B414" s="65" t="s">
        <v>539</v>
      </c>
      <c r="C414" s="66" t="s">
        <v>3534</v>
      </c>
      <c r="D414" s="67">
        <v>5</v>
      </c>
      <c r="E414" s="68"/>
      <c r="F414" s="69">
        <v>25</v>
      </c>
      <c r="G414" s="66"/>
      <c r="H414" s="70"/>
      <c r="I414" s="71"/>
      <c r="J414" s="71"/>
      <c r="K414" s="35" t="s">
        <v>65</v>
      </c>
      <c r="L414" s="79">
        <v>414</v>
      </c>
      <c r="M414" s="79"/>
      <c r="N414" s="73"/>
      <c r="O414" s="81" t="s">
        <v>613</v>
      </c>
      <c r="P414">
        <v>1</v>
      </c>
      <c r="Q414" s="80" t="str">
        <f>REPLACE(INDEX(GroupVertices[Group],MATCH(Edges[[#This Row],[Vertex 1]],GroupVertices[Vertex],0)),1,1,"")</f>
        <v>5</v>
      </c>
      <c r="R414" s="80" t="str">
        <f>REPLACE(INDEX(GroupVertices[Group],MATCH(Edges[[#This Row],[Vertex 2]],GroupVertices[Vertex],0)),1,1,"")</f>
        <v>6</v>
      </c>
      <c r="S414" s="35"/>
      <c r="T414" s="35"/>
      <c r="U414" s="35"/>
      <c r="V414" s="35"/>
      <c r="W414" s="35"/>
      <c r="X414" s="35"/>
      <c r="Y414" s="35"/>
      <c r="Z414" s="35"/>
      <c r="AA414" s="35"/>
    </row>
    <row r="415" spans="1:27" ht="15">
      <c r="A415" s="65" t="s">
        <v>212</v>
      </c>
      <c r="B415" s="65" t="s">
        <v>540</v>
      </c>
      <c r="C415" s="66" t="s">
        <v>3534</v>
      </c>
      <c r="D415" s="67">
        <v>5</v>
      </c>
      <c r="E415" s="68"/>
      <c r="F415" s="69">
        <v>25</v>
      </c>
      <c r="G415" s="66"/>
      <c r="H415" s="70"/>
      <c r="I415" s="71"/>
      <c r="J415" s="71"/>
      <c r="K415" s="35" t="s">
        <v>65</v>
      </c>
      <c r="L415" s="79">
        <v>415</v>
      </c>
      <c r="M415" s="79"/>
      <c r="N415" s="73"/>
      <c r="O415" s="81" t="s">
        <v>613</v>
      </c>
      <c r="P415">
        <v>1</v>
      </c>
      <c r="Q415" s="80" t="str">
        <f>REPLACE(INDEX(GroupVertices[Group],MATCH(Edges[[#This Row],[Vertex 1]],GroupVertices[Vertex],0)),1,1,"")</f>
        <v>7</v>
      </c>
      <c r="R415" s="80" t="str">
        <f>REPLACE(INDEX(GroupVertices[Group],MATCH(Edges[[#This Row],[Vertex 2]],GroupVertices[Vertex],0)),1,1,"")</f>
        <v>5</v>
      </c>
      <c r="S415" s="35"/>
      <c r="T415" s="35"/>
      <c r="U415" s="35"/>
      <c r="V415" s="35"/>
      <c r="W415" s="35"/>
      <c r="X415" s="35"/>
      <c r="Y415" s="35"/>
      <c r="Z415" s="35"/>
      <c r="AA415" s="35"/>
    </row>
    <row r="416" spans="1:27" ht="15">
      <c r="A416" s="65" t="s">
        <v>214</v>
      </c>
      <c r="B416" s="65" t="s">
        <v>540</v>
      </c>
      <c r="C416" s="66" t="s">
        <v>3534</v>
      </c>
      <c r="D416" s="67">
        <v>5</v>
      </c>
      <c r="E416" s="68"/>
      <c r="F416" s="69">
        <v>25</v>
      </c>
      <c r="G416" s="66"/>
      <c r="H416" s="70"/>
      <c r="I416" s="71"/>
      <c r="J416" s="71"/>
      <c r="K416" s="35" t="s">
        <v>65</v>
      </c>
      <c r="L416" s="79">
        <v>416</v>
      </c>
      <c r="M416" s="79"/>
      <c r="N416" s="73"/>
      <c r="O416" s="81" t="s">
        <v>613</v>
      </c>
      <c r="P416">
        <v>1</v>
      </c>
      <c r="Q416" s="80" t="str">
        <f>REPLACE(INDEX(GroupVertices[Group],MATCH(Edges[[#This Row],[Vertex 1]],GroupVertices[Vertex],0)),1,1,"")</f>
        <v>6</v>
      </c>
      <c r="R416" s="80" t="str">
        <f>REPLACE(INDEX(GroupVertices[Group],MATCH(Edges[[#This Row],[Vertex 2]],GroupVertices[Vertex],0)),1,1,"")</f>
        <v>5</v>
      </c>
      <c r="S416" s="35"/>
      <c r="T416" s="35"/>
      <c r="U416" s="35"/>
      <c r="V416" s="35"/>
      <c r="W416" s="35"/>
      <c r="X416" s="35"/>
      <c r="Y416" s="35"/>
      <c r="Z416" s="35"/>
      <c r="AA416" s="35"/>
    </row>
    <row r="417" spans="1:27" ht="15">
      <c r="A417" s="65" t="s">
        <v>219</v>
      </c>
      <c r="B417" s="65" t="s">
        <v>540</v>
      </c>
      <c r="C417" s="66" t="s">
        <v>3534</v>
      </c>
      <c r="D417" s="67">
        <v>5</v>
      </c>
      <c r="E417" s="68"/>
      <c r="F417" s="69">
        <v>25</v>
      </c>
      <c r="G417" s="66"/>
      <c r="H417" s="70"/>
      <c r="I417" s="71"/>
      <c r="J417" s="71"/>
      <c r="K417" s="35" t="s">
        <v>65</v>
      </c>
      <c r="L417" s="79">
        <v>417</v>
      </c>
      <c r="M417" s="79"/>
      <c r="N417" s="73"/>
      <c r="O417" s="81" t="s">
        <v>613</v>
      </c>
      <c r="P417">
        <v>1</v>
      </c>
      <c r="Q417" s="80" t="str">
        <f>REPLACE(INDEX(GroupVertices[Group],MATCH(Edges[[#This Row],[Vertex 1]],GroupVertices[Vertex],0)),1,1,"")</f>
        <v>5</v>
      </c>
      <c r="R417" s="80" t="str">
        <f>REPLACE(INDEX(GroupVertices[Group],MATCH(Edges[[#This Row],[Vertex 2]],GroupVertices[Vertex],0)),1,1,"")</f>
        <v>5</v>
      </c>
      <c r="S417" s="35"/>
      <c r="T417" s="35"/>
      <c r="U417" s="35"/>
      <c r="V417" s="35"/>
      <c r="W417" s="35"/>
      <c r="X417" s="35"/>
      <c r="Y417" s="35"/>
      <c r="Z417" s="35"/>
      <c r="AA417" s="35"/>
    </row>
    <row r="418" spans="1:27" ht="15">
      <c r="A418" s="65" t="s">
        <v>219</v>
      </c>
      <c r="B418" s="65" t="s">
        <v>541</v>
      </c>
      <c r="C418" s="66" t="s">
        <v>3534</v>
      </c>
      <c r="D418" s="67">
        <v>5</v>
      </c>
      <c r="E418" s="68"/>
      <c r="F418" s="69">
        <v>25</v>
      </c>
      <c r="G418" s="66"/>
      <c r="H418" s="70"/>
      <c r="I418" s="71"/>
      <c r="J418" s="71"/>
      <c r="K418" s="35" t="s">
        <v>65</v>
      </c>
      <c r="L418" s="79">
        <v>418</v>
      </c>
      <c r="M418" s="79"/>
      <c r="N418" s="73"/>
      <c r="O418" s="81" t="s">
        <v>613</v>
      </c>
      <c r="P418">
        <v>1</v>
      </c>
      <c r="Q418" s="80" t="str">
        <f>REPLACE(INDEX(GroupVertices[Group],MATCH(Edges[[#This Row],[Vertex 1]],GroupVertices[Vertex],0)),1,1,"")</f>
        <v>5</v>
      </c>
      <c r="R418" s="80" t="str">
        <f>REPLACE(INDEX(GroupVertices[Group],MATCH(Edges[[#This Row],[Vertex 2]],GroupVertices[Vertex],0)),1,1,"")</f>
        <v>5</v>
      </c>
      <c r="S418" s="35"/>
      <c r="T418" s="35"/>
      <c r="U418" s="35"/>
      <c r="V418" s="35"/>
      <c r="W418" s="35"/>
      <c r="X418" s="35"/>
      <c r="Y418" s="35"/>
      <c r="Z418" s="35"/>
      <c r="AA418" s="35"/>
    </row>
    <row r="419" spans="1:27" ht="15">
      <c r="A419" s="65" t="s">
        <v>219</v>
      </c>
      <c r="B419" s="65" t="s">
        <v>542</v>
      </c>
      <c r="C419" s="66" t="s">
        <v>3534</v>
      </c>
      <c r="D419" s="67">
        <v>5</v>
      </c>
      <c r="E419" s="68"/>
      <c r="F419" s="69">
        <v>25</v>
      </c>
      <c r="G419" s="66"/>
      <c r="H419" s="70"/>
      <c r="I419" s="71"/>
      <c r="J419" s="71"/>
      <c r="K419" s="35" t="s">
        <v>65</v>
      </c>
      <c r="L419" s="79">
        <v>419</v>
      </c>
      <c r="M419" s="79"/>
      <c r="N419" s="73"/>
      <c r="O419" s="81" t="s">
        <v>613</v>
      </c>
      <c r="P419">
        <v>1</v>
      </c>
      <c r="Q419" s="80" t="str">
        <f>REPLACE(INDEX(GroupVertices[Group],MATCH(Edges[[#This Row],[Vertex 1]],GroupVertices[Vertex],0)),1,1,"")</f>
        <v>5</v>
      </c>
      <c r="R419" s="80" t="str">
        <f>REPLACE(INDEX(GroupVertices[Group],MATCH(Edges[[#This Row],[Vertex 2]],GroupVertices[Vertex],0)),1,1,"")</f>
        <v>5</v>
      </c>
      <c r="S419" s="35"/>
      <c r="T419" s="35"/>
      <c r="U419" s="35"/>
      <c r="V419" s="35"/>
      <c r="W419" s="35"/>
      <c r="X419" s="35"/>
      <c r="Y419" s="35"/>
      <c r="Z419" s="35"/>
      <c r="AA419" s="35"/>
    </row>
    <row r="420" spans="1:27" ht="15">
      <c r="A420" s="65" t="s">
        <v>219</v>
      </c>
      <c r="B420" s="65" t="s">
        <v>543</v>
      </c>
      <c r="C420" s="66" t="s">
        <v>3534</v>
      </c>
      <c r="D420" s="67">
        <v>5</v>
      </c>
      <c r="E420" s="68"/>
      <c r="F420" s="69">
        <v>25</v>
      </c>
      <c r="G420" s="66"/>
      <c r="H420" s="70"/>
      <c r="I420" s="71"/>
      <c r="J420" s="71"/>
      <c r="K420" s="35" t="s">
        <v>65</v>
      </c>
      <c r="L420" s="79">
        <v>420</v>
      </c>
      <c r="M420" s="79"/>
      <c r="N420" s="73"/>
      <c r="O420" s="81" t="s">
        <v>613</v>
      </c>
      <c r="P420">
        <v>1</v>
      </c>
      <c r="Q420" s="80" t="str">
        <f>REPLACE(INDEX(GroupVertices[Group],MATCH(Edges[[#This Row],[Vertex 1]],GroupVertices[Vertex],0)),1,1,"")</f>
        <v>5</v>
      </c>
      <c r="R420" s="80" t="str">
        <f>REPLACE(INDEX(GroupVertices[Group],MATCH(Edges[[#This Row],[Vertex 2]],GroupVertices[Vertex],0)),1,1,"")</f>
        <v>5</v>
      </c>
      <c r="S420" s="35"/>
      <c r="T420" s="35"/>
      <c r="U420" s="35"/>
      <c r="V420" s="35"/>
      <c r="W420" s="35"/>
      <c r="X420" s="35"/>
      <c r="Y420" s="35"/>
      <c r="Z420" s="35"/>
      <c r="AA420" s="35"/>
    </row>
    <row r="421" spans="1:27" ht="15">
      <c r="A421" s="65" t="s">
        <v>219</v>
      </c>
      <c r="B421" s="65" t="s">
        <v>544</v>
      </c>
      <c r="C421" s="66" t="s">
        <v>3534</v>
      </c>
      <c r="D421" s="67">
        <v>5</v>
      </c>
      <c r="E421" s="68"/>
      <c r="F421" s="69">
        <v>25</v>
      </c>
      <c r="G421" s="66"/>
      <c r="H421" s="70"/>
      <c r="I421" s="71"/>
      <c r="J421" s="71"/>
      <c r="K421" s="35" t="s">
        <v>65</v>
      </c>
      <c r="L421" s="79">
        <v>421</v>
      </c>
      <c r="M421" s="79"/>
      <c r="N421" s="73"/>
      <c r="O421" s="81" t="s">
        <v>613</v>
      </c>
      <c r="P421">
        <v>1</v>
      </c>
      <c r="Q421" s="80" t="str">
        <f>REPLACE(INDEX(GroupVertices[Group],MATCH(Edges[[#This Row],[Vertex 1]],GroupVertices[Vertex],0)),1,1,"")</f>
        <v>5</v>
      </c>
      <c r="R421" s="80" t="str">
        <f>REPLACE(INDEX(GroupVertices[Group],MATCH(Edges[[#This Row],[Vertex 2]],GroupVertices[Vertex],0)),1,1,"")</f>
        <v>5</v>
      </c>
      <c r="S421" s="35"/>
      <c r="T421" s="35"/>
      <c r="U421" s="35"/>
      <c r="V421" s="35"/>
      <c r="W421" s="35"/>
      <c r="X421" s="35"/>
      <c r="Y421" s="35"/>
      <c r="Z421" s="35"/>
      <c r="AA421" s="35"/>
    </row>
    <row r="422" spans="1:27" ht="15">
      <c r="A422" s="65" t="s">
        <v>214</v>
      </c>
      <c r="B422" s="65" t="s">
        <v>545</v>
      </c>
      <c r="C422" s="66" t="s">
        <v>3534</v>
      </c>
      <c r="D422" s="67">
        <v>5</v>
      </c>
      <c r="E422" s="68"/>
      <c r="F422" s="69">
        <v>25</v>
      </c>
      <c r="G422" s="66"/>
      <c r="H422" s="70"/>
      <c r="I422" s="71"/>
      <c r="J422" s="71"/>
      <c r="K422" s="35" t="s">
        <v>65</v>
      </c>
      <c r="L422" s="79">
        <v>422</v>
      </c>
      <c r="M422" s="79"/>
      <c r="N422" s="73"/>
      <c r="O422" s="81" t="s">
        <v>613</v>
      </c>
      <c r="P422">
        <v>1</v>
      </c>
      <c r="Q422" s="80" t="str">
        <f>REPLACE(INDEX(GroupVertices[Group],MATCH(Edges[[#This Row],[Vertex 1]],GroupVertices[Vertex],0)),1,1,"")</f>
        <v>6</v>
      </c>
      <c r="R422" s="80" t="str">
        <f>REPLACE(INDEX(GroupVertices[Group],MATCH(Edges[[#This Row],[Vertex 2]],GroupVertices[Vertex],0)),1,1,"")</f>
        <v>5</v>
      </c>
      <c r="S422" s="35"/>
      <c r="T422" s="35"/>
      <c r="U422" s="35"/>
      <c r="V422" s="35"/>
      <c r="W422" s="35"/>
      <c r="X422" s="35"/>
      <c r="Y422" s="35"/>
      <c r="Z422" s="35"/>
      <c r="AA422" s="35"/>
    </row>
    <row r="423" spans="1:27" ht="15">
      <c r="A423" s="65" t="s">
        <v>219</v>
      </c>
      <c r="B423" s="65" t="s">
        <v>545</v>
      </c>
      <c r="C423" s="66" t="s">
        <v>3534</v>
      </c>
      <c r="D423" s="67">
        <v>5</v>
      </c>
      <c r="E423" s="68"/>
      <c r="F423" s="69">
        <v>25</v>
      </c>
      <c r="G423" s="66"/>
      <c r="H423" s="70"/>
      <c r="I423" s="71"/>
      <c r="J423" s="71"/>
      <c r="K423" s="35" t="s">
        <v>65</v>
      </c>
      <c r="L423" s="79">
        <v>423</v>
      </c>
      <c r="M423" s="79"/>
      <c r="N423" s="73"/>
      <c r="O423" s="81" t="s">
        <v>613</v>
      </c>
      <c r="P423">
        <v>1</v>
      </c>
      <c r="Q423" s="80" t="str">
        <f>REPLACE(INDEX(GroupVertices[Group],MATCH(Edges[[#This Row],[Vertex 1]],GroupVertices[Vertex],0)),1,1,"")</f>
        <v>5</v>
      </c>
      <c r="R423" s="80" t="str">
        <f>REPLACE(INDEX(GroupVertices[Group],MATCH(Edges[[#This Row],[Vertex 2]],GroupVertices[Vertex],0)),1,1,"")</f>
        <v>5</v>
      </c>
      <c r="S423" s="35"/>
      <c r="T423" s="35"/>
      <c r="U423" s="35"/>
      <c r="V423" s="35"/>
      <c r="W423" s="35"/>
      <c r="X423" s="35"/>
      <c r="Y423" s="35"/>
      <c r="Z423" s="35"/>
      <c r="AA423" s="35"/>
    </row>
    <row r="424" spans="1:27" ht="15">
      <c r="A424" s="65" t="s">
        <v>212</v>
      </c>
      <c r="B424" s="65" t="s">
        <v>374</v>
      </c>
      <c r="C424" s="66" t="s">
        <v>3534</v>
      </c>
      <c r="D424" s="67">
        <v>5</v>
      </c>
      <c r="E424" s="68"/>
      <c r="F424" s="69">
        <v>25</v>
      </c>
      <c r="G424" s="66"/>
      <c r="H424" s="70"/>
      <c r="I424" s="71"/>
      <c r="J424" s="71"/>
      <c r="K424" s="35" t="s">
        <v>65</v>
      </c>
      <c r="L424" s="79">
        <v>424</v>
      </c>
      <c r="M424" s="79"/>
      <c r="N424" s="73"/>
      <c r="O424" s="81" t="s">
        <v>613</v>
      </c>
      <c r="P424">
        <v>1</v>
      </c>
      <c r="Q424" s="80" t="str">
        <f>REPLACE(INDEX(GroupVertices[Group],MATCH(Edges[[#This Row],[Vertex 1]],GroupVertices[Vertex],0)),1,1,"")</f>
        <v>7</v>
      </c>
      <c r="R424" s="80" t="str">
        <f>REPLACE(INDEX(GroupVertices[Group],MATCH(Edges[[#This Row],[Vertex 2]],GroupVertices[Vertex],0)),1,1,"")</f>
        <v>2</v>
      </c>
      <c r="S424" s="35"/>
      <c r="T424" s="35"/>
      <c r="U424" s="35"/>
      <c r="V424" s="35"/>
      <c r="W424" s="35"/>
      <c r="X424" s="35"/>
      <c r="Y424" s="35"/>
      <c r="Z424" s="35"/>
      <c r="AA424" s="35"/>
    </row>
    <row r="425" spans="1:27" ht="15">
      <c r="A425" s="65" t="s">
        <v>213</v>
      </c>
      <c r="B425" s="65" t="s">
        <v>374</v>
      </c>
      <c r="C425" s="66" t="s">
        <v>3534</v>
      </c>
      <c r="D425" s="67">
        <v>5</v>
      </c>
      <c r="E425" s="68"/>
      <c r="F425" s="69">
        <v>25</v>
      </c>
      <c r="G425" s="66"/>
      <c r="H425" s="70"/>
      <c r="I425" s="71"/>
      <c r="J425" s="71"/>
      <c r="K425" s="35" t="s">
        <v>65</v>
      </c>
      <c r="L425" s="79">
        <v>425</v>
      </c>
      <c r="M425" s="79"/>
      <c r="N425" s="73"/>
      <c r="O425" s="81" t="s">
        <v>613</v>
      </c>
      <c r="P425">
        <v>1</v>
      </c>
      <c r="Q425" s="80" t="str">
        <f>REPLACE(INDEX(GroupVertices[Group],MATCH(Edges[[#This Row],[Vertex 1]],GroupVertices[Vertex],0)),1,1,"")</f>
        <v>4</v>
      </c>
      <c r="R425" s="80" t="str">
        <f>REPLACE(INDEX(GroupVertices[Group],MATCH(Edges[[#This Row],[Vertex 2]],GroupVertices[Vertex],0)),1,1,"")</f>
        <v>2</v>
      </c>
      <c r="S425" s="35"/>
      <c r="T425" s="35"/>
      <c r="U425" s="35"/>
      <c r="V425" s="35"/>
      <c r="W425" s="35"/>
      <c r="X425" s="35"/>
      <c r="Y425" s="35"/>
      <c r="Z425" s="35"/>
      <c r="AA425" s="35"/>
    </row>
    <row r="426" spans="1:27" ht="15">
      <c r="A426" s="65" t="s">
        <v>214</v>
      </c>
      <c r="B426" s="65" t="s">
        <v>374</v>
      </c>
      <c r="C426" s="66" t="s">
        <v>3534</v>
      </c>
      <c r="D426" s="67">
        <v>5</v>
      </c>
      <c r="E426" s="68"/>
      <c r="F426" s="69">
        <v>25</v>
      </c>
      <c r="G426" s="66"/>
      <c r="H426" s="70"/>
      <c r="I426" s="71"/>
      <c r="J426" s="71"/>
      <c r="K426" s="35" t="s">
        <v>65</v>
      </c>
      <c r="L426" s="79">
        <v>426</v>
      </c>
      <c r="M426" s="79"/>
      <c r="N426" s="73"/>
      <c r="O426" s="81" t="s">
        <v>613</v>
      </c>
      <c r="P426">
        <v>1</v>
      </c>
      <c r="Q426" s="80" t="str">
        <f>REPLACE(INDEX(GroupVertices[Group],MATCH(Edges[[#This Row],[Vertex 1]],GroupVertices[Vertex],0)),1,1,"")</f>
        <v>6</v>
      </c>
      <c r="R426" s="80" t="str">
        <f>REPLACE(INDEX(GroupVertices[Group],MATCH(Edges[[#This Row],[Vertex 2]],GroupVertices[Vertex],0)),1,1,"")</f>
        <v>2</v>
      </c>
      <c r="S426" s="35"/>
      <c r="T426" s="35"/>
      <c r="U426" s="35"/>
      <c r="V426" s="35"/>
      <c r="W426" s="35"/>
      <c r="X426" s="35"/>
      <c r="Y426" s="35"/>
      <c r="Z426" s="35"/>
      <c r="AA426" s="35"/>
    </row>
    <row r="427" spans="1:27" ht="15">
      <c r="A427" s="65" t="s">
        <v>216</v>
      </c>
      <c r="B427" s="65" t="s">
        <v>374</v>
      </c>
      <c r="C427" s="66" t="s">
        <v>3534</v>
      </c>
      <c r="D427" s="67">
        <v>5</v>
      </c>
      <c r="E427" s="68"/>
      <c r="F427" s="69">
        <v>25</v>
      </c>
      <c r="G427" s="66"/>
      <c r="H427" s="70"/>
      <c r="I427" s="71"/>
      <c r="J427" s="71"/>
      <c r="K427" s="35" t="s">
        <v>65</v>
      </c>
      <c r="L427" s="79">
        <v>427</v>
      </c>
      <c r="M427" s="79"/>
      <c r="N427" s="73"/>
      <c r="O427" s="81" t="s">
        <v>613</v>
      </c>
      <c r="P427">
        <v>1</v>
      </c>
      <c r="Q427" s="80" t="str">
        <f>REPLACE(INDEX(GroupVertices[Group],MATCH(Edges[[#This Row],[Vertex 1]],GroupVertices[Vertex],0)),1,1,"")</f>
        <v>2</v>
      </c>
      <c r="R427" s="80" t="str">
        <f>REPLACE(INDEX(GroupVertices[Group],MATCH(Edges[[#This Row],[Vertex 2]],GroupVertices[Vertex],0)),1,1,"")</f>
        <v>2</v>
      </c>
      <c r="S427" s="35"/>
      <c r="T427" s="35"/>
      <c r="U427" s="35"/>
      <c r="V427" s="35"/>
      <c r="W427" s="35"/>
      <c r="X427" s="35"/>
      <c r="Y427" s="35"/>
      <c r="Z427" s="35"/>
      <c r="AA427" s="35"/>
    </row>
    <row r="428" spans="1:27" ht="15">
      <c r="A428" s="65" t="s">
        <v>219</v>
      </c>
      <c r="B428" s="65" t="s">
        <v>374</v>
      </c>
      <c r="C428" s="66" t="s">
        <v>3534</v>
      </c>
      <c r="D428" s="67">
        <v>5</v>
      </c>
      <c r="E428" s="68"/>
      <c r="F428" s="69">
        <v>25</v>
      </c>
      <c r="G428" s="66"/>
      <c r="H428" s="70"/>
      <c r="I428" s="71"/>
      <c r="J428" s="71"/>
      <c r="K428" s="35" t="s">
        <v>65</v>
      </c>
      <c r="L428" s="79">
        <v>428</v>
      </c>
      <c r="M428" s="79"/>
      <c r="N428" s="73"/>
      <c r="O428" s="81" t="s">
        <v>613</v>
      </c>
      <c r="P428">
        <v>1</v>
      </c>
      <c r="Q428" s="80" t="str">
        <f>REPLACE(INDEX(GroupVertices[Group],MATCH(Edges[[#This Row],[Vertex 1]],GroupVertices[Vertex],0)),1,1,"")</f>
        <v>5</v>
      </c>
      <c r="R428" s="80" t="str">
        <f>REPLACE(INDEX(GroupVertices[Group],MATCH(Edges[[#This Row],[Vertex 2]],GroupVertices[Vertex],0)),1,1,"")</f>
        <v>2</v>
      </c>
      <c r="S428" s="35"/>
      <c r="T428" s="35"/>
      <c r="U428" s="35"/>
      <c r="V428" s="35"/>
      <c r="W428" s="35"/>
      <c r="X428" s="35"/>
      <c r="Y428" s="35"/>
      <c r="Z428" s="35"/>
      <c r="AA428" s="35"/>
    </row>
    <row r="429" spans="1:27" ht="15">
      <c r="A429" s="65" t="s">
        <v>214</v>
      </c>
      <c r="B429" s="65" t="s">
        <v>546</v>
      </c>
      <c r="C429" s="66" t="s">
        <v>3534</v>
      </c>
      <c r="D429" s="67">
        <v>5</v>
      </c>
      <c r="E429" s="68"/>
      <c r="F429" s="69">
        <v>25</v>
      </c>
      <c r="G429" s="66"/>
      <c r="H429" s="70"/>
      <c r="I429" s="71"/>
      <c r="J429" s="71"/>
      <c r="K429" s="35" t="s">
        <v>65</v>
      </c>
      <c r="L429" s="79">
        <v>429</v>
      </c>
      <c r="M429" s="79"/>
      <c r="N429" s="73"/>
      <c r="O429" s="81" t="s">
        <v>613</v>
      </c>
      <c r="P429">
        <v>1</v>
      </c>
      <c r="Q429" s="80" t="str">
        <f>REPLACE(INDEX(GroupVertices[Group],MATCH(Edges[[#This Row],[Vertex 1]],GroupVertices[Vertex],0)),1,1,"")</f>
        <v>6</v>
      </c>
      <c r="R429" s="80" t="str">
        <f>REPLACE(INDEX(GroupVertices[Group],MATCH(Edges[[#This Row],[Vertex 2]],GroupVertices[Vertex],0)),1,1,"")</f>
        <v>6</v>
      </c>
      <c r="S429" s="35"/>
      <c r="T429" s="35"/>
      <c r="U429" s="35"/>
      <c r="V429" s="35"/>
      <c r="W429" s="35"/>
      <c r="X429" s="35"/>
      <c r="Y429" s="35"/>
      <c r="Z429" s="35"/>
      <c r="AA429" s="35"/>
    </row>
    <row r="430" spans="1:27" ht="15">
      <c r="A430" s="65" t="s">
        <v>219</v>
      </c>
      <c r="B430" s="65" t="s">
        <v>546</v>
      </c>
      <c r="C430" s="66" t="s">
        <v>3534</v>
      </c>
      <c r="D430" s="67">
        <v>5</v>
      </c>
      <c r="E430" s="68"/>
      <c r="F430" s="69">
        <v>25</v>
      </c>
      <c r="G430" s="66"/>
      <c r="H430" s="70"/>
      <c r="I430" s="71"/>
      <c r="J430" s="71"/>
      <c r="K430" s="35" t="s">
        <v>65</v>
      </c>
      <c r="L430" s="79">
        <v>430</v>
      </c>
      <c r="M430" s="79"/>
      <c r="N430" s="73"/>
      <c r="O430" s="81" t="s">
        <v>613</v>
      </c>
      <c r="P430">
        <v>1</v>
      </c>
      <c r="Q430" s="80" t="str">
        <f>REPLACE(INDEX(GroupVertices[Group],MATCH(Edges[[#This Row],[Vertex 1]],GroupVertices[Vertex],0)),1,1,"")</f>
        <v>5</v>
      </c>
      <c r="R430" s="80" t="str">
        <f>REPLACE(INDEX(GroupVertices[Group],MATCH(Edges[[#This Row],[Vertex 2]],GroupVertices[Vertex],0)),1,1,"")</f>
        <v>6</v>
      </c>
      <c r="S430" s="35"/>
      <c r="T430" s="35"/>
      <c r="U430" s="35"/>
      <c r="V430" s="35"/>
      <c r="W430" s="35"/>
      <c r="X430" s="35"/>
      <c r="Y430" s="35"/>
      <c r="Z430" s="35"/>
      <c r="AA430" s="35"/>
    </row>
    <row r="431" spans="1:27" ht="15">
      <c r="A431" s="65" t="s">
        <v>213</v>
      </c>
      <c r="B431" s="65" t="s">
        <v>547</v>
      </c>
      <c r="C431" s="66" t="s">
        <v>3534</v>
      </c>
      <c r="D431" s="67">
        <v>5</v>
      </c>
      <c r="E431" s="68"/>
      <c r="F431" s="69">
        <v>25</v>
      </c>
      <c r="G431" s="66"/>
      <c r="H431" s="70"/>
      <c r="I431" s="71"/>
      <c r="J431" s="71"/>
      <c r="K431" s="35" t="s">
        <v>65</v>
      </c>
      <c r="L431" s="79">
        <v>431</v>
      </c>
      <c r="M431" s="79"/>
      <c r="N431" s="73"/>
      <c r="O431" s="81" t="s">
        <v>613</v>
      </c>
      <c r="P431">
        <v>1</v>
      </c>
      <c r="Q431" s="80" t="str">
        <f>REPLACE(INDEX(GroupVertices[Group],MATCH(Edges[[#This Row],[Vertex 1]],GroupVertices[Vertex],0)),1,1,"")</f>
        <v>4</v>
      </c>
      <c r="R431" s="80" t="str">
        <f>REPLACE(INDEX(GroupVertices[Group],MATCH(Edges[[#This Row],[Vertex 2]],GroupVertices[Vertex],0)),1,1,"")</f>
        <v>2</v>
      </c>
      <c r="S431" s="35"/>
      <c r="T431" s="35"/>
      <c r="U431" s="35"/>
      <c r="V431" s="35"/>
      <c r="W431" s="35"/>
      <c r="X431" s="35"/>
      <c r="Y431" s="35"/>
      <c r="Z431" s="35"/>
      <c r="AA431" s="35"/>
    </row>
    <row r="432" spans="1:27" ht="15">
      <c r="A432" s="65" t="s">
        <v>216</v>
      </c>
      <c r="B432" s="65" t="s">
        <v>547</v>
      </c>
      <c r="C432" s="66" t="s">
        <v>3534</v>
      </c>
      <c r="D432" s="67">
        <v>5</v>
      </c>
      <c r="E432" s="68"/>
      <c r="F432" s="69">
        <v>25</v>
      </c>
      <c r="G432" s="66"/>
      <c r="H432" s="70"/>
      <c r="I432" s="71"/>
      <c r="J432" s="71"/>
      <c r="K432" s="35" t="s">
        <v>65</v>
      </c>
      <c r="L432" s="79">
        <v>432</v>
      </c>
      <c r="M432" s="79"/>
      <c r="N432" s="73"/>
      <c r="O432" s="81" t="s">
        <v>613</v>
      </c>
      <c r="P432">
        <v>1</v>
      </c>
      <c r="Q432" s="80" t="str">
        <f>REPLACE(INDEX(GroupVertices[Group],MATCH(Edges[[#This Row],[Vertex 1]],GroupVertices[Vertex],0)),1,1,"")</f>
        <v>2</v>
      </c>
      <c r="R432" s="80" t="str">
        <f>REPLACE(INDEX(GroupVertices[Group],MATCH(Edges[[#This Row],[Vertex 2]],GroupVertices[Vertex],0)),1,1,"")</f>
        <v>2</v>
      </c>
      <c r="S432" s="35"/>
      <c r="T432" s="35"/>
      <c r="U432" s="35"/>
      <c r="V432" s="35"/>
      <c r="W432" s="35"/>
      <c r="X432" s="35"/>
      <c r="Y432" s="35"/>
      <c r="Z432" s="35"/>
      <c r="AA432" s="35"/>
    </row>
    <row r="433" spans="1:27" ht="15">
      <c r="A433" s="65" t="s">
        <v>219</v>
      </c>
      <c r="B433" s="65" t="s">
        <v>547</v>
      </c>
      <c r="C433" s="66" t="s">
        <v>3534</v>
      </c>
      <c r="D433" s="67">
        <v>5</v>
      </c>
      <c r="E433" s="68"/>
      <c r="F433" s="69">
        <v>25</v>
      </c>
      <c r="G433" s="66"/>
      <c r="H433" s="70"/>
      <c r="I433" s="71"/>
      <c r="J433" s="71"/>
      <c r="K433" s="35" t="s">
        <v>65</v>
      </c>
      <c r="L433" s="79">
        <v>433</v>
      </c>
      <c r="M433" s="79"/>
      <c r="N433" s="73"/>
      <c r="O433" s="81" t="s">
        <v>613</v>
      </c>
      <c r="P433">
        <v>1</v>
      </c>
      <c r="Q433" s="80" t="str">
        <f>REPLACE(INDEX(GroupVertices[Group],MATCH(Edges[[#This Row],[Vertex 1]],GroupVertices[Vertex],0)),1,1,"")</f>
        <v>5</v>
      </c>
      <c r="R433" s="80" t="str">
        <f>REPLACE(INDEX(GroupVertices[Group],MATCH(Edges[[#This Row],[Vertex 2]],GroupVertices[Vertex],0)),1,1,"")</f>
        <v>2</v>
      </c>
      <c r="S433" s="35"/>
      <c r="T433" s="35"/>
      <c r="U433" s="35"/>
      <c r="V433" s="35"/>
      <c r="W433" s="35"/>
      <c r="X433" s="35"/>
      <c r="Y433" s="35"/>
      <c r="Z433" s="35"/>
      <c r="AA433" s="35"/>
    </row>
    <row r="434" spans="1:27" ht="15">
      <c r="A434" s="65" t="s">
        <v>214</v>
      </c>
      <c r="B434" s="65" t="s">
        <v>548</v>
      </c>
      <c r="C434" s="66" t="s">
        <v>3534</v>
      </c>
      <c r="D434" s="67">
        <v>5</v>
      </c>
      <c r="E434" s="68"/>
      <c r="F434" s="69">
        <v>25</v>
      </c>
      <c r="G434" s="66"/>
      <c r="H434" s="70"/>
      <c r="I434" s="71"/>
      <c r="J434" s="71"/>
      <c r="K434" s="35" t="s">
        <v>65</v>
      </c>
      <c r="L434" s="79">
        <v>434</v>
      </c>
      <c r="M434" s="79"/>
      <c r="N434" s="73"/>
      <c r="O434" s="81" t="s">
        <v>613</v>
      </c>
      <c r="P434">
        <v>1</v>
      </c>
      <c r="Q434" s="80" t="str">
        <f>REPLACE(INDEX(GroupVertices[Group],MATCH(Edges[[#This Row],[Vertex 1]],GroupVertices[Vertex],0)),1,1,"")</f>
        <v>6</v>
      </c>
      <c r="R434" s="80" t="str">
        <f>REPLACE(INDEX(GroupVertices[Group],MATCH(Edges[[#This Row],[Vertex 2]],GroupVertices[Vertex],0)),1,1,"")</f>
        <v>6</v>
      </c>
      <c r="S434" s="35"/>
      <c r="T434" s="35"/>
      <c r="U434" s="35"/>
      <c r="V434" s="35"/>
      <c r="W434" s="35"/>
      <c r="X434" s="35"/>
      <c r="Y434" s="35"/>
      <c r="Z434" s="35"/>
      <c r="AA434" s="35"/>
    </row>
    <row r="435" spans="1:27" ht="15">
      <c r="A435" s="65" t="s">
        <v>216</v>
      </c>
      <c r="B435" s="65" t="s">
        <v>548</v>
      </c>
      <c r="C435" s="66" t="s">
        <v>3534</v>
      </c>
      <c r="D435" s="67">
        <v>5</v>
      </c>
      <c r="E435" s="68"/>
      <c r="F435" s="69">
        <v>25</v>
      </c>
      <c r="G435" s="66"/>
      <c r="H435" s="70"/>
      <c r="I435" s="71"/>
      <c r="J435" s="71"/>
      <c r="K435" s="35" t="s">
        <v>65</v>
      </c>
      <c r="L435" s="79">
        <v>435</v>
      </c>
      <c r="M435" s="79"/>
      <c r="N435" s="73"/>
      <c r="O435" s="81" t="s">
        <v>613</v>
      </c>
      <c r="P435">
        <v>1</v>
      </c>
      <c r="Q435" s="80" t="str">
        <f>REPLACE(INDEX(GroupVertices[Group],MATCH(Edges[[#This Row],[Vertex 1]],GroupVertices[Vertex],0)),1,1,"")</f>
        <v>2</v>
      </c>
      <c r="R435" s="80" t="str">
        <f>REPLACE(INDEX(GroupVertices[Group],MATCH(Edges[[#This Row],[Vertex 2]],GroupVertices[Vertex],0)),1,1,"")</f>
        <v>6</v>
      </c>
      <c r="S435" s="35"/>
      <c r="T435" s="35"/>
      <c r="U435" s="35"/>
      <c r="V435" s="35"/>
      <c r="W435" s="35"/>
      <c r="X435" s="35"/>
      <c r="Y435" s="35"/>
      <c r="Z435" s="35"/>
      <c r="AA435" s="35"/>
    </row>
    <row r="436" spans="1:27" ht="15">
      <c r="A436" s="65" t="s">
        <v>219</v>
      </c>
      <c r="B436" s="65" t="s">
        <v>548</v>
      </c>
      <c r="C436" s="66" t="s">
        <v>3534</v>
      </c>
      <c r="D436" s="67">
        <v>5</v>
      </c>
      <c r="E436" s="68"/>
      <c r="F436" s="69">
        <v>25</v>
      </c>
      <c r="G436" s="66"/>
      <c r="H436" s="70"/>
      <c r="I436" s="71"/>
      <c r="J436" s="71"/>
      <c r="K436" s="35" t="s">
        <v>65</v>
      </c>
      <c r="L436" s="79">
        <v>436</v>
      </c>
      <c r="M436" s="79"/>
      <c r="N436" s="73"/>
      <c r="O436" s="81" t="s">
        <v>613</v>
      </c>
      <c r="P436">
        <v>1</v>
      </c>
      <c r="Q436" s="80" t="str">
        <f>REPLACE(INDEX(GroupVertices[Group],MATCH(Edges[[#This Row],[Vertex 1]],GroupVertices[Vertex],0)),1,1,"")</f>
        <v>5</v>
      </c>
      <c r="R436" s="80" t="str">
        <f>REPLACE(INDEX(GroupVertices[Group],MATCH(Edges[[#This Row],[Vertex 2]],GroupVertices[Vertex],0)),1,1,"")</f>
        <v>6</v>
      </c>
      <c r="S436" s="35"/>
      <c r="T436" s="35"/>
      <c r="U436" s="35"/>
      <c r="V436" s="35"/>
      <c r="W436" s="35"/>
      <c r="X436" s="35"/>
      <c r="Y436" s="35"/>
      <c r="Z436" s="35"/>
      <c r="AA436" s="35"/>
    </row>
    <row r="437" spans="1:27" ht="15">
      <c r="A437" s="65" t="s">
        <v>212</v>
      </c>
      <c r="B437" s="65" t="s">
        <v>376</v>
      </c>
      <c r="C437" s="66" t="s">
        <v>3534</v>
      </c>
      <c r="D437" s="67">
        <v>5</v>
      </c>
      <c r="E437" s="68"/>
      <c r="F437" s="69">
        <v>25</v>
      </c>
      <c r="G437" s="66"/>
      <c r="H437" s="70"/>
      <c r="I437" s="71"/>
      <c r="J437" s="71"/>
      <c r="K437" s="35" t="s">
        <v>65</v>
      </c>
      <c r="L437" s="79">
        <v>437</v>
      </c>
      <c r="M437" s="79"/>
      <c r="N437" s="73"/>
      <c r="O437" s="81" t="s">
        <v>613</v>
      </c>
      <c r="P437">
        <v>1</v>
      </c>
      <c r="Q437" s="80" t="str">
        <f>REPLACE(INDEX(GroupVertices[Group],MATCH(Edges[[#This Row],[Vertex 1]],GroupVertices[Vertex],0)),1,1,"")</f>
        <v>7</v>
      </c>
      <c r="R437" s="80" t="str">
        <f>REPLACE(INDEX(GroupVertices[Group],MATCH(Edges[[#This Row],[Vertex 2]],GroupVertices[Vertex],0)),1,1,"")</f>
        <v>7</v>
      </c>
      <c r="S437" s="35"/>
      <c r="T437" s="35"/>
      <c r="U437" s="35"/>
      <c r="V437" s="35"/>
      <c r="W437" s="35"/>
      <c r="X437" s="35"/>
      <c r="Y437" s="35"/>
      <c r="Z437" s="35"/>
      <c r="AA437" s="35"/>
    </row>
    <row r="438" spans="1:27" ht="15">
      <c r="A438" s="65" t="s">
        <v>213</v>
      </c>
      <c r="B438" s="65" t="s">
        <v>376</v>
      </c>
      <c r="C438" s="66" t="s">
        <v>3534</v>
      </c>
      <c r="D438" s="67">
        <v>5</v>
      </c>
      <c r="E438" s="68"/>
      <c r="F438" s="69">
        <v>25</v>
      </c>
      <c r="G438" s="66"/>
      <c r="H438" s="70"/>
      <c r="I438" s="71"/>
      <c r="J438" s="71"/>
      <c r="K438" s="35" t="s">
        <v>65</v>
      </c>
      <c r="L438" s="79">
        <v>438</v>
      </c>
      <c r="M438" s="79"/>
      <c r="N438" s="73"/>
      <c r="O438" s="81" t="s">
        <v>613</v>
      </c>
      <c r="P438">
        <v>1</v>
      </c>
      <c r="Q438" s="80" t="str">
        <f>REPLACE(INDEX(GroupVertices[Group],MATCH(Edges[[#This Row],[Vertex 1]],GroupVertices[Vertex],0)),1,1,"")</f>
        <v>4</v>
      </c>
      <c r="R438" s="80" t="str">
        <f>REPLACE(INDEX(GroupVertices[Group],MATCH(Edges[[#This Row],[Vertex 2]],GroupVertices[Vertex],0)),1,1,"")</f>
        <v>7</v>
      </c>
      <c r="S438" s="35"/>
      <c r="T438" s="35"/>
      <c r="U438" s="35"/>
      <c r="V438" s="35"/>
      <c r="W438" s="35"/>
      <c r="X438" s="35"/>
      <c r="Y438" s="35"/>
      <c r="Z438" s="35"/>
      <c r="AA438" s="35"/>
    </row>
    <row r="439" spans="1:27" ht="15">
      <c r="A439" s="65" t="s">
        <v>214</v>
      </c>
      <c r="B439" s="65" t="s">
        <v>376</v>
      </c>
      <c r="C439" s="66" t="s">
        <v>3534</v>
      </c>
      <c r="D439" s="67">
        <v>5</v>
      </c>
      <c r="E439" s="68"/>
      <c r="F439" s="69">
        <v>25</v>
      </c>
      <c r="G439" s="66"/>
      <c r="H439" s="70"/>
      <c r="I439" s="71"/>
      <c r="J439" s="71"/>
      <c r="K439" s="35" t="s">
        <v>65</v>
      </c>
      <c r="L439" s="79">
        <v>439</v>
      </c>
      <c r="M439" s="79"/>
      <c r="N439" s="73"/>
      <c r="O439" s="81" t="s">
        <v>613</v>
      </c>
      <c r="P439">
        <v>1</v>
      </c>
      <c r="Q439" s="80" t="str">
        <f>REPLACE(INDEX(GroupVertices[Group],MATCH(Edges[[#This Row],[Vertex 1]],GroupVertices[Vertex],0)),1,1,"")</f>
        <v>6</v>
      </c>
      <c r="R439" s="80" t="str">
        <f>REPLACE(INDEX(GroupVertices[Group],MATCH(Edges[[#This Row],[Vertex 2]],GroupVertices[Vertex],0)),1,1,"")</f>
        <v>7</v>
      </c>
      <c r="S439" s="35"/>
      <c r="T439" s="35"/>
      <c r="U439" s="35"/>
      <c r="V439" s="35"/>
      <c r="W439" s="35"/>
      <c r="X439" s="35"/>
      <c r="Y439" s="35"/>
      <c r="Z439" s="35"/>
      <c r="AA439" s="35"/>
    </row>
    <row r="440" spans="1:27" ht="15">
      <c r="A440" s="65" t="s">
        <v>219</v>
      </c>
      <c r="B440" s="65" t="s">
        <v>376</v>
      </c>
      <c r="C440" s="66" t="s">
        <v>3534</v>
      </c>
      <c r="D440" s="67">
        <v>5</v>
      </c>
      <c r="E440" s="68"/>
      <c r="F440" s="69">
        <v>25</v>
      </c>
      <c r="G440" s="66"/>
      <c r="H440" s="70"/>
      <c r="I440" s="71"/>
      <c r="J440" s="71"/>
      <c r="K440" s="35" t="s">
        <v>65</v>
      </c>
      <c r="L440" s="79">
        <v>440</v>
      </c>
      <c r="M440" s="79"/>
      <c r="N440" s="73"/>
      <c r="O440" s="81" t="s">
        <v>613</v>
      </c>
      <c r="P440">
        <v>1</v>
      </c>
      <c r="Q440" s="80" t="str">
        <f>REPLACE(INDEX(GroupVertices[Group],MATCH(Edges[[#This Row],[Vertex 1]],GroupVertices[Vertex],0)),1,1,"")</f>
        <v>5</v>
      </c>
      <c r="R440" s="80" t="str">
        <f>REPLACE(INDEX(GroupVertices[Group],MATCH(Edges[[#This Row],[Vertex 2]],GroupVertices[Vertex],0)),1,1,"")</f>
        <v>7</v>
      </c>
      <c r="S440" s="35"/>
      <c r="T440" s="35"/>
      <c r="U440" s="35"/>
      <c r="V440" s="35"/>
      <c r="W440" s="35"/>
      <c r="X440" s="35"/>
      <c r="Y440" s="35"/>
      <c r="Z440" s="35"/>
      <c r="AA440" s="35"/>
    </row>
    <row r="441" spans="1:27" ht="15">
      <c r="A441" s="65" t="s">
        <v>219</v>
      </c>
      <c r="B441" s="65" t="s">
        <v>549</v>
      </c>
      <c r="C441" s="66" t="s">
        <v>3534</v>
      </c>
      <c r="D441" s="67">
        <v>5</v>
      </c>
      <c r="E441" s="68"/>
      <c r="F441" s="69">
        <v>25</v>
      </c>
      <c r="G441" s="66"/>
      <c r="H441" s="70"/>
      <c r="I441" s="71"/>
      <c r="J441" s="71"/>
      <c r="K441" s="35" t="s">
        <v>65</v>
      </c>
      <c r="L441" s="79">
        <v>441</v>
      </c>
      <c r="M441" s="79"/>
      <c r="N441" s="73"/>
      <c r="O441" s="81" t="s">
        <v>613</v>
      </c>
      <c r="P441">
        <v>1</v>
      </c>
      <c r="Q441" s="80" t="str">
        <f>REPLACE(INDEX(GroupVertices[Group],MATCH(Edges[[#This Row],[Vertex 1]],GroupVertices[Vertex],0)),1,1,"")</f>
        <v>5</v>
      </c>
      <c r="R441" s="80" t="str">
        <f>REPLACE(INDEX(GroupVertices[Group],MATCH(Edges[[#This Row],[Vertex 2]],GroupVertices[Vertex],0)),1,1,"")</f>
        <v>5</v>
      </c>
      <c r="S441" s="35"/>
      <c r="T441" s="35"/>
      <c r="U441" s="35"/>
      <c r="V441" s="35"/>
      <c r="W441" s="35"/>
      <c r="X441" s="35"/>
      <c r="Y441" s="35"/>
      <c r="Z441" s="35"/>
      <c r="AA441" s="35"/>
    </row>
    <row r="442" spans="1:27" ht="15">
      <c r="A442" s="65" t="s">
        <v>219</v>
      </c>
      <c r="B442" s="65" t="s">
        <v>550</v>
      </c>
      <c r="C442" s="66" t="s">
        <v>3534</v>
      </c>
      <c r="D442" s="67">
        <v>5</v>
      </c>
      <c r="E442" s="68"/>
      <c r="F442" s="69">
        <v>25</v>
      </c>
      <c r="G442" s="66"/>
      <c r="H442" s="70"/>
      <c r="I442" s="71"/>
      <c r="J442" s="71"/>
      <c r="K442" s="35" t="s">
        <v>65</v>
      </c>
      <c r="L442" s="79">
        <v>442</v>
      </c>
      <c r="M442" s="79"/>
      <c r="N442" s="73"/>
      <c r="O442" s="81" t="s">
        <v>613</v>
      </c>
      <c r="P442">
        <v>1</v>
      </c>
      <c r="Q442" s="80" t="str">
        <f>REPLACE(INDEX(GroupVertices[Group],MATCH(Edges[[#This Row],[Vertex 1]],GroupVertices[Vertex],0)),1,1,"")</f>
        <v>5</v>
      </c>
      <c r="R442" s="80" t="str">
        <f>REPLACE(INDEX(GroupVertices[Group],MATCH(Edges[[#This Row],[Vertex 2]],GroupVertices[Vertex],0)),1,1,"")</f>
        <v>5</v>
      </c>
      <c r="S442" s="35"/>
      <c r="T442" s="35"/>
      <c r="U442" s="35"/>
      <c r="V442" s="35"/>
      <c r="W442" s="35"/>
      <c r="X442" s="35"/>
      <c r="Y442" s="35"/>
      <c r="Z442" s="35"/>
      <c r="AA442" s="35"/>
    </row>
    <row r="443" spans="1:27" ht="15">
      <c r="A443" s="65" t="s">
        <v>212</v>
      </c>
      <c r="B443" s="65" t="s">
        <v>551</v>
      </c>
      <c r="C443" s="66" t="s">
        <v>3534</v>
      </c>
      <c r="D443" s="67">
        <v>5</v>
      </c>
      <c r="E443" s="68"/>
      <c r="F443" s="69">
        <v>25</v>
      </c>
      <c r="G443" s="66"/>
      <c r="H443" s="70"/>
      <c r="I443" s="71"/>
      <c r="J443" s="71"/>
      <c r="K443" s="35" t="s">
        <v>65</v>
      </c>
      <c r="L443" s="79">
        <v>443</v>
      </c>
      <c r="M443" s="79"/>
      <c r="N443" s="73"/>
      <c r="O443" s="81" t="s">
        <v>613</v>
      </c>
      <c r="P443">
        <v>1</v>
      </c>
      <c r="Q443" s="80" t="str">
        <f>REPLACE(INDEX(GroupVertices[Group],MATCH(Edges[[#This Row],[Vertex 1]],GroupVertices[Vertex],0)),1,1,"")</f>
        <v>7</v>
      </c>
      <c r="R443" s="80" t="str">
        <f>REPLACE(INDEX(GroupVertices[Group],MATCH(Edges[[#This Row],[Vertex 2]],GroupVertices[Vertex],0)),1,1,"")</f>
        <v>7</v>
      </c>
      <c r="S443" s="35"/>
      <c r="T443" s="35"/>
      <c r="U443" s="35"/>
      <c r="V443" s="35"/>
      <c r="W443" s="35"/>
      <c r="X443" s="35"/>
      <c r="Y443" s="35"/>
      <c r="Z443" s="35"/>
      <c r="AA443" s="35"/>
    </row>
    <row r="444" spans="1:27" ht="15">
      <c r="A444" s="65" t="s">
        <v>213</v>
      </c>
      <c r="B444" s="65" t="s">
        <v>551</v>
      </c>
      <c r="C444" s="66" t="s">
        <v>3534</v>
      </c>
      <c r="D444" s="67">
        <v>5</v>
      </c>
      <c r="E444" s="68"/>
      <c r="F444" s="69">
        <v>25</v>
      </c>
      <c r="G444" s="66"/>
      <c r="H444" s="70"/>
      <c r="I444" s="71"/>
      <c r="J444" s="71"/>
      <c r="K444" s="35" t="s">
        <v>65</v>
      </c>
      <c r="L444" s="79">
        <v>444</v>
      </c>
      <c r="M444" s="79"/>
      <c r="N444" s="73"/>
      <c r="O444" s="81" t="s">
        <v>613</v>
      </c>
      <c r="P444">
        <v>1</v>
      </c>
      <c r="Q444" s="80" t="str">
        <f>REPLACE(INDEX(GroupVertices[Group],MATCH(Edges[[#This Row],[Vertex 1]],GroupVertices[Vertex],0)),1,1,"")</f>
        <v>4</v>
      </c>
      <c r="R444" s="80" t="str">
        <f>REPLACE(INDEX(GroupVertices[Group],MATCH(Edges[[#This Row],[Vertex 2]],GroupVertices[Vertex],0)),1,1,"")</f>
        <v>7</v>
      </c>
      <c r="S444" s="35"/>
      <c r="T444" s="35"/>
      <c r="U444" s="35"/>
      <c r="V444" s="35"/>
      <c r="W444" s="35"/>
      <c r="X444" s="35"/>
      <c r="Y444" s="35"/>
      <c r="Z444" s="35"/>
      <c r="AA444" s="35"/>
    </row>
    <row r="445" spans="1:27" ht="15">
      <c r="A445" s="65" t="s">
        <v>219</v>
      </c>
      <c r="B445" s="65" t="s">
        <v>551</v>
      </c>
      <c r="C445" s="66" t="s">
        <v>3534</v>
      </c>
      <c r="D445" s="67">
        <v>5</v>
      </c>
      <c r="E445" s="68"/>
      <c r="F445" s="69">
        <v>25</v>
      </c>
      <c r="G445" s="66"/>
      <c r="H445" s="70"/>
      <c r="I445" s="71"/>
      <c r="J445" s="71"/>
      <c r="K445" s="35" t="s">
        <v>65</v>
      </c>
      <c r="L445" s="79">
        <v>445</v>
      </c>
      <c r="M445" s="79"/>
      <c r="N445" s="73"/>
      <c r="O445" s="81" t="s">
        <v>613</v>
      </c>
      <c r="P445">
        <v>1</v>
      </c>
      <c r="Q445" s="80" t="str">
        <f>REPLACE(INDEX(GroupVertices[Group],MATCH(Edges[[#This Row],[Vertex 1]],GroupVertices[Vertex],0)),1,1,"")</f>
        <v>5</v>
      </c>
      <c r="R445" s="80" t="str">
        <f>REPLACE(INDEX(GroupVertices[Group],MATCH(Edges[[#This Row],[Vertex 2]],GroupVertices[Vertex],0)),1,1,"")</f>
        <v>7</v>
      </c>
      <c r="S445" s="35"/>
      <c r="T445" s="35"/>
      <c r="U445" s="35"/>
      <c r="V445" s="35"/>
      <c r="W445" s="35"/>
      <c r="X445" s="35"/>
      <c r="Y445" s="35"/>
      <c r="Z445" s="35"/>
      <c r="AA445" s="35"/>
    </row>
    <row r="446" spans="1:27" ht="15">
      <c r="A446" s="65" t="s">
        <v>213</v>
      </c>
      <c r="B446" s="65" t="s">
        <v>552</v>
      </c>
      <c r="C446" s="66" t="s">
        <v>3534</v>
      </c>
      <c r="D446" s="67">
        <v>5</v>
      </c>
      <c r="E446" s="68"/>
      <c r="F446" s="69">
        <v>25</v>
      </c>
      <c r="G446" s="66"/>
      <c r="H446" s="70"/>
      <c r="I446" s="71"/>
      <c r="J446" s="71"/>
      <c r="K446" s="35" t="s">
        <v>65</v>
      </c>
      <c r="L446" s="79">
        <v>446</v>
      </c>
      <c r="M446" s="79"/>
      <c r="N446" s="73"/>
      <c r="O446" s="81" t="s">
        <v>613</v>
      </c>
      <c r="P446">
        <v>1</v>
      </c>
      <c r="Q446" s="80" t="str">
        <f>REPLACE(INDEX(GroupVertices[Group],MATCH(Edges[[#This Row],[Vertex 1]],GroupVertices[Vertex],0)),1,1,"")</f>
        <v>4</v>
      </c>
      <c r="R446" s="80" t="str">
        <f>REPLACE(INDEX(GroupVertices[Group],MATCH(Edges[[#This Row],[Vertex 2]],GroupVertices[Vertex],0)),1,1,"")</f>
        <v>4</v>
      </c>
      <c r="S446" s="35"/>
      <c r="T446" s="35"/>
      <c r="U446" s="35"/>
      <c r="V446" s="35"/>
      <c r="W446" s="35"/>
      <c r="X446" s="35"/>
      <c r="Y446" s="35"/>
      <c r="Z446" s="35"/>
      <c r="AA446" s="35"/>
    </row>
    <row r="447" spans="1:27" ht="15">
      <c r="A447" s="65" t="s">
        <v>214</v>
      </c>
      <c r="B447" s="65" t="s">
        <v>552</v>
      </c>
      <c r="C447" s="66" t="s">
        <v>3534</v>
      </c>
      <c r="D447" s="67">
        <v>5</v>
      </c>
      <c r="E447" s="68"/>
      <c r="F447" s="69">
        <v>25</v>
      </c>
      <c r="G447" s="66"/>
      <c r="H447" s="70"/>
      <c r="I447" s="71"/>
      <c r="J447" s="71"/>
      <c r="K447" s="35" t="s">
        <v>65</v>
      </c>
      <c r="L447" s="79">
        <v>447</v>
      </c>
      <c r="M447" s="79"/>
      <c r="N447" s="73"/>
      <c r="O447" s="81" t="s">
        <v>613</v>
      </c>
      <c r="P447">
        <v>1</v>
      </c>
      <c r="Q447" s="80" t="str">
        <f>REPLACE(INDEX(GroupVertices[Group],MATCH(Edges[[#This Row],[Vertex 1]],GroupVertices[Vertex],0)),1,1,"")</f>
        <v>6</v>
      </c>
      <c r="R447" s="80" t="str">
        <f>REPLACE(INDEX(GroupVertices[Group],MATCH(Edges[[#This Row],[Vertex 2]],GroupVertices[Vertex],0)),1,1,"")</f>
        <v>4</v>
      </c>
      <c r="S447" s="35"/>
      <c r="T447" s="35"/>
      <c r="U447" s="35"/>
      <c r="V447" s="35"/>
      <c r="W447" s="35"/>
      <c r="X447" s="35"/>
      <c r="Y447" s="35"/>
      <c r="Z447" s="35"/>
      <c r="AA447" s="35"/>
    </row>
    <row r="448" spans="1:27" ht="15">
      <c r="A448" s="65" t="s">
        <v>216</v>
      </c>
      <c r="B448" s="65" t="s">
        <v>552</v>
      </c>
      <c r="C448" s="66" t="s">
        <v>3534</v>
      </c>
      <c r="D448" s="67">
        <v>5</v>
      </c>
      <c r="E448" s="68"/>
      <c r="F448" s="69">
        <v>25</v>
      </c>
      <c r="G448" s="66"/>
      <c r="H448" s="70"/>
      <c r="I448" s="71"/>
      <c r="J448" s="71"/>
      <c r="K448" s="35" t="s">
        <v>65</v>
      </c>
      <c r="L448" s="79">
        <v>448</v>
      </c>
      <c r="M448" s="79"/>
      <c r="N448" s="73"/>
      <c r="O448" s="81" t="s">
        <v>613</v>
      </c>
      <c r="P448">
        <v>1</v>
      </c>
      <c r="Q448" s="80" t="str">
        <f>REPLACE(INDEX(GroupVertices[Group],MATCH(Edges[[#This Row],[Vertex 1]],GroupVertices[Vertex],0)),1,1,"")</f>
        <v>2</v>
      </c>
      <c r="R448" s="80" t="str">
        <f>REPLACE(INDEX(GroupVertices[Group],MATCH(Edges[[#This Row],[Vertex 2]],GroupVertices[Vertex],0)),1,1,"")</f>
        <v>4</v>
      </c>
      <c r="S448" s="35"/>
      <c r="T448" s="35"/>
      <c r="U448" s="35"/>
      <c r="V448" s="35"/>
      <c r="W448" s="35"/>
      <c r="X448" s="35"/>
      <c r="Y448" s="35"/>
      <c r="Z448" s="35"/>
      <c r="AA448" s="35"/>
    </row>
    <row r="449" spans="1:27" ht="15">
      <c r="A449" s="65" t="s">
        <v>219</v>
      </c>
      <c r="B449" s="65" t="s">
        <v>552</v>
      </c>
      <c r="C449" s="66" t="s">
        <v>3534</v>
      </c>
      <c r="D449" s="67">
        <v>5</v>
      </c>
      <c r="E449" s="68"/>
      <c r="F449" s="69">
        <v>25</v>
      </c>
      <c r="G449" s="66"/>
      <c r="H449" s="70"/>
      <c r="I449" s="71"/>
      <c r="J449" s="71"/>
      <c r="K449" s="35" t="s">
        <v>65</v>
      </c>
      <c r="L449" s="79">
        <v>449</v>
      </c>
      <c r="M449" s="79"/>
      <c r="N449" s="73"/>
      <c r="O449" s="81" t="s">
        <v>613</v>
      </c>
      <c r="P449">
        <v>1</v>
      </c>
      <c r="Q449" s="80" t="str">
        <f>REPLACE(INDEX(GroupVertices[Group],MATCH(Edges[[#This Row],[Vertex 1]],GroupVertices[Vertex],0)),1,1,"")</f>
        <v>5</v>
      </c>
      <c r="R449" s="80" t="str">
        <f>REPLACE(INDEX(GroupVertices[Group],MATCH(Edges[[#This Row],[Vertex 2]],GroupVertices[Vertex],0)),1,1,"")</f>
        <v>4</v>
      </c>
      <c r="S449" s="35"/>
      <c r="T449" s="35"/>
      <c r="U449" s="35"/>
      <c r="V449" s="35"/>
      <c r="W449" s="35"/>
      <c r="X449" s="35"/>
      <c r="Y449" s="35"/>
      <c r="Z449" s="35"/>
      <c r="AA449" s="35"/>
    </row>
    <row r="450" spans="1:27" ht="15">
      <c r="A450" s="65" t="s">
        <v>219</v>
      </c>
      <c r="B450" s="65" t="s">
        <v>553</v>
      </c>
      <c r="C450" s="66" t="s">
        <v>3534</v>
      </c>
      <c r="D450" s="67">
        <v>5</v>
      </c>
      <c r="E450" s="68"/>
      <c r="F450" s="69">
        <v>25</v>
      </c>
      <c r="G450" s="66"/>
      <c r="H450" s="70"/>
      <c r="I450" s="71"/>
      <c r="J450" s="71"/>
      <c r="K450" s="35" t="s">
        <v>65</v>
      </c>
      <c r="L450" s="79">
        <v>450</v>
      </c>
      <c r="M450" s="79"/>
      <c r="N450" s="73"/>
      <c r="O450" s="81" t="s">
        <v>613</v>
      </c>
      <c r="P450">
        <v>1</v>
      </c>
      <c r="Q450" s="80" t="str">
        <f>REPLACE(INDEX(GroupVertices[Group],MATCH(Edges[[#This Row],[Vertex 1]],GroupVertices[Vertex],0)),1,1,"")</f>
        <v>5</v>
      </c>
      <c r="R450" s="80" t="str">
        <f>REPLACE(INDEX(GroupVertices[Group],MATCH(Edges[[#This Row],[Vertex 2]],GroupVertices[Vertex],0)),1,1,"")</f>
        <v>5</v>
      </c>
      <c r="S450" s="35"/>
      <c r="T450" s="35"/>
      <c r="U450" s="35"/>
      <c r="V450" s="35"/>
      <c r="W450" s="35"/>
      <c r="X450" s="35"/>
      <c r="Y450" s="35"/>
      <c r="Z450" s="35"/>
      <c r="AA450" s="35"/>
    </row>
    <row r="451" spans="1:27" ht="15">
      <c r="A451" s="65" t="s">
        <v>214</v>
      </c>
      <c r="B451" s="65" t="s">
        <v>554</v>
      </c>
      <c r="C451" s="66" t="s">
        <v>3534</v>
      </c>
      <c r="D451" s="67">
        <v>5</v>
      </c>
      <c r="E451" s="68"/>
      <c r="F451" s="69">
        <v>25</v>
      </c>
      <c r="G451" s="66"/>
      <c r="H451" s="70"/>
      <c r="I451" s="71"/>
      <c r="J451" s="71"/>
      <c r="K451" s="35" t="s">
        <v>65</v>
      </c>
      <c r="L451" s="79">
        <v>451</v>
      </c>
      <c r="M451" s="79"/>
      <c r="N451" s="73"/>
      <c r="O451" s="81" t="s">
        <v>613</v>
      </c>
      <c r="P451">
        <v>1</v>
      </c>
      <c r="Q451" s="80" t="str">
        <f>REPLACE(INDEX(GroupVertices[Group],MATCH(Edges[[#This Row],[Vertex 1]],GroupVertices[Vertex],0)),1,1,"")</f>
        <v>6</v>
      </c>
      <c r="R451" s="80" t="str">
        <f>REPLACE(INDEX(GroupVertices[Group],MATCH(Edges[[#This Row],[Vertex 2]],GroupVertices[Vertex],0)),1,1,"")</f>
        <v>5</v>
      </c>
      <c r="S451" s="35"/>
      <c r="T451" s="35"/>
      <c r="U451" s="35"/>
      <c r="V451" s="35"/>
      <c r="W451" s="35"/>
      <c r="X451" s="35"/>
      <c r="Y451" s="35"/>
      <c r="Z451" s="35"/>
      <c r="AA451" s="35"/>
    </row>
    <row r="452" spans="1:27" ht="15">
      <c r="A452" s="65" t="s">
        <v>219</v>
      </c>
      <c r="B452" s="65" t="s">
        <v>554</v>
      </c>
      <c r="C452" s="66" t="s">
        <v>3534</v>
      </c>
      <c r="D452" s="67">
        <v>5</v>
      </c>
      <c r="E452" s="68"/>
      <c r="F452" s="69">
        <v>25</v>
      </c>
      <c r="G452" s="66"/>
      <c r="H452" s="70"/>
      <c r="I452" s="71"/>
      <c r="J452" s="71"/>
      <c r="K452" s="35" t="s">
        <v>65</v>
      </c>
      <c r="L452" s="79">
        <v>452</v>
      </c>
      <c r="M452" s="79"/>
      <c r="N452" s="73"/>
      <c r="O452" s="81" t="s">
        <v>613</v>
      </c>
      <c r="P452">
        <v>1</v>
      </c>
      <c r="Q452" s="80" t="str">
        <f>REPLACE(INDEX(GroupVertices[Group],MATCH(Edges[[#This Row],[Vertex 1]],GroupVertices[Vertex],0)),1,1,"")</f>
        <v>5</v>
      </c>
      <c r="R452" s="80" t="str">
        <f>REPLACE(INDEX(GroupVertices[Group],MATCH(Edges[[#This Row],[Vertex 2]],GroupVertices[Vertex],0)),1,1,"")</f>
        <v>5</v>
      </c>
      <c r="S452" s="35"/>
      <c r="T452" s="35"/>
      <c r="U452" s="35"/>
      <c r="V452" s="35"/>
      <c r="W452" s="35"/>
      <c r="X452" s="35"/>
      <c r="Y452" s="35"/>
      <c r="Z452" s="35"/>
      <c r="AA452" s="35"/>
    </row>
    <row r="453" spans="1:27" ht="15">
      <c r="A453" s="65" t="s">
        <v>219</v>
      </c>
      <c r="B453" s="65" t="s">
        <v>555</v>
      </c>
      <c r="C453" s="66" t="s">
        <v>3534</v>
      </c>
      <c r="D453" s="67">
        <v>5</v>
      </c>
      <c r="E453" s="68"/>
      <c r="F453" s="69">
        <v>25</v>
      </c>
      <c r="G453" s="66"/>
      <c r="H453" s="70"/>
      <c r="I453" s="71"/>
      <c r="J453" s="71"/>
      <c r="K453" s="35" t="s">
        <v>65</v>
      </c>
      <c r="L453" s="79">
        <v>453</v>
      </c>
      <c r="M453" s="79"/>
      <c r="N453" s="73"/>
      <c r="O453" s="81" t="s">
        <v>613</v>
      </c>
      <c r="P453">
        <v>1</v>
      </c>
      <c r="Q453" s="80" t="str">
        <f>REPLACE(INDEX(GroupVertices[Group],MATCH(Edges[[#This Row],[Vertex 1]],GroupVertices[Vertex],0)),1,1,"")</f>
        <v>5</v>
      </c>
      <c r="R453" s="80" t="str">
        <f>REPLACE(INDEX(GroupVertices[Group],MATCH(Edges[[#This Row],[Vertex 2]],GroupVertices[Vertex],0)),1,1,"")</f>
        <v>5</v>
      </c>
      <c r="S453" s="35"/>
      <c r="T453" s="35"/>
      <c r="U453" s="35"/>
      <c r="V453" s="35"/>
      <c r="W453" s="35"/>
      <c r="X453" s="35"/>
      <c r="Y453" s="35"/>
      <c r="Z453" s="35"/>
      <c r="AA453" s="35"/>
    </row>
    <row r="454" spans="1:27" ht="15">
      <c r="A454" s="65" t="s">
        <v>219</v>
      </c>
      <c r="B454" s="65" t="s">
        <v>523</v>
      </c>
      <c r="C454" s="66" t="s">
        <v>3534</v>
      </c>
      <c r="D454" s="67">
        <v>5</v>
      </c>
      <c r="E454" s="68"/>
      <c r="F454" s="69">
        <v>25</v>
      </c>
      <c r="G454" s="66"/>
      <c r="H454" s="70"/>
      <c r="I454" s="71"/>
      <c r="J454" s="71"/>
      <c r="K454" s="35" t="s">
        <v>65</v>
      </c>
      <c r="L454" s="79">
        <v>454</v>
      </c>
      <c r="M454" s="79"/>
      <c r="N454" s="73"/>
      <c r="O454" s="81" t="s">
        <v>613</v>
      </c>
      <c r="P454">
        <v>1</v>
      </c>
      <c r="Q454" s="80" t="str">
        <f>REPLACE(INDEX(GroupVertices[Group],MATCH(Edges[[#This Row],[Vertex 1]],GroupVertices[Vertex],0)),1,1,"")</f>
        <v>5</v>
      </c>
      <c r="R454" s="80" t="str">
        <f>REPLACE(INDEX(GroupVertices[Group],MATCH(Edges[[#This Row],[Vertex 2]],GroupVertices[Vertex],0)),1,1,"")</f>
        <v>3</v>
      </c>
      <c r="S454" s="35"/>
      <c r="T454" s="35"/>
      <c r="U454" s="35"/>
      <c r="V454" s="35"/>
      <c r="W454" s="35"/>
      <c r="X454" s="35"/>
      <c r="Y454" s="35"/>
      <c r="Z454" s="35"/>
      <c r="AA454" s="35"/>
    </row>
    <row r="455" spans="1:27" ht="15">
      <c r="A455" s="65" t="s">
        <v>212</v>
      </c>
      <c r="B455" s="65" t="s">
        <v>556</v>
      </c>
      <c r="C455" s="66" t="s">
        <v>3534</v>
      </c>
      <c r="D455" s="67">
        <v>5</v>
      </c>
      <c r="E455" s="68"/>
      <c r="F455" s="69">
        <v>25</v>
      </c>
      <c r="G455" s="66"/>
      <c r="H455" s="70"/>
      <c r="I455" s="71"/>
      <c r="J455" s="71"/>
      <c r="K455" s="35" t="s">
        <v>65</v>
      </c>
      <c r="L455" s="79">
        <v>455</v>
      </c>
      <c r="M455" s="79"/>
      <c r="N455" s="73"/>
      <c r="O455" s="81" t="s">
        <v>613</v>
      </c>
      <c r="P455">
        <v>1</v>
      </c>
      <c r="Q455" s="80" t="str">
        <f>REPLACE(INDEX(GroupVertices[Group],MATCH(Edges[[#This Row],[Vertex 1]],GroupVertices[Vertex],0)),1,1,"")</f>
        <v>7</v>
      </c>
      <c r="R455" s="80" t="str">
        <f>REPLACE(INDEX(GroupVertices[Group],MATCH(Edges[[#This Row],[Vertex 2]],GroupVertices[Vertex],0)),1,1,"")</f>
        <v>4</v>
      </c>
      <c r="S455" s="35"/>
      <c r="T455" s="35"/>
      <c r="U455" s="35"/>
      <c r="V455" s="35"/>
      <c r="W455" s="35"/>
      <c r="X455" s="35"/>
      <c r="Y455" s="35"/>
      <c r="Z455" s="35"/>
      <c r="AA455" s="35"/>
    </row>
    <row r="456" spans="1:27" ht="15">
      <c r="A456" s="65" t="s">
        <v>213</v>
      </c>
      <c r="B456" s="65" t="s">
        <v>556</v>
      </c>
      <c r="C456" s="66" t="s">
        <v>3534</v>
      </c>
      <c r="D456" s="67">
        <v>5</v>
      </c>
      <c r="E456" s="68"/>
      <c r="F456" s="69">
        <v>25</v>
      </c>
      <c r="G456" s="66"/>
      <c r="H456" s="70"/>
      <c r="I456" s="71"/>
      <c r="J456" s="71"/>
      <c r="K456" s="35" t="s">
        <v>65</v>
      </c>
      <c r="L456" s="79">
        <v>456</v>
      </c>
      <c r="M456" s="79"/>
      <c r="N456" s="73"/>
      <c r="O456" s="81" t="s">
        <v>613</v>
      </c>
      <c r="P456">
        <v>1</v>
      </c>
      <c r="Q456" s="80" t="str">
        <f>REPLACE(INDEX(GroupVertices[Group],MATCH(Edges[[#This Row],[Vertex 1]],GroupVertices[Vertex],0)),1,1,"")</f>
        <v>4</v>
      </c>
      <c r="R456" s="80" t="str">
        <f>REPLACE(INDEX(GroupVertices[Group],MATCH(Edges[[#This Row],[Vertex 2]],GroupVertices[Vertex],0)),1,1,"")</f>
        <v>4</v>
      </c>
      <c r="S456" s="35"/>
      <c r="T456" s="35"/>
      <c r="U456" s="35"/>
      <c r="V456" s="35"/>
      <c r="W456" s="35"/>
      <c r="X456" s="35"/>
      <c r="Y456" s="35"/>
      <c r="Z456" s="35"/>
      <c r="AA456" s="35"/>
    </row>
    <row r="457" spans="1:27" ht="15">
      <c r="A457" s="65" t="s">
        <v>219</v>
      </c>
      <c r="B457" s="65" t="s">
        <v>556</v>
      </c>
      <c r="C457" s="66" t="s">
        <v>3534</v>
      </c>
      <c r="D457" s="67">
        <v>5</v>
      </c>
      <c r="E457" s="68"/>
      <c r="F457" s="69">
        <v>25</v>
      </c>
      <c r="G457" s="66"/>
      <c r="H457" s="70"/>
      <c r="I457" s="71"/>
      <c r="J457" s="71"/>
      <c r="K457" s="35" t="s">
        <v>65</v>
      </c>
      <c r="L457" s="79">
        <v>457</v>
      </c>
      <c r="M457" s="79"/>
      <c r="N457" s="73"/>
      <c r="O457" s="81" t="s">
        <v>613</v>
      </c>
      <c r="P457">
        <v>1</v>
      </c>
      <c r="Q457" s="80" t="str">
        <f>REPLACE(INDEX(GroupVertices[Group],MATCH(Edges[[#This Row],[Vertex 1]],GroupVertices[Vertex],0)),1,1,"")</f>
        <v>5</v>
      </c>
      <c r="R457" s="80" t="str">
        <f>REPLACE(INDEX(GroupVertices[Group],MATCH(Edges[[#This Row],[Vertex 2]],GroupVertices[Vertex],0)),1,1,"")</f>
        <v>4</v>
      </c>
      <c r="S457" s="35"/>
      <c r="T457" s="35"/>
      <c r="U457" s="35"/>
      <c r="V457" s="35"/>
      <c r="W457" s="35"/>
      <c r="X457" s="35"/>
      <c r="Y457" s="35"/>
      <c r="Z457" s="35"/>
      <c r="AA457" s="35"/>
    </row>
    <row r="458" spans="1:27" ht="15">
      <c r="A458" s="65" t="s">
        <v>214</v>
      </c>
      <c r="B458" s="65" t="s">
        <v>557</v>
      </c>
      <c r="C458" s="66" t="s">
        <v>3534</v>
      </c>
      <c r="D458" s="67">
        <v>5</v>
      </c>
      <c r="E458" s="68"/>
      <c r="F458" s="69">
        <v>25</v>
      </c>
      <c r="G458" s="66"/>
      <c r="H458" s="70"/>
      <c r="I458" s="71"/>
      <c r="J458" s="71"/>
      <c r="K458" s="35" t="s">
        <v>65</v>
      </c>
      <c r="L458" s="79">
        <v>458</v>
      </c>
      <c r="M458" s="79"/>
      <c r="N458" s="73"/>
      <c r="O458" s="81" t="s">
        <v>613</v>
      </c>
      <c r="P458">
        <v>1</v>
      </c>
      <c r="Q458" s="80" t="str">
        <f>REPLACE(INDEX(GroupVertices[Group],MATCH(Edges[[#This Row],[Vertex 1]],GroupVertices[Vertex],0)),1,1,"")</f>
        <v>6</v>
      </c>
      <c r="R458" s="80" t="str">
        <f>REPLACE(INDEX(GroupVertices[Group],MATCH(Edges[[#This Row],[Vertex 2]],GroupVertices[Vertex],0)),1,1,"")</f>
        <v>5</v>
      </c>
      <c r="S458" s="35"/>
      <c r="T458" s="35"/>
      <c r="U458" s="35"/>
      <c r="V458" s="35"/>
      <c r="W458" s="35"/>
      <c r="X458" s="35"/>
      <c r="Y458" s="35"/>
      <c r="Z458" s="35"/>
      <c r="AA458" s="35"/>
    </row>
    <row r="459" spans="1:27" ht="15">
      <c r="A459" s="65" t="s">
        <v>219</v>
      </c>
      <c r="B459" s="65" t="s">
        <v>557</v>
      </c>
      <c r="C459" s="66" t="s">
        <v>3534</v>
      </c>
      <c r="D459" s="67">
        <v>5</v>
      </c>
      <c r="E459" s="68"/>
      <c r="F459" s="69">
        <v>25</v>
      </c>
      <c r="G459" s="66"/>
      <c r="H459" s="70"/>
      <c r="I459" s="71"/>
      <c r="J459" s="71"/>
      <c r="K459" s="35" t="s">
        <v>65</v>
      </c>
      <c r="L459" s="79">
        <v>459</v>
      </c>
      <c r="M459" s="79"/>
      <c r="N459" s="73"/>
      <c r="O459" s="81" t="s">
        <v>613</v>
      </c>
      <c r="P459">
        <v>1</v>
      </c>
      <c r="Q459" s="80" t="str">
        <f>REPLACE(INDEX(GroupVertices[Group],MATCH(Edges[[#This Row],[Vertex 1]],GroupVertices[Vertex],0)),1,1,"")</f>
        <v>5</v>
      </c>
      <c r="R459" s="80" t="str">
        <f>REPLACE(INDEX(GroupVertices[Group],MATCH(Edges[[#This Row],[Vertex 2]],GroupVertices[Vertex],0)),1,1,"")</f>
        <v>5</v>
      </c>
      <c r="S459" s="35"/>
      <c r="T459" s="35"/>
      <c r="U459" s="35"/>
      <c r="V459" s="35"/>
      <c r="W459" s="35"/>
      <c r="X459" s="35"/>
      <c r="Y459" s="35"/>
      <c r="Z459" s="35"/>
      <c r="AA459" s="35"/>
    </row>
    <row r="460" spans="1:27" ht="15">
      <c r="A460" s="65" t="s">
        <v>212</v>
      </c>
      <c r="B460" s="65" t="s">
        <v>214</v>
      </c>
      <c r="C460" s="66" t="s">
        <v>3534</v>
      </c>
      <c r="D460" s="67">
        <v>5</v>
      </c>
      <c r="E460" s="68"/>
      <c r="F460" s="69">
        <v>25</v>
      </c>
      <c r="G460" s="66"/>
      <c r="H460" s="70"/>
      <c r="I460" s="71"/>
      <c r="J460" s="71"/>
      <c r="K460" s="35" t="s">
        <v>66</v>
      </c>
      <c r="L460" s="79">
        <v>460</v>
      </c>
      <c r="M460" s="79"/>
      <c r="N460" s="73"/>
      <c r="O460" s="81" t="s">
        <v>613</v>
      </c>
      <c r="P460">
        <v>1</v>
      </c>
      <c r="Q460" s="80" t="str">
        <f>REPLACE(INDEX(GroupVertices[Group],MATCH(Edges[[#This Row],[Vertex 1]],GroupVertices[Vertex],0)),1,1,"")</f>
        <v>7</v>
      </c>
      <c r="R460" s="80" t="str">
        <f>REPLACE(INDEX(GroupVertices[Group],MATCH(Edges[[#This Row],[Vertex 2]],GroupVertices[Vertex],0)),1,1,"")</f>
        <v>6</v>
      </c>
      <c r="S460" s="35"/>
      <c r="T460" s="35"/>
      <c r="U460" s="35"/>
      <c r="V460" s="35"/>
      <c r="W460" s="35"/>
      <c r="X460" s="35"/>
      <c r="Y460" s="35"/>
      <c r="Z460" s="35"/>
      <c r="AA460" s="35"/>
    </row>
    <row r="461" spans="1:27" ht="15">
      <c r="A461" s="65" t="s">
        <v>213</v>
      </c>
      <c r="B461" s="65" t="s">
        <v>214</v>
      </c>
      <c r="C461" s="66" t="s">
        <v>3534</v>
      </c>
      <c r="D461" s="67">
        <v>5</v>
      </c>
      <c r="E461" s="68"/>
      <c r="F461" s="69">
        <v>25</v>
      </c>
      <c r="G461" s="66"/>
      <c r="H461" s="70"/>
      <c r="I461" s="71"/>
      <c r="J461" s="71"/>
      <c r="K461" s="35" t="s">
        <v>66</v>
      </c>
      <c r="L461" s="79">
        <v>461</v>
      </c>
      <c r="M461" s="79"/>
      <c r="N461" s="73"/>
      <c r="O461" s="81" t="s">
        <v>613</v>
      </c>
      <c r="P461">
        <v>1</v>
      </c>
      <c r="Q461" s="80" t="str">
        <f>REPLACE(INDEX(GroupVertices[Group],MATCH(Edges[[#This Row],[Vertex 1]],GroupVertices[Vertex],0)),1,1,"")</f>
        <v>4</v>
      </c>
      <c r="R461" s="80" t="str">
        <f>REPLACE(INDEX(GroupVertices[Group],MATCH(Edges[[#This Row],[Vertex 2]],GroupVertices[Vertex],0)),1,1,"")</f>
        <v>6</v>
      </c>
      <c r="S461" s="35"/>
      <c r="T461" s="35"/>
      <c r="U461" s="35"/>
      <c r="V461" s="35"/>
      <c r="W461" s="35"/>
      <c r="X461" s="35"/>
      <c r="Y461" s="35"/>
      <c r="Z461" s="35"/>
      <c r="AA461" s="35"/>
    </row>
    <row r="462" spans="1:27" ht="15">
      <c r="A462" s="65" t="s">
        <v>214</v>
      </c>
      <c r="B462" s="65" t="s">
        <v>558</v>
      </c>
      <c r="C462" s="66" t="s">
        <v>3534</v>
      </c>
      <c r="D462" s="67">
        <v>5</v>
      </c>
      <c r="E462" s="68"/>
      <c r="F462" s="69">
        <v>25</v>
      </c>
      <c r="G462" s="66"/>
      <c r="H462" s="70"/>
      <c r="I462" s="71"/>
      <c r="J462" s="71"/>
      <c r="K462" s="35" t="s">
        <v>65</v>
      </c>
      <c r="L462" s="79">
        <v>462</v>
      </c>
      <c r="M462" s="79"/>
      <c r="N462" s="73"/>
      <c r="O462" s="81" t="s">
        <v>613</v>
      </c>
      <c r="P462">
        <v>1</v>
      </c>
      <c r="Q462" s="80" t="str">
        <f>REPLACE(INDEX(GroupVertices[Group],MATCH(Edges[[#This Row],[Vertex 1]],GroupVertices[Vertex],0)),1,1,"")</f>
        <v>6</v>
      </c>
      <c r="R462" s="80" t="str">
        <f>REPLACE(INDEX(GroupVertices[Group],MATCH(Edges[[#This Row],[Vertex 2]],GroupVertices[Vertex],0)),1,1,"")</f>
        <v>7</v>
      </c>
      <c r="S462" s="35"/>
      <c r="T462" s="35"/>
      <c r="U462" s="35"/>
      <c r="V462" s="35"/>
      <c r="W462" s="35"/>
      <c r="X462" s="35"/>
      <c r="Y462" s="35"/>
      <c r="Z462" s="35"/>
      <c r="AA462" s="35"/>
    </row>
    <row r="463" spans="1:27" ht="15">
      <c r="A463" s="65" t="s">
        <v>214</v>
      </c>
      <c r="B463" s="65" t="s">
        <v>559</v>
      </c>
      <c r="C463" s="66" t="s">
        <v>3534</v>
      </c>
      <c r="D463" s="67">
        <v>5</v>
      </c>
      <c r="E463" s="68"/>
      <c r="F463" s="69">
        <v>25</v>
      </c>
      <c r="G463" s="66"/>
      <c r="H463" s="70"/>
      <c r="I463" s="71"/>
      <c r="J463" s="71"/>
      <c r="K463" s="35" t="s">
        <v>65</v>
      </c>
      <c r="L463" s="79">
        <v>463</v>
      </c>
      <c r="M463" s="79"/>
      <c r="N463" s="73"/>
      <c r="O463" s="81" t="s">
        <v>613</v>
      </c>
      <c r="P463">
        <v>1</v>
      </c>
      <c r="Q463" s="80" t="str">
        <f>REPLACE(INDEX(GroupVertices[Group],MATCH(Edges[[#This Row],[Vertex 1]],GroupVertices[Vertex],0)),1,1,"")</f>
        <v>6</v>
      </c>
      <c r="R463" s="80" t="str">
        <f>REPLACE(INDEX(GroupVertices[Group],MATCH(Edges[[#This Row],[Vertex 2]],GroupVertices[Vertex],0)),1,1,"")</f>
        <v>4</v>
      </c>
      <c r="S463" s="35"/>
      <c r="T463" s="35"/>
      <c r="U463" s="35"/>
      <c r="V463" s="35"/>
      <c r="W463" s="35"/>
      <c r="X463" s="35"/>
      <c r="Y463" s="35"/>
      <c r="Z463" s="35"/>
      <c r="AA463" s="35"/>
    </row>
    <row r="464" spans="1:27" ht="15">
      <c r="A464" s="65" t="s">
        <v>214</v>
      </c>
      <c r="B464" s="65" t="s">
        <v>560</v>
      </c>
      <c r="C464" s="66" t="s">
        <v>3534</v>
      </c>
      <c r="D464" s="67">
        <v>5</v>
      </c>
      <c r="E464" s="68"/>
      <c r="F464" s="69">
        <v>25</v>
      </c>
      <c r="G464" s="66"/>
      <c r="H464" s="70"/>
      <c r="I464" s="71"/>
      <c r="J464" s="71"/>
      <c r="K464" s="35" t="s">
        <v>65</v>
      </c>
      <c r="L464" s="79">
        <v>464</v>
      </c>
      <c r="M464" s="79"/>
      <c r="N464" s="73"/>
      <c r="O464" s="81" t="s">
        <v>613</v>
      </c>
      <c r="P464">
        <v>1</v>
      </c>
      <c r="Q464" s="80" t="str">
        <f>REPLACE(INDEX(GroupVertices[Group],MATCH(Edges[[#This Row],[Vertex 1]],GroupVertices[Vertex],0)),1,1,"")</f>
        <v>6</v>
      </c>
      <c r="R464" s="80" t="str">
        <f>REPLACE(INDEX(GroupVertices[Group],MATCH(Edges[[#This Row],[Vertex 2]],GroupVertices[Vertex],0)),1,1,"")</f>
        <v>5</v>
      </c>
      <c r="S464" s="35"/>
      <c r="T464" s="35"/>
      <c r="U464" s="35"/>
      <c r="V464" s="35"/>
      <c r="W464" s="35"/>
      <c r="X464" s="35"/>
      <c r="Y464" s="35"/>
      <c r="Z464" s="35"/>
      <c r="AA464" s="35"/>
    </row>
    <row r="465" spans="1:27" ht="15">
      <c r="A465" s="65" t="s">
        <v>214</v>
      </c>
      <c r="B465" s="65" t="s">
        <v>561</v>
      </c>
      <c r="C465" s="66" t="s">
        <v>3534</v>
      </c>
      <c r="D465" s="67">
        <v>5</v>
      </c>
      <c r="E465" s="68"/>
      <c r="F465" s="69">
        <v>25</v>
      </c>
      <c r="G465" s="66"/>
      <c r="H465" s="70"/>
      <c r="I465" s="71"/>
      <c r="J465" s="71"/>
      <c r="K465" s="35" t="s">
        <v>65</v>
      </c>
      <c r="L465" s="79">
        <v>465</v>
      </c>
      <c r="M465" s="79"/>
      <c r="N465" s="73"/>
      <c r="O465" s="81" t="s">
        <v>613</v>
      </c>
      <c r="P465">
        <v>1</v>
      </c>
      <c r="Q465" s="80" t="str">
        <f>REPLACE(INDEX(GroupVertices[Group],MATCH(Edges[[#This Row],[Vertex 1]],GroupVertices[Vertex],0)),1,1,"")</f>
        <v>6</v>
      </c>
      <c r="R465" s="80" t="str">
        <f>REPLACE(INDEX(GroupVertices[Group],MATCH(Edges[[#This Row],[Vertex 2]],GroupVertices[Vertex],0)),1,1,"")</f>
        <v>2</v>
      </c>
      <c r="S465" s="35"/>
      <c r="T465" s="35"/>
      <c r="U465" s="35"/>
      <c r="V465" s="35"/>
      <c r="W465" s="35"/>
      <c r="X465" s="35"/>
      <c r="Y465" s="35"/>
      <c r="Z465" s="35"/>
      <c r="AA465" s="35"/>
    </row>
    <row r="466" spans="1:27" ht="15">
      <c r="A466" s="65" t="s">
        <v>214</v>
      </c>
      <c r="B466" s="65" t="s">
        <v>375</v>
      </c>
      <c r="C466" s="66" t="s">
        <v>3534</v>
      </c>
      <c r="D466" s="67">
        <v>5</v>
      </c>
      <c r="E466" s="68"/>
      <c r="F466" s="69">
        <v>25</v>
      </c>
      <c r="G466" s="66"/>
      <c r="H466" s="70"/>
      <c r="I466" s="71"/>
      <c r="J466" s="71"/>
      <c r="K466" s="35" t="s">
        <v>65</v>
      </c>
      <c r="L466" s="79">
        <v>466</v>
      </c>
      <c r="M466" s="79"/>
      <c r="N466" s="73"/>
      <c r="O466" s="81" t="s">
        <v>613</v>
      </c>
      <c r="P466">
        <v>1</v>
      </c>
      <c r="Q466" s="80" t="str">
        <f>REPLACE(INDEX(GroupVertices[Group],MATCH(Edges[[#This Row],[Vertex 1]],GroupVertices[Vertex],0)),1,1,"")</f>
        <v>6</v>
      </c>
      <c r="R466" s="80" t="str">
        <f>REPLACE(INDEX(GroupVertices[Group],MATCH(Edges[[#This Row],[Vertex 2]],GroupVertices[Vertex],0)),1,1,"")</f>
        <v>5</v>
      </c>
      <c r="S466" s="35"/>
      <c r="T466" s="35"/>
      <c r="U466" s="35"/>
      <c r="V466" s="35"/>
      <c r="W466" s="35"/>
      <c r="X466" s="35"/>
      <c r="Y466" s="35"/>
      <c r="Z466" s="35"/>
      <c r="AA466" s="35"/>
    </row>
    <row r="467" spans="1:27" ht="15">
      <c r="A467" s="65" t="s">
        <v>214</v>
      </c>
      <c r="B467" s="65" t="s">
        <v>562</v>
      </c>
      <c r="C467" s="66" t="s">
        <v>3534</v>
      </c>
      <c r="D467" s="67">
        <v>5</v>
      </c>
      <c r="E467" s="68"/>
      <c r="F467" s="69">
        <v>25</v>
      </c>
      <c r="G467" s="66"/>
      <c r="H467" s="70"/>
      <c r="I467" s="71"/>
      <c r="J467" s="71"/>
      <c r="K467" s="35" t="s">
        <v>65</v>
      </c>
      <c r="L467" s="79">
        <v>467</v>
      </c>
      <c r="M467" s="79"/>
      <c r="N467" s="73"/>
      <c r="O467" s="81" t="s">
        <v>613</v>
      </c>
      <c r="P467">
        <v>1</v>
      </c>
      <c r="Q467" s="80" t="str">
        <f>REPLACE(INDEX(GroupVertices[Group],MATCH(Edges[[#This Row],[Vertex 1]],GroupVertices[Vertex],0)),1,1,"")</f>
        <v>6</v>
      </c>
      <c r="R467" s="80" t="str">
        <f>REPLACE(INDEX(GroupVertices[Group],MATCH(Edges[[#This Row],[Vertex 2]],GroupVertices[Vertex],0)),1,1,"")</f>
        <v>7</v>
      </c>
      <c r="S467" s="35"/>
      <c r="T467" s="35"/>
      <c r="U467" s="35"/>
      <c r="V467" s="35"/>
      <c r="W467" s="35"/>
      <c r="X467" s="35"/>
      <c r="Y467" s="35"/>
      <c r="Z467" s="35"/>
      <c r="AA467" s="35"/>
    </row>
    <row r="468" spans="1:27" ht="15">
      <c r="A468" s="65" t="s">
        <v>214</v>
      </c>
      <c r="B468" s="65" t="s">
        <v>216</v>
      </c>
      <c r="C468" s="66" t="s">
        <v>3534</v>
      </c>
      <c r="D468" s="67">
        <v>5</v>
      </c>
      <c r="E468" s="68"/>
      <c r="F468" s="69">
        <v>25</v>
      </c>
      <c r="G468" s="66"/>
      <c r="H468" s="70"/>
      <c r="I468" s="71"/>
      <c r="J468" s="71"/>
      <c r="K468" s="35" t="s">
        <v>66</v>
      </c>
      <c r="L468" s="79">
        <v>468</v>
      </c>
      <c r="M468" s="79"/>
      <c r="N468" s="73"/>
      <c r="O468" s="81" t="s">
        <v>613</v>
      </c>
      <c r="P468">
        <v>1</v>
      </c>
      <c r="Q468" s="80" t="str">
        <f>REPLACE(INDEX(GroupVertices[Group],MATCH(Edges[[#This Row],[Vertex 1]],GroupVertices[Vertex],0)),1,1,"")</f>
        <v>6</v>
      </c>
      <c r="R468" s="80" t="str">
        <f>REPLACE(INDEX(GroupVertices[Group],MATCH(Edges[[#This Row],[Vertex 2]],GroupVertices[Vertex],0)),1,1,"")</f>
        <v>2</v>
      </c>
      <c r="S468" s="35"/>
      <c r="T468" s="35"/>
      <c r="U468" s="35"/>
      <c r="V468" s="35"/>
      <c r="W468" s="35"/>
      <c r="X468" s="35"/>
      <c r="Y468" s="35"/>
      <c r="Z468" s="35"/>
      <c r="AA468" s="35"/>
    </row>
    <row r="469" spans="1:27" ht="15">
      <c r="A469" s="65" t="s">
        <v>214</v>
      </c>
      <c r="B469" s="65" t="s">
        <v>387</v>
      </c>
      <c r="C469" s="66" t="s">
        <v>3534</v>
      </c>
      <c r="D469" s="67">
        <v>5</v>
      </c>
      <c r="E469" s="68"/>
      <c r="F469" s="69">
        <v>25</v>
      </c>
      <c r="G469" s="66"/>
      <c r="H469" s="70"/>
      <c r="I469" s="71"/>
      <c r="J469" s="71"/>
      <c r="K469" s="35" t="s">
        <v>65</v>
      </c>
      <c r="L469" s="79">
        <v>469</v>
      </c>
      <c r="M469" s="79"/>
      <c r="N469" s="73"/>
      <c r="O469" s="81" t="s">
        <v>613</v>
      </c>
      <c r="P469">
        <v>1</v>
      </c>
      <c r="Q469" s="80" t="str">
        <f>REPLACE(INDEX(GroupVertices[Group],MATCH(Edges[[#This Row],[Vertex 1]],GroupVertices[Vertex],0)),1,1,"")</f>
        <v>6</v>
      </c>
      <c r="R469" s="80" t="str">
        <f>REPLACE(INDEX(GroupVertices[Group],MATCH(Edges[[#This Row],[Vertex 2]],GroupVertices[Vertex],0)),1,1,"")</f>
        <v>1</v>
      </c>
      <c r="S469" s="35"/>
      <c r="T469" s="35"/>
      <c r="U469" s="35"/>
      <c r="V469" s="35"/>
      <c r="W469" s="35"/>
      <c r="X469" s="35"/>
      <c r="Y469" s="35"/>
      <c r="Z469" s="35"/>
      <c r="AA469" s="35"/>
    </row>
    <row r="470" spans="1:27" ht="15">
      <c r="A470" s="65" t="s">
        <v>214</v>
      </c>
      <c r="B470" s="65" t="s">
        <v>563</v>
      </c>
      <c r="C470" s="66" t="s">
        <v>3534</v>
      </c>
      <c r="D470" s="67">
        <v>5</v>
      </c>
      <c r="E470" s="68"/>
      <c r="F470" s="69">
        <v>25</v>
      </c>
      <c r="G470" s="66"/>
      <c r="H470" s="70"/>
      <c r="I470" s="71"/>
      <c r="J470" s="71"/>
      <c r="K470" s="35" t="s">
        <v>65</v>
      </c>
      <c r="L470" s="79">
        <v>470</v>
      </c>
      <c r="M470" s="79"/>
      <c r="N470" s="73"/>
      <c r="O470" s="81" t="s">
        <v>613</v>
      </c>
      <c r="P470">
        <v>1</v>
      </c>
      <c r="Q470" s="80" t="str">
        <f>REPLACE(INDEX(GroupVertices[Group],MATCH(Edges[[#This Row],[Vertex 1]],GroupVertices[Vertex],0)),1,1,"")</f>
        <v>6</v>
      </c>
      <c r="R470" s="80" t="str">
        <f>REPLACE(INDEX(GroupVertices[Group],MATCH(Edges[[#This Row],[Vertex 2]],GroupVertices[Vertex],0)),1,1,"")</f>
        <v>5</v>
      </c>
      <c r="S470" s="35"/>
      <c r="T470" s="35"/>
      <c r="U470" s="35"/>
      <c r="V470" s="35"/>
      <c r="W470" s="35"/>
      <c r="X470" s="35"/>
      <c r="Y470" s="35"/>
      <c r="Z470" s="35"/>
      <c r="AA470" s="35"/>
    </row>
    <row r="471" spans="1:27" ht="15">
      <c r="A471" s="65" t="s">
        <v>214</v>
      </c>
      <c r="B471" s="65" t="s">
        <v>564</v>
      </c>
      <c r="C471" s="66" t="s">
        <v>3534</v>
      </c>
      <c r="D471" s="67">
        <v>5</v>
      </c>
      <c r="E471" s="68"/>
      <c r="F471" s="69">
        <v>25</v>
      </c>
      <c r="G471" s="66"/>
      <c r="H471" s="70"/>
      <c r="I471" s="71"/>
      <c r="J471" s="71"/>
      <c r="K471" s="35" t="s">
        <v>65</v>
      </c>
      <c r="L471" s="79">
        <v>471</v>
      </c>
      <c r="M471" s="79"/>
      <c r="N471" s="73"/>
      <c r="O471" s="81" t="s">
        <v>613</v>
      </c>
      <c r="P471">
        <v>1</v>
      </c>
      <c r="Q471" s="80" t="str">
        <f>REPLACE(INDEX(GroupVertices[Group],MATCH(Edges[[#This Row],[Vertex 1]],GroupVertices[Vertex],0)),1,1,"")</f>
        <v>6</v>
      </c>
      <c r="R471" s="80" t="str">
        <f>REPLACE(INDEX(GroupVertices[Group],MATCH(Edges[[#This Row],[Vertex 2]],GroupVertices[Vertex],0)),1,1,"")</f>
        <v>6</v>
      </c>
      <c r="S471" s="35"/>
      <c r="T471" s="35"/>
      <c r="U471" s="35"/>
      <c r="V471" s="35"/>
      <c r="W471" s="35"/>
      <c r="X471" s="35"/>
      <c r="Y471" s="35"/>
      <c r="Z471" s="35"/>
      <c r="AA471" s="35"/>
    </row>
    <row r="472" spans="1:27" ht="15">
      <c r="A472" s="65" t="s">
        <v>214</v>
      </c>
      <c r="B472" s="65" t="s">
        <v>565</v>
      </c>
      <c r="C472" s="66" t="s">
        <v>3534</v>
      </c>
      <c r="D472" s="67">
        <v>5</v>
      </c>
      <c r="E472" s="68"/>
      <c r="F472" s="69">
        <v>25</v>
      </c>
      <c r="G472" s="66"/>
      <c r="H472" s="70"/>
      <c r="I472" s="71"/>
      <c r="J472" s="71"/>
      <c r="K472" s="35" t="s">
        <v>65</v>
      </c>
      <c r="L472" s="79">
        <v>472</v>
      </c>
      <c r="M472" s="79"/>
      <c r="N472" s="73"/>
      <c r="O472" s="81" t="s">
        <v>613</v>
      </c>
      <c r="P472">
        <v>1</v>
      </c>
      <c r="Q472" s="80" t="str">
        <f>REPLACE(INDEX(GroupVertices[Group],MATCH(Edges[[#This Row],[Vertex 1]],GroupVertices[Vertex],0)),1,1,"")</f>
        <v>6</v>
      </c>
      <c r="R472" s="80" t="str">
        <f>REPLACE(INDEX(GroupVertices[Group],MATCH(Edges[[#This Row],[Vertex 2]],GroupVertices[Vertex],0)),1,1,"")</f>
        <v>5</v>
      </c>
      <c r="S472" s="35"/>
      <c r="T472" s="35"/>
      <c r="U472" s="35"/>
      <c r="V472" s="35"/>
      <c r="W472" s="35"/>
      <c r="X472" s="35"/>
      <c r="Y472" s="35"/>
      <c r="Z472" s="35"/>
      <c r="AA472" s="35"/>
    </row>
    <row r="473" spans="1:27" ht="15">
      <c r="A473" s="65" t="s">
        <v>214</v>
      </c>
      <c r="B473" s="65" t="s">
        <v>470</v>
      </c>
      <c r="C473" s="66" t="s">
        <v>3534</v>
      </c>
      <c r="D473" s="67">
        <v>5</v>
      </c>
      <c r="E473" s="68"/>
      <c r="F473" s="69">
        <v>25</v>
      </c>
      <c r="G473" s="66"/>
      <c r="H473" s="70"/>
      <c r="I473" s="71"/>
      <c r="J473" s="71"/>
      <c r="K473" s="35" t="s">
        <v>65</v>
      </c>
      <c r="L473" s="79">
        <v>473</v>
      </c>
      <c r="M473" s="79"/>
      <c r="N473" s="73"/>
      <c r="O473" s="81" t="s">
        <v>613</v>
      </c>
      <c r="P473">
        <v>1</v>
      </c>
      <c r="Q473" s="80" t="str">
        <f>REPLACE(INDEX(GroupVertices[Group],MATCH(Edges[[#This Row],[Vertex 1]],GroupVertices[Vertex],0)),1,1,"")</f>
        <v>6</v>
      </c>
      <c r="R473" s="80" t="str">
        <f>REPLACE(INDEX(GroupVertices[Group],MATCH(Edges[[#This Row],[Vertex 2]],GroupVertices[Vertex],0)),1,1,"")</f>
        <v>3</v>
      </c>
      <c r="S473" s="35"/>
      <c r="T473" s="35"/>
      <c r="U473" s="35"/>
      <c r="V473" s="35"/>
      <c r="W473" s="35"/>
      <c r="X473" s="35"/>
      <c r="Y473" s="35"/>
      <c r="Z473" s="35"/>
      <c r="AA473" s="35"/>
    </row>
    <row r="474" spans="1:27" ht="15">
      <c r="A474" s="65" t="s">
        <v>214</v>
      </c>
      <c r="B474" s="65" t="s">
        <v>384</v>
      </c>
      <c r="C474" s="66" t="s">
        <v>3534</v>
      </c>
      <c r="D474" s="67">
        <v>5</v>
      </c>
      <c r="E474" s="68"/>
      <c r="F474" s="69">
        <v>25</v>
      </c>
      <c r="G474" s="66"/>
      <c r="H474" s="70"/>
      <c r="I474" s="71"/>
      <c r="J474" s="71"/>
      <c r="K474" s="35" t="s">
        <v>65</v>
      </c>
      <c r="L474" s="79">
        <v>474</v>
      </c>
      <c r="M474" s="79"/>
      <c r="N474" s="73"/>
      <c r="O474" s="81" t="s">
        <v>613</v>
      </c>
      <c r="P474">
        <v>1</v>
      </c>
      <c r="Q474" s="80" t="str">
        <f>REPLACE(INDEX(GroupVertices[Group],MATCH(Edges[[#This Row],[Vertex 1]],GroupVertices[Vertex],0)),1,1,"")</f>
        <v>6</v>
      </c>
      <c r="R474" s="80" t="str">
        <f>REPLACE(INDEX(GroupVertices[Group],MATCH(Edges[[#This Row],[Vertex 2]],GroupVertices[Vertex],0)),1,1,"")</f>
        <v>4</v>
      </c>
      <c r="S474" s="35"/>
      <c r="T474" s="35"/>
      <c r="U474" s="35"/>
      <c r="V474" s="35"/>
      <c r="W474" s="35"/>
      <c r="X474" s="35"/>
      <c r="Y474" s="35"/>
      <c r="Z474" s="35"/>
      <c r="AA474" s="35"/>
    </row>
    <row r="475" spans="1:27" ht="15">
      <c r="A475" s="65" t="s">
        <v>214</v>
      </c>
      <c r="B475" s="65" t="s">
        <v>212</v>
      </c>
      <c r="C475" s="66" t="s">
        <v>3534</v>
      </c>
      <c r="D475" s="67">
        <v>5</v>
      </c>
      <c r="E475" s="68"/>
      <c r="F475" s="69">
        <v>25</v>
      </c>
      <c r="G475" s="66"/>
      <c r="H475" s="70"/>
      <c r="I475" s="71"/>
      <c r="J475" s="71"/>
      <c r="K475" s="35" t="s">
        <v>66</v>
      </c>
      <c r="L475" s="79">
        <v>475</v>
      </c>
      <c r="M475" s="79"/>
      <c r="N475" s="73"/>
      <c r="O475" s="81" t="s">
        <v>613</v>
      </c>
      <c r="P475">
        <v>1</v>
      </c>
      <c r="Q475" s="80" t="str">
        <f>REPLACE(INDEX(GroupVertices[Group],MATCH(Edges[[#This Row],[Vertex 1]],GroupVertices[Vertex],0)),1,1,"")</f>
        <v>6</v>
      </c>
      <c r="R475" s="80" t="str">
        <f>REPLACE(INDEX(GroupVertices[Group],MATCH(Edges[[#This Row],[Vertex 2]],GroupVertices[Vertex],0)),1,1,"")</f>
        <v>7</v>
      </c>
      <c r="S475" s="35"/>
      <c r="T475" s="35"/>
      <c r="U475" s="35"/>
      <c r="V475" s="35"/>
      <c r="W475" s="35"/>
      <c r="X475" s="35"/>
      <c r="Y475" s="35"/>
      <c r="Z475" s="35"/>
      <c r="AA475" s="35"/>
    </row>
    <row r="476" spans="1:27" ht="15">
      <c r="A476" s="65" t="s">
        <v>214</v>
      </c>
      <c r="B476" s="65" t="s">
        <v>378</v>
      </c>
      <c r="C476" s="66" t="s">
        <v>3534</v>
      </c>
      <c r="D476" s="67">
        <v>5</v>
      </c>
      <c r="E476" s="68"/>
      <c r="F476" s="69">
        <v>25</v>
      </c>
      <c r="G476" s="66"/>
      <c r="H476" s="70"/>
      <c r="I476" s="71"/>
      <c r="J476" s="71"/>
      <c r="K476" s="35" t="s">
        <v>65</v>
      </c>
      <c r="L476" s="79">
        <v>476</v>
      </c>
      <c r="M476" s="79"/>
      <c r="N476" s="73"/>
      <c r="O476" s="81" t="s">
        <v>613</v>
      </c>
      <c r="P476">
        <v>1</v>
      </c>
      <c r="Q476" s="80" t="str">
        <f>REPLACE(INDEX(GroupVertices[Group],MATCH(Edges[[#This Row],[Vertex 1]],GroupVertices[Vertex],0)),1,1,"")</f>
        <v>6</v>
      </c>
      <c r="R476" s="80" t="str">
        <f>REPLACE(INDEX(GroupVertices[Group],MATCH(Edges[[#This Row],[Vertex 2]],GroupVertices[Vertex],0)),1,1,"")</f>
        <v>6</v>
      </c>
      <c r="S476" s="35"/>
      <c r="T476" s="35"/>
      <c r="U476" s="35"/>
      <c r="V476" s="35"/>
      <c r="W476" s="35"/>
      <c r="X476" s="35"/>
      <c r="Y476" s="35"/>
      <c r="Z476" s="35"/>
      <c r="AA476" s="35"/>
    </row>
    <row r="477" spans="1:27" ht="15">
      <c r="A477" s="65" t="s">
        <v>214</v>
      </c>
      <c r="B477" s="65" t="s">
        <v>377</v>
      </c>
      <c r="C477" s="66" t="s">
        <v>3534</v>
      </c>
      <c r="D477" s="67">
        <v>5</v>
      </c>
      <c r="E477" s="68"/>
      <c r="F477" s="69">
        <v>25</v>
      </c>
      <c r="G477" s="66"/>
      <c r="H477" s="70"/>
      <c r="I477" s="71"/>
      <c r="J477" s="71"/>
      <c r="K477" s="35" t="s">
        <v>65</v>
      </c>
      <c r="L477" s="79">
        <v>477</v>
      </c>
      <c r="M477" s="79"/>
      <c r="N477" s="73"/>
      <c r="O477" s="81" t="s">
        <v>613</v>
      </c>
      <c r="P477">
        <v>1</v>
      </c>
      <c r="Q477" s="80" t="str">
        <f>REPLACE(INDEX(GroupVertices[Group],MATCH(Edges[[#This Row],[Vertex 1]],GroupVertices[Vertex],0)),1,1,"")</f>
        <v>6</v>
      </c>
      <c r="R477" s="80" t="str">
        <f>REPLACE(INDEX(GroupVertices[Group],MATCH(Edges[[#This Row],[Vertex 2]],GroupVertices[Vertex],0)),1,1,"")</f>
        <v>1</v>
      </c>
      <c r="S477" s="35"/>
      <c r="T477" s="35"/>
      <c r="U477" s="35"/>
      <c r="V477" s="35"/>
      <c r="W477" s="35"/>
      <c r="X477" s="35"/>
      <c r="Y477" s="35"/>
      <c r="Z477" s="35"/>
      <c r="AA477" s="35"/>
    </row>
    <row r="478" spans="1:27" ht="15">
      <c r="A478" s="65" t="s">
        <v>214</v>
      </c>
      <c r="B478" s="65" t="s">
        <v>385</v>
      </c>
      <c r="C478" s="66" t="s">
        <v>3534</v>
      </c>
      <c r="D478" s="67">
        <v>5</v>
      </c>
      <c r="E478" s="68"/>
      <c r="F478" s="69">
        <v>25</v>
      </c>
      <c r="G478" s="66"/>
      <c r="H478" s="70"/>
      <c r="I478" s="71"/>
      <c r="J478" s="71"/>
      <c r="K478" s="35" t="s">
        <v>65</v>
      </c>
      <c r="L478" s="79">
        <v>478</v>
      </c>
      <c r="M478" s="79"/>
      <c r="N478" s="73"/>
      <c r="O478" s="81" t="s">
        <v>613</v>
      </c>
      <c r="P478">
        <v>1</v>
      </c>
      <c r="Q478" s="80" t="str">
        <f>REPLACE(INDEX(GroupVertices[Group],MATCH(Edges[[#This Row],[Vertex 1]],GroupVertices[Vertex],0)),1,1,"")</f>
        <v>6</v>
      </c>
      <c r="R478" s="80" t="str">
        <f>REPLACE(INDEX(GroupVertices[Group],MATCH(Edges[[#This Row],[Vertex 2]],GroupVertices[Vertex],0)),1,1,"")</f>
        <v>6</v>
      </c>
      <c r="S478" s="35"/>
      <c r="T478" s="35"/>
      <c r="U478" s="35"/>
      <c r="V478" s="35"/>
      <c r="W478" s="35"/>
      <c r="X478" s="35"/>
      <c r="Y478" s="35"/>
      <c r="Z478" s="35"/>
      <c r="AA478" s="35"/>
    </row>
    <row r="479" spans="1:27" ht="15">
      <c r="A479" s="65" t="s">
        <v>214</v>
      </c>
      <c r="B479" s="65" t="s">
        <v>213</v>
      </c>
      <c r="C479" s="66" t="s">
        <v>3534</v>
      </c>
      <c r="D479" s="67">
        <v>5</v>
      </c>
      <c r="E479" s="68"/>
      <c r="F479" s="69">
        <v>25</v>
      </c>
      <c r="G479" s="66"/>
      <c r="H479" s="70"/>
      <c r="I479" s="71"/>
      <c r="J479" s="71"/>
      <c r="K479" s="35" t="s">
        <v>66</v>
      </c>
      <c r="L479" s="79">
        <v>479</v>
      </c>
      <c r="M479" s="79"/>
      <c r="N479" s="73"/>
      <c r="O479" s="81" t="s">
        <v>613</v>
      </c>
      <c r="P479">
        <v>1</v>
      </c>
      <c r="Q479" s="80" t="str">
        <f>REPLACE(INDEX(GroupVertices[Group],MATCH(Edges[[#This Row],[Vertex 1]],GroupVertices[Vertex],0)),1,1,"")</f>
        <v>6</v>
      </c>
      <c r="R479" s="80" t="str">
        <f>REPLACE(INDEX(GroupVertices[Group],MATCH(Edges[[#This Row],[Vertex 2]],GroupVertices[Vertex],0)),1,1,"")</f>
        <v>4</v>
      </c>
      <c r="S479" s="35"/>
      <c r="T479" s="35"/>
      <c r="U479" s="35"/>
      <c r="V479" s="35"/>
      <c r="W479" s="35"/>
      <c r="X479" s="35"/>
      <c r="Y479" s="35"/>
      <c r="Z479" s="35"/>
      <c r="AA479" s="35"/>
    </row>
    <row r="480" spans="1:27" ht="15">
      <c r="A480" s="65" t="s">
        <v>214</v>
      </c>
      <c r="B480" s="65" t="s">
        <v>393</v>
      </c>
      <c r="C480" s="66" t="s">
        <v>3534</v>
      </c>
      <c r="D480" s="67">
        <v>5</v>
      </c>
      <c r="E480" s="68"/>
      <c r="F480" s="69">
        <v>25</v>
      </c>
      <c r="G480" s="66"/>
      <c r="H480" s="70"/>
      <c r="I480" s="71"/>
      <c r="J480" s="71"/>
      <c r="K480" s="35" t="s">
        <v>65</v>
      </c>
      <c r="L480" s="79">
        <v>480</v>
      </c>
      <c r="M480" s="79"/>
      <c r="N480" s="73"/>
      <c r="O480" s="81" t="s">
        <v>613</v>
      </c>
      <c r="P480">
        <v>1</v>
      </c>
      <c r="Q480" s="80" t="str">
        <f>REPLACE(INDEX(GroupVertices[Group],MATCH(Edges[[#This Row],[Vertex 1]],GroupVertices[Vertex],0)),1,1,"")</f>
        <v>6</v>
      </c>
      <c r="R480" s="80" t="str">
        <f>REPLACE(INDEX(GroupVertices[Group],MATCH(Edges[[#This Row],[Vertex 2]],GroupVertices[Vertex],0)),1,1,"")</f>
        <v>1</v>
      </c>
      <c r="S480" s="35"/>
      <c r="T480" s="35"/>
      <c r="U480" s="35"/>
      <c r="V480" s="35"/>
      <c r="W480" s="35"/>
      <c r="X480" s="35"/>
      <c r="Y480" s="35"/>
      <c r="Z480" s="35"/>
      <c r="AA480" s="35"/>
    </row>
    <row r="481" spans="1:27" ht="15">
      <c r="A481" s="65" t="s">
        <v>214</v>
      </c>
      <c r="B481" s="65" t="s">
        <v>379</v>
      </c>
      <c r="C481" s="66" t="s">
        <v>3534</v>
      </c>
      <c r="D481" s="67">
        <v>5</v>
      </c>
      <c r="E481" s="68"/>
      <c r="F481" s="69">
        <v>25</v>
      </c>
      <c r="G481" s="66"/>
      <c r="H481" s="70"/>
      <c r="I481" s="71"/>
      <c r="J481" s="71"/>
      <c r="K481" s="35" t="s">
        <v>65</v>
      </c>
      <c r="L481" s="79">
        <v>481</v>
      </c>
      <c r="M481" s="79"/>
      <c r="N481" s="73"/>
      <c r="O481" s="81" t="s">
        <v>613</v>
      </c>
      <c r="P481">
        <v>1</v>
      </c>
      <c r="Q481" s="80" t="str">
        <f>REPLACE(INDEX(GroupVertices[Group],MATCH(Edges[[#This Row],[Vertex 1]],GroupVertices[Vertex],0)),1,1,"")</f>
        <v>6</v>
      </c>
      <c r="R481" s="80" t="str">
        <f>REPLACE(INDEX(GroupVertices[Group],MATCH(Edges[[#This Row],[Vertex 2]],GroupVertices[Vertex],0)),1,1,"")</f>
        <v>6</v>
      </c>
      <c r="S481" s="35"/>
      <c r="T481" s="35"/>
      <c r="U481" s="35"/>
      <c r="V481" s="35"/>
      <c r="W481" s="35"/>
      <c r="X481" s="35"/>
      <c r="Y481" s="35"/>
      <c r="Z481" s="35"/>
      <c r="AA481" s="35"/>
    </row>
    <row r="482" spans="1:27" ht="15">
      <c r="A482" s="65" t="s">
        <v>214</v>
      </c>
      <c r="B482" s="65" t="s">
        <v>219</v>
      </c>
      <c r="C482" s="66" t="s">
        <v>3534</v>
      </c>
      <c r="D482" s="67">
        <v>5</v>
      </c>
      <c r="E482" s="68"/>
      <c r="F482" s="69">
        <v>25</v>
      </c>
      <c r="G482" s="66"/>
      <c r="H482" s="70"/>
      <c r="I482" s="71"/>
      <c r="J482" s="71"/>
      <c r="K482" s="35" t="s">
        <v>66</v>
      </c>
      <c r="L482" s="79">
        <v>482</v>
      </c>
      <c r="M482" s="79"/>
      <c r="N482" s="73"/>
      <c r="O482" s="81" t="s">
        <v>613</v>
      </c>
      <c r="P482">
        <v>1</v>
      </c>
      <c r="Q482" s="80" t="str">
        <f>REPLACE(INDEX(GroupVertices[Group],MATCH(Edges[[#This Row],[Vertex 1]],GroupVertices[Vertex],0)),1,1,"")</f>
        <v>6</v>
      </c>
      <c r="R482" s="80" t="str">
        <f>REPLACE(INDEX(GroupVertices[Group],MATCH(Edges[[#This Row],[Vertex 2]],GroupVertices[Vertex],0)),1,1,"")</f>
        <v>5</v>
      </c>
      <c r="S482" s="35"/>
      <c r="T482" s="35"/>
      <c r="U482" s="35"/>
      <c r="V482" s="35"/>
      <c r="W482" s="35"/>
      <c r="X482" s="35"/>
      <c r="Y482" s="35"/>
      <c r="Z482" s="35"/>
      <c r="AA482" s="35"/>
    </row>
    <row r="483" spans="1:27" ht="15">
      <c r="A483" s="65" t="s">
        <v>216</v>
      </c>
      <c r="B483" s="65" t="s">
        <v>214</v>
      </c>
      <c r="C483" s="66" t="s">
        <v>3534</v>
      </c>
      <c r="D483" s="67">
        <v>5</v>
      </c>
      <c r="E483" s="68"/>
      <c r="F483" s="69">
        <v>25</v>
      </c>
      <c r="G483" s="66"/>
      <c r="H483" s="70"/>
      <c r="I483" s="71"/>
      <c r="J483" s="71"/>
      <c r="K483" s="35" t="s">
        <v>66</v>
      </c>
      <c r="L483" s="79">
        <v>483</v>
      </c>
      <c r="M483" s="79"/>
      <c r="N483" s="73"/>
      <c r="O483" s="81" t="s">
        <v>613</v>
      </c>
      <c r="P483">
        <v>1</v>
      </c>
      <c r="Q483" s="80" t="str">
        <f>REPLACE(INDEX(GroupVertices[Group],MATCH(Edges[[#This Row],[Vertex 1]],GroupVertices[Vertex],0)),1,1,"")</f>
        <v>2</v>
      </c>
      <c r="R483" s="80" t="str">
        <f>REPLACE(INDEX(GroupVertices[Group],MATCH(Edges[[#This Row],[Vertex 2]],GroupVertices[Vertex],0)),1,1,"")</f>
        <v>6</v>
      </c>
      <c r="S483" s="35"/>
      <c r="T483" s="35"/>
      <c r="U483" s="35"/>
      <c r="V483" s="35"/>
      <c r="W483" s="35"/>
      <c r="X483" s="35"/>
      <c r="Y483" s="35"/>
      <c r="Z483" s="35"/>
      <c r="AA483" s="35"/>
    </row>
    <row r="484" spans="1:27" ht="15">
      <c r="A484" s="65" t="s">
        <v>219</v>
      </c>
      <c r="B484" s="65" t="s">
        <v>214</v>
      </c>
      <c r="C484" s="66" t="s">
        <v>3534</v>
      </c>
      <c r="D484" s="67">
        <v>5</v>
      </c>
      <c r="E484" s="68"/>
      <c r="F484" s="69">
        <v>25</v>
      </c>
      <c r="G484" s="66"/>
      <c r="H484" s="70"/>
      <c r="I484" s="71"/>
      <c r="J484" s="71"/>
      <c r="K484" s="35" t="s">
        <v>66</v>
      </c>
      <c r="L484" s="79">
        <v>484</v>
      </c>
      <c r="M484" s="79"/>
      <c r="N484" s="73"/>
      <c r="O484" s="81" t="s">
        <v>613</v>
      </c>
      <c r="P484">
        <v>1</v>
      </c>
      <c r="Q484" s="80" t="str">
        <f>REPLACE(INDEX(GroupVertices[Group],MATCH(Edges[[#This Row],[Vertex 1]],GroupVertices[Vertex],0)),1,1,"")</f>
        <v>5</v>
      </c>
      <c r="R484" s="80" t="str">
        <f>REPLACE(INDEX(GroupVertices[Group],MATCH(Edges[[#This Row],[Vertex 2]],GroupVertices[Vertex],0)),1,1,"")</f>
        <v>6</v>
      </c>
      <c r="S484" s="35"/>
      <c r="T484" s="35"/>
      <c r="U484" s="35"/>
      <c r="V484" s="35"/>
      <c r="W484" s="35"/>
      <c r="X484" s="35"/>
      <c r="Y484" s="35"/>
      <c r="Z484" s="35"/>
      <c r="AA484" s="35"/>
    </row>
    <row r="485" spans="1:27" ht="15">
      <c r="A485" s="65" t="s">
        <v>216</v>
      </c>
      <c r="B485" s="65" t="s">
        <v>566</v>
      </c>
      <c r="C485" s="66" t="s">
        <v>3534</v>
      </c>
      <c r="D485" s="67">
        <v>5</v>
      </c>
      <c r="E485" s="68"/>
      <c r="F485" s="69">
        <v>25</v>
      </c>
      <c r="G485" s="66"/>
      <c r="H485" s="70"/>
      <c r="I485" s="71"/>
      <c r="J485" s="71"/>
      <c r="K485" s="35" t="s">
        <v>65</v>
      </c>
      <c r="L485" s="79">
        <v>485</v>
      </c>
      <c r="M485" s="79"/>
      <c r="N485" s="73"/>
      <c r="O485" s="81" t="s">
        <v>613</v>
      </c>
      <c r="P485">
        <v>1</v>
      </c>
      <c r="Q485" s="80" t="str">
        <f>REPLACE(INDEX(GroupVertices[Group],MATCH(Edges[[#This Row],[Vertex 1]],GroupVertices[Vertex],0)),1,1,"")</f>
        <v>2</v>
      </c>
      <c r="R485" s="80" t="str">
        <f>REPLACE(INDEX(GroupVertices[Group],MATCH(Edges[[#This Row],[Vertex 2]],GroupVertices[Vertex],0)),1,1,"")</f>
        <v>5</v>
      </c>
      <c r="S485" s="35"/>
      <c r="T485" s="35"/>
      <c r="U485" s="35"/>
      <c r="V485" s="35"/>
      <c r="W485" s="35"/>
      <c r="X485" s="35"/>
      <c r="Y485" s="35"/>
      <c r="Z485" s="35"/>
      <c r="AA485" s="35"/>
    </row>
    <row r="486" spans="1:27" ht="15">
      <c r="A486" s="65" t="s">
        <v>219</v>
      </c>
      <c r="B486" s="65" t="s">
        <v>566</v>
      </c>
      <c r="C486" s="66" t="s">
        <v>3534</v>
      </c>
      <c r="D486" s="67">
        <v>5</v>
      </c>
      <c r="E486" s="68"/>
      <c r="F486" s="69">
        <v>25</v>
      </c>
      <c r="G486" s="66"/>
      <c r="H486" s="70"/>
      <c r="I486" s="71"/>
      <c r="J486" s="71"/>
      <c r="K486" s="35" t="s">
        <v>65</v>
      </c>
      <c r="L486" s="79">
        <v>486</v>
      </c>
      <c r="M486" s="79"/>
      <c r="N486" s="73"/>
      <c r="O486" s="81" t="s">
        <v>613</v>
      </c>
      <c r="P486">
        <v>1</v>
      </c>
      <c r="Q486" s="80" t="str">
        <f>REPLACE(INDEX(GroupVertices[Group],MATCH(Edges[[#This Row],[Vertex 1]],GroupVertices[Vertex],0)),1,1,"")</f>
        <v>5</v>
      </c>
      <c r="R486" s="80" t="str">
        <f>REPLACE(INDEX(GroupVertices[Group],MATCH(Edges[[#This Row],[Vertex 2]],GroupVertices[Vertex],0)),1,1,"")</f>
        <v>5</v>
      </c>
      <c r="S486" s="35"/>
      <c r="T486" s="35"/>
      <c r="U486" s="35"/>
      <c r="V486" s="35"/>
      <c r="W486" s="35"/>
      <c r="X486" s="35"/>
      <c r="Y486" s="35"/>
      <c r="Z486" s="35"/>
      <c r="AA486" s="35"/>
    </row>
    <row r="487" spans="1:27" ht="15">
      <c r="A487" s="65" t="s">
        <v>219</v>
      </c>
      <c r="B487" s="65" t="s">
        <v>522</v>
      </c>
      <c r="C487" s="66" t="s">
        <v>3534</v>
      </c>
      <c r="D487" s="67">
        <v>5</v>
      </c>
      <c r="E487" s="68"/>
      <c r="F487" s="69">
        <v>25</v>
      </c>
      <c r="G487" s="66"/>
      <c r="H487" s="70"/>
      <c r="I487" s="71"/>
      <c r="J487" s="71"/>
      <c r="K487" s="35" t="s">
        <v>65</v>
      </c>
      <c r="L487" s="79">
        <v>487</v>
      </c>
      <c r="M487" s="79"/>
      <c r="N487" s="73"/>
      <c r="O487" s="81" t="s">
        <v>613</v>
      </c>
      <c r="P487">
        <v>1</v>
      </c>
      <c r="Q487" s="80" t="str">
        <f>REPLACE(INDEX(GroupVertices[Group],MATCH(Edges[[#This Row],[Vertex 1]],GroupVertices[Vertex],0)),1,1,"")</f>
        <v>5</v>
      </c>
      <c r="R487" s="80" t="str">
        <f>REPLACE(INDEX(GroupVertices[Group],MATCH(Edges[[#This Row],[Vertex 2]],GroupVertices[Vertex],0)),1,1,"")</f>
        <v>3</v>
      </c>
      <c r="S487" s="35"/>
      <c r="T487" s="35"/>
      <c r="U487" s="35"/>
      <c r="V487" s="35"/>
      <c r="W487" s="35"/>
      <c r="X487" s="35"/>
      <c r="Y487" s="35"/>
      <c r="Z487" s="35"/>
      <c r="AA487" s="35"/>
    </row>
    <row r="488" spans="1:27" ht="15">
      <c r="A488" s="65" t="s">
        <v>219</v>
      </c>
      <c r="B488" s="65" t="s">
        <v>567</v>
      </c>
      <c r="C488" s="66" t="s">
        <v>3534</v>
      </c>
      <c r="D488" s="67">
        <v>5</v>
      </c>
      <c r="E488" s="68"/>
      <c r="F488" s="69">
        <v>25</v>
      </c>
      <c r="G488" s="66"/>
      <c r="H488" s="70"/>
      <c r="I488" s="71"/>
      <c r="J488" s="71"/>
      <c r="K488" s="35" t="s">
        <v>65</v>
      </c>
      <c r="L488" s="79">
        <v>488</v>
      </c>
      <c r="M488" s="79"/>
      <c r="N488" s="73"/>
      <c r="O488" s="81" t="s">
        <v>613</v>
      </c>
      <c r="P488">
        <v>1</v>
      </c>
      <c r="Q488" s="80" t="str">
        <f>REPLACE(INDEX(GroupVertices[Group],MATCH(Edges[[#This Row],[Vertex 1]],GroupVertices[Vertex],0)),1,1,"")</f>
        <v>5</v>
      </c>
      <c r="R488" s="80" t="str">
        <f>REPLACE(INDEX(GroupVertices[Group],MATCH(Edges[[#This Row],[Vertex 2]],GroupVertices[Vertex],0)),1,1,"")</f>
        <v>5</v>
      </c>
      <c r="S488" s="35"/>
      <c r="T488" s="35"/>
      <c r="U488" s="35"/>
      <c r="V488" s="35"/>
      <c r="W488" s="35"/>
      <c r="X488" s="35"/>
      <c r="Y488" s="35"/>
      <c r="Z488" s="35"/>
      <c r="AA488" s="35"/>
    </row>
    <row r="489" spans="1:27" ht="15">
      <c r="A489" s="65" t="s">
        <v>219</v>
      </c>
      <c r="B489" s="65" t="s">
        <v>568</v>
      </c>
      <c r="C489" s="66" t="s">
        <v>3534</v>
      </c>
      <c r="D489" s="67">
        <v>5</v>
      </c>
      <c r="E489" s="68"/>
      <c r="F489" s="69">
        <v>25</v>
      </c>
      <c r="G489" s="66"/>
      <c r="H489" s="70"/>
      <c r="I489" s="71"/>
      <c r="J489" s="71"/>
      <c r="K489" s="35" t="s">
        <v>65</v>
      </c>
      <c r="L489" s="79">
        <v>489</v>
      </c>
      <c r="M489" s="79"/>
      <c r="N489" s="73"/>
      <c r="O489" s="81" t="s">
        <v>613</v>
      </c>
      <c r="P489">
        <v>1</v>
      </c>
      <c r="Q489" s="80" t="str">
        <f>REPLACE(INDEX(GroupVertices[Group],MATCH(Edges[[#This Row],[Vertex 1]],GroupVertices[Vertex],0)),1,1,"")</f>
        <v>5</v>
      </c>
      <c r="R489" s="80" t="str">
        <f>REPLACE(INDEX(GroupVertices[Group],MATCH(Edges[[#This Row],[Vertex 2]],GroupVertices[Vertex],0)),1,1,"")</f>
        <v>5</v>
      </c>
      <c r="S489" s="35"/>
      <c r="T489" s="35"/>
      <c r="U489" s="35"/>
      <c r="V489" s="35"/>
      <c r="W489" s="35"/>
      <c r="X489" s="35"/>
      <c r="Y489" s="35"/>
      <c r="Z489" s="35"/>
      <c r="AA489" s="35"/>
    </row>
    <row r="490" spans="1:27" ht="15">
      <c r="A490" s="65" t="s">
        <v>219</v>
      </c>
      <c r="B490" s="65" t="s">
        <v>569</v>
      </c>
      <c r="C490" s="66" t="s">
        <v>3534</v>
      </c>
      <c r="D490" s="67">
        <v>5</v>
      </c>
      <c r="E490" s="68"/>
      <c r="F490" s="69">
        <v>25</v>
      </c>
      <c r="G490" s="66"/>
      <c r="H490" s="70"/>
      <c r="I490" s="71"/>
      <c r="J490" s="71"/>
      <c r="K490" s="35" t="s">
        <v>65</v>
      </c>
      <c r="L490" s="79">
        <v>490</v>
      </c>
      <c r="M490" s="79"/>
      <c r="N490" s="73"/>
      <c r="O490" s="81" t="s">
        <v>613</v>
      </c>
      <c r="P490">
        <v>1</v>
      </c>
      <c r="Q490" s="80" t="str">
        <f>REPLACE(INDEX(GroupVertices[Group],MATCH(Edges[[#This Row],[Vertex 1]],GroupVertices[Vertex],0)),1,1,"")</f>
        <v>5</v>
      </c>
      <c r="R490" s="80" t="str">
        <f>REPLACE(INDEX(GroupVertices[Group],MATCH(Edges[[#This Row],[Vertex 2]],GroupVertices[Vertex],0)),1,1,"")</f>
        <v>5</v>
      </c>
      <c r="S490" s="35"/>
      <c r="T490" s="35"/>
      <c r="U490" s="35"/>
      <c r="V490" s="35"/>
      <c r="W490" s="35"/>
      <c r="X490" s="35"/>
      <c r="Y490" s="35"/>
      <c r="Z490" s="35"/>
      <c r="AA490" s="35"/>
    </row>
    <row r="491" spans="1:27" ht="15">
      <c r="A491" s="65" t="s">
        <v>219</v>
      </c>
      <c r="B491" s="65" t="s">
        <v>570</v>
      </c>
      <c r="C491" s="66" t="s">
        <v>3534</v>
      </c>
      <c r="D491" s="67">
        <v>5</v>
      </c>
      <c r="E491" s="68"/>
      <c r="F491" s="69">
        <v>25</v>
      </c>
      <c r="G491" s="66"/>
      <c r="H491" s="70"/>
      <c r="I491" s="71"/>
      <c r="J491" s="71"/>
      <c r="K491" s="35" t="s">
        <v>65</v>
      </c>
      <c r="L491" s="79">
        <v>491</v>
      </c>
      <c r="M491" s="79"/>
      <c r="N491" s="73"/>
      <c r="O491" s="81" t="s">
        <v>613</v>
      </c>
      <c r="P491">
        <v>1</v>
      </c>
      <c r="Q491" s="80" t="str">
        <f>REPLACE(INDEX(GroupVertices[Group],MATCH(Edges[[#This Row],[Vertex 1]],GroupVertices[Vertex],0)),1,1,"")</f>
        <v>5</v>
      </c>
      <c r="R491" s="80" t="str">
        <f>REPLACE(INDEX(GroupVertices[Group],MATCH(Edges[[#This Row],[Vertex 2]],GroupVertices[Vertex],0)),1,1,"")</f>
        <v>5</v>
      </c>
      <c r="S491" s="35"/>
      <c r="T491" s="35"/>
      <c r="U491" s="35"/>
      <c r="V491" s="35"/>
      <c r="W491" s="35"/>
      <c r="X491" s="35"/>
      <c r="Y491" s="35"/>
      <c r="Z491" s="35"/>
      <c r="AA491" s="35"/>
    </row>
    <row r="492" spans="1:27" ht="15">
      <c r="A492" s="65" t="s">
        <v>212</v>
      </c>
      <c r="B492" s="65" t="s">
        <v>378</v>
      </c>
      <c r="C492" s="66" t="s">
        <v>3534</v>
      </c>
      <c r="D492" s="67">
        <v>5</v>
      </c>
      <c r="E492" s="68"/>
      <c r="F492" s="69">
        <v>25</v>
      </c>
      <c r="G492" s="66"/>
      <c r="H492" s="70"/>
      <c r="I492" s="71"/>
      <c r="J492" s="71"/>
      <c r="K492" s="35" t="s">
        <v>65</v>
      </c>
      <c r="L492" s="79">
        <v>492</v>
      </c>
      <c r="M492" s="79"/>
      <c r="N492" s="73"/>
      <c r="O492" s="81" t="s">
        <v>613</v>
      </c>
      <c r="P492">
        <v>1</v>
      </c>
      <c r="Q492" s="80" t="str">
        <f>REPLACE(INDEX(GroupVertices[Group],MATCH(Edges[[#This Row],[Vertex 1]],GroupVertices[Vertex],0)),1,1,"")</f>
        <v>7</v>
      </c>
      <c r="R492" s="80" t="str">
        <f>REPLACE(INDEX(GroupVertices[Group],MATCH(Edges[[#This Row],[Vertex 2]],GroupVertices[Vertex],0)),1,1,"")</f>
        <v>6</v>
      </c>
      <c r="S492" s="35"/>
      <c r="T492" s="35"/>
      <c r="U492" s="35"/>
      <c r="V492" s="35"/>
      <c r="W492" s="35"/>
      <c r="X492" s="35"/>
      <c r="Y492" s="35"/>
      <c r="Z492" s="35"/>
      <c r="AA492" s="35"/>
    </row>
    <row r="493" spans="1:27" ht="15">
      <c r="A493" s="65" t="s">
        <v>213</v>
      </c>
      <c r="B493" s="65" t="s">
        <v>378</v>
      </c>
      <c r="C493" s="66" t="s">
        <v>3534</v>
      </c>
      <c r="D493" s="67">
        <v>5</v>
      </c>
      <c r="E493" s="68"/>
      <c r="F493" s="69">
        <v>25</v>
      </c>
      <c r="G493" s="66"/>
      <c r="H493" s="70"/>
      <c r="I493" s="71"/>
      <c r="J493" s="71"/>
      <c r="K493" s="35" t="s">
        <v>65</v>
      </c>
      <c r="L493" s="79">
        <v>493</v>
      </c>
      <c r="M493" s="79"/>
      <c r="N493" s="73"/>
      <c r="O493" s="81" t="s">
        <v>613</v>
      </c>
      <c r="P493">
        <v>1</v>
      </c>
      <c r="Q493" s="80" t="str">
        <f>REPLACE(INDEX(GroupVertices[Group],MATCH(Edges[[#This Row],[Vertex 1]],GroupVertices[Vertex],0)),1,1,"")</f>
        <v>4</v>
      </c>
      <c r="R493" s="80" t="str">
        <f>REPLACE(INDEX(GroupVertices[Group],MATCH(Edges[[#This Row],[Vertex 2]],GroupVertices[Vertex],0)),1,1,"")</f>
        <v>6</v>
      </c>
      <c r="S493" s="35"/>
      <c r="T493" s="35"/>
      <c r="U493" s="35"/>
      <c r="V493" s="35"/>
      <c r="W493" s="35"/>
      <c r="X493" s="35"/>
      <c r="Y493" s="35"/>
      <c r="Z493" s="35"/>
      <c r="AA493" s="35"/>
    </row>
    <row r="494" spans="1:27" ht="15">
      <c r="A494" s="65" t="s">
        <v>216</v>
      </c>
      <c r="B494" s="65" t="s">
        <v>378</v>
      </c>
      <c r="C494" s="66" t="s">
        <v>3534</v>
      </c>
      <c r="D494" s="67">
        <v>5</v>
      </c>
      <c r="E494" s="68"/>
      <c r="F494" s="69">
        <v>25</v>
      </c>
      <c r="G494" s="66"/>
      <c r="H494" s="70"/>
      <c r="I494" s="71"/>
      <c r="J494" s="71"/>
      <c r="K494" s="35" t="s">
        <v>65</v>
      </c>
      <c r="L494" s="79">
        <v>494</v>
      </c>
      <c r="M494" s="79"/>
      <c r="N494" s="73"/>
      <c r="O494" s="81" t="s">
        <v>613</v>
      </c>
      <c r="P494">
        <v>1</v>
      </c>
      <c r="Q494" s="80" t="str">
        <f>REPLACE(INDEX(GroupVertices[Group],MATCH(Edges[[#This Row],[Vertex 1]],GroupVertices[Vertex],0)),1,1,"")</f>
        <v>2</v>
      </c>
      <c r="R494" s="80" t="str">
        <f>REPLACE(INDEX(GroupVertices[Group],MATCH(Edges[[#This Row],[Vertex 2]],GroupVertices[Vertex],0)),1,1,"")</f>
        <v>6</v>
      </c>
      <c r="S494" s="35"/>
      <c r="T494" s="35"/>
      <c r="U494" s="35"/>
      <c r="V494" s="35"/>
      <c r="W494" s="35"/>
      <c r="X494" s="35"/>
      <c r="Y494" s="35"/>
      <c r="Z494" s="35"/>
      <c r="AA494" s="35"/>
    </row>
    <row r="495" spans="1:27" ht="15">
      <c r="A495" s="65" t="s">
        <v>219</v>
      </c>
      <c r="B495" s="65" t="s">
        <v>378</v>
      </c>
      <c r="C495" s="66" t="s">
        <v>3534</v>
      </c>
      <c r="D495" s="67">
        <v>5</v>
      </c>
      <c r="E495" s="68"/>
      <c r="F495" s="69">
        <v>25</v>
      </c>
      <c r="G495" s="66"/>
      <c r="H495" s="70"/>
      <c r="I495" s="71"/>
      <c r="J495" s="71"/>
      <c r="K495" s="35" t="s">
        <v>65</v>
      </c>
      <c r="L495" s="79">
        <v>495</v>
      </c>
      <c r="M495" s="79"/>
      <c r="N495" s="73"/>
      <c r="O495" s="81" t="s">
        <v>613</v>
      </c>
      <c r="P495">
        <v>1</v>
      </c>
      <c r="Q495" s="80" t="str">
        <f>REPLACE(INDEX(GroupVertices[Group],MATCH(Edges[[#This Row],[Vertex 1]],GroupVertices[Vertex],0)),1,1,"")</f>
        <v>5</v>
      </c>
      <c r="R495" s="80" t="str">
        <f>REPLACE(INDEX(GroupVertices[Group],MATCH(Edges[[#This Row],[Vertex 2]],GroupVertices[Vertex],0)),1,1,"")</f>
        <v>6</v>
      </c>
      <c r="S495" s="35"/>
      <c r="T495" s="35"/>
      <c r="U495" s="35"/>
      <c r="V495" s="35"/>
      <c r="W495" s="35"/>
      <c r="X495" s="35"/>
      <c r="Y495" s="35"/>
      <c r="Z495" s="35"/>
      <c r="AA495" s="35"/>
    </row>
    <row r="496" spans="1:27" ht="15">
      <c r="A496" s="65" t="s">
        <v>212</v>
      </c>
      <c r="B496" s="65" t="s">
        <v>560</v>
      </c>
      <c r="C496" s="66" t="s">
        <v>3534</v>
      </c>
      <c r="D496" s="67">
        <v>5</v>
      </c>
      <c r="E496" s="68"/>
      <c r="F496" s="69">
        <v>25</v>
      </c>
      <c r="G496" s="66"/>
      <c r="H496" s="70"/>
      <c r="I496" s="71"/>
      <c r="J496" s="71"/>
      <c r="K496" s="35" t="s">
        <v>65</v>
      </c>
      <c r="L496" s="79">
        <v>496</v>
      </c>
      <c r="M496" s="79"/>
      <c r="N496" s="73"/>
      <c r="O496" s="81" t="s">
        <v>613</v>
      </c>
      <c r="P496">
        <v>1</v>
      </c>
      <c r="Q496" s="80" t="str">
        <f>REPLACE(INDEX(GroupVertices[Group],MATCH(Edges[[#This Row],[Vertex 1]],GroupVertices[Vertex],0)),1,1,"")</f>
        <v>7</v>
      </c>
      <c r="R496" s="80" t="str">
        <f>REPLACE(INDEX(GroupVertices[Group],MATCH(Edges[[#This Row],[Vertex 2]],GroupVertices[Vertex],0)),1,1,"")</f>
        <v>5</v>
      </c>
      <c r="S496" s="35"/>
      <c r="T496" s="35"/>
      <c r="U496" s="35"/>
      <c r="V496" s="35"/>
      <c r="W496" s="35"/>
      <c r="X496" s="35"/>
      <c r="Y496" s="35"/>
      <c r="Z496" s="35"/>
      <c r="AA496" s="35"/>
    </row>
    <row r="497" spans="1:27" ht="15">
      <c r="A497" s="65" t="s">
        <v>213</v>
      </c>
      <c r="B497" s="65" t="s">
        <v>560</v>
      </c>
      <c r="C497" s="66" t="s">
        <v>3534</v>
      </c>
      <c r="D497" s="67">
        <v>5</v>
      </c>
      <c r="E497" s="68"/>
      <c r="F497" s="69">
        <v>25</v>
      </c>
      <c r="G497" s="66"/>
      <c r="H497" s="70"/>
      <c r="I497" s="71"/>
      <c r="J497" s="71"/>
      <c r="K497" s="35" t="s">
        <v>65</v>
      </c>
      <c r="L497" s="79">
        <v>497</v>
      </c>
      <c r="M497" s="79"/>
      <c r="N497" s="73"/>
      <c r="O497" s="81" t="s">
        <v>613</v>
      </c>
      <c r="P497">
        <v>1</v>
      </c>
      <c r="Q497" s="80" t="str">
        <f>REPLACE(INDEX(GroupVertices[Group],MATCH(Edges[[#This Row],[Vertex 1]],GroupVertices[Vertex],0)),1,1,"")</f>
        <v>4</v>
      </c>
      <c r="R497" s="80" t="str">
        <f>REPLACE(INDEX(GroupVertices[Group],MATCH(Edges[[#This Row],[Vertex 2]],GroupVertices[Vertex],0)),1,1,"")</f>
        <v>5</v>
      </c>
      <c r="S497" s="35"/>
      <c r="T497" s="35"/>
      <c r="U497" s="35"/>
      <c r="V497" s="35"/>
      <c r="W497" s="35"/>
      <c r="X497" s="35"/>
      <c r="Y497" s="35"/>
      <c r="Z497" s="35"/>
      <c r="AA497" s="35"/>
    </row>
    <row r="498" spans="1:27" ht="15">
      <c r="A498" s="65" t="s">
        <v>216</v>
      </c>
      <c r="B498" s="65" t="s">
        <v>560</v>
      </c>
      <c r="C498" s="66" t="s">
        <v>3534</v>
      </c>
      <c r="D498" s="67">
        <v>5</v>
      </c>
      <c r="E498" s="68"/>
      <c r="F498" s="69">
        <v>25</v>
      </c>
      <c r="G498" s="66"/>
      <c r="H498" s="70"/>
      <c r="I498" s="71"/>
      <c r="J498" s="71"/>
      <c r="K498" s="35" t="s">
        <v>65</v>
      </c>
      <c r="L498" s="79">
        <v>498</v>
      </c>
      <c r="M498" s="79"/>
      <c r="N498" s="73"/>
      <c r="O498" s="81" t="s">
        <v>613</v>
      </c>
      <c r="P498">
        <v>1</v>
      </c>
      <c r="Q498" s="80" t="str">
        <f>REPLACE(INDEX(GroupVertices[Group],MATCH(Edges[[#This Row],[Vertex 1]],GroupVertices[Vertex],0)),1,1,"")</f>
        <v>2</v>
      </c>
      <c r="R498" s="80" t="str">
        <f>REPLACE(INDEX(GroupVertices[Group],MATCH(Edges[[#This Row],[Vertex 2]],GroupVertices[Vertex],0)),1,1,"")</f>
        <v>5</v>
      </c>
      <c r="S498" s="35"/>
      <c r="T498" s="35"/>
      <c r="U498" s="35"/>
      <c r="V498" s="35"/>
      <c r="W498" s="35"/>
      <c r="X498" s="35"/>
      <c r="Y498" s="35"/>
      <c r="Z498" s="35"/>
      <c r="AA498" s="35"/>
    </row>
    <row r="499" spans="1:27" ht="15">
      <c r="A499" s="65" t="s">
        <v>219</v>
      </c>
      <c r="B499" s="65" t="s">
        <v>560</v>
      </c>
      <c r="C499" s="66" t="s">
        <v>3534</v>
      </c>
      <c r="D499" s="67">
        <v>5</v>
      </c>
      <c r="E499" s="68"/>
      <c r="F499" s="69">
        <v>25</v>
      </c>
      <c r="G499" s="66"/>
      <c r="H499" s="70"/>
      <c r="I499" s="71"/>
      <c r="J499" s="71"/>
      <c r="K499" s="35" t="s">
        <v>65</v>
      </c>
      <c r="L499" s="79">
        <v>499</v>
      </c>
      <c r="M499" s="79"/>
      <c r="N499" s="73"/>
      <c r="O499" s="81" t="s">
        <v>613</v>
      </c>
      <c r="P499">
        <v>1</v>
      </c>
      <c r="Q499" s="80" t="str">
        <f>REPLACE(INDEX(GroupVertices[Group],MATCH(Edges[[#This Row],[Vertex 1]],GroupVertices[Vertex],0)),1,1,"")</f>
        <v>5</v>
      </c>
      <c r="R499" s="80" t="str">
        <f>REPLACE(INDEX(GroupVertices[Group],MATCH(Edges[[#This Row],[Vertex 2]],GroupVertices[Vertex],0)),1,1,"")</f>
        <v>5</v>
      </c>
      <c r="S499" s="35"/>
      <c r="T499" s="35"/>
      <c r="U499" s="35"/>
      <c r="V499" s="35"/>
      <c r="W499" s="35"/>
      <c r="X499" s="35"/>
      <c r="Y499" s="35"/>
      <c r="Z499" s="35"/>
      <c r="AA499" s="35"/>
    </row>
    <row r="500" spans="1:27" ht="15">
      <c r="A500" s="65" t="s">
        <v>212</v>
      </c>
      <c r="B500" s="65" t="s">
        <v>561</v>
      </c>
      <c r="C500" s="66" t="s">
        <v>3534</v>
      </c>
      <c r="D500" s="67">
        <v>5</v>
      </c>
      <c r="E500" s="68"/>
      <c r="F500" s="69">
        <v>25</v>
      </c>
      <c r="G500" s="66"/>
      <c r="H500" s="70"/>
      <c r="I500" s="71"/>
      <c r="J500" s="71"/>
      <c r="K500" s="35" t="s">
        <v>65</v>
      </c>
      <c r="L500" s="79">
        <v>500</v>
      </c>
      <c r="M500" s="79"/>
      <c r="N500" s="73"/>
      <c r="O500" s="81" t="s">
        <v>613</v>
      </c>
      <c r="P500">
        <v>1</v>
      </c>
      <c r="Q500" s="80" t="str">
        <f>REPLACE(INDEX(GroupVertices[Group],MATCH(Edges[[#This Row],[Vertex 1]],GroupVertices[Vertex],0)),1,1,"")</f>
        <v>7</v>
      </c>
      <c r="R500" s="80" t="str">
        <f>REPLACE(INDEX(GroupVertices[Group],MATCH(Edges[[#This Row],[Vertex 2]],GroupVertices[Vertex],0)),1,1,"")</f>
        <v>2</v>
      </c>
      <c r="S500" s="35"/>
      <c r="T500" s="35"/>
      <c r="U500" s="35"/>
      <c r="V500" s="35"/>
      <c r="W500" s="35"/>
      <c r="X500" s="35"/>
      <c r="Y500" s="35"/>
      <c r="Z500" s="35"/>
      <c r="AA500" s="35"/>
    </row>
    <row r="501" spans="1:27" ht="15">
      <c r="A501" s="65" t="s">
        <v>213</v>
      </c>
      <c r="B501" s="65" t="s">
        <v>561</v>
      </c>
      <c r="C501" s="66" t="s">
        <v>3534</v>
      </c>
      <c r="D501" s="67">
        <v>5</v>
      </c>
      <c r="E501" s="68"/>
      <c r="F501" s="69">
        <v>25</v>
      </c>
      <c r="G501" s="66"/>
      <c r="H501" s="70"/>
      <c r="I501" s="71"/>
      <c r="J501" s="71"/>
      <c r="K501" s="35" t="s">
        <v>65</v>
      </c>
      <c r="L501" s="79">
        <v>501</v>
      </c>
      <c r="M501" s="79"/>
      <c r="N501" s="73"/>
      <c r="O501" s="81" t="s">
        <v>613</v>
      </c>
      <c r="P501">
        <v>1</v>
      </c>
      <c r="Q501" s="80" t="str">
        <f>REPLACE(INDEX(GroupVertices[Group],MATCH(Edges[[#This Row],[Vertex 1]],GroupVertices[Vertex],0)),1,1,"")</f>
        <v>4</v>
      </c>
      <c r="R501" s="80" t="str">
        <f>REPLACE(INDEX(GroupVertices[Group],MATCH(Edges[[#This Row],[Vertex 2]],GroupVertices[Vertex],0)),1,1,"")</f>
        <v>2</v>
      </c>
      <c r="S501" s="35"/>
      <c r="T501" s="35"/>
      <c r="U501" s="35"/>
      <c r="V501" s="35"/>
      <c r="W501" s="35"/>
      <c r="X501" s="35"/>
      <c r="Y501" s="35"/>
      <c r="Z501" s="35"/>
      <c r="AA501" s="35"/>
    </row>
    <row r="502" spans="1:27" ht="15">
      <c r="A502" s="65" t="s">
        <v>216</v>
      </c>
      <c r="B502" s="65" t="s">
        <v>561</v>
      </c>
      <c r="C502" s="66" t="s">
        <v>3534</v>
      </c>
      <c r="D502" s="67">
        <v>5</v>
      </c>
      <c r="E502" s="68"/>
      <c r="F502" s="69">
        <v>25</v>
      </c>
      <c r="G502" s="66"/>
      <c r="H502" s="70"/>
      <c r="I502" s="71"/>
      <c r="J502" s="71"/>
      <c r="K502" s="35" t="s">
        <v>65</v>
      </c>
      <c r="L502" s="79">
        <v>502</v>
      </c>
      <c r="M502" s="79"/>
      <c r="N502" s="73"/>
      <c r="O502" s="81" t="s">
        <v>613</v>
      </c>
      <c r="P502">
        <v>1</v>
      </c>
      <c r="Q502" s="80" t="str">
        <f>REPLACE(INDEX(GroupVertices[Group],MATCH(Edges[[#This Row],[Vertex 1]],GroupVertices[Vertex],0)),1,1,"")</f>
        <v>2</v>
      </c>
      <c r="R502" s="80" t="str">
        <f>REPLACE(INDEX(GroupVertices[Group],MATCH(Edges[[#This Row],[Vertex 2]],GroupVertices[Vertex],0)),1,1,"")</f>
        <v>2</v>
      </c>
      <c r="S502" s="35"/>
      <c r="T502" s="35"/>
      <c r="U502" s="35"/>
      <c r="V502" s="35"/>
      <c r="W502" s="35"/>
      <c r="X502" s="35"/>
      <c r="Y502" s="35"/>
      <c r="Z502" s="35"/>
      <c r="AA502" s="35"/>
    </row>
    <row r="503" spans="1:27" ht="15">
      <c r="A503" s="65" t="s">
        <v>219</v>
      </c>
      <c r="B503" s="65" t="s">
        <v>561</v>
      </c>
      <c r="C503" s="66" t="s">
        <v>3534</v>
      </c>
      <c r="D503" s="67">
        <v>5</v>
      </c>
      <c r="E503" s="68"/>
      <c r="F503" s="69">
        <v>25</v>
      </c>
      <c r="G503" s="66"/>
      <c r="H503" s="70"/>
      <c r="I503" s="71"/>
      <c r="J503" s="71"/>
      <c r="K503" s="35" t="s">
        <v>65</v>
      </c>
      <c r="L503" s="79">
        <v>503</v>
      </c>
      <c r="M503" s="79"/>
      <c r="N503" s="73"/>
      <c r="O503" s="81" t="s">
        <v>613</v>
      </c>
      <c r="P503">
        <v>1</v>
      </c>
      <c r="Q503" s="80" t="str">
        <f>REPLACE(INDEX(GroupVertices[Group],MATCH(Edges[[#This Row],[Vertex 1]],GroupVertices[Vertex],0)),1,1,"")</f>
        <v>5</v>
      </c>
      <c r="R503" s="80" t="str">
        <f>REPLACE(INDEX(GroupVertices[Group],MATCH(Edges[[#This Row],[Vertex 2]],GroupVertices[Vertex],0)),1,1,"")</f>
        <v>2</v>
      </c>
      <c r="S503" s="35"/>
      <c r="T503" s="35"/>
      <c r="U503" s="35"/>
      <c r="V503" s="35"/>
      <c r="W503" s="35"/>
      <c r="X503" s="35"/>
      <c r="Y503" s="35"/>
      <c r="Z503" s="35"/>
      <c r="AA503" s="35"/>
    </row>
    <row r="504" spans="1:27" ht="15">
      <c r="A504" s="65" t="s">
        <v>212</v>
      </c>
      <c r="B504" s="65" t="s">
        <v>375</v>
      </c>
      <c r="C504" s="66" t="s">
        <v>3534</v>
      </c>
      <c r="D504" s="67">
        <v>5</v>
      </c>
      <c r="E504" s="68"/>
      <c r="F504" s="69">
        <v>25</v>
      </c>
      <c r="G504" s="66"/>
      <c r="H504" s="70"/>
      <c r="I504" s="71"/>
      <c r="J504" s="71"/>
      <c r="K504" s="35" t="s">
        <v>65</v>
      </c>
      <c r="L504" s="79">
        <v>504</v>
      </c>
      <c r="M504" s="79"/>
      <c r="N504" s="73"/>
      <c r="O504" s="81" t="s">
        <v>613</v>
      </c>
      <c r="P504">
        <v>1</v>
      </c>
      <c r="Q504" s="80" t="str">
        <f>REPLACE(INDEX(GroupVertices[Group],MATCH(Edges[[#This Row],[Vertex 1]],GroupVertices[Vertex],0)),1,1,"")</f>
        <v>7</v>
      </c>
      <c r="R504" s="80" t="str">
        <f>REPLACE(INDEX(GroupVertices[Group],MATCH(Edges[[#This Row],[Vertex 2]],GroupVertices[Vertex],0)),1,1,"")</f>
        <v>5</v>
      </c>
      <c r="S504" s="35"/>
      <c r="T504" s="35"/>
      <c r="U504" s="35"/>
      <c r="V504" s="35"/>
      <c r="W504" s="35"/>
      <c r="X504" s="35"/>
      <c r="Y504" s="35"/>
      <c r="Z504" s="35"/>
      <c r="AA504" s="35"/>
    </row>
    <row r="505" spans="1:27" ht="15">
      <c r="A505" s="65" t="s">
        <v>213</v>
      </c>
      <c r="B505" s="65" t="s">
        <v>375</v>
      </c>
      <c r="C505" s="66" t="s">
        <v>3534</v>
      </c>
      <c r="D505" s="67">
        <v>5</v>
      </c>
      <c r="E505" s="68"/>
      <c r="F505" s="69">
        <v>25</v>
      </c>
      <c r="G505" s="66"/>
      <c r="H505" s="70"/>
      <c r="I505" s="71"/>
      <c r="J505" s="71"/>
      <c r="K505" s="35" t="s">
        <v>65</v>
      </c>
      <c r="L505" s="79">
        <v>505</v>
      </c>
      <c r="M505" s="79"/>
      <c r="N505" s="73"/>
      <c r="O505" s="81" t="s">
        <v>613</v>
      </c>
      <c r="P505">
        <v>1</v>
      </c>
      <c r="Q505" s="80" t="str">
        <f>REPLACE(INDEX(GroupVertices[Group],MATCH(Edges[[#This Row],[Vertex 1]],GroupVertices[Vertex],0)),1,1,"")</f>
        <v>4</v>
      </c>
      <c r="R505" s="80" t="str">
        <f>REPLACE(INDEX(GroupVertices[Group],MATCH(Edges[[#This Row],[Vertex 2]],GroupVertices[Vertex],0)),1,1,"")</f>
        <v>5</v>
      </c>
      <c r="S505" s="35"/>
      <c r="T505" s="35"/>
      <c r="U505" s="35"/>
      <c r="V505" s="35"/>
      <c r="W505" s="35"/>
      <c r="X505" s="35"/>
      <c r="Y505" s="35"/>
      <c r="Z505" s="35"/>
      <c r="AA505" s="35"/>
    </row>
    <row r="506" spans="1:27" ht="15">
      <c r="A506" s="65" t="s">
        <v>219</v>
      </c>
      <c r="B506" s="65" t="s">
        <v>375</v>
      </c>
      <c r="C506" s="66" t="s">
        <v>3534</v>
      </c>
      <c r="D506" s="67">
        <v>5</v>
      </c>
      <c r="E506" s="68"/>
      <c r="F506" s="69">
        <v>25</v>
      </c>
      <c r="G506" s="66"/>
      <c r="H506" s="70"/>
      <c r="I506" s="71"/>
      <c r="J506" s="71"/>
      <c r="K506" s="35" t="s">
        <v>65</v>
      </c>
      <c r="L506" s="79">
        <v>506</v>
      </c>
      <c r="M506" s="79"/>
      <c r="N506" s="73"/>
      <c r="O506" s="81" t="s">
        <v>613</v>
      </c>
      <c r="P506">
        <v>1</v>
      </c>
      <c r="Q506" s="80" t="str">
        <f>REPLACE(INDEX(GroupVertices[Group],MATCH(Edges[[#This Row],[Vertex 1]],GroupVertices[Vertex],0)),1,1,"")</f>
        <v>5</v>
      </c>
      <c r="R506" s="80" t="str">
        <f>REPLACE(INDEX(GroupVertices[Group],MATCH(Edges[[#This Row],[Vertex 2]],GroupVertices[Vertex],0)),1,1,"")</f>
        <v>5</v>
      </c>
      <c r="S506" s="35"/>
      <c r="T506" s="35"/>
      <c r="U506" s="35"/>
      <c r="V506" s="35"/>
      <c r="W506" s="35"/>
      <c r="X506" s="35"/>
      <c r="Y506" s="35"/>
      <c r="Z506" s="35"/>
      <c r="AA506" s="35"/>
    </row>
    <row r="507" spans="1:27" ht="15">
      <c r="A507" s="65" t="s">
        <v>213</v>
      </c>
      <c r="B507" s="65" t="s">
        <v>377</v>
      </c>
      <c r="C507" s="66" t="s">
        <v>3534</v>
      </c>
      <c r="D507" s="67">
        <v>5</v>
      </c>
      <c r="E507" s="68"/>
      <c r="F507" s="69">
        <v>25</v>
      </c>
      <c r="G507" s="66"/>
      <c r="H507" s="70"/>
      <c r="I507" s="71"/>
      <c r="J507" s="71"/>
      <c r="K507" s="35" t="s">
        <v>65</v>
      </c>
      <c r="L507" s="79">
        <v>507</v>
      </c>
      <c r="M507" s="79"/>
      <c r="N507" s="73"/>
      <c r="O507" s="81" t="s">
        <v>613</v>
      </c>
      <c r="P507">
        <v>1</v>
      </c>
      <c r="Q507" s="80" t="str">
        <f>REPLACE(INDEX(GroupVertices[Group],MATCH(Edges[[#This Row],[Vertex 1]],GroupVertices[Vertex],0)),1,1,"")</f>
        <v>4</v>
      </c>
      <c r="R507" s="80" t="str">
        <f>REPLACE(INDEX(GroupVertices[Group],MATCH(Edges[[#This Row],[Vertex 2]],GroupVertices[Vertex],0)),1,1,"")</f>
        <v>1</v>
      </c>
      <c r="S507" s="35"/>
      <c r="T507" s="35"/>
      <c r="U507" s="35"/>
      <c r="V507" s="35"/>
      <c r="W507" s="35"/>
      <c r="X507" s="35"/>
      <c r="Y507" s="35"/>
      <c r="Z507" s="35"/>
      <c r="AA507" s="35"/>
    </row>
    <row r="508" spans="1:27" ht="15">
      <c r="A508" s="65" t="s">
        <v>216</v>
      </c>
      <c r="B508" s="65" t="s">
        <v>377</v>
      </c>
      <c r="C508" s="66" t="s">
        <v>3534</v>
      </c>
      <c r="D508" s="67">
        <v>5</v>
      </c>
      <c r="E508" s="68"/>
      <c r="F508" s="69">
        <v>25</v>
      </c>
      <c r="G508" s="66"/>
      <c r="H508" s="70"/>
      <c r="I508" s="71"/>
      <c r="J508" s="71"/>
      <c r="K508" s="35" t="s">
        <v>65</v>
      </c>
      <c r="L508" s="79">
        <v>508</v>
      </c>
      <c r="M508" s="79"/>
      <c r="N508" s="73"/>
      <c r="O508" s="81" t="s">
        <v>613</v>
      </c>
      <c r="P508">
        <v>1</v>
      </c>
      <c r="Q508" s="80" t="str">
        <f>REPLACE(INDEX(GroupVertices[Group],MATCH(Edges[[#This Row],[Vertex 1]],GroupVertices[Vertex],0)),1,1,"")</f>
        <v>2</v>
      </c>
      <c r="R508" s="80" t="str">
        <f>REPLACE(INDEX(GroupVertices[Group],MATCH(Edges[[#This Row],[Vertex 2]],GroupVertices[Vertex],0)),1,1,"")</f>
        <v>1</v>
      </c>
      <c r="S508" s="35"/>
      <c r="T508" s="35"/>
      <c r="U508" s="35"/>
      <c r="V508" s="35"/>
      <c r="W508" s="35"/>
      <c r="X508" s="35"/>
      <c r="Y508" s="35"/>
      <c r="Z508" s="35"/>
      <c r="AA508" s="35"/>
    </row>
    <row r="509" spans="1:27" ht="15">
      <c r="A509" s="65" t="s">
        <v>219</v>
      </c>
      <c r="B509" s="65" t="s">
        <v>377</v>
      </c>
      <c r="C509" s="66" t="s">
        <v>3534</v>
      </c>
      <c r="D509" s="67">
        <v>5</v>
      </c>
      <c r="E509" s="68"/>
      <c r="F509" s="69">
        <v>25</v>
      </c>
      <c r="G509" s="66"/>
      <c r="H509" s="70"/>
      <c r="I509" s="71"/>
      <c r="J509" s="71"/>
      <c r="K509" s="35" t="s">
        <v>65</v>
      </c>
      <c r="L509" s="79">
        <v>509</v>
      </c>
      <c r="M509" s="79"/>
      <c r="N509" s="73"/>
      <c r="O509" s="81" t="s">
        <v>613</v>
      </c>
      <c r="P509">
        <v>1</v>
      </c>
      <c r="Q509" s="80" t="str">
        <f>REPLACE(INDEX(GroupVertices[Group],MATCH(Edges[[#This Row],[Vertex 1]],GroupVertices[Vertex],0)),1,1,"")</f>
        <v>5</v>
      </c>
      <c r="R509" s="80" t="str">
        <f>REPLACE(INDEX(GroupVertices[Group],MATCH(Edges[[#This Row],[Vertex 2]],GroupVertices[Vertex],0)),1,1,"")</f>
        <v>1</v>
      </c>
      <c r="S509" s="35"/>
      <c r="T509" s="35"/>
      <c r="U509" s="35"/>
      <c r="V509" s="35"/>
      <c r="W509" s="35"/>
      <c r="X509" s="35"/>
      <c r="Y509" s="35"/>
      <c r="Z509" s="35"/>
      <c r="AA509" s="35"/>
    </row>
    <row r="510" spans="1:27" ht="15">
      <c r="A510" s="65" t="s">
        <v>219</v>
      </c>
      <c r="B510" s="65" t="s">
        <v>571</v>
      </c>
      <c r="C510" s="66" t="s">
        <v>3534</v>
      </c>
      <c r="D510" s="67">
        <v>5</v>
      </c>
      <c r="E510" s="68"/>
      <c r="F510" s="69">
        <v>25</v>
      </c>
      <c r="G510" s="66"/>
      <c r="H510" s="70"/>
      <c r="I510" s="71"/>
      <c r="J510" s="71"/>
      <c r="K510" s="35" t="s">
        <v>65</v>
      </c>
      <c r="L510" s="79">
        <v>510</v>
      </c>
      <c r="M510" s="79"/>
      <c r="N510" s="73"/>
      <c r="O510" s="81" t="s">
        <v>613</v>
      </c>
      <c r="P510">
        <v>1</v>
      </c>
      <c r="Q510" s="80" t="str">
        <f>REPLACE(INDEX(GroupVertices[Group],MATCH(Edges[[#This Row],[Vertex 1]],GroupVertices[Vertex],0)),1,1,"")</f>
        <v>5</v>
      </c>
      <c r="R510" s="80" t="str">
        <f>REPLACE(INDEX(GroupVertices[Group],MATCH(Edges[[#This Row],[Vertex 2]],GroupVertices[Vertex],0)),1,1,"")</f>
        <v>5</v>
      </c>
      <c r="S510" s="35"/>
      <c r="T510" s="35"/>
      <c r="U510" s="35"/>
      <c r="V510" s="35"/>
      <c r="W510" s="35"/>
      <c r="X510" s="35"/>
      <c r="Y510" s="35"/>
      <c r="Z510" s="35"/>
      <c r="AA510" s="35"/>
    </row>
    <row r="511" spans="1:27" ht="15">
      <c r="A511" s="65" t="s">
        <v>219</v>
      </c>
      <c r="B511" s="65" t="s">
        <v>572</v>
      </c>
      <c r="C511" s="66" t="s">
        <v>3534</v>
      </c>
      <c r="D511" s="67">
        <v>5</v>
      </c>
      <c r="E511" s="68"/>
      <c r="F511" s="69">
        <v>25</v>
      </c>
      <c r="G511" s="66"/>
      <c r="H511" s="70"/>
      <c r="I511" s="71"/>
      <c r="J511" s="71"/>
      <c r="K511" s="35" t="s">
        <v>65</v>
      </c>
      <c r="L511" s="79">
        <v>511</v>
      </c>
      <c r="M511" s="79"/>
      <c r="N511" s="73"/>
      <c r="O511" s="81" t="s">
        <v>613</v>
      </c>
      <c r="P511">
        <v>1</v>
      </c>
      <c r="Q511" s="80" t="str">
        <f>REPLACE(INDEX(GroupVertices[Group],MATCH(Edges[[#This Row],[Vertex 1]],GroupVertices[Vertex],0)),1,1,"")</f>
        <v>5</v>
      </c>
      <c r="R511" s="80" t="str">
        <f>REPLACE(INDEX(GroupVertices[Group],MATCH(Edges[[#This Row],[Vertex 2]],GroupVertices[Vertex],0)),1,1,"")</f>
        <v>5</v>
      </c>
      <c r="S511" s="35"/>
      <c r="T511" s="35"/>
      <c r="U511" s="35"/>
      <c r="V511" s="35"/>
      <c r="W511" s="35"/>
      <c r="X511" s="35"/>
      <c r="Y511" s="35"/>
      <c r="Z511" s="35"/>
      <c r="AA511" s="35"/>
    </row>
    <row r="512" spans="1:27" ht="15">
      <c r="A512" s="65" t="s">
        <v>219</v>
      </c>
      <c r="B512" s="65" t="s">
        <v>573</v>
      </c>
      <c r="C512" s="66" t="s">
        <v>3534</v>
      </c>
      <c r="D512" s="67">
        <v>5</v>
      </c>
      <c r="E512" s="68"/>
      <c r="F512" s="69">
        <v>25</v>
      </c>
      <c r="G512" s="66"/>
      <c r="H512" s="70"/>
      <c r="I512" s="71"/>
      <c r="J512" s="71"/>
      <c r="K512" s="35" t="s">
        <v>65</v>
      </c>
      <c r="L512" s="79">
        <v>512</v>
      </c>
      <c r="M512" s="79"/>
      <c r="N512" s="73"/>
      <c r="O512" s="81" t="s">
        <v>613</v>
      </c>
      <c r="P512">
        <v>1</v>
      </c>
      <c r="Q512" s="80" t="str">
        <f>REPLACE(INDEX(GroupVertices[Group],MATCH(Edges[[#This Row],[Vertex 1]],GroupVertices[Vertex],0)),1,1,"")</f>
        <v>5</v>
      </c>
      <c r="R512" s="80" t="str">
        <f>REPLACE(INDEX(GroupVertices[Group],MATCH(Edges[[#This Row],[Vertex 2]],GroupVertices[Vertex],0)),1,1,"")</f>
        <v>5</v>
      </c>
      <c r="S512" s="35"/>
      <c r="T512" s="35"/>
      <c r="U512" s="35"/>
      <c r="V512" s="35"/>
      <c r="W512" s="35"/>
      <c r="X512" s="35"/>
      <c r="Y512" s="35"/>
      <c r="Z512" s="35"/>
      <c r="AA512" s="35"/>
    </row>
    <row r="513" spans="1:27" ht="15">
      <c r="A513" s="65" t="s">
        <v>212</v>
      </c>
      <c r="B513" s="65" t="s">
        <v>558</v>
      </c>
      <c r="C513" s="66" t="s">
        <v>3534</v>
      </c>
      <c r="D513" s="67">
        <v>5</v>
      </c>
      <c r="E513" s="68"/>
      <c r="F513" s="69">
        <v>25</v>
      </c>
      <c r="G513" s="66"/>
      <c r="H513" s="70"/>
      <c r="I513" s="71"/>
      <c r="J513" s="71"/>
      <c r="K513" s="35" t="s">
        <v>65</v>
      </c>
      <c r="L513" s="79">
        <v>513</v>
      </c>
      <c r="M513" s="79"/>
      <c r="N513" s="73"/>
      <c r="O513" s="81" t="s">
        <v>613</v>
      </c>
      <c r="P513">
        <v>1</v>
      </c>
      <c r="Q513" s="80" t="str">
        <f>REPLACE(INDEX(GroupVertices[Group],MATCH(Edges[[#This Row],[Vertex 1]],GroupVertices[Vertex],0)),1,1,"")</f>
        <v>7</v>
      </c>
      <c r="R513" s="80" t="str">
        <f>REPLACE(INDEX(GroupVertices[Group],MATCH(Edges[[#This Row],[Vertex 2]],GroupVertices[Vertex],0)),1,1,"")</f>
        <v>7</v>
      </c>
      <c r="S513" s="35"/>
      <c r="T513" s="35"/>
      <c r="U513" s="35"/>
      <c r="V513" s="35"/>
      <c r="W513" s="35"/>
      <c r="X513" s="35"/>
      <c r="Y513" s="35"/>
      <c r="Z513" s="35"/>
      <c r="AA513" s="35"/>
    </row>
    <row r="514" spans="1:27" ht="15">
      <c r="A514" s="65" t="s">
        <v>219</v>
      </c>
      <c r="B514" s="65" t="s">
        <v>558</v>
      </c>
      <c r="C514" s="66" t="s">
        <v>3534</v>
      </c>
      <c r="D514" s="67">
        <v>5</v>
      </c>
      <c r="E514" s="68"/>
      <c r="F514" s="69">
        <v>25</v>
      </c>
      <c r="G514" s="66"/>
      <c r="H514" s="70"/>
      <c r="I514" s="71"/>
      <c r="J514" s="71"/>
      <c r="K514" s="35" t="s">
        <v>65</v>
      </c>
      <c r="L514" s="79">
        <v>514</v>
      </c>
      <c r="M514" s="79"/>
      <c r="N514" s="73"/>
      <c r="O514" s="81" t="s">
        <v>613</v>
      </c>
      <c r="P514">
        <v>1</v>
      </c>
      <c r="Q514" s="80" t="str">
        <f>REPLACE(INDEX(GroupVertices[Group],MATCH(Edges[[#This Row],[Vertex 1]],GroupVertices[Vertex],0)),1,1,"")</f>
        <v>5</v>
      </c>
      <c r="R514" s="80" t="str">
        <f>REPLACE(INDEX(GroupVertices[Group],MATCH(Edges[[#This Row],[Vertex 2]],GroupVertices[Vertex],0)),1,1,"")</f>
        <v>7</v>
      </c>
      <c r="S514" s="35"/>
      <c r="T514" s="35"/>
      <c r="U514" s="35"/>
      <c r="V514" s="35"/>
      <c r="W514" s="35"/>
      <c r="X514" s="35"/>
      <c r="Y514" s="35"/>
      <c r="Z514" s="35"/>
      <c r="AA514" s="35"/>
    </row>
    <row r="515" spans="1:27" ht="15">
      <c r="A515" s="65" t="s">
        <v>219</v>
      </c>
      <c r="B515" s="65" t="s">
        <v>574</v>
      </c>
      <c r="C515" s="66" t="s">
        <v>3534</v>
      </c>
      <c r="D515" s="67">
        <v>5</v>
      </c>
      <c r="E515" s="68"/>
      <c r="F515" s="69">
        <v>25</v>
      </c>
      <c r="G515" s="66"/>
      <c r="H515" s="70"/>
      <c r="I515" s="71"/>
      <c r="J515" s="71"/>
      <c r="K515" s="35" t="s">
        <v>65</v>
      </c>
      <c r="L515" s="79">
        <v>515</v>
      </c>
      <c r="M515" s="79"/>
      <c r="N515" s="73"/>
      <c r="O515" s="81" t="s">
        <v>613</v>
      </c>
      <c r="P515">
        <v>1</v>
      </c>
      <c r="Q515" s="80" t="str">
        <f>REPLACE(INDEX(GroupVertices[Group],MATCH(Edges[[#This Row],[Vertex 1]],GroupVertices[Vertex],0)),1,1,"")</f>
        <v>5</v>
      </c>
      <c r="R515" s="80" t="str">
        <f>REPLACE(INDEX(GroupVertices[Group],MATCH(Edges[[#This Row],[Vertex 2]],GroupVertices[Vertex],0)),1,1,"")</f>
        <v>5</v>
      </c>
      <c r="S515" s="35"/>
      <c r="T515" s="35"/>
      <c r="U515" s="35"/>
      <c r="V515" s="35"/>
      <c r="W515" s="35"/>
      <c r="X515" s="35"/>
      <c r="Y515" s="35"/>
      <c r="Z515" s="35"/>
      <c r="AA515" s="35"/>
    </row>
    <row r="516" spans="1:27" ht="15">
      <c r="A516" s="65" t="s">
        <v>212</v>
      </c>
      <c r="B516" s="65" t="s">
        <v>562</v>
      </c>
      <c r="C516" s="66" t="s">
        <v>3534</v>
      </c>
      <c r="D516" s="67">
        <v>5</v>
      </c>
      <c r="E516" s="68"/>
      <c r="F516" s="69">
        <v>25</v>
      </c>
      <c r="G516" s="66"/>
      <c r="H516" s="70"/>
      <c r="I516" s="71"/>
      <c r="J516" s="71"/>
      <c r="K516" s="35" t="s">
        <v>65</v>
      </c>
      <c r="L516" s="79">
        <v>516</v>
      </c>
      <c r="M516" s="79"/>
      <c r="N516" s="73"/>
      <c r="O516" s="81" t="s">
        <v>613</v>
      </c>
      <c r="P516">
        <v>1</v>
      </c>
      <c r="Q516" s="80" t="str">
        <f>REPLACE(INDEX(GroupVertices[Group],MATCH(Edges[[#This Row],[Vertex 1]],GroupVertices[Vertex],0)),1,1,"")</f>
        <v>7</v>
      </c>
      <c r="R516" s="80" t="str">
        <f>REPLACE(INDEX(GroupVertices[Group],MATCH(Edges[[#This Row],[Vertex 2]],GroupVertices[Vertex],0)),1,1,"")</f>
        <v>7</v>
      </c>
      <c r="S516" s="35"/>
      <c r="T516" s="35"/>
      <c r="U516" s="35"/>
      <c r="V516" s="35"/>
      <c r="W516" s="35"/>
      <c r="X516" s="35"/>
      <c r="Y516" s="35"/>
      <c r="Z516" s="35"/>
      <c r="AA516" s="35"/>
    </row>
    <row r="517" spans="1:27" ht="15">
      <c r="A517" s="65" t="s">
        <v>213</v>
      </c>
      <c r="B517" s="65" t="s">
        <v>562</v>
      </c>
      <c r="C517" s="66" t="s">
        <v>3534</v>
      </c>
      <c r="D517" s="67">
        <v>5</v>
      </c>
      <c r="E517" s="68"/>
      <c r="F517" s="69">
        <v>25</v>
      </c>
      <c r="G517" s="66"/>
      <c r="H517" s="70"/>
      <c r="I517" s="71"/>
      <c r="J517" s="71"/>
      <c r="K517" s="35" t="s">
        <v>65</v>
      </c>
      <c r="L517" s="79">
        <v>517</v>
      </c>
      <c r="M517" s="79"/>
      <c r="N517" s="73"/>
      <c r="O517" s="81" t="s">
        <v>613</v>
      </c>
      <c r="P517">
        <v>1</v>
      </c>
      <c r="Q517" s="80" t="str">
        <f>REPLACE(INDEX(GroupVertices[Group],MATCH(Edges[[#This Row],[Vertex 1]],GroupVertices[Vertex],0)),1,1,"")</f>
        <v>4</v>
      </c>
      <c r="R517" s="80" t="str">
        <f>REPLACE(INDEX(GroupVertices[Group],MATCH(Edges[[#This Row],[Vertex 2]],GroupVertices[Vertex],0)),1,1,"")</f>
        <v>7</v>
      </c>
      <c r="S517" s="35"/>
      <c r="T517" s="35"/>
      <c r="U517" s="35"/>
      <c r="V517" s="35"/>
      <c r="W517" s="35"/>
      <c r="X517" s="35"/>
      <c r="Y517" s="35"/>
      <c r="Z517" s="35"/>
      <c r="AA517" s="35"/>
    </row>
    <row r="518" spans="1:27" ht="15">
      <c r="A518" s="65" t="s">
        <v>216</v>
      </c>
      <c r="B518" s="65" t="s">
        <v>562</v>
      </c>
      <c r="C518" s="66" t="s">
        <v>3534</v>
      </c>
      <c r="D518" s="67">
        <v>5</v>
      </c>
      <c r="E518" s="68"/>
      <c r="F518" s="69">
        <v>25</v>
      </c>
      <c r="G518" s="66"/>
      <c r="H518" s="70"/>
      <c r="I518" s="71"/>
      <c r="J518" s="71"/>
      <c r="K518" s="35" t="s">
        <v>65</v>
      </c>
      <c r="L518" s="79">
        <v>518</v>
      </c>
      <c r="M518" s="79"/>
      <c r="N518" s="73"/>
      <c r="O518" s="81" t="s">
        <v>613</v>
      </c>
      <c r="P518">
        <v>1</v>
      </c>
      <c r="Q518" s="80" t="str">
        <f>REPLACE(INDEX(GroupVertices[Group],MATCH(Edges[[#This Row],[Vertex 1]],GroupVertices[Vertex],0)),1,1,"")</f>
        <v>2</v>
      </c>
      <c r="R518" s="80" t="str">
        <f>REPLACE(INDEX(GroupVertices[Group],MATCH(Edges[[#This Row],[Vertex 2]],GroupVertices[Vertex],0)),1,1,"")</f>
        <v>7</v>
      </c>
      <c r="S518" s="35"/>
      <c r="T518" s="35"/>
      <c r="U518" s="35"/>
      <c r="V518" s="35"/>
      <c r="W518" s="35"/>
      <c r="X518" s="35"/>
      <c r="Y518" s="35"/>
      <c r="Z518" s="35"/>
      <c r="AA518" s="35"/>
    </row>
    <row r="519" spans="1:27" ht="15">
      <c r="A519" s="65" t="s">
        <v>219</v>
      </c>
      <c r="B519" s="65" t="s">
        <v>562</v>
      </c>
      <c r="C519" s="66" t="s">
        <v>3534</v>
      </c>
      <c r="D519" s="67">
        <v>5</v>
      </c>
      <c r="E519" s="68"/>
      <c r="F519" s="69">
        <v>25</v>
      </c>
      <c r="G519" s="66"/>
      <c r="H519" s="70"/>
      <c r="I519" s="71"/>
      <c r="J519" s="71"/>
      <c r="K519" s="35" t="s">
        <v>65</v>
      </c>
      <c r="L519" s="79">
        <v>519</v>
      </c>
      <c r="M519" s="79"/>
      <c r="N519" s="73"/>
      <c r="O519" s="81" t="s">
        <v>613</v>
      </c>
      <c r="P519">
        <v>1</v>
      </c>
      <c r="Q519" s="80" t="str">
        <f>REPLACE(INDEX(GroupVertices[Group],MATCH(Edges[[#This Row],[Vertex 1]],GroupVertices[Vertex],0)),1,1,"")</f>
        <v>5</v>
      </c>
      <c r="R519" s="80" t="str">
        <f>REPLACE(INDEX(GroupVertices[Group],MATCH(Edges[[#This Row],[Vertex 2]],GroupVertices[Vertex],0)),1,1,"")</f>
        <v>7</v>
      </c>
      <c r="S519" s="35"/>
      <c r="T519" s="35"/>
      <c r="U519" s="35"/>
      <c r="V519" s="35"/>
      <c r="W519" s="35"/>
      <c r="X519" s="35"/>
      <c r="Y519" s="35"/>
      <c r="Z519" s="35"/>
      <c r="AA519" s="35"/>
    </row>
    <row r="520" spans="1:27" ht="15">
      <c r="A520" s="65" t="s">
        <v>212</v>
      </c>
      <c r="B520" s="65" t="s">
        <v>216</v>
      </c>
      <c r="C520" s="66" t="s">
        <v>3534</v>
      </c>
      <c r="D520" s="67">
        <v>5</v>
      </c>
      <c r="E520" s="68"/>
      <c r="F520" s="69">
        <v>25</v>
      </c>
      <c r="G520" s="66"/>
      <c r="H520" s="70"/>
      <c r="I520" s="71"/>
      <c r="J520" s="71"/>
      <c r="K520" s="35" t="s">
        <v>66</v>
      </c>
      <c r="L520" s="79">
        <v>520</v>
      </c>
      <c r="M520" s="79"/>
      <c r="N520" s="73"/>
      <c r="O520" s="81" t="s">
        <v>613</v>
      </c>
      <c r="P520">
        <v>1</v>
      </c>
      <c r="Q520" s="80" t="str">
        <f>REPLACE(INDEX(GroupVertices[Group],MATCH(Edges[[#This Row],[Vertex 1]],GroupVertices[Vertex],0)),1,1,"")</f>
        <v>7</v>
      </c>
      <c r="R520" s="80" t="str">
        <f>REPLACE(INDEX(GroupVertices[Group],MATCH(Edges[[#This Row],[Vertex 2]],GroupVertices[Vertex],0)),1,1,"")</f>
        <v>2</v>
      </c>
      <c r="S520" s="35"/>
      <c r="T520" s="35"/>
      <c r="U520" s="35"/>
      <c r="V520" s="35"/>
      <c r="W520" s="35"/>
      <c r="X520" s="35"/>
      <c r="Y520" s="35"/>
      <c r="Z520" s="35"/>
      <c r="AA520" s="35"/>
    </row>
    <row r="521" spans="1:27" ht="15">
      <c r="A521" s="65" t="s">
        <v>213</v>
      </c>
      <c r="B521" s="65" t="s">
        <v>216</v>
      </c>
      <c r="C521" s="66" t="s">
        <v>3534</v>
      </c>
      <c r="D521" s="67">
        <v>5</v>
      </c>
      <c r="E521" s="68"/>
      <c r="F521" s="69">
        <v>25</v>
      </c>
      <c r="G521" s="66"/>
      <c r="H521" s="70"/>
      <c r="I521" s="71"/>
      <c r="J521" s="71"/>
      <c r="K521" s="35" t="s">
        <v>66</v>
      </c>
      <c r="L521" s="79">
        <v>521</v>
      </c>
      <c r="M521" s="79"/>
      <c r="N521" s="73"/>
      <c r="O521" s="81" t="s">
        <v>613</v>
      </c>
      <c r="P521">
        <v>1</v>
      </c>
      <c r="Q521" s="80" t="str">
        <f>REPLACE(INDEX(GroupVertices[Group],MATCH(Edges[[#This Row],[Vertex 1]],GroupVertices[Vertex],0)),1,1,"")</f>
        <v>4</v>
      </c>
      <c r="R521" s="80" t="str">
        <f>REPLACE(INDEX(GroupVertices[Group],MATCH(Edges[[#This Row],[Vertex 2]],GroupVertices[Vertex],0)),1,1,"")</f>
        <v>2</v>
      </c>
      <c r="S521" s="35"/>
      <c r="T521" s="35"/>
      <c r="U521" s="35"/>
      <c r="V521" s="35"/>
      <c r="W521" s="35"/>
      <c r="X521" s="35"/>
      <c r="Y521" s="35"/>
      <c r="Z521" s="35"/>
      <c r="AA521" s="35"/>
    </row>
    <row r="522" spans="1:27" ht="15">
      <c r="A522" s="65" t="s">
        <v>216</v>
      </c>
      <c r="B522" s="65" t="s">
        <v>559</v>
      </c>
      <c r="C522" s="66" t="s">
        <v>3534</v>
      </c>
      <c r="D522" s="67">
        <v>5</v>
      </c>
      <c r="E522" s="68"/>
      <c r="F522" s="69">
        <v>25</v>
      </c>
      <c r="G522" s="66"/>
      <c r="H522" s="70"/>
      <c r="I522" s="71"/>
      <c r="J522" s="71"/>
      <c r="K522" s="35" t="s">
        <v>65</v>
      </c>
      <c r="L522" s="79">
        <v>522</v>
      </c>
      <c r="M522" s="79"/>
      <c r="N522" s="73"/>
      <c r="O522" s="81" t="s">
        <v>613</v>
      </c>
      <c r="P522">
        <v>1</v>
      </c>
      <c r="Q522" s="80" t="str">
        <f>REPLACE(INDEX(GroupVertices[Group],MATCH(Edges[[#This Row],[Vertex 1]],GroupVertices[Vertex],0)),1,1,"")</f>
        <v>2</v>
      </c>
      <c r="R522" s="80" t="str">
        <f>REPLACE(INDEX(GroupVertices[Group],MATCH(Edges[[#This Row],[Vertex 2]],GroupVertices[Vertex],0)),1,1,"")</f>
        <v>4</v>
      </c>
      <c r="S522" s="35"/>
      <c r="T522" s="35"/>
      <c r="U522" s="35"/>
      <c r="V522" s="35"/>
      <c r="W522" s="35"/>
      <c r="X522" s="35"/>
      <c r="Y522" s="35"/>
      <c r="Z522" s="35"/>
      <c r="AA522" s="35"/>
    </row>
    <row r="523" spans="1:27" ht="15">
      <c r="A523" s="65" t="s">
        <v>216</v>
      </c>
      <c r="B523" s="65" t="s">
        <v>379</v>
      </c>
      <c r="C523" s="66" t="s">
        <v>3534</v>
      </c>
      <c r="D523" s="67">
        <v>5</v>
      </c>
      <c r="E523" s="68"/>
      <c r="F523" s="69">
        <v>25</v>
      </c>
      <c r="G523" s="66"/>
      <c r="H523" s="70"/>
      <c r="I523" s="71"/>
      <c r="J523" s="71"/>
      <c r="K523" s="35" t="s">
        <v>65</v>
      </c>
      <c r="L523" s="79">
        <v>523</v>
      </c>
      <c r="M523" s="79"/>
      <c r="N523" s="73"/>
      <c r="O523" s="81" t="s">
        <v>613</v>
      </c>
      <c r="P523">
        <v>1</v>
      </c>
      <c r="Q523" s="80" t="str">
        <f>REPLACE(INDEX(GroupVertices[Group],MATCH(Edges[[#This Row],[Vertex 1]],GroupVertices[Vertex],0)),1,1,"")</f>
        <v>2</v>
      </c>
      <c r="R523" s="80" t="str">
        <f>REPLACE(INDEX(GroupVertices[Group],MATCH(Edges[[#This Row],[Vertex 2]],GroupVertices[Vertex],0)),1,1,"")</f>
        <v>6</v>
      </c>
      <c r="S523" s="35"/>
      <c r="T523" s="35"/>
      <c r="U523" s="35"/>
      <c r="V523" s="35"/>
      <c r="W523" s="35"/>
      <c r="X523" s="35"/>
      <c r="Y523" s="35"/>
      <c r="Z523" s="35"/>
      <c r="AA523" s="35"/>
    </row>
    <row r="524" spans="1:27" ht="15">
      <c r="A524" s="65" t="s">
        <v>216</v>
      </c>
      <c r="B524" s="65" t="s">
        <v>575</v>
      </c>
      <c r="C524" s="66" t="s">
        <v>3534</v>
      </c>
      <c r="D524" s="67">
        <v>5</v>
      </c>
      <c r="E524" s="68"/>
      <c r="F524" s="69">
        <v>25</v>
      </c>
      <c r="G524" s="66"/>
      <c r="H524" s="70"/>
      <c r="I524" s="71"/>
      <c r="J524" s="71"/>
      <c r="K524" s="35" t="s">
        <v>65</v>
      </c>
      <c r="L524" s="79">
        <v>524</v>
      </c>
      <c r="M524" s="79"/>
      <c r="N524" s="73"/>
      <c r="O524" s="81" t="s">
        <v>613</v>
      </c>
      <c r="P524">
        <v>1</v>
      </c>
      <c r="Q524" s="80" t="str">
        <f>REPLACE(INDEX(GroupVertices[Group],MATCH(Edges[[#This Row],[Vertex 1]],GroupVertices[Vertex],0)),1,1,"")</f>
        <v>2</v>
      </c>
      <c r="R524" s="80" t="str">
        <f>REPLACE(INDEX(GroupVertices[Group],MATCH(Edges[[#This Row],[Vertex 2]],GroupVertices[Vertex],0)),1,1,"")</f>
        <v>5</v>
      </c>
      <c r="S524" s="35"/>
      <c r="T524" s="35"/>
      <c r="U524" s="35"/>
      <c r="V524" s="35"/>
      <c r="W524" s="35"/>
      <c r="X524" s="35"/>
      <c r="Y524" s="35"/>
      <c r="Z524" s="35"/>
      <c r="AA524" s="35"/>
    </row>
    <row r="525" spans="1:27" ht="15">
      <c r="A525" s="65" t="s">
        <v>216</v>
      </c>
      <c r="B525" s="65" t="s">
        <v>565</v>
      </c>
      <c r="C525" s="66" t="s">
        <v>3534</v>
      </c>
      <c r="D525" s="67">
        <v>5</v>
      </c>
      <c r="E525" s="68"/>
      <c r="F525" s="69">
        <v>25</v>
      </c>
      <c r="G525" s="66"/>
      <c r="H525" s="70"/>
      <c r="I525" s="71"/>
      <c r="J525" s="71"/>
      <c r="K525" s="35" t="s">
        <v>65</v>
      </c>
      <c r="L525" s="79">
        <v>525</v>
      </c>
      <c r="M525" s="79"/>
      <c r="N525" s="73"/>
      <c r="O525" s="81" t="s">
        <v>613</v>
      </c>
      <c r="P525">
        <v>1</v>
      </c>
      <c r="Q525" s="80" t="str">
        <f>REPLACE(INDEX(GroupVertices[Group],MATCH(Edges[[#This Row],[Vertex 1]],GroupVertices[Vertex],0)),1,1,"")</f>
        <v>2</v>
      </c>
      <c r="R525" s="80" t="str">
        <f>REPLACE(INDEX(GroupVertices[Group],MATCH(Edges[[#This Row],[Vertex 2]],GroupVertices[Vertex],0)),1,1,"")</f>
        <v>5</v>
      </c>
      <c r="S525" s="35"/>
      <c r="T525" s="35"/>
      <c r="U525" s="35"/>
      <c r="V525" s="35"/>
      <c r="W525" s="35"/>
      <c r="X525" s="35"/>
      <c r="Y525" s="35"/>
      <c r="Z525" s="35"/>
      <c r="AA525" s="35"/>
    </row>
    <row r="526" spans="1:27" ht="15">
      <c r="A526" s="65" t="s">
        <v>216</v>
      </c>
      <c r="B526" s="65" t="s">
        <v>212</v>
      </c>
      <c r="C526" s="66" t="s">
        <v>3534</v>
      </c>
      <c r="D526" s="67">
        <v>5</v>
      </c>
      <c r="E526" s="68"/>
      <c r="F526" s="69">
        <v>25</v>
      </c>
      <c r="G526" s="66"/>
      <c r="H526" s="70"/>
      <c r="I526" s="71"/>
      <c r="J526" s="71"/>
      <c r="K526" s="35" t="s">
        <v>66</v>
      </c>
      <c r="L526" s="79">
        <v>526</v>
      </c>
      <c r="M526" s="79"/>
      <c r="N526" s="73"/>
      <c r="O526" s="81" t="s">
        <v>613</v>
      </c>
      <c r="P526">
        <v>1</v>
      </c>
      <c r="Q526" s="80" t="str">
        <f>REPLACE(INDEX(GroupVertices[Group],MATCH(Edges[[#This Row],[Vertex 1]],GroupVertices[Vertex],0)),1,1,"")</f>
        <v>2</v>
      </c>
      <c r="R526" s="80" t="str">
        <f>REPLACE(INDEX(GroupVertices[Group],MATCH(Edges[[#This Row],[Vertex 2]],GroupVertices[Vertex],0)),1,1,"")</f>
        <v>7</v>
      </c>
      <c r="S526" s="35"/>
      <c r="T526" s="35"/>
      <c r="U526" s="35"/>
      <c r="V526" s="35"/>
      <c r="W526" s="35"/>
      <c r="X526" s="35"/>
      <c r="Y526" s="35"/>
      <c r="Z526" s="35"/>
      <c r="AA526" s="35"/>
    </row>
    <row r="527" spans="1:27" ht="15">
      <c r="A527" s="65" t="s">
        <v>216</v>
      </c>
      <c r="B527" s="65" t="s">
        <v>385</v>
      </c>
      <c r="C527" s="66" t="s">
        <v>3534</v>
      </c>
      <c r="D527" s="67">
        <v>5</v>
      </c>
      <c r="E527" s="68"/>
      <c r="F527" s="69">
        <v>25</v>
      </c>
      <c r="G527" s="66"/>
      <c r="H527" s="70"/>
      <c r="I527" s="71"/>
      <c r="J527" s="71"/>
      <c r="K527" s="35" t="s">
        <v>65</v>
      </c>
      <c r="L527" s="79">
        <v>527</v>
      </c>
      <c r="M527" s="79"/>
      <c r="N527" s="73"/>
      <c r="O527" s="81" t="s">
        <v>613</v>
      </c>
      <c r="P527">
        <v>1</v>
      </c>
      <c r="Q527" s="80" t="str">
        <f>REPLACE(INDEX(GroupVertices[Group],MATCH(Edges[[#This Row],[Vertex 1]],GroupVertices[Vertex],0)),1,1,"")</f>
        <v>2</v>
      </c>
      <c r="R527" s="80" t="str">
        <f>REPLACE(INDEX(GroupVertices[Group],MATCH(Edges[[#This Row],[Vertex 2]],GroupVertices[Vertex],0)),1,1,"")</f>
        <v>6</v>
      </c>
      <c r="S527" s="35"/>
      <c r="T527" s="35"/>
      <c r="U527" s="35"/>
      <c r="V527" s="35"/>
      <c r="W527" s="35"/>
      <c r="X527" s="35"/>
      <c r="Y527" s="35"/>
      <c r="Z527" s="35"/>
      <c r="AA527" s="35"/>
    </row>
    <row r="528" spans="1:27" ht="15">
      <c r="A528" s="65" t="s">
        <v>216</v>
      </c>
      <c r="B528" s="65" t="s">
        <v>564</v>
      </c>
      <c r="C528" s="66" t="s">
        <v>3534</v>
      </c>
      <c r="D528" s="67">
        <v>5</v>
      </c>
      <c r="E528" s="68"/>
      <c r="F528" s="69">
        <v>25</v>
      </c>
      <c r="G528" s="66"/>
      <c r="H528" s="70"/>
      <c r="I528" s="71"/>
      <c r="J528" s="71"/>
      <c r="K528" s="35" t="s">
        <v>65</v>
      </c>
      <c r="L528" s="79">
        <v>528</v>
      </c>
      <c r="M528" s="79"/>
      <c r="N528" s="73"/>
      <c r="O528" s="81" t="s">
        <v>613</v>
      </c>
      <c r="P528">
        <v>1</v>
      </c>
      <c r="Q528" s="80" t="str">
        <f>REPLACE(INDEX(GroupVertices[Group],MATCH(Edges[[#This Row],[Vertex 1]],GroupVertices[Vertex],0)),1,1,"")</f>
        <v>2</v>
      </c>
      <c r="R528" s="80" t="str">
        <f>REPLACE(INDEX(GroupVertices[Group],MATCH(Edges[[#This Row],[Vertex 2]],GroupVertices[Vertex],0)),1,1,"")</f>
        <v>6</v>
      </c>
      <c r="S528" s="35"/>
      <c r="T528" s="35"/>
      <c r="U528" s="35"/>
      <c r="V528" s="35"/>
      <c r="W528" s="35"/>
      <c r="X528" s="35"/>
      <c r="Y528" s="35"/>
      <c r="Z528" s="35"/>
      <c r="AA528" s="35"/>
    </row>
    <row r="529" spans="1:27" ht="15">
      <c r="A529" s="65" t="s">
        <v>216</v>
      </c>
      <c r="B529" s="65" t="s">
        <v>381</v>
      </c>
      <c r="C529" s="66" t="s">
        <v>3534</v>
      </c>
      <c r="D529" s="67">
        <v>5</v>
      </c>
      <c r="E529" s="68"/>
      <c r="F529" s="69">
        <v>25</v>
      </c>
      <c r="G529" s="66"/>
      <c r="H529" s="70"/>
      <c r="I529" s="71"/>
      <c r="J529" s="71"/>
      <c r="K529" s="35" t="s">
        <v>65</v>
      </c>
      <c r="L529" s="79">
        <v>529</v>
      </c>
      <c r="M529" s="79"/>
      <c r="N529" s="73"/>
      <c r="O529" s="81" t="s">
        <v>613</v>
      </c>
      <c r="P529">
        <v>1</v>
      </c>
      <c r="Q529" s="80" t="str">
        <f>REPLACE(INDEX(GroupVertices[Group],MATCH(Edges[[#This Row],[Vertex 1]],GroupVertices[Vertex],0)),1,1,"")</f>
        <v>2</v>
      </c>
      <c r="R529" s="80" t="str">
        <f>REPLACE(INDEX(GroupVertices[Group],MATCH(Edges[[#This Row],[Vertex 2]],GroupVertices[Vertex],0)),1,1,"")</f>
        <v>2</v>
      </c>
      <c r="S529" s="35"/>
      <c r="T529" s="35"/>
      <c r="U529" s="35"/>
      <c r="V529" s="35"/>
      <c r="W529" s="35"/>
      <c r="X529" s="35"/>
      <c r="Y529" s="35"/>
      <c r="Z529" s="35"/>
      <c r="AA529" s="35"/>
    </row>
    <row r="530" spans="1:27" ht="15">
      <c r="A530" s="65" t="s">
        <v>216</v>
      </c>
      <c r="B530" s="65" t="s">
        <v>213</v>
      </c>
      <c r="C530" s="66" t="s">
        <v>3534</v>
      </c>
      <c r="D530" s="67">
        <v>5</v>
      </c>
      <c r="E530" s="68"/>
      <c r="F530" s="69">
        <v>25</v>
      </c>
      <c r="G530" s="66"/>
      <c r="H530" s="70"/>
      <c r="I530" s="71"/>
      <c r="J530" s="71"/>
      <c r="K530" s="35" t="s">
        <v>66</v>
      </c>
      <c r="L530" s="79">
        <v>530</v>
      </c>
      <c r="M530" s="79"/>
      <c r="N530" s="73"/>
      <c r="O530" s="81" t="s">
        <v>613</v>
      </c>
      <c r="P530">
        <v>1</v>
      </c>
      <c r="Q530" s="80" t="str">
        <f>REPLACE(INDEX(GroupVertices[Group],MATCH(Edges[[#This Row],[Vertex 1]],GroupVertices[Vertex],0)),1,1,"")</f>
        <v>2</v>
      </c>
      <c r="R530" s="80" t="str">
        <f>REPLACE(INDEX(GroupVertices[Group],MATCH(Edges[[#This Row],[Vertex 2]],GroupVertices[Vertex],0)),1,1,"")</f>
        <v>4</v>
      </c>
      <c r="S530" s="35"/>
      <c r="T530" s="35"/>
      <c r="U530" s="35"/>
      <c r="V530" s="35"/>
      <c r="W530" s="35"/>
      <c r="X530" s="35"/>
      <c r="Y530" s="35"/>
      <c r="Z530" s="35"/>
      <c r="AA530" s="35"/>
    </row>
    <row r="531" spans="1:27" ht="15">
      <c r="A531" s="65" t="s">
        <v>216</v>
      </c>
      <c r="B531" s="65" t="s">
        <v>387</v>
      </c>
      <c r="C531" s="66" t="s">
        <v>3534</v>
      </c>
      <c r="D531" s="67">
        <v>5</v>
      </c>
      <c r="E531" s="68"/>
      <c r="F531" s="69">
        <v>25</v>
      </c>
      <c r="G531" s="66"/>
      <c r="H531" s="70"/>
      <c r="I531" s="71"/>
      <c r="J531" s="71"/>
      <c r="K531" s="35" t="s">
        <v>65</v>
      </c>
      <c r="L531" s="79">
        <v>531</v>
      </c>
      <c r="M531" s="79"/>
      <c r="N531" s="73"/>
      <c r="O531" s="81" t="s">
        <v>613</v>
      </c>
      <c r="P531">
        <v>1</v>
      </c>
      <c r="Q531" s="80" t="str">
        <f>REPLACE(INDEX(GroupVertices[Group],MATCH(Edges[[#This Row],[Vertex 1]],GroupVertices[Vertex],0)),1,1,"")</f>
        <v>2</v>
      </c>
      <c r="R531" s="80" t="str">
        <f>REPLACE(INDEX(GroupVertices[Group],MATCH(Edges[[#This Row],[Vertex 2]],GroupVertices[Vertex],0)),1,1,"")</f>
        <v>1</v>
      </c>
      <c r="S531" s="35"/>
      <c r="T531" s="35"/>
      <c r="U531" s="35"/>
      <c r="V531" s="35"/>
      <c r="W531" s="35"/>
      <c r="X531" s="35"/>
      <c r="Y531" s="35"/>
      <c r="Z531" s="35"/>
      <c r="AA531" s="35"/>
    </row>
    <row r="532" spans="1:27" ht="15">
      <c r="A532" s="65" t="s">
        <v>216</v>
      </c>
      <c r="B532" s="65" t="s">
        <v>393</v>
      </c>
      <c r="C532" s="66" t="s">
        <v>3534</v>
      </c>
      <c r="D532" s="67">
        <v>5</v>
      </c>
      <c r="E532" s="68"/>
      <c r="F532" s="69">
        <v>25</v>
      </c>
      <c r="G532" s="66"/>
      <c r="H532" s="70"/>
      <c r="I532" s="71"/>
      <c r="J532" s="71"/>
      <c r="K532" s="35" t="s">
        <v>65</v>
      </c>
      <c r="L532" s="79">
        <v>532</v>
      </c>
      <c r="M532" s="79"/>
      <c r="N532" s="73"/>
      <c r="O532" s="81" t="s">
        <v>613</v>
      </c>
      <c r="P532">
        <v>1</v>
      </c>
      <c r="Q532" s="80" t="str">
        <f>REPLACE(INDEX(GroupVertices[Group],MATCH(Edges[[#This Row],[Vertex 1]],GroupVertices[Vertex],0)),1,1,"")</f>
        <v>2</v>
      </c>
      <c r="R532" s="80" t="str">
        <f>REPLACE(INDEX(GroupVertices[Group],MATCH(Edges[[#This Row],[Vertex 2]],GroupVertices[Vertex],0)),1,1,"")</f>
        <v>1</v>
      </c>
      <c r="S532" s="35"/>
      <c r="T532" s="35"/>
      <c r="U532" s="35"/>
      <c r="V532" s="35"/>
      <c r="W532" s="35"/>
      <c r="X532" s="35"/>
      <c r="Y532" s="35"/>
      <c r="Z532" s="35"/>
      <c r="AA532" s="35"/>
    </row>
    <row r="533" spans="1:27" ht="15">
      <c r="A533" s="65" t="s">
        <v>216</v>
      </c>
      <c r="B533" s="65" t="s">
        <v>219</v>
      </c>
      <c r="C533" s="66" t="s">
        <v>3534</v>
      </c>
      <c r="D533" s="67">
        <v>5</v>
      </c>
      <c r="E533" s="68"/>
      <c r="F533" s="69">
        <v>25</v>
      </c>
      <c r="G533" s="66"/>
      <c r="H533" s="70"/>
      <c r="I533" s="71"/>
      <c r="J533" s="71"/>
      <c r="K533" s="35" t="s">
        <v>66</v>
      </c>
      <c r="L533" s="79">
        <v>533</v>
      </c>
      <c r="M533" s="79"/>
      <c r="N533" s="73"/>
      <c r="O533" s="81" t="s">
        <v>613</v>
      </c>
      <c r="P533">
        <v>1</v>
      </c>
      <c r="Q533" s="80" t="str">
        <f>REPLACE(INDEX(GroupVertices[Group],MATCH(Edges[[#This Row],[Vertex 1]],GroupVertices[Vertex],0)),1,1,"")</f>
        <v>2</v>
      </c>
      <c r="R533" s="80" t="str">
        <f>REPLACE(INDEX(GroupVertices[Group],MATCH(Edges[[#This Row],[Vertex 2]],GroupVertices[Vertex],0)),1,1,"")</f>
        <v>5</v>
      </c>
      <c r="S533" s="35"/>
      <c r="T533" s="35"/>
      <c r="U533" s="35"/>
      <c r="V533" s="35"/>
      <c r="W533" s="35"/>
      <c r="X533" s="35"/>
      <c r="Y533" s="35"/>
      <c r="Z533" s="35"/>
      <c r="AA533" s="35"/>
    </row>
    <row r="534" spans="1:27" ht="15">
      <c r="A534" s="65" t="s">
        <v>219</v>
      </c>
      <c r="B534" s="65" t="s">
        <v>216</v>
      </c>
      <c r="C534" s="66" t="s">
        <v>3534</v>
      </c>
      <c r="D534" s="67">
        <v>5</v>
      </c>
      <c r="E534" s="68"/>
      <c r="F534" s="69">
        <v>25</v>
      </c>
      <c r="G534" s="66"/>
      <c r="H534" s="70"/>
      <c r="I534" s="71"/>
      <c r="J534" s="71"/>
      <c r="K534" s="35" t="s">
        <v>66</v>
      </c>
      <c r="L534" s="79">
        <v>534</v>
      </c>
      <c r="M534" s="79"/>
      <c r="N534" s="73"/>
      <c r="O534" s="81" t="s">
        <v>613</v>
      </c>
      <c r="P534">
        <v>1</v>
      </c>
      <c r="Q534" s="80" t="str">
        <f>REPLACE(INDEX(GroupVertices[Group],MATCH(Edges[[#This Row],[Vertex 1]],GroupVertices[Vertex],0)),1,1,"")</f>
        <v>5</v>
      </c>
      <c r="R534" s="80" t="str">
        <f>REPLACE(INDEX(GroupVertices[Group],MATCH(Edges[[#This Row],[Vertex 2]],GroupVertices[Vertex],0)),1,1,"")</f>
        <v>2</v>
      </c>
      <c r="S534" s="35"/>
      <c r="T534" s="35"/>
      <c r="U534" s="35"/>
      <c r="V534" s="35"/>
      <c r="W534" s="35"/>
      <c r="X534" s="35"/>
      <c r="Y534" s="35"/>
      <c r="Z534" s="35"/>
      <c r="AA534" s="35"/>
    </row>
    <row r="535" spans="1:27" ht="15">
      <c r="A535" s="65" t="s">
        <v>219</v>
      </c>
      <c r="B535" s="65" t="s">
        <v>576</v>
      </c>
      <c r="C535" s="66" t="s">
        <v>3534</v>
      </c>
      <c r="D535" s="67">
        <v>5</v>
      </c>
      <c r="E535" s="68"/>
      <c r="F535" s="69">
        <v>25</v>
      </c>
      <c r="G535" s="66"/>
      <c r="H535" s="70"/>
      <c r="I535" s="71"/>
      <c r="J535" s="71"/>
      <c r="K535" s="35" t="s">
        <v>65</v>
      </c>
      <c r="L535" s="79">
        <v>535</v>
      </c>
      <c r="M535" s="79"/>
      <c r="N535" s="73"/>
      <c r="O535" s="81" t="s">
        <v>613</v>
      </c>
      <c r="P535">
        <v>1</v>
      </c>
      <c r="Q535" s="80" t="str">
        <f>REPLACE(INDEX(GroupVertices[Group],MATCH(Edges[[#This Row],[Vertex 1]],GroupVertices[Vertex],0)),1,1,"")</f>
        <v>5</v>
      </c>
      <c r="R535" s="80" t="str">
        <f>REPLACE(INDEX(GroupVertices[Group],MATCH(Edges[[#This Row],[Vertex 2]],GroupVertices[Vertex],0)),1,1,"")</f>
        <v>5</v>
      </c>
      <c r="S535" s="35"/>
      <c r="T535" s="35"/>
      <c r="U535" s="35"/>
      <c r="V535" s="35"/>
      <c r="W535" s="35"/>
      <c r="X535" s="35"/>
      <c r="Y535" s="35"/>
      <c r="Z535" s="35"/>
      <c r="AA535" s="35"/>
    </row>
    <row r="536" spans="1:27" ht="15">
      <c r="A536" s="65" t="s">
        <v>212</v>
      </c>
      <c r="B536" s="65" t="s">
        <v>384</v>
      </c>
      <c r="C536" s="66" t="s">
        <v>3534</v>
      </c>
      <c r="D536" s="67">
        <v>5</v>
      </c>
      <c r="E536" s="68"/>
      <c r="F536" s="69">
        <v>25</v>
      </c>
      <c r="G536" s="66"/>
      <c r="H536" s="70"/>
      <c r="I536" s="71"/>
      <c r="J536" s="71"/>
      <c r="K536" s="35" t="s">
        <v>65</v>
      </c>
      <c r="L536" s="79">
        <v>536</v>
      </c>
      <c r="M536" s="79"/>
      <c r="N536" s="73"/>
      <c r="O536" s="81" t="s">
        <v>613</v>
      </c>
      <c r="P536">
        <v>1</v>
      </c>
      <c r="Q536" s="80" t="str">
        <f>REPLACE(INDEX(GroupVertices[Group],MATCH(Edges[[#This Row],[Vertex 1]],GroupVertices[Vertex],0)),1,1,"")</f>
        <v>7</v>
      </c>
      <c r="R536" s="80" t="str">
        <f>REPLACE(INDEX(GroupVertices[Group],MATCH(Edges[[#This Row],[Vertex 2]],GroupVertices[Vertex],0)),1,1,"")</f>
        <v>4</v>
      </c>
      <c r="S536" s="35"/>
      <c r="T536" s="35"/>
      <c r="U536" s="35"/>
      <c r="V536" s="35"/>
      <c r="W536" s="35"/>
      <c r="X536" s="35"/>
      <c r="Y536" s="35"/>
      <c r="Z536" s="35"/>
      <c r="AA536" s="35"/>
    </row>
    <row r="537" spans="1:27" ht="15">
      <c r="A537" s="65" t="s">
        <v>213</v>
      </c>
      <c r="B537" s="65" t="s">
        <v>384</v>
      </c>
      <c r="C537" s="66" t="s">
        <v>3534</v>
      </c>
      <c r="D537" s="67">
        <v>5</v>
      </c>
      <c r="E537" s="68"/>
      <c r="F537" s="69">
        <v>25</v>
      </c>
      <c r="G537" s="66"/>
      <c r="H537" s="70"/>
      <c r="I537" s="71"/>
      <c r="J537" s="71"/>
      <c r="K537" s="35" t="s">
        <v>65</v>
      </c>
      <c r="L537" s="79">
        <v>537</v>
      </c>
      <c r="M537" s="79"/>
      <c r="N537" s="73"/>
      <c r="O537" s="81" t="s">
        <v>613</v>
      </c>
      <c r="P537">
        <v>1</v>
      </c>
      <c r="Q537" s="80" t="str">
        <f>REPLACE(INDEX(GroupVertices[Group],MATCH(Edges[[#This Row],[Vertex 1]],GroupVertices[Vertex],0)),1,1,"")</f>
        <v>4</v>
      </c>
      <c r="R537" s="80" t="str">
        <f>REPLACE(INDEX(GroupVertices[Group],MATCH(Edges[[#This Row],[Vertex 2]],GroupVertices[Vertex],0)),1,1,"")</f>
        <v>4</v>
      </c>
      <c r="S537" s="35"/>
      <c r="T537" s="35"/>
      <c r="U537" s="35"/>
      <c r="V537" s="35"/>
      <c r="W537" s="35"/>
      <c r="X537" s="35"/>
      <c r="Y537" s="35"/>
      <c r="Z537" s="35"/>
      <c r="AA537" s="35"/>
    </row>
    <row r="538" spans="1:27" ht="15">
      <c r="A538" s="65" t="s">
        <v>219</v>
      </c>
      <c r="B538" s="65" t="s">
        <v>384</v>
      </c>
      <c r="C538" s="66" t="s">
        <v>3534</v>
      </c>
      <c r="D538" s="67">
        <v>5</v>
      </c>
      <c r="E538" s="68"/>
      <c r="F538" s="69">
        <v>25</v>
      </c>
      <c r="G538" s="66"/>
      <c r="H538" s="70"/>
      <c r="I538" s="71"/>
      <c r="J538" s="71"/>
      <c r="K538" s="35" t="s">
        <v>65</v>
      </c>
      <c r="L538" s="79">
        <v>538</v>
      </c>
      <c r="M538" s="79"/>
      <c r="N538" s="73"/>
      <c r="O538" s="81" t="s">
        <v>613</v>
      </c>
      <c r="P538">
        <v>1</v>
      </c>
      <c r="Q538" s="80" t="str">
        <f>REPLACE(INDEX(GroupVertices[Group],MATCH(Edges[[#This Row],[Vertex 1]],GroupVertices[Vertex],0)),1,1,"")</f>
        <v>5</v>
      </c>
      <c r="R538" s="80" t="str">
        <f>REPLACE(INDEX(GroupVertices[Group],MATCH(Edges[[#This Row],[Vertex 2]],GroupVertices[Vertex],0)),1,1,"")</f>
        <v>4</v>
      </c>
      <c r="S538" s="35"/>
      <c r="T538" s="35"/>
      <c r="U538" s="35"/>
      <c r="V538" s="35"/>
      <c r="W538" s="35"/>
      <c r="X538" s="35"/>
      <c r="Y538" s="35"/>
      <c r="Z538" s="35"/>
      <c r="AA538" s="35"/>
    </row>
    <row r="539" spans="1:27" ht="15">
      <c r="A539" s="65" t="s">
        <v>213</v>
      </c>
      <c r="B539" s="65" t="s">
        <v>470</v>
      </c>
      <c r="C539" s="66" t="s">
        <v>3534</v>
      </c>
      <c r="D539" s="67">
        <v>5</v>
      </c>
      <c r="E539" s="68"/>
      <c r="F539" s="69">
        <v>25</v>
      </c>
      <c r="G539" s="66"/>
      <c r="H539" s="70"/>
      <c r="I539" s="71"/>
      <c r="J539" s="71"/>
      <c r="K539" s="35" t="s">
        <v>65</v>
      </c>
      <c r="L539" s="79">
        <v>539</v>
      </c>
      <c r="M539" s="79"/>
      <c r="N539" s="73"/>
      <c r="O539" s="81" t="s">
        <v>613</v>
      </c>
      <c r="P539">
        <v>1</v>
      </c>
      <c r="Q539" s="80" t="str">
        <f>REPLACE(INDEX(GroupVertices[Group],MATCH(Edges[[#This Row],[Vertex 1]],GroupVertices[Vertex],0)),1,1,"")</f>
        <v>4</v>
      </c>
      <c r="R539" s="80" t="str">
        <f>REPLACE(INDEX(GroupVertices[Group],MATCH(Edges[[#This Row],[Vertex 2]],GroupVertices[Vertex],0)),1,1,"")</f>
        <v>3</v>
      </c>
      <c r="S539" s="35"/>
      <c r="T539" s="35"/>
      <c r="U539" s="35"/>
      <c r="V539" s="35"/>
      <c r="W539" s="35"/>
      <c r="X539" s="35"/>
      <c r="Y539" s="35"/>
      <c r="Z539" s="35"/>
      <c r="AA539" s="35"/>
    </row>
    <row r="540" spans="1:27" ht="15">
      <c r="A540" s="65" t="s">
        <v>219</v>
      </c>
      <c r="B540" s="65" t="s">
        <v>470</v>
      </c>
      <c r="C540" s="66" t="s">
        <v>3534</v>
      </c>
      <c r="D540" s="67">
        <v>5</v>
      </c>
      <c r="E540" s="68"/>
      <c r="F540" s="69">
        <v>25</v>
      </c>
      <c r="G540" s="66"/>
      <c r="H540" s="70"/>
      <c r="I540" s="71"/>
      <c r="J540" s="71"/>
      <c r="K540" s="35" t="s">
        <v>65</v>
      </c>
      <c r="L540" s="79">
        <v>540</v>
      </c>
      <c r="M540" s="79"/>
      <c r="N540" s="73"/>
      <c r="O540" s="81" t="s">
        <v>613</v>
      </c>
      <c r="P540">
        <v>1</v>
      </c>
      <c r="Q540" s="80" t="str">
        <f>REPLACE(INDEX(GroupVertices[Group],MATCH(Edges[[#This Row],[Vertex 1]],GroupVertices[Vertex],0)),1,1,"")</f>
        <v>5</v>
      </c>
      <c r="R540" s="80" t="str">
        <f>REPLACE(INDEX(GroupVertices[Group],MATCH(Edges[[#This Row],[Vertex 2]],GroupVertices[Vertex],0)),1,1,"")</f>
        <v>3</v>
      </c>
      <c r="S540" s="35"/>
      <c r="T540" s="35"/>
      <c r="U540" s="35"/>
      <c r="V540" s="35"/>
      <c r="W540" s="35"/>
      <c r="X540" s="35"/>
      <c r="Y540" s="35"/>
      <c r="Z540" s="35"/>
      <c r="AA540" s="35"/>
    </row>
    <row r="541" spans="1:27" ht="15">
      <c r="A541" s="65" t="s">
        <v>219</v>
      </c>
      <c r="B541" s="65" t="s">
        <v>575</v>
      </c>
      <c r="C541" s="66" t="s">
        <v>3534</v>
      </c>
      <c r="D541" s="67">
        <v>5</v>
      </c>
      <c r="E541" s="68"/>
      <c r="F541" s="69">
        <v>25</v>
      </c>
      <c r="G541" s="66"/>
      <c r="H541" s="70"/>
      <c r="I541" s="71"/>
      <c r="J541" s="71"/>
      <c r="K541" s="35" t="s">
        <v>65</v>
      </c>
      <c r="L541" s="79">
        <v>541</v>
      </c>
      <c r="M541" s="79"/>
      <c r="N541" s="73"/>
      <c r="O541" s="81" t="s">
        <v>613</v>
      </c>
      <c r="P541">
        <v>1</v>
      </c>
      <c r="Q541" s="80" t="str">
        <f>REPLACE(INDEX(GroupVertices[Group],MATCH(Edges[[#This Row],[Vertex 1]],GroupVertices[Vertex],0)),1,1,"")</f>
        <v>5</v>
      </c>
      <c r="R541" s="80" t="str">
        <f>REPLACE(INDEX(GroupVertices[Group],MATCH(Edges[[#This Row],[Vertex 2]],GroupVertices[Vertex],0)),1,1,"")</f>
        <v>5</v>
      </c>
      <c r="S541" s="35"/>
      <c r="T541" s="35"/>
      <c r="U541" s="35"/>
      <c r="V541" s="35"/>
      <c r="W541" s="35"/>
      <c r="X541" s="35"/>
      <c r="Y541" s="35"/>
      <c r="Z541" s="35"/>
      <c r="AA541" s="35"/>
    </row>
    <row r="542" spans="1:27" ht="15">
      <c r="A542" s="65" t="s">
        <v>219</v>
      </c>
      <c r="B542" s="65" t="s">
        <v>564</v>
      </c>
      <c r="C542" s="66" t="s">
        <v>3534</v>
      </c>
      <c r="D542" s="67">
        <v>5</v>
      </c>
      <c r="E542" s="68"/>
      <c r="F542" s="69">
        <v>25</v>
      </c>
      <c r="G542" s="66"/>
      <c r="H542" s="70"/>
      <c r="I542" s="71"/>
      <c r="J542" s="71"/>
      <c r="K542" s="35" t="s">
        <v>65</v>
      </c>
      <c r="L542" s="79">
        <v>542</v>
      </c>
      <c r="M542" s="79"/>
      <c r="N542" s="73"/>
      <c r="O542" s="81" t="s">
        <v>613</v>
      </c>
      <c r="P542">
        <v>1</v>
      </c>
      <c r="Q542" s="80" t="str">
        <f>REPLACE(INDEX(GroupVertices[Group],MATCH(Edges[[#This Row],[Vertex 1]],GroupVertices[Vertex],0)),1,1,"")</f>
        <v>5</v>
      </c>
      <c r="R542" s="80" t="str">
        <f>REPLACE(INDEX(GroupVertices[Group],MATCH(Edges[[#This Row],[Vertex 2]],GroupVertices[Vertex],0)),1,1,"")</f>
        <v>6</v>
      </c>
      <c r="S542" s="35"/>
      <c r="T542" s="35"/>
      <c r="U542" s="35"/>
      <c r="V542" s="35"/>
      <c r="W542" s="35"/>
      <c r="X542" s="35"/>
      <c r="Y542" s="35"/>
      <c r="Z542" s="35"/>
      <c r="AA542" s="35"/>
    </row>
    <row r="543" spans="1:27" ht="15">
      <c r="A543" s="65" t="s">
        <v>212</v>
      </c>
      <c r="B543" s="65" t="s">
        <v>381</v>
      </c>
      <c r="C543" s="66" t="s">
        <v>3534</v>
      </c>
      <c r="D543" s="67">
        <v>5</v>
      </c>
      <c r="E543" s="68"/>
      <c r="F543" s="69">
        <v>25</v>
      </c>
      <c r="G543" s="66"/>
      <c r="H543" s="70"/>
      <c r="I543" s="71"/>
      <c r="J543" s="71"/>
      <c r="K543" s="35" t="s">
        <v>65</v>
      </c>
      <c r="L543" s="79">
        <v>543</v>
      </c>
      <c r="M543" s="79"/>
      <c r="N543" s="73"/>
      <c r="O543" s="81" t="s">
        <v>613</v>
      </c>
      <c r="P543">
        <v>1</v>
      </c>
      <c r="Q543" s="80" t="str">
        <f>REPLACE(INDEX(GroupVertices[Group],MATCH(Edges[[#This Row],[Vertex 1]],GroupVertices[Vertex],0)),1,1,"")</f>
        <v>7</v>
      </c>
      <c r="R543" s="80" t="str">
        <f>REPLACE(INDEX(GroupVertices[Group],MATCH(Edges[[#This Row],[Vertex 2]],GroupVertices[Vertex],0)),1,1,"")</f>
        <v>2</v>
      </c>
      <c r="S543" s="35"/>
      <c r="T543" s="35"/>
      <c r="U543" s="35"/>
      <c r="V543" s="35"/>
      <c r="W543" s="35"/>
      <c r="X543" s="35"/>
      <c r="Y543" s="35"/>
      <c r="Z543" s="35"/>
      <c r="AA543" s="35"/>
    </row>
    <row r="544" spans="1:27" ht="15">
      <c r="A544" s="65" t="s">
        <v>212</v>
      </c>
      <c r="B544" s="65" t="s">
        <v>379</v>
      </c>
      <c r="C544" s="66" t="s">
        <v>3534</v>
      </c>
      <c r="D544" s="67">
        <v>5</v>
      </c>
      <c r="E544" s="68"/>
      <c r="F544" s="69">
        <v>25</v>
      </c>
      <c r="G544" s="66"/>
      <c r="H544" s="70"/>
      <c r="I544" s="71"/>
      <c r="J544" s="71"/>
      <c r="K544" s="35" t="s">
        <v>65</v>
      </c>
      <c r="L544" s="79">
        <v>544</v>
      </c>
      <c r="M544" s="79"/>
      <c r="N544" s="73"/>
      <c r="O544" s="81" t="s">
        <v>613</v>
      </c>
      <c r="P544">
        <v>1</v>
      </c>
      <c r="Q544" s="80" t="str">
        <f>REPLACE(INDEX(GroupVertices[Group],MATCH(Edges[[#This Row],[Vertex 1]],GroupVertices[Vertex],0)),1,1,"")</f>
        <v>7</v>
      </c>
      <c r="R544" s="80" t="str">
        <f>REPLACE(INDEX(GroupVertices[Group],MATCH(Edges[[#This Row],[Vertex 2]],GroupVertices[Vertex],0)),1,1,"")</f>
        <v>6</v>
      </c>
      <c r="S544" s="35"/>
      <c r="T544" s="35"/>
      <c r="U544" s="35"/>
      <c r="V544" s="35"/>
      <c r="W544" s="35"/>
      <c r="X544" s="35"/>
      <c r="Y544" s="35"/>
      <c r="Z544" s="35"/>
      <c r="AA544" s="35"/>
    </row>
    <row r="545" spans="1:27" ht="15">
      <c r="A545" s="65" t="s">
        <v>212</v>
      </c>
      <c r="B545" s="65" t="s">
        <v>385</v>
      </c>
      <c r="C545" s="66" t="s">
        <v>3534</v>
      </c>
      <c r="D545" s="67">
        <v>5</v>
      </c>
      <c r="E545" s="68"/>
      <c r="F545" s="69">
        <v>25</v>
      </c>
      <c r="G545" s="66"/>
      <c r="H545" s="70"/>
      <c r="I545" s="71"/>
      <c r="J545" s="71"/>
      <c r="K545" s="35" t="s">
        <v>65</v>
      </c>
      <c r="L545" s="79">
        <v>545</v>
      </c>
      <c r="M545" s="79"/>
      <c r="N545" s="73"/>
      <c r="O545" s="81" t="s">
        <v>613</v>
      </c>
      <c r="P545">
        <v>1</v>
      </c>
      <c r="Q545" s="80" t="str">
        <f>REPLACE(INDEX(GroupVertices[Group],MATCH(Edges[[#This Row],[Vertex 1]],GroupVertices[Vertex],0)),1,1,"")</f>
        <v>7</v>
      </c>
      <c r="R545" s="80" t="str">
        <f>REPLACE(INDEX(GroupVertices[Group],MATCH(Edges[[#This Row],[Vertex 2]],GroupVertices[Vertex],0)),1,1,"")</f>
        <v>6</v>
      </c>
      <c r="S545" s="35"/>
      <c r="T545" s="35"/>
      <c r="U545" s="35"/>
      <c r="V545" s="35"/>
      <c r="W545" s="35"/>
      <c r="X545" s="35"/>
      <c r="Y545" s="35"/>
      <c r="Z545" s="35"/>
      <c r="AA545" s="35"/>
    </row>
    <row r="546" spans="1:27" ht="15">
      <c r="A546" s="65" t="s">
        <v>212</v>
      </c>
      <c r="B546" s="65" t="s">
        <v>565</v>
      </c>
      <c r="C546" s="66" t="s">
        <v>3534</v>
      </c>
      <c r="D546" s="67">
        <v>5</v>
      </c>
      <c r="E546" s="68"/>
      <c r="F546" s="69">
        <v>25</v>
      </c>
      <c r="G546" s="66"/>
      <c r="H546" s="70"/>
      <c r="I546" s="71"/>
      <c r="J546" s="71"/>
      <c r="K546" s="35" t="s">
        <v>65</v>
      </c>
      <c r="L546" s="79">
        <v>546</v>
      </c>
      <c r="M546" s="79"/>
      <c r="N546" s="73"/>
      <c r="O546" s="81" t="s">
        <v>613</v>
      </c>
      <c r="P546">
        <v>1</v>
      </c>
      <c r="Q546" s="80" t="str">
        <f>REPLACE(INDEX(GroupVertices[Group],MATCH(Edges[[#This Row],[Vertex 1]],GroupVertices[Vertex],0)),1,1,"")</f>
        <v>7</v>
      </c>
      <c r="R546" s="80" t="str">
        <f>REPLACE(INDEX(GroupVertices[Group],MATCH(Edges[[#This Row],[Vertex 2]],GroupVertices[Vertex],0)),1,1,"")</f>
        <v>5</v>
      </c>
      <c r="S546" s="35"/>
      <c r="T546" s="35"/>
      <c r="U546" s="35"/>
      <c r="V546" s="35"/>
      <c r="W546" s="35"/>
      <c r="X546" s="35"/>
      <c r="Y546" s="35"/>
      <c r="Z546" s="35"/>
      <c r="AA546" s="35"/>
    </row>
    <row r="547" spans="1:27" ht="15">
      <c r="A547" s="65" t="s">
        <v>212</v>
      </c>
      <c r="B547" s="65" t="s">
        <v>388</v>
      </c>
      <c r="C547" s="66" t="s">
        <v>3534</v>
      </c>
      <c r="D547" s="67">
        <v>5</v>
      </c>
      <c r="E547" s="68"/>
      <c r="F547" s="69">
        <v>25</v>
      </c>
      <c r="G547" s="66"/>
      <c r="H547" s="70"/>
      <c r="I547" s="71"/>
      <c r="J547" s="71"/>
      <c r="K547" s="35" t="s">
        <v>65</v>
      </c>
      <c r="L547" s="79">
        <v>547</v>
      </c>
      <c r="M547" s="79"/>
      <c r="N547" s="73"/>
      <c r="O547" s="81" t="s">
        <v>613</v>
      </c>
      <c r="P547">
        <v>1</v>
      </c>
      <c r="Q547" s="80" t="str">
        <f>REPLACE(INDEX(GroupVertices[Group],MATCH(Edges[[#This Row],[Vertex 1]],GroupVertices[Vertex],0)),1,1,"")</f>
        <v>7</v>
      </c>
      <c r="R547" s="80" t="str">
        <f>REPLACE(INDEX(GroupVertices[Group],MATCH(Edges[[#This Row],[Vertex 2]],GroupVertices[Vertex],0)),1,1,"")</f>
        <v>1</v>
      </c>
      <c r="S547" s="35"/>
      <c r="T547" s="35"/>
      <c r="U547" s="35"/>
      <c r="V547" s="35"/>
      <c r="W547" s="35"/>
      <c r="X547" s="35"/>
      <c r="Y547" s="35"/>
      <c r="Z547" s="35"/>
      <c r="AA547" s="35"/>
    </row>
    <row r="548" spans="1:27" ht="15">
      <c r="A548" s="65" t="s">
        <v>212</v>
      </c>
      <c r="B548" s="65" t="s">
        <v>577</v>
      </c>
      <c r="C548" s="66" t="s">
        <v>3534</v>
      </c>
      <c r="D548" s="67">
        <v>5</v>
      </c>
      <c r="E548" s="68"/>
      <c r="F548" s="69">
        <v>25</v>
      </c>
      <c r="G548" s="66"/>
      <c r="H548" s="70"/>
      <c r="I548" s="71"/>
      <c r="J548" s="71"/>
      <c r="K548" s="35" t="s">
        <v>65</v>
      </c>
      <c r="L548" s="79">
        <v>548</v>
      </c>
      <c r="M548" s="79"/>
      <c r="N548" s="73"/>
      <c r="O548" s="81" t="s">
        <v>613</v>
      </c>
      <c r="P548">
        <v>1</v>
      </c>
      <c r="Q548" s="80" t="str">
        <f>REPLACE(INDEX(GroupVertices[Group],MATCH(Edges[[#This Row],[Vertex 1]],GroupVertices[Vertex],0)),1,1,"")</f>
        <v>7</v>
      </c>
      <c r="R548" s="80" t="str">
        <f>REPLACE(INDEX(GroupVertices[Group],MATCH(Edges[[#This Row],[Vertex 2]],GroupVertices[Vertex],0)),1,1,"")</f>
        <v>4</v>
      </c>
      <c r="S548" s="35"/>
      <c r="T548" s="35"/>
      <c r="U548" s="35"/>
      <c r="V548" s="35"/>
      <c r="W548" s="35"/>
      <c r="X548" s="35"/>
      <c r="Y548" s="35"/>
      <c r="Z548" s="35"/>
      <c r="AA548" s="35"/>
    </row>
    <row r="549" spans="1:27" ht="15">
      <c r="A549" s="65" t="s">
        <v>212</v>
      </c>
      <c r="B549" s="65" t="s">
        <v>219</v>
      </c>
      <c r="C549" s="66" t="s">
        <v>3534</v>
      </c>
      <c r="D549" s="67">
        <v>5</v>
      </c>
      <c r="E549" s="68"/>
      <c r="F549" s="69">
        <v>25</v>
      </c>
      <c r="G549" s="66"/>
      <c r="H549" s="70"/>
      <c r="I549" s="71"/>
      <c r="J549" s="71"/>
      <c r="K549" s="35" t="s">
        <v>66</v>
      </c>
      <c r="L549" s="79">
        <v>549</v>
      </c>
      <c r="M549" s="79"/>
      <c r="N549" s="73"/>
      <c r="O549" s="81" t="s">
        <v>613</v>
      </c>
      <c r="P549">
        <v>1</v>
      </c>
      <c r="Q549" s="80" t="str">
        <f>REPLACE(INDEX(GroupVertices[Group],MATCH(Edges[[#This Row],[Vertex 1]],GroupVertices[Vertex],0)),1,1,"")</f>
        <v>7</v>
      </c>
      <c r="R549" s="80" t="str">
        <f>REPLACE(INDEX(GroupVertices[Group],MATCH(Edges[[#This Row],[Vertex 2]],GroupVertices[Vertex],0)),1,1,"")</f>
        <v>5</v>
      </c>
      <c r="S549" s="35"/>
      <c r="T549" s="35"/>
      <c r="U549" s="35"/>
      <c r="V549" s="35"/>
      <c r="W549" s="35"/>
      <c r="X549" s="35"/>
      <c r="Y549" s="35"/>
      <c r="Z549" s="35"/>
      <c r="AA549" s="35"/>
    </row>
    <row r="550" spans="1:27" ht="15">
      <c r="A550" s="65" t="s">
        <v>212</v>
      </c>
      <c r="B550" s="65" t="s">
        <v>578</v>
      </c>
      <c r="C550" s="66" t="s">
        <v>3534</v>
      </c>
      <c r="D550" s="67">
        <v>5</v>
      </c>
      <c r="E550" s="68"/>
      <c r="F550" s="69">
        <v>25</v>
      </c>
      <c r="G550" s="66"/>
      <c r="H550" s="70"/>
      <c r="I550" s="71"/>
      <c r="J550" s="71"/>
      <c r="K550" s="35" t="s">
        <v>65</v>
      </c>
      <c r="L550" s="79">
        <v>550</v>
      </c>
      <c r="M550" s="79"/>
      <c r="N550" s="73"/>
      <c r="O550" s="81" t="s">
        <v>613</v>
      </c>
      <c r="P550">
        <v>1</v>
      </c>
      <c r="Q550" s="80" t="str">
        <f>REPLACE(INDEX(GroupVertices[Group],MATCH(Edges[[#This Row],[Vertex 1]],GroupVertices[Vertex],0)),1,1,"")</f>
        <v>7</v>
      </c>
      <c r="R550" s="80" t="str">
        <f>REPLACE(INDEX(GroupVertices[Group],MATCH(Edges[[#This Row],[Vertex 2]],GroupVertices[Vertex],0)),1,1,"")</f>
        <v>5</v>
      </c>
      <c r="S550" s="35"/>
      <c r="T550" s="35"/>
      <c r="U550" s="35"/>
      <c r="V550" s="35"/>
      <c r="W550" s="35"/>
      <c r="X550" s="35"/>
      <c r="Y550" s="35"/>
      <c r="Z550" s="35"/>
      <c r="AA550" s="35"/>
    </row>
    <row r="551" spans="1:27" ht="15">
      <c r="A551" s="65" t="s">
        <v>212</v>
      </c>
      <c r="B551" s="65" t="s">
        <v>387</v>
      </c>
      <c r="C551" s="66" t="s">
        <v>3534</v>
      </c>
      <c r="D551" s="67">
        <v>5</v>
      </c>
      <c r="E551" s="68"/>
      <c r="F551" s="69">
        <v>25</v>
      </c>
      <c r="G551" s="66"/>
      <c r="H551" s="70"/>
      <c r="I551" s="71"/>
      <c r="J551" s="71"/>
      <c r="K551" s="35" t="s">
        <v>65</v>
      </c>
      <c r="L551" s="79">
        <v>551</v>
      </c>
      <c r="M551" s="79"/>
      <c r="N551" s="73"/>
      <c r="O551" s="81" t="s">
        <v>613</v>
      </c>
      <c r="P551">
        <v>1</v>
      </c>
      <c r="Q551" s="80" t="str">
        <f>REPLACE(INDEX(GroupVertices[Group],MATCH(Edges[[#This Row],[Vertex 1]],GroupVertices[Vertex],0)),1,1,"")</f>
        <v>7</v>
      </c>
      <c r="R551" s="80" t="str">
        <f>REPLACE(INDEX(GroupVertices[Group],MATCH(Edges[[#This Row],[Vertex 2]],GroupVertices[Vertex],0)),1,1,"")</f>
        <v>1</v>
      </c>
      <c r="S551" s="35"/>
      <c r="T551" s="35"/>
      <c r="U551" s="35"/>
      <c r="V551" s="35"/>
      <c r="W551" s="35"/>
      <c r="X551" s="35"/>
      <c r="Y551" s="35"/>
      <c r="Z551" s="35"/>
      <c r="AA551" s="35"/>
    </row>
    <row r="552" spans="1:27" ht="15">
      <c r="A552" s="65" t="s">
        <v>212</v>
      </c>
      <c r="B552" s="65" t="s">
        <v>213</v>
      </c>
      <c r="C552" s="66" t="s">
        <v>3534</v>
      </c>
      <c r="D552" s="67">
        <v>5</v>
      </c>
      <c r="E552" s="68"/>
      <c r="F552" s="69">
        <v>25</v>
      </c>
      <c r="G552" s="66"/>
      <c r="H552" s="70"/>
      <c r="I552" s="71"/>
      <c r="J552" s="71"/>
      <c r="K552" s="35" t="s">
        <v>66</v>
      </c>
      <c r="L552" s="79">
        <v>552</v>
      </c>
      <c r="M552" s="79"/>
      <c r="N552" s="73"/>
      <c r="O552" s="81" t="s">
        <v>613</v>
      </c>
      <c r="P552">
        <v>1</v>
      </c>
      <c r="Q552" s="80" t="str">
        <f>REPLACE(INDEX(GroupVertices[Group],MATCH(Edges[[#This Row],[Vertex 1]],GroupVertices[Vertex],0)),1,1,"")</f>
        <v>7</v>
      </c>
      <c r="R552" s="80" t="str">
        <f>REPLACE(INDEX(GroupVertices[Group],MATCH(Edges[[#This Row],[Vertex 2]],GroupVertices[Vertex],0)),1,1,"")</f>
        <v>4</v>
      </c>
      <c r="S552" s="35"/>
      <c r="T552" s="35"/>
      <c r="U552" s="35"/>
      <c r="V552" s="35"/>
      <c r="W552" s="35"/>
      <c r="X552" s="35"/>
      <c r="Y552" s="35"/>
      <c r="Z552" s="35"/>
      <c r="AA552" s="35"/>
    </row>
    <row r="553" spans="1:27" ht="15">
      <c r="A553" s="65" t="s">
        <v>212</v>
      </c>
      <c r="B553" s="65" t="s">
        <v>393</v>
      </c>
      <c r="C553" s="66" t="s">
        <v>3534</v>
      </c>
      <c r="D553" s="67">
        <v>5</v>
      </c>
      <c r="E553" s="68"/>
      <c r="F553" s="69">
        <v>25</v>
      </c>
      <c r="G553" s="66"/>
      <c r="H553" s="70"/>
      <c r="I553" s="71"/>
      <c r="J553" s="71"/>
      <c r="K553" s="35" t="s">
        <v>65</v>
      </c>
      <c r="L553" s="79">
        <v>553</v>
      </c>
      <c r="M553" s="79"/>
      <c r="N553" s="73"/>
      <c r="O553" s="81" t="s">
        <v>613</v>
      </c>
      <c r="P553">
        <v>1</v>
      </c>
      <c r="Q553" s="80" t="str">
        <f>REPLACE(INDEX(GroupVertices[Group],MATCH(Edges[[#This Row],[Vertex 1]],GroupVertices[Vertex],0)),1,1,"")</f>
        <v>7</v>
      </c>
      <c r="R553" s="80" t="str">
        <f>REPLACE(INDEX(GroupVertices[Group],MATCH(Edges[[#This Row],[Vertex 2]],GroupVertices[Vertex],0)),1,1,"")</f>
        <v>1</v>
      </c>
      <c r="S553" s="35"/>
      <c r="T553" s="35"/>
      <c r="U553" s="35"/>
      <c r="V553" s="35"/>
      <c r="W553" s="35"/>
      <c r="X553" s="35"/>
      <c r="Y553" s="35"/>
      <c r="Z553" s="35"/>
      <c r="AA553" s="35"/>
    </row>
    <row r="554" spans="1:27" ht="15">
      <c r="A554" s="65" t="s">
        <v>213</v>
      </c>
      <c r="B554" s="65" t="s">
        <v>212</v>
      </c>
      <c r="C554" s="66" t="s">
        <v>3534</v>
      </c>
      <c r="D554" s="67">
        <v>5</v>
      </c>
      <c r="E554" s="68"/>
      <c r="F554" s="69">
        <v>25</v>
      </c>
      <c r="G554" s="66"/>
      <c r="H554" s="70"/>
      <c r="I554" s="71"/>
      <c r="J554" s="71"/>
      <c r="K554" s="35" t="s">
        <v>66</v>
      </c>
      <c r="L554" s="79">
        <v>554</v>
      </c>
      <c r="M554" s="79"/>
      <c r="N554" s="73"/>
      <c r="O554" s="81" t="s">
        <v>613</v>
      </c>
      <c r="P554">
        <v>1</v>
      </c>
      <c r="Q554" s="80" t="str">
        <f>REPLACE(INDEX(GroupVertices[Group],MATCH(Edges[[#This Row],[Vertex 1]],GroupVertices[Vertex],0)),1,1,"")</f>
        <v>4</v>
      </c>
      <c r="R554" s="80" t="str">
        <f>REPLACE(INDEX(GroupVertices[Group],MATCH(Edges[[#This Row],[Vertex 2]],GroupVertices[Vertex],0)),1,1,"")</f>
        <v>7</v>
      </c>
      <c r="S554" s="35"/>
      <c r="T554" s="35"/>
      <c r="U554" s="35"/>
      <c r="V554" s="35"/>
      <c r="W554" s="35"/>
      <c r="X554" s="35"/>
      <c r="Y554" s="35"/>
      <c r="Z554" s="35"/>
      <c r="AA554" s="35"/>
    </row>
    <row r="555" spans="1:27" ht="15">
      <c r="A555" s="65" t="s">
        <v>219</v>
      </c>
      <c r="B555" s="65" t="s">
        <v>212</v>
      </c>
      <c r="C555" s="66" t="s">
        <v>3534</v>
      </c>
      <c r="D555" s="67">
        <v>5</v>
      </c>
      <c r="E555" s="68"/>
      <c r="F555" s="69">
        <v>25</v>
      </c>
      <c r="G555" s="66"/>
      <c r="H555" s="70"/>
      <c r="I555" s="71"/>
      <c r="J555" s="71"/>
      <c r="K555" s="35" t="s">
        <v>66</v>
      </c>
      <c r="L555" s="79">
        <v>555</v>
      </c>
      <c r="M555" s="79"/>
      <c r="N555" s="73"/>
      <c r="O555" s="81" t="s">
        <v>613</v>
      </c>
      <c r="P555">
        <v>1</v>
      </c>
      <c r="Q555" s="80" t="str">
        <f>REPLACE(INDEX(GroupVertices[Group],MATCH(Edges[[#This Row],[Vertex 1]],GroupVertices[Vertex],0)),1,1,"")</f>
        <v>5</v>
      </c>
      <c r="R555" s="80" t="str">
        <f>REPLACE(INDEX(GroupVertices[Group],MATCH(Edges[[#This Row],[Vertex 2]],GroupVertices[Vertex],0)),1,1,"")</f>
        <v>7</v>
      </c>
      <c r="S555" s="35"/>
      <c r="T555" s="35"/>
      <c r="U555" s="35"/>
      <c r="V555" s="35"/>
      <c r="W555" s="35"/>
      <c r="X555" s="35"/>
      <c r="Y555" s="35"/>
      <c r="Z555" s="35"/>
      <c r="AA555" s="35"/>
    </row>
    <row r="556" spans="1:27" ht="15">
      <c r="A556" s="65" t="s">
        <v>219</v>
      </c>
      <c r="B556" s="65" t="s">
        <v>579</v>
      </c>
      <c r="C556" s="66" t="s">
        <v>3534</v>
      </c>
      <c r="D556" s="67">
        <v>5</v>
      </c>
      <c r="E556" s="68"/>
      <c r="F556" s="69">
        <v>25</v>
      </c>
      <c r="G556" s="66"/>
      <c r="H556" s="70"/>
      <c r="I556" s="71"/>
      <c r="J556" s="71"/>
      <c r="K556" s="35" t="s">
        <v>65</v>
      </c>
      <c r="L556" s="79">
        <v>556</v>
      </c>
      <c r="M556" s="79"/>
      <c r="N556" s="73"/>
      <c r="O556" s="81" t="s">
        <v>613</v>
      </c>
      <c r="P556">
        <v>1</v>
      </c>
      <c r="Q556" s="80" t="str">
        <f>REPLACE(INDEX(GroupVertices[Group],MATCH(Edges[[#This Row],[Vertex 1]],GroupVertices[Vertex],0)),1,1,"")</f>
        <v>5</v>
      </c>
      <c r="R556" s="80" t="str">
        <f>REPLACE(INDEX(GroupVertices[Group],MATCH(Edges[[#This Row],[Vertex 2]],GroupVertices[Vertex],0)),1,1,"")</f>
        <v>5</v>
      </c>
      <c r="S556" s="35"/>
      <c r="T556" s="35"/>
      <c r="U556" s="35"/>
      <c r="V556" s="35"/>
      <c r="W556" s="35"/>
      <c r="X556" s="35"/>
      <c r="Y556" s="35"/>
      <c r="Z556" s="35"/>
      <c r="AA556" s="35"/>
    </row>
    <row r="557" spans="1:27" ht="15">
      <c r="A557" s="65" t="s">
        <v>219</v>
      </c>
      <c r="B557" s="65" t="s">
        <v>563</v>
      </c>
      <c r="C557" s="66" t="s">
        <v>3534</v>
      </c>
      <c r="D557" s="67">
        <v>5</v>
      </c>
      <c r="E557" s="68"/>
      <c r="F557" s="69">
        <v>25</v>
      </c>
      <c r="G557" s="66"/>
      <c r="H557" s="70"/>
      <c r="I557" s="71"/>
      <c r="J557" s="71"/>
      <c r="K557" s="35" t="s">
        <v>65</v>
      </c>
      <c r="L557" s="79">
        <v>557</v>
      </c>
      <c r="M557" s="79"/>
      <c r="N557" s="73"/>
      <c r="O557" s="81" t="s">
        <v>613</v>
      </c>
      <c r="P557">
        <v>1</v>
      </c>
      <c r="Q557" s="80" t="str">
        <f>REPLACE(INDEX(GroupVertices[Group],MATCH(Edges[[#This Row],[Vertex 1]],GroupVertices[Vertex],0)),1,1,"")</f>
        <v>5</v>
      </c>
      <c r="R557" s="80" t="str">
        <f>REPLACE(INDEX(GroupVertices[Group],MATCH(Edges[[#This Row],[Vertex 2]],GroupVertices[Vertex],0)),1,1,"")</f>
        <v>5</v>
      </c>
      <c r="S557" s="35"/>
      <c r="T557" s="35"/>
      <c r="U557" s="35"/>
      <c r="V557" s="35"/>
      <c r="W557" s="35"/>
      <c r="X557" s="35"/>
      <c r="Y557" s="35"/>
      <c r="Z557" s="35"/>
      <c r="AA557" s="35"/>
    </row>
    <row r="558" spans="1:27" ht="15">
      <c r="A558" s="65" t="s">
        <v>213</v>
      </c>
      <c r="B558" s="65" t="s">
        <v>387</v>
      </c>
      <c r="C558" s="66" t="s">
        <v>3534</v>
      </c>
      <c r="D558" s="67">
        <v>5</v>
      </c>
      <c r="E558" s="68"/>
      <c r="F558" s="69">
        <v>25</v>
      </c>
      <c r="G558" s="66"/>
      <c r="H558" s="70"/>
      <c r="I558" s="71"/>
      <c r="J558" s="71"/>
      <c r="K558" s="35" t="s">
        <v>65</v>
      </c>
      <c r="L558" s="79">
        <v>558</v>
      </c>
      <c r="M558" s="79"/>
      <c r="N558" s="73"/>
      <c r="O558" s="81" t="s">
        <v>613</v>
      </c>
      <c r="P558">
        <v>1</v>
      </c>
      <c r="Q558" s="80" t="str">
        <f>REPLACE(INDEX(GroupVertices[Group],MATCH(Edges[[#This Row],[Vertex 1]],GroupVertices[Vertex],0)),1,1,"")</f>
        <v>4</v>
      </c>
      <c r="R558" s="80" t="str">
        <f>REPLACE(INDEX(GroupVertices[Group],MATCH(Edges[[#This Row],[Vertex 2]],GroupVertices[Vertex],0)),1,1,"")</f>
        <v>1</v>
      </c>
      <c r="S558" s="35"/>
      <c r="T558" s="35"/>
      <c r="U558" s="35"/>
      <c r="V558" s="35"/>
      <c r="W558" s="35"/>
      <c r="X558" s="35"/>
      <c r="Y558" s="35"/>
      <c r="Z558" s="35"/>
      <c r="AA558" s="35"/>
    </row>
    <row r="559" spans="1:27" ht="15">
      <c r="A559" s="65" t="s">
        <v>219</v>
      </c>
      <c r="B559" s="65" t="s">
        <v>387</v>
      </c>
      <c r="C559" s="66" t="s">
        <v>3534</v>
      </c>
      <c r="D559" s="67">
        <v>5</v>
      </c>
      <c r="E559" s="68"/>
      <c r="F559" s="69">
        <v>25</v>
      </c>
      <c r="G559" s="66"/>
      <c r="H559" s="70"/>
      <c r="I559" s="71"/>
      <c r="J559" s="71"/>
      <c r="K559" s="35" t="s">
        <v>65</v>
      </c>
      <c r="L559" s="79">
        <v>559</v>
      </c>
      <c r="M559" s="79"/>
      <c r="N559" s="73"/>
      <c r="O559" s="81" t="s">
        <v>613</v>
      </c>
      <c r="P559">
        <v>1</v>
      </c>
      <c r="Q559" s="80" t="str">
        <f>REPLACE(INDEX(GroupVertices[Group],MATCH(Edges[[#This Row],[Vertex 1]],GroupVertices[Vertex],0)),1,1,"")</f>
        <v>5</v>
      </c>
      <c r="R559" s="80" t="str">
        <f>REPLACE(INDEX(GroupVertices[Group],MATCH(Edges[[#This Row],[Vertex 2]],GroupVertices[Vertex],0)),1,1,"")</f>
        <v>1</v>
      </c>
      <c r="S559" s="35"/>
      <c r="T559" s="35"/>
      <c r="U559" s="35"/>
      <c r="V559" s="35"/>
      <c r="W559" s="35"/>
      <c r="X559" s="35"/>
      <c r="Y559" s="35"/>
      <c r="Z559" s="35"/>
      <c r="AA559" s="35"/>
    </row>
    <row r="560" spans="1:27" ht="15">
      <c r="A560" s="65" t="s">
        <v>213</v>
      </c>
      <c r="B560" s="65" t="s">
        <v>559</v>
      </c>
      <c r="C560" s="66" t="s">
        <v>3534</v>
      </c>
      <c r="D560" s="67">
        <v>5</v>
      </c>
      <c r="E560" s="68"/>
      <c r="F560" s="69">
        <v>25</v>
      </c>
      <c r="G560" s="66"/>
      <c r="H560" s="70"/>
      <c r="I560" s="71"/>
      <c r="J560" s="71"/>
      <c r="K560" s="35" t="s">
        <v>65</v>
      </c>
      <c r="L560" s="79">
        <v>560</v>
      </c>
      <c r="M560" s="79"/>
      <c r="N560" s="73"/>
      <c r="O560" s="81" t="s">
        <v>613</v>
      </c>
      <c r="P560">
        <v>1</v>
      </c>
      <c r="Q560" s="80" t="str">
        <f>REPLACE(INDEX(GroupVertices[Group],MATCH(Edges[[#This Row],[Vertex 1]],GroupVertices[Vertex],0)),1,1,"")</f>
        <v>4</v>
      </c>
      <c r="R560" s="80" t="str">
        <f>REPLACE(INDEX(GroupVertices[Group],MATCH(Edges[[#This Row],[Vertex 2]],GroupVertices[Vertex],0)),1,1,"")</f>
        <v>4</v>
      </c>
      <c r="S560" s="35"/>
      <c r="T560" s="35"/>
      <c r="U560" s="35"/>
      <c r="V560" s="35"/>
      <c r="W560" s="35"/>
      <c r="X560" s="35"/>
      <c r="Y560" s="35"/>
      <c r="Z560" s="35"/>
      <c r="AA560" s="35"/>
    </row>
    <row r="561" spans="1:27" ht="15">
      <c r="A561" s="65" t="s">
        <v>219</v>
      </c>
      <c r="B561" s="65" t="s">
        <v>559</v>
      </c>
      <c r="C561" s="66" t="s">
        <v>3534</v>
      </c>
      <c r="D561" s="67">
        <v>5</v>
      </c>
      <c r="E561" s="68"/>
      <c r="F561" s="69">
        <v>25</v>
      </c>
      <c r="G561" s="66"/>
      <c r="H561" s="70"/>
      <c r="I561" s="71"/>
      <c r="J561" s="71"/>
      <c r="K561" s="35" t="s">
        <v>65</v>
      </c>
      <c r="L561" s="79">
        <v>561</v>
      </c>
      <c r="M561" s="79"/>
      <c r="N561" s="73"/>
      <c r="O561" s="81" t="s">
        <v>613</v>
      </c>
      <c r="P561">
        <v>1</v>
      </c>
      <c r="Q561" s="80" t="str">
        <f>REPLACE(INDEX(GroupVertices[Group],MATCH(Edges[[#This Row],[Vertex 1]],GroupVertices[Vertex],0)),1,1,"")</f>
        <v>5</v>
      </c>
      <c r="R561" s="80" t="str">
        <f>REPLACE(INDEX(GroupVertices[Group],MATCH(Edges[[#This Row],[Vertex 2]],GroupVertices[Vertex],0)),1,1,"")</f>
        <v>4</v>
      </c>
      <c r="S561" s="35"/>
      <c r="T561" s="35"/>
      <c r="U561" s="35"/>
      <c r="V561" s="35"/>
      <c r="W561" s="35"/>
      <c r="X561" s="35"/>
      <c r="Y561" s="35"/>
      <c r="Z561" s="35"/>
      <c r="AA561" s="35"/>
    </row>
    <row r="562" spans="1:27" ht="15">
      <c r="A562" s="65" t="s">
        <v>219</v>
      </c>
      <c r="B562" s="65" t="s">
        <v>580</v>
      </c>
      <c r="C562" s="66" t="s">
        <v>3534</v>
      </c>
      <c r="D562" s="67">
        <v>5</v>
      </c>
      <c r="E562" s="68"/>
      <c r="F562" s="69">
        <v>25</v>
      </c>
      <c r="G562" s="66"/>
      <c r="H562" s="70"/>
      <c r="I562" s="71"/>
      <c r="J562" s="71"/>
      <c r="K562" s="35" t="s">
        <v>65</v>
      </c>
      <c r="L562" s="79">
        <v>562</v>
      </c>
      <c r="M562" s="79"/>
      <c r="N562" s="73"/>
      <c r="O562" s="81" t="s">
        <v>613</v>
      </c>
      <c r="P562">
        <v>1</v>
      </c>
      <c r="Q562" s="80" t="str">
        <f>REPLACE(INDEX(GroupVertices[Group],MATCH(Edges[[#This Row],[Vertex 1]],GroupVertices[Vertex],0)),1,1,"")</f>
        <v>5</v>
      </c>
      <c r="R562" s="80" t="str">
        <f>REPLACE(INDEX(GroupVertices[Group],MATCH(Edges[[#This Row],[Vertex 2]],GroupVertices[Vertex],0)),1,1,"")</f>
        <v>5</v>
      </c>
      <c r="S562" s="35"/>
      <c r="T562" s="35"/>
      <c r="U562" s="35"/>
      <c r="V562" s="35"/>
      <c r="W562" s="35"/>
      <c r="X562" s="35"/>
      <c r="Y562" s="35"/>
      <c r="Z562" s="35"/>
      <c r="AA562" s="35"/>
    </row>
    <row r="563" spans="1:27" ht="15">
      <c r="A563" s="65" t="s">
        <v>219</v>
      </c>
      <c r="B563" s="65" t="s">
        <v>581</v>
      </c>
      <c r="C563" s="66" t="s">
        <v>3534</v>
      </c>
      <c r="D563" s="67">
        <v>5</v>
      </c>
      <c r="E563" s="68"/>
      <c r="F563" s="69">
        <v>25</v>
      </c>
      <c r="G563" s="66"/>
      <c r="H563" s="70"/>
      <c r="I563" s="71"/>
      <c r="J563" s="71"/>
      <c r="K563" s="35" t="s">
        <v>65</v>
      </c>
      <c r="L563" s="79">
        <v>563</v>
      </c>
      <c r="M563" s="79"/>
      <c r="N563" s="73"/>
      <c r="O563" s="81" t="s">
        <v>613</v>
      </c>
      <c r="P563">
        <v>1</v>
      </c>
      <c r="Q563" s="80" t="str">
        <f>REPLACE(INDEX(GroupVertices[Group],MATCH(Edges[[#This Row],[Vertex 1]],GroupVertices[Vertex],0)),1,1,"")</f>
        <v>5</v>
      </c>
      <c r="R563" s="80" t="str">
        <f>REPLACE(INDEX(GroupVertices[Group],MATCH(Edges[[#This Row],[Vertex 2]],GroupVertices[Vertex],0)),1,1,"")</f>
        <v>5</v>
      </c>
      <c r="S563" s="35"/>
      <c r="T563" s="35"/>
      <c r="U563" s="35"/>
      <c r="V563" s="35"/>
      <c r="W563" s="35"/>
      <c r="X563" s="35"/>
      <c r="Y563" s="35"/>
      <c r="Z563" s="35"/>
      <c r="AA563" s="35"/>
    </row>
    <row r="564" spans="1:27" ht="15">
      <c r="A564" s="65" t="s">
        <v>213</v>
      </c>
      <c r="B564" s="65" t="s">
        <v>565</v>
      </c>
      <c r="C564" s="66" t="s">
        <v>3534</v>
      </c>
      <c r="D564" s="67">
        <v>5</v>
      </c>
      <c r="E564" s="68"/>
      <c r="F564" s="69">
        <v>25</v>
      </c>
      <c r="G564" s="66"/>
      <c r="H564" s="70"/>
      <c r="I564" s="71"/>
      <c r="J564" s="71"/>
      <c r="K564" s="35" t="s">
        <v>65</v>
      </c>
      <c r="L564" s="79">
        <v>564</v>
      </c>
      <c r="M564" s="79"/>
      <c r="N564" s="73"/>
      <c r="O564" s="81" t="s">
        <v>613</v>
      </c>
      <c r="P564">
        <v>1</v>
      </c>
      <c r="Q564" s="80" t="str">
        <f>REPLACE(INDEX(GroupVertices[Group],MATCH(Edges[[#This Row],[Vertex 1]],GroupVertices[Vertex],0)),1,1,"")</f>
        <v>4</v>
      </c>
      <c r="R564" s="80" t="str">
        <f>REPLACE(INDEX(GroupVertices[Group],MATCH(Edges[[#This Row],[Vertex 2]],GroupVertices[Vertex],0)),1,1,"")</f>
        <v>5</v>
      </c>
      <c r="S564" s="35"/>
      <c r="T564" s="35"/>
      <c r="U564" s="35"/>
      <c r="V564" s="35"/>
      <c r="W564" s="35"/>
      <c r="X564" s="35"/>
      <c r="Y564" s="35"/>
      <c r="Z564" s="35"/>
      <c r="AA564" s="35"/>
    </row>
    <row r="565" spans="1:27" ht="15">
      <c r="A565" s="65" t="s">
        <v>219</v>
      </c>
      <c r="B565" s="65" t="s">
        <v>565</v>
      </c>
      <c r="C565" s="66" t="s">
        <v>3534</v>
      </c>
      <c r="D565" s="67">
        <v>5</v>
      </c>
      <c r="E565" s="68"/>
      <c r="F565" s="69">
        <v>25</v>
      </c>
      <c r="G565" s="66"/>
      <c r="H565" s="70"/>
      <c r="I565" s="71"/>
      <c r="J565" s="71"/>
      <c r="K565" s="35" t="s">
        <v>65</v>
      </c>
      <c r="L565" s="79">
        <v>565</v>
      </c>
      <c r="M565" s="79"/>
      <c r="N565" s="73"/>
      <c r="O565" s="81" t="s">
        <v>613</v>
      </c>
      <c r="P565">
        <v>1</v>
      </c>
      <c r="Q565" s="80" t="str">
        <f>REPLACE(INDEX(GroupVertices[Group],MATCH(Edges[[#This Row],[Vertex 1]],GroupVertices[Vertex],0)),1,1,"")</f>
        <v>5</v>
      </c>
      <c r="R565" s="80" t="str">
        <f>REPLACE(INDEX(GroupVertices[Group],MATCH(Edges[[#This Row],[Vertex 2]],GroupVertices[Vertex],0)),1,1,"")</f>
        <v>5</v>
      </c>
      <c r="S565" s="35"/>
      <c r="T565" s="35"/>
      <c r="U565" s="35"/>
      <c r="V565" s="35"/>
      <c r="W565" s="35"/>
      <c r="X565" s="35"/>
      <c r="Y565" s="35"/>
      <c r="Z565" s="35"/>
      <c r="AA565" s="35"/>
    </row>
    <row r="566" spans="1:27" ht="15">
      <c r="A566" s="65" t="s">
        <v>213</v>
      </c>
      <c r="B566" s="65" t="s">
        <v>379</v>
      </c>
      <c r="C566" s="66" t="s">
        <v>3534</v>
      </c>
      <c r="D566" s="67">
        <v>5</v>
      </c>
      <c r="E566" s="68"/>
      <c r="F566" s="69">
        <v>25</v>
      </c>
      <c r="G566" s="66"/>
      <c r="H566" s="70"/>
      <c r="I566" s="71"/>
      <c r="J566" s="71"/>
      <c r="K566" s="35" t="s">
        <v>65</v>
      </c>
      <c r="L566" s="79">
        <v>566</v>
      </c>
      <c r="M566" s="79"/>
      <c r="N566" s="73"/>
      <c r="O566" s="81" t="s">
        <v>613</v>
      </c>
      <c r="P566">
        <v>1</v>
      </c>
      <c r="Q566" s="80" t="str">
        <f>REPLACE(INDEX(GroupVertices[Group],MATCH(Edges[[#This Row],[Vertex 1]],GroupVertices[Vertex],0)),1,1,"")</f>
        <v>4</v>
      </c>
      <c r="R566" s="80" t="str">
        <f>REPLACE(INDEX(GroupVertices[Group],MATCH(Edges[[#This Row],[Vertex 2]],GroupVertices[Vertex],0)),1,1,"")</f>
        <v>6</v>
      </c>
      <c r="S566" s="35"/>
      <c r="T566" s="35"/>
      <c r="U566" s="35"/>
      <c r="V566" s="35"/>
      <c r="W566" s="35"/>
      <c r="X566" s="35"/>
      <c r="Y566" s="35"/>
      <c r="Z566" s="35"/>
      <c r="AA566" s="35"/>
    </row>
    <row r="567" spans="1:27" ht="15">
      <c r="A567" s="65" t="s">
        <v>219</v>
      </c>
      <c r="B567" s="65" t="s">
        <v>379</v>
      </c>
      <c r="C567" s="66" t="s">
        <v>3534</v>
      </c>
      <c r="D567" s="67">
        <v>5</v>
      </c>
      <c r="E567" s="68"/>
      <c r="F567" s="69">
        <v>25</v>
      </c>
      <c r="G567" s="66"/>
      <c r="H567" s="70"/>
      <c r="I567" s="71"/>
      <c r="J567" s="71"/>
      <c r="K567" s="35" t="s">
        <v>65</v>
      </c>
      <c r="L567" s="79">
        <v>567</v>
      </c>
      <c r="M567" s="79"/>
      <c r="N567" s="73"/>
      <c r="O567" s="81" t="s">
        <v>613</v>
      </c>
      <c r="P567">
        <v>1</v>
      </c>
      <c r="Q567" s="80" t="str">
        <f>REPLACE(INDEX(GroupVertices[Group],MATCH(Edges[[#This Row],[Vertex 1]],GroupVertices[Vertex],0)),1,1,"")</f>
        <v>5</v>
      </c>
      <c r="R567" s="80" t="str">
        <f>REPLACE(INDEX(GroupVertices[Group],MATCH(Edges[[#This Row],[Vertex 2]],GroupVertices[Vertex],0)),1,1,"")</f>
        <v>6</v>
      </c>
      <c r="S567" s="35"/>
      <c r="T567" s="35"/>
      <c r="U567" s="35"/>
      <c r="V567" s="35"/>
      <c r="W567" s="35"/>
      <c r="X567" s="35"/>
      <c r="Y567" s="35"/>
      <c r="Z567" s="35"/>
      <c r="AA567" s="35"/>
    </row>
    <row r="568" spans="1:27" ht="15">
      <c r="A568" s="65" t="s">
        <v>219</v>
      </c>
      <c r="B568" s="65" t="s">
        <v>582</v>
      </c>
      <c r="C568" s="66" t="s">
        <v>3534</v>
      </c>
      <c r="D568" s="67">
        <v>5</v>
      </c>
      <c r="E568" s="68"/>
      <c r="F568" s="69">
        <v>25</v>
      </c>
      <c r="G568" s="66"/>
      <c r="H568" s="70"/>
      <c r="I568" s="71"/>
      <c r="J568" s="71"/>
      <c r="K568" s="35" t="s">
        <v>65</v>
      </c>
      <c r="L568" s="79">
        <v>568</v>
      </c>
      <c r="M568" s="79"/>
      <c r="N568" s="73"/>
      <c r="O568" s="81" t="s">
        <v>613</v>
      </c>
      <c r="P568">
        <v>1</v>
      </c>
      <c r="Q568" s="80" t="str">
        <f>REPLACE(INDEX(GroupVertices[Group],MATCH(Edges[[#This Row],[Vertex 1]],GroupVertices[Vertex],0)),1,1,"")</f>
        <v>5</v>
      </c>
      <c r="R568" s="80" t="str">
        <f>REPLACE(INDEX(GroupVertices[Group],MATCH(Edges[[#This Row],[Vertex 2]],GroupVertices[Vertex],0)),1,1,"")</f>
        <v>5</v>
      </c>
      <c r="S568" s="35"/>
      <c r="T568" s="35"/>
      <c r="U568" s="35"/>
      <c r="V568" s="35"/>
      <c r="W568" s="35"/>
      <c r="X568" s="35"/>
      <c r="Y568" s="35"/>
      <c r="Z568" s="35"/>
      <c r="AA568" s="35"/>
    </row>
    <row r="569" spans="1:27" ht="15">
      <c r="A569" s="65" t="s">
        <v>213</v>
      </c>
      <c r="B569" s="65" t="s">
        <v>583</v>
      </c>
      <c r="C569" s="66" t="s">
        <v>3534</v>
      </c>
      <c r="D569" s="67">
        <v>5</v>
      </c>
      <c r="E569" s="68"/>
      <c r="F569" s="69">
        <v>25</v>
      </c>
      <c r="G569" s="66"/>
      <c r="H569" s="70"/>
      <c r="I569" s="71"/>
      <c r="J569" s="71"/>
      <c r="K569" s="35" t="s">
        <v>65</v>
      </c>
      <c r="L569" s="79">
        <v>569</v>
      </c>
      <c r="M569" s="79"/>
      <c r="N569" s="73"/>
      <c r="O569" s="81" t="s">
        <v>613</v>
      </c>
      <c r="P569">
        <v>1</v>
      </c>
      <c r="Q569" s="80" t="str">
        <f>REPLACE(INDEX(GroupVertices[Group],MATCH(Edges[[#This Row],[Vertex 1]],GroupVertices[Vertex],0)),1,1,"")</f>
        <v>4</v>
      </c>
      <c r="R569" s="80" t="str">
        <f>REPLACE(INDEX(GroupVertices[Group],MATCH(Edges[[#This Row],[Vertex 2]],GroupVertices[Vertex],0)),1,1,"")</f>
        <v>4</v>
      </c>
      <c r="S569" s="35"/>
      <c r="T569" s="35"/>
      <c r="U569" s="35"/>
      <c r="V569" s="35"/>
      <c r="W569" s="35"/>
      <c r="X569" s="35"/>
      <c r="Y569" s="35"/>
      <c r="Z569" s="35"/>
      <c r="AA569" s="35"/>
    </row>
    <row r="570" spans="1:27" ht="15">
      <c r="A570" s="65" t="s">
        <v>219</v>
      </c>
      <c r="B570" s="65" t="s">
        <v>583</v>
      </c>
      <c r="C570" s="66" t="s">
        <v>3534</v>
      </c>
      <c r="D570" s="67">
        <v>5</v>
      </c>
      <c r="E570" s="68"/>
      <c r="F570" s="69">
        <v>25</v>
      </c>
      <c r="G570" s="66"/>
      <c r="H570" s="70"/>
      <c r="I570" s="71"/>
      <c r="J570" s="71"/>
      <c r="K570" s="35" t="s">
        <v>65</v>
      </c>
      <c r="L570" s="79">
        <v>570</v>
      </c>
      <c r="M570" s="79"/>
      <c r="N570" s="73"/>
      <c r="O570" s="81" t="s">
        <v>613</v>
      </c>
      <c r="P570">
        <v>1</v>
      </c>
      <c r="Q570" s="80" t="str">
        <f>REPLACE(INDEX(GroupVertices[Group],MATCH(Edges[[#This Row],[Vertex 1]],GroupVertices[Vertex],0)),1,1,"")</f>
        <v>5</v>
      </c>
      <c r="R570" s="80" t="str">
        <f>REPLACE(INDEX(GroupVertices[Group],MATCH(Edges[[#This Row],[Vertex 2]],GroupVertices[Vertex],0)),1,1,"")</f>
        <v>4</v>
      </c>
      <c r="S570" s="35"/>
      <c r="T570" s="35"/>
      <c r="U570" s="35"/>
      <c r="V570" s="35"/>
      <c r="W570" s="35"/>
      <c r="X570" s="35"/>
      <c r="Y570" s="35"/>
      <c r="Z570" s="35"/>
      <c r="AA570" s="35"/>
    </row>
    <row r="571" spans="1:27" ht="15">
      <c r="A571" s="65" t="s">
        <v>219</v>
      </c>
      <c r="B571" s="65" t="s">
        <v>584</v>
      </c>
      <c r="C571" s="66" t="s">
        <v>3534</v>
      </c>
      <c r="D571" s="67">
        <v>5</v>
      </c>
      <c r="E571" s="68"/>
      <c r="F571" s="69">
        <v>25</v>
      </c>
      <c r="G571" s="66"/>
      <c r="H571" s="70"/>
      <c r="I571" s="71"/>
      <c r="J571" s="71"/>
      <c r="K571" s="35" t="s">
        <v>65</v>
      </c>
      <c r="L571" s="79">
        <v>571</v>
      </c>
      <c r="M571" s="79"/>
      <c r="N571" s="73"/>
      <c r="O571" s="81" t="s">
        <v>613</v>
      </c>
      <c r="P571">
        <v>1</v>
      </c>
      <c r="Q571" s="80" t="str">
        <f>REPLACE(INDEX(GroupVertices[Group],MATCH(Edges[[#This Row],[Vertex 1]],GroupVertices[Vertex],0)),1,1,"")</f>
        <v>5</v>
      </c>
      <c r="R571" s="80" t="str">
        <f>REPLACE(INDEX(GroupVertices[Group],MATCH(Edges[[#This Row],[Vertex 2]],GroupVertices[Vertex],0)),1,1,"")</f>
        <v>5</v>
      </c>
      <c r="S571" s="35"/>
      <c r="T571" s="35"/>
      <c r="U571" s="35"/>
      <c r="V571" s="35"/>
      <c r="W571" s="35"/>
      <c r="X571" s="35"/>
      <c r="Y571" s="35"/>
      <c r="Z571" s="35"/>
      <c r="AA571" s="35"/>
    </row>
    <row r="572" spans="1:27" ht="15">
      <c r="A572" s="65" t="s">
        <v>219</v>
      </c>
      <c r="B572" s="65" t="s">
        <v>585</v>
      </c>
      <c r="C572" s="66" t="s">
        <v>3534</v>
      </c>
      <c r="D572" s="67">
        <v>5</v>
      </c>
      <c r="E572" s="68"/>
      <c r="F572" s="69">
        <v>25</v>
      </c>
      <c r="G572" s="66"/>
      <c r="H572" s="70"/>
      <c r="I572" s="71"/>
      <c r="J572" s="71"/>
      <c r="K572" s="35" t="s">
        <v>65</v>
      </c>
      <c r="L572" s="79">
        <v>572</v>
      </c>
      <c r="M572" s="79"/>
      <c r="N572" s="73"/>
      <c r="O572" s="81" t="s">
        <v>613</v>
      </c>
      <c r="P572">
        <v>1</v>
      </c>
      <c r="Q572" s="80" t="str">
        <f>REPLACE(INDEX(GroupVertices[Group],MATCH(Edges[[#This Row],[Vertex 1]],GroupVertices[Vertex],0)),1,1,"")</f>
        <v>5</v>
      </c>
      <c r="R572" s="80" t="str">
        <f>REPLACE(INDEX(GroupVertices[Group],MATCH(Edges[[#This Row],[Vertex 2]],GroupVertices[Vertex],0)),1,1,"")</f>
        <v>5</v>
      </c>
      <c r="S572" s="35"/>
      <c r="T572" s="35"/>
      <c r="U572" s="35"/>
      <c r="V572" s="35"/>
      <c r="W572" s="35"/>
      <c r="X572" s="35"/>
      <c r="Y572" s="35"/>
      <c r="Z572" s="35"/>
      <c r="AA572" s="35"/>
    </row>
    <row r="573" spans="1:27" ht="15">
      <c r="A573" s="65" t="s">
        <v>219</v>
      </c>
      <c r="B573" s="65" t="s">
        <v>381</v>
      </c>
      <c r="C573" s="66" t="s">
        <v>3534</v>
      </c>
      <c r="D573" s="67">
        <v>5</v>
      </c>
      <c r="E573" s="68"/>
      <c r="F573" s="69">
        <v>25</v>
      </c>
      <c r="G573" s="66"/>
      <c r="H573" s="70"/>
      <c r="I573" s="71"/>
      <c r="J573" s="71"/>
      <c r="K573" s="35" t="s">
        <v>65</v>
      </c>
      <c r="L573" s="79">
        <v>573</v>
      </c>
      <c r="M573" s="79"/>
      <c r="N573" s="73"/>
      <c r="O573" s="81" t="s">
        <v>613</v>
      </c>
      <c r="P573">
        <v>1</v>
      </c>
      <c r="Q573" s="80" t="str">
        <f>REPLACE(INDEX(GroupVertices[Group],MATCH(Edges[[#This Row],[Vertex 1]],GroupVertices[Vertex],0)),1,1,"")</f>
        <v>5</v>
      </c>
      <c r="R573" s="80" t="str">
        <f>REPLACE(INDEX(GroupVertices[Group],MATCH(Edges[[#This Row],[Vertex 2]],GroupVertices[Vertex],0)),1,1,"")</f>
        <v>2</v>
      </c>
      <c r="S573" s="35"/>
      <c r="T573" s="35"/>
      <c r="U573" s="35"/>
      <c r="V573" s="35"/>
      <c r="W573" s="35"/>
      <c r="X573" s="35"/>
      <c r="Y573" s="35"/>
      <c r="Z573" s="35"/>
      <c r="AA573" s="35"/>
    </row>
    <row r="574" spans="1:27" ht="15">
      <c r="A574" s="65" t="s">
        <v>219</v>
      </c>
      <c r="B574" s="65" t="s">
        <v>586</v>
      </c>
      <c r="C574" s="66" t="s">
        <v>3534</v>
      </c>
      <c r="D574" s="67">
        <v>5</v>
      </c>
      <c r="E574" s="68"/>
      <c r="F574" s="69">
        <v>25</v>
      </c>
      <c r="G574" s="66"/>
      <c r="H574" s="70"/>
      <c r="I574" s="71"/>
      <c r="J574" s="71"/>
      <c r="K574" s="35" t="s">
        <v>65</v>
      </c>
      <c r="L574" s="79">
        <v>574</v>
      </c>
      <c r="M574" s="79"/>
      <c r="N574" s="73"/>
      <c r="O574" s="81" t="s">
        <v>613</v>
      </c>
      <c r="P574">
        <v>1</v>
      </c>
      <c r="Q574" s="80" t="str">
        <f>REPLACE(INDEX(GroupVertices[Group],MATCH(Edges[[#This Row],[Vertex 1]],GroupVertices[Vertex],0)),1,1,"")</f>
        <v>5</v>
      </c>
      <c r="R574" s="80" t="str">
        <f>REPLACE(INDEX(GroupVertices[Group],MATCH(Edges[[#This Row],[Vertex 2]],GroupVertices[Vertex],0)),1,1,"")</f>
        <v>5</v>
      </c>
      <c r="S574" s="35"/>
      <c r="T574" s="35"/>
      <c r="U574" s="35"/>
      <c r="V574" s="35"/>
      <c r="W574" s="35"/>
      <c r="X574" s="35"/>
      <c r="Y574" s="35"/>
      <c r="Z574" s="35"/>
      <c r="AA574" s="35"/>
    </row>
    <row r="575" spans="1:27" ht="15">
      <c r="A575" s="65" t="s">
        <v>213</v>
      </c>
      <c r="B575" s="65" t="s">
        <v>388</v>
      </c>
      <c r="C575" s="66" t="s">
        <v>3534</v>
      </c>
      <c r="D575" s="67">
        <v>5</v>
      </c>
      <c r="E575" s="68"/>
      <c r="F575" s="69">
        <v>25</v>
      </c>
      <c r="G575" s="66"/>
      <c r="H575" s="70"/>
      <c r="I575" s="71"/>
      <c r="J575" s="71"/>
      <c r="K575" s="35" t="s">
        <v>65</v>
      </c>
      <c r="L575" s="79">
        <v>575</v>
      </c>
      <c r="M575" s="79"/>
      <c r="N575" s="73"/>
      <c r="O575" s="81" t="s">
        <v>613</v>
      </c>
      <c r="P575">
        <v>1</v>
      </c>
      <c r="Q575" s="80" t="str">
        <f>REPLACE(INDEX(GroupVertices[Group],MATCH(Edges[[#This Row],[Vertex 1]],GroupVertices[Vertex],0)),1,1,"")</f>
        <v>4</v>
      </c>
      <c r="R575" s="80" t="str">
        <f>REPLACE(INDEX(GroupVertices[Group],MATCH(Edges[[#This Row],[Vertex 2]],GroupVertices[Vertex],0)),1,1,"")</f>
        <v>1</v>
      </c>
      <c r="S575" s="35"/>
      <c r="T575" s="35"/>
      <c r="U575" s="35"/>
      <c r="V575" s="35"/>
      <c r="W575" s="35"/>
      <c r="X575" s="35"/>
      <c r="Y575" s="35"/>
      <c r="Z575" s="35"/>
      <c r="AA575" s="35"/>
    </row>
    <row r="576" spans="1:27" ht="15">
      <c r="A576" s="65" t="s">
        <v>219</v>
      </c>
      <c r="B576" s="65" t="s">
        <v>388</v>
      </c>
      <c r="C576" s="66" t="s">
        <v>3534</v>
      </c>
      <c r="D576" s="67">
        <v>5</v>
      </c>
      <c r="E576" s="68"/>
      <c r="F576" s="69">
        <v>25</v>
      </c>
      <c r="G576" s="66"/>
      <c r="H576" s="70"/>
      <c r="I576" s="71"/>
      <c r="J576" s="71"/>
      <c r="K576" s="35" t="s">
        <v>65</v>
      </c>
      <c r="L576" s="79">
        <v>576</v>
      </c>
      <c r="M576" s="79"/>
      <c r="N576" s="73"/>
      <c r="O576" s="81" t="s">
        <v>613</v>
      </c>
      <c r="P576">
        <v>1</v>
      </c>
      <c r="Q576" s="80" t="str">
        <f>REPLACE(INDEX(GroupVertices[Group],MATCH(Edges[[#This Row],[Vertex 1]],GroupVertices[Vertex],0)),1,1,"")</f>
        <v>5</v>
      </c>
      <c r="R576" s="80" t="str">
        <f>REPLACE(INDEX(GroupVertices[Group],MATCH(Edges[[#This Row],[Vertex 2]],GroupVertices[Vertex],0)),1,1,"")</f>
        <v>1</v>
      </c>
      <c r="S576" s="35"/>
      <c r="T576" s="35"/>
      <c r="U576" s="35"/>
      <c r="V576" s="35"/>
      <c r="W576" s="35"/>
      <c r="X576" s="35"/>
      <c r="Y576" s="35"/>
      <c r="Z576" s="35"/>
      <c r="AA576" s="35"/>
    </row>
    <row r="577" spans="1:27" ht="15">
      <c r="A577" s="65" t="s">
        <v>219</v>
      </c>
      <c r="B577" s="65" t="s">
        <v>578</v>
      </c>
      <c r="C577" s="66" t="s">
        <v>3534</v>
      </c>
      <c r="D577" s="67">
        <v>5</v>
      </c>
      <c r="E577" s="68"/>
      <c r="F577" s="69">
        <v>25</v>
      </c>
      <c r="G577" s="66"/>
      <c r="H577" s="70"/>
      <c r="I577" s="71"/>
      <c r="J577" s="71"/>
      <c r="K577" s="35" t="s">
        <v>65</v>
      </c>
      <c r="L577" s="79">
        <v>577</v>
      </c>
      <c r="M577" s="79"/>
      <c r="N577" s="73"/>
      <c r="O577" s="81" t="s">
        <v>613</v>
      </c>
      <c r="P577">
        <v>1</v>
      </c>
      <c r="Q577" s="80" t="str">
        <f>REPLACE(INDEX(GroupVertices[Group],MATCH(Edges[[#This Row],[Vertex 1]],GroupVertices[Vertex],0)),1,1,"")</f>
        <v>5</v>
      </c>
      <c r="R577" s="80" t="str">
        <f>REPLACE(INDEX(GroupVertices[Group],MATCH(Edges[[#This Row],[Vertex 2]],GroupVertices[Vertex],0)),1,1,"")</f>
        <v>5</v>
      </c>
      <c r="S577" s="35"/>
      <c r="T577" s="35"/>
      <c r="U577" s="35"/>
      <c r="V577" s="35"/>
      <c r="W577" s="35"/>
      <c r="X577" s="35"/>
      <c r="Y577" s="35"/>
      <c r="Z577" s="35"/>
      <c r="AA577" s="35"/>
    </row>
    <row r="578" spans="1:27" ht="15">
      <c r="A578" s="65" t="s">
        <v>219</v>
      </c>
      <c r="B578" s="65" t="s">
        <v>587</v>
      </c>
      <c r="C578" s="66" t="s">
        <v>3534</v>
      </c>
      <c r="D578" s="67">
        <v>5</v>
      </c>
      <c r="E578" s="68"/>
      <c r="F578" s="69">
        <v>25</v>
      </c>
      <c r="G578" s="66"/>
      <c r="H578" s="70"/>
      <c r="I578" s="71"/>
      <c r="J578" s="71"/>
      <c r="K578" s="35" t="s">
        <v>65</v>
      </c>
      <c r="L578" s="79">
        <v>578</v>
      </c>
      <c r="M578" s="79"/>
      <c r="N578" s="73"/>
      <c r="O578" s="81" t="s">
        <v>613</v>
      </c>
      <c r="P578">
        <v>1</v>
      </c>
      <c r="Q578" s="80" t="str">
        <f>REPLACE(INDEX(GroupVertices[Group],MATCH(Edges[[#This Row],[Vertex 1]],GroupVertices[Vertex],0)),1,1,"")</f>
        <v>5</v>
      </c>
      <c r="R578" s="80" t="str">
        <f>REPLACE(INDEX(GroupVertices[Group],MATCH(Edges[[#This Row],[Vertex 2]],GroupVertices[Vertex],0)),1,1,"")</f>
        <v>5</v>
      </c>
      <c r="S578" s="35"/>
      <c r="T578" s="35"/>
      <c r="U578" s="35"/>
      <c r="V578" s="35"/>
      <c r="W578" s="35"/>
      <c r="X578" s="35"/>
      <c r="Y578" s="35"/>
      <c r="Z578" s="35"/>
      <c r="AA578" s="35"/>
    </row>
    <row r="579" spans="1:27" ht="15">
      <c r="A579" s="65" t="s">
        <v>213</v>
      </c>
      <c r="B579" s="65" t="s">
        <v>577</v>
      </c>
      <c r="C579" s="66" t="s">
        <v>3534</v>
      </c>
      <c r="D579" s="67">
        <v>5</v>
      </c>
      <c r="E579" s="68"/>
      <c r="F579" s="69">
        <v>25</v>
      </c>
      <c r="G579" s="66"/>
      <c r="H579" s="70"/>
      <c r="I579" s="71"/>
      <c r="J579" s="71"/>
      <c r="K579" s="35" t="s">
        <v>65</v>
      </c>
      <c r="L579" s="79">
        <v>579</v>
      </c>
      <c r="M579" s="79"/>
      <c r="N579" s="73"/>
      <c r="O579" s="81" t="s">
        <v>613</v>
      </c>
      <c r="P579">
        <v>1</v>
      </c>
      <c r="Q579" s="80" t="str">
        <f>REPLACE(INDEX(GroupVertices[Group],MATCH(Edges[[#This Row],[Vertex 1]],GroupVertices[Vertex],0)),1,1,"")</f>
        <v>4</v>
      </c>
      <c r="R579" s="80" t="str">
        <f>REPLACE(INDEX(GroupVertices[Group],MATCH(Edges[[#This Row],[Vertex 2]],GroupVertices[Vertex],0)),1,1,"")</f>
        <v>4</v>
      </c>
      <c r="S579" s="35"/>
      <c r="T579" s="35"/>
      <c r="U579" s="35"/>
      <c r="V579" s="35"/>
      <c r="W579" s="35"/>
      <c r="X579" s="35"/>
      <c r="Y579" s="35"/>
      <c r="Z579" s="35"/>
      <c r="AA579" s="35"/>
    </row>
    <row r="580" spans="1:27" ht="15">
      <c r="A580" s="65" t="s">
        <v>219</v>
      </c>
      <c r="B580" s="65" t="s">
        <v>577</v>
      </c>
      <c r="C580" s="66" t="s">
        <v>3534</v>
      </c>
      <c r="D580" s="67">
        <v>5</v>
      </c>
      <c r="E580" s="68"/>
      <c r="F580" s="69">
        <v>25</v>
      </c>
      <c r="G580" s="66"/>
      <c r="H580" s="70"/>
      <c r="I580" s="71"/>
      <c r="J580" s="71"/>
      <c r="K580" s="35" t="s">
        <v>65</v>
      </c>
      <c r="L580" s="79">
        <v>580</v>
      </c>
      <c r="M580" s="79"/>
      <c r="N580" s="73"/>
      <c r="O580" s="81" t="s">
        <v>613</v>
      </c>
      <c r="P580">
        <v>1</v>
      </c>
      <c r="Q580" s="80" t="str">
        <f>REPLACE(INDEX(GroupVertices[Group],MATCH(Edges[[#This Row],[Vertex 1]],GroupVertices[Vertex],0)),1,1,"")</f>
        <v>5</v>
      </c>
      <c r="R580" s="80" t="str">
        <f>REPLACE(INDEX(GroupVertices[Group],MATCH(Edges[[#This Row],[Vertex 2]],GroupVertices[Vertex],0)),1,1,"")</f>
        <v>4</v>
      </c>
      <c r="S580" s="35"/>
      <c r="T580" s="35"/>
      <c r="U580" s="35"/>
      <c r="V580" s="35"/>
      <c r="W580" s="35"/>
      <c r="X580" s="35"/>
      <c r="Y580" s="35"/>
      <c r="Z580" s="35"/>
      <c r="AA580" s="35"/>
    </row>
    <row r="581" spans="1:27" ht="15">
      <c r="A581" s="65" t="s">
        <v>219</v>
      </c>
      <c r="B581" s="65" t="s">
        <v>588</v>
      </c>
      <c r="C581" s="66" t="s">
        <v>3534</v>
      </c>
      <c r="D581" s="67">
        <v>5</v>
      </c>
      <c r="E581" s="68"/>
      <c r="F581" s="69">
        <v>25</v>
      </c>
      <c r="G581" s="66"/>
      <c r="H581" s="70"/>
      <c r="I581" s="71"/>
      <c r="J581" s="71"/>
      <c r="K581" s="35" t="s">
        <v>65</v>
      </c>
      <c r="L581" s="79">
        <v>581</v>
      </c>
      <c r="M581" s="79"/>
      <c r="N581" s="73"/>
      <c r="O581" s="81" t="s">
        <v>613</v>
      </c>
      <c r="P581">
        <v>1</v>
      </c>
      <c r="Q581" s="80" t="str">
        <f>REPLACE(INDEX(GroupVertices[Group],MATCH(Edges[[#This Row],[Vertex 1]],GroupVertices[Vertex],0)),1,1,"")</f>
        <v>5</v>
      </c>
      <c r="R581" s="80" t="str">
        <f>REPLACE(INDEX(GroupVertices[Group],MATCH(Edges[[#This Row],[Vertex 2]],GroupVertices[Vertex],0)),1,1,"")</f>
        <v>5</v>
      </c>
      <c r="S581" s="35"/>
      <c r="T581" s="35"/>
      <c r="U581" s="35"/>
      <c r="V581" s="35"/>
      <c r="W581" s="35"/>
      <c r="X581" s="35"/>
      <c r="Y581" s="35"/>
      <c r="Z581" s="35"/>
      <c r="AA581" s="35"/>
    </row>
    <row r="582" spans="1:27" ht="15">
      <c r="A582" s="65" t="s">
        <v>213</v>
      </c>
      <c r="B582" s="65" t="s">
        <v>393</v>
      </c>
      <c r="C582" s="66" t="s">
        <v>3534</v>
      </c>
      <c r="D582" s="67">
        <v>5</v>
      </c>
      <c r="E582" s="68"/>
      <c r="F582" s="69">
        <v>25</v>
      </c>
      <c r="G582" s="66"/>
      <c r="H582" s="70"/>
      <c r="I582" s="71"/>
      <c r="J582" s="71"/>
      <c r="K582" s="35" t="s">
        <v>65</v>
      </c>
      <c r="L582" s="79">
        <v>582</v>
      </c>
      <c r="M582" s="79"/>
      <c r="N582" s="73"/>
      <c r="O582" s="81" t="s">
        <v>613</v>
      </c>
      <c r="P582">
        <v>1</v>
      </c>
      <c r="Q582" s="80" t="str">
        <f>REPLACE(INDEX(GroupVertices[Group],MATCH(Edges[[#This Row],[Vertex 1]],GroupVertices[Vertex],0)),1,1,"")</f>
        <v>4</v>
      </c>
      <c r="R582" s="80" t="str">
        <f>REPLACE(INDEX(GroupVertices[Group],MATCH(Edges[[#This Row],[Vertex 2]],GroupVertices[Vertex],0)),1,1,"")</f>
        <v>1</v>
      </c>
      <c r="S582" s="35"/>
      <c r="T582" s="35"/>
      <c r="U582" s="35"/>
      <c r="V582" s="35"/>
      <c r="W582" s="35"/>
      <c r="X582" s="35"/>
      <c r="Y582" s="35"/>
      <c r="Z582" s="35"/>
      <c r="AA582" s="35"/>
    </row>
    <row r="583" spans="1:27" ht="15">
      <c r="A583" s="65" t="s">
        <v>219</v>
      </c>
      <c r="B583" s="65" t="s">
        <v>393</v>
      </c>
      <c r="C583" s="66" t="s">
        <v>3534</v>
      </c>
      <c r="D583" s="67">
        <v>5</v>
      </c>
      <c r="E583" s="68"/>
      <c r="F583" s="69">
        <v>25</v>
      </c>
      <c r="G583" s="66"/>
      <c r="H583" s="70"/>
      <c r="I583" s="71"/>
      <c r="J583" s="71"/>
      <c r="K583" s="35" t="s">
        <v>65</v>
      </c>
      <c r="L583" s="79">
        <v>583</v>
      </c>
      <c r="M583" s="79"/>
      <c r="N583" s="73"/>
      <c r="O583" s="81" t="s">
        <v>613</v>
      </c>
      <c r="P583">
        <v>1</v>
      </c>
      <c r="Q583" s="80" t="str">
        <f>REPLACE(INDEX(GroupVertices[Group],MATCH(Edges[[#This Row],[Vertex 1]],GroupVertices[Vertex],0)),1,1,"")</f>
        <v>5</v>
      </c>
      <c r="R583" s="80" t="str">
        <f>REPLACE(INDEX(GroupVertices[Group],MATCH(Edges[[#This Row],[Vertex 2]],GroupVertices[Vertex],0)),1,1,"")</f>
        <v>1</v>
      </c>
      <c r="S583" s="35"/>
      <c r="T583" s="35"/>
      <c r="U583" s="35"/>
      <c r="V583" s="35"/>
      <c r="W583" s="35"/>
      <c r="X583" s="35"/>
      <c r="Y583" s="35"/>
      <c r="Z583" s="35"/>
      <c r="AA583" s="35"/>
    </row>
    <row r="584" spans="1:27" ht="15">
      <c r="A584" s="65" t="s">
        <v>213</v>
      </c>
      <c r="B584" s="65" t="s">
        <v>385</v>
      </c>
      <c r="C584" s="66" t="s">
        <v>3534</v>
      </c>
      <c r="D584" s="67">
        <v>5</v>
      </c>
      <c r="E584" s="68"/>
      <c r="F584" s="69">
        <v>25</v>
      </c>
      <c r="G584" s="66"/>
      <c r="H584" s="70"/>
      <c r="I584" s="71"/>
      <c r="J584" s="71"/>
      <c r="K584" s="35" t="s">
        <v>65</v>
      </c>
      <c r="L584" s="79">
        <v>584</v>
      </c>
      <c r="M584" s="79"/>
      <c r="N584" s="73"/>
      <c r="O584" s="81" t="s">
        <v>613</v>
      </c>
      <c r="P584">
        <v>1</v>
      </c>
      <c r="Q584" s="80" t="str">
        <f>REPLACE(INDEX(GroupVertices[Group],MATCH(Edges[[#This Row],[Vertex 1]],GroupVertices[Vertex],0)),1,1,"")</f>
        <v>4</v>
      </c>
      <c r="R584" s="80" t="str">
        <f>REPLACE(INDEX(GroupVertices[Group],MATCH(Edges[[#This Row],[Vertex 2]],GroupVertices[Vertex],0)),1,1,"")</f>
        <v>6</v>
      </c>
      <c r="S584" s="35"/>
      <c r="T584" s="35"/>
      <c r="U584" s="35"/>
      <c r="V584" s="35"/>
      <c r="W584" s="35"/>
      <c r="X584" s="35"/>
      <c r="Y584" s="35"/>
      <c r="Z584" s="35"/>
      <c r="AA584" s="35"/>
    </row>
    <row r="585" spans="1:27" ht="15">
      <c r="A585" s="65" t="s">
        <v>219</v>
      </c>
      <c r="B585" s="65" t="s">
        <v>385</v>
      </c>
      <c r="C585" s="66" t="s">
        <v>3534</v>
      </c>
      <c r="D585" s="67">
        <v>5</v>
      </c>
      <c r="E585" s="68"/>
      <c r="F585" s="69">
        <v>25</v>
      </c>
      <c r="G585" s="66"/>
      <c r="H585" s="70"/>
      <c r="I585" s="71"/>
      <c r="J585" s="71"/>
      <c r="K585" s="35" t="s">
        <v>65</v>
      </c>
      <c r="L585" s="79">
        <v>585</v>
      </c>
      <c r="M585" s="79"/>
      <c r="N585" s="73"/>
      <c r="O585" s="81" t="s">
        <v>613</v>
      </c>
      <c r="P585">
        <v>1</v>
      </c>
      <c r="Q585" s="80" t="str">
        <f>REPLACE(INDEX(GroupVertices[Group],MATCH(Edges[[#This Row],[Vertex 1]],GroupVertices[Vertex],0)),1,1,"")</f>
        <v>5</v>
      </c>
      <c r="R585" s="80" t="str">
        <f>REPLACE(INDEX(GroupVertices[Group],MATCH(Edges[[#This Row],[Vertex 2]],GroupVertices[Vertex],0)),1,1,"")</f>
        <v>6</v>
      </c>
      <c r="S585" s="35"/>
      <c r="T585" s="35"/>
      <c r="U585" s="35"/>
      <c r="V585" s="35"/>
      <c r="W585" s="35"/>
      <c r="X585" s="35"/>
      <c r="Y585" s="35"/>
      <c r="Z585" s="35"/>
      <c r="AA585" s="35"/>
    </row>
    <row r="586" spans="1:27" ht="15">
      <c r="A586" s="65" t="s">
        <v>219</v>
      </c>
      <c r="B586" s="65" t="s">
        <v>589</v>
      </c>
      <c r="C586" s="66" t="s">
        <v>3534</v>
      </c>
      <c r="D586" s="67">
        <v>5</v>
      </c>
      <c r="E586" s="68"/>
      <c r="F586" s="69">
        <v>25</v>
      </c>
      <c r="G586" s="66"/>
      <c r="H586" s="70"/>
      <c r="I586" s="71"/>
      <c r="J586" s="71"/>
      <c r="K586" s="35" t="s">
        <v>65</v>
      </c>
      <c r="L586" s="79">
        <v>586</v>
      </c>
      <c r="M586" s="79"/>
      <c r="N586" s="73"/>
      <c r="O586" s="81" t="s">
        <v>613</v>
      </c>
      <c r="P586">
        <v>1</v>
      </c>
      <c r="Q586" s="80" t="str">
        <f>REPLACE(INDEX(GroupVertices[Group],MATCH(Edges[[#This Row],[Vertex 1]],GroupVertices[Vertex],0)),1,1,"")</f>
        <v>5</v>
      </c>
      <c r="R586" s="80" t="str">
        <f>REPLACE(INDEX(GroupVertices[Group],MATCH(Edges[[#This Row],[Vertex 2]],GroupVertices[Vertex],0)),1,1,"")</f>
        <v>5</v>
      </c>
      <c r="S586" s="35"/>
      <c r="T586" s="35"/>
      <c r="U586" s="35"/>
      <c r="V586" s="35"/>
      <c r="W586" s="35"/>
      <c r="X586" s="35"/>
      <c r="Y586" s="35"/>
      <c r="Z586" s="35"/>
      <c r="AA586" s="35"/>
    </row>
    <row r="587" spans="1:27" ht="15">
      <c r="A587" s="65" t="s">
        <v>213</v>
      </c>
      <c r="B587" s="65" t="s">
        <v>219</v>
      </c>
      <c r="C587" s="66" t="s">
        <v>3534</v>
      </c>
      <c r="D587" s="67">
        <v>5</v>
      </c>
      <c r="E587" s="68"/>
      <c r="F587" s="69">
        <v>25</v>
      </c>
      <c r="G587" s="66"/>
      <c r="H587" s="70"/>
      <c r="I587" s="71"/>
      <c r="J587" s="71"/>
      <c r="K587" s="35" t="s">
        <v>66</v>
      </c>
      <c r="L587" s="79">
        <v>587</v>
      </c>
      <c r="M587" s="79"/>
      <c r="N587" s="73"/>
      <c r="O587" s="81" t="s">
        <v>613</v>
      </c>
      <c r="P587">
        <v>1</v>
      </c>
      <c r="Q587" s="80" t="str">
        <f>REPLACE(INDEX(GroupVertices[Group],MATCH(Edges[[#This Row],[Vertex 1]],GroupVertices[Vertex],0)),1,1,"")</f>
        <v>4</v>
      </c>
      <c r="R587" s="80" t="str">
        <f>REPLACE(INDEX(GroupVertices[Group],MATCH(Edges[[#This Row],[Vertex 2]],GroupVertices[Vertex],0)),1,1,"")</f>
        <v>5</v>
      </c>
      <c r="S587" s="35"/>
      <c r="T587" s="35"/>
      <c r="U587" s="35"/>
      <c r="V587" s="35"/>
      <c r="W587" s="35"/>
      <c r="X587" s="35"/>
      <c r="Y587" s="35"/>
      <c r="Z587" s="35"/>
      <c r="AA587" s="35"/>
    </row>
    <row r="588" spans="1:27" ht="15">
      <c r="A588" s="65" t="s">
        <v>219</v>
      </c>
      <c r="B588" s="65" t="s">
        <v>213</v>
      </c>
      <c r="C588" s="66" t="s">
        <v>3534</v>
      </c>
      <c r="D588" s="67">
        <v>5</v>
      </c>
      <c r="E588" s="68"/>
      <c r="F588" s="69">
        <v>25</v>
      </c>
      <c r="G588" s="66"/>
      <c r="H588" s="70"/>
      <c r="I588" s="71"/>
      <c r="J588" s="71"/>
      <c r="K588" s="35" t="s">
        <v>66</v>
      </c>
      <c r="L588" s="79">
        <v>588</v>
      </c>
      <c r="M588" s="79"/>
      <c r="N588" s="73"/>
      <c r="O588" s="81" t="s">
        <v>613</v>
      </c>
      <c r="P588">
        <v>1</v>
      </c>
      <c r="Q588" s="80" t="str">
        <f>REPLACE(INDEX(GroupVertices[Group],MATCH(Edges[[#This Row],[Vertex 1]],GroupVertices[Vertex],0)),1,1,"")</f>
        <v>5</v>
      </c>
      <c r="R588" s="80" t="str">
        <f>REPLACE(INDEX(GroupVertices[Group],MATCH(Edges[[#This Row],[Vertex 2]],GroupVertices[Vertex],0)),1,1,"")</f>
        <v>4</v>
      </c>
      <c r="S588" s="35"/>
      <c r="T588" s="35"/>
      <c r="U588" s="35"/>
      <c r="V588" s="35"/>
      <c r="W588" s="35"/>
      <c r="X588" s="35"/>
      <c r="Y588" s="35"/>
      <c r="Z588" s="35"/>
      <c r="AA588" s="35"/>
    </row>
    <row r="589" spans="1:27" ht="15">
      <c r="A589" s="65" t="s">
        <v>220</v>
      </c>
      <c r="B589" s="65" t="s">
        <v>590</v>
      </c>
      <c r="C589" s="66" t="s">
        <v>3534</v>
      </c>
      <c r="D589" s="67">
        <v>5</v>
      </c>
      <c r="E589" s="68"/>
      <c r="F589" s="69">
        <v>25</v>
      </c>
      <c r="G589" s="66"/>
      <c r="H589" s="70"/>
      <c r="I589" s="71"/>
      <c r="J589" s="71"/>
      <c r="K589" s="35" t="s">
        <v>65</v>
      </c>
      <c r="L589" s="79">
        <v>589</v>
      </c>
      <c r="M589" s="79"/>
      <c r="N589" s="73"/>
      <c r="O589" s="81" t="s">
        <v>613</v>
      </c>
      <c r="P589">
        <v>1</v>
      </c>
      <c r="Q589" s="80" t="str">
        <f>REPLACE(INDEX(GroupVertices[Group],MATCH(Edges[[#This Row],[Vertex 1]],GroupVertices[Vertex],0)),1,1,"")</f>
        <v>8</v>
      </c>
      <c r="R589" s="80" t="str">
        <f>REPLACE(INDEX(GroupVertices[Group],MATCH(Edges[[#This Row],[Vertex 2]],GroupVertices[Vertex],0)),1,1,"")</f>
        <v>8</v>
      </c>
      <c r="S589" s="35"/>
      <c r="T589" s="35"/>
      <c r="U589" s="35"/>
      <c r="V589" s="35"/>
      <c r="W589" s="35"/>
      <c r="X589" s="35"/>
      <c r="Y589" s="35"/>
      <c r="Z589" s="35"/>
      <c r="AA589" s="35"/>
    </row>
    <row r="590" spans="1:27" ht="15">
      <c r="A590" s="65" t="s">
        <v>220</v>
      </c>
      <c r="B590" s="65" t="s">
        <v>591</v>
      </c>
      <c r="C590" s="66" t="s">
        <v>3534</v>
      </c>
      <c r="D590" s="67">
        <v>5</v>
      </c>
      <c r="E590" s="68"/>
      <c r="F590" s="69">
        <v>25</v>
      </c>
      <c r="G590" s="66"/>
      <c r="H590" s="70"/>
      <c r="I590" s="71"/>
      <c r="J590" s="71"/>
      <c r="K590" s="35" t="s">
        <v>65</v>
      </c>
      <c r="L590" s="79">
        <v>590</v>
      </c>
      <c r="M590" s="79"/>
      <c r="N590" s="73"/>
      <c r="O590" s="81" t="s">
        <v>613</v>
      </c>
      <c r="P590">
        <v>1</v>
      </c>
      <c r="Q590" s="80" t="str">
        <f>REPLACE(INDEX(GroupVertices[Group],MATCH(Edges[[#This Row],[Vertex 1]],GroupVertices[Vertex],0)),1,1,"")</f>
        <v>8</v>
      </c>
      <c r="R590" s="80" t="str">
        <f>REPLACE(INDEX(GroupVertices[Group],MATCH(Edges[[#This Row],[Vertex 2]],GroupVertices[Vertex],0)),1,1,"")</f>
        <v>8</v>
      </c>
      <c r="S590" s="35"/>
      <c r="T590" s="35"/>
      <c r="U590" s="35"/>
      <c r="V590" s="35"/>
      <c r="W590" s="35"/>
      <c r="X590" s="35"/>
      <c r="Y590" s="35"/>
      <c r="Z590" s="35"/>
      <c r="AA590" s="35"/>
    </row>
    <row r="591" spans="1:27" ht="15">
      <c r="A591" s="65" t="s">
        <v>220</v>
      </c>
      <c r="B591" s="65" t="s">
        <v>592</v>
      </c>
      <c r="C591" s="66" t="s">
        <v>3534</v>
      </c>
      <c r="D591" s="67">
        <v>5</v>
      </c>
      <c r="E591" s="68"/>
      <c r="F591" s="69">
        <v>25</v>
      </c>
      <c r="G591" s="66"/>
      <c r="H591" s="70"/>
      <c r="I591" s="71"/>
      <c r="J591" s="71"/>
      <c r="K591" s="35" t="s">
        <v>65</v>
      </c>
      <c r="L591" s="79">
        <v>591</v>
      </c>
      <c r="M591" s="79"/>
      <c r="N591" s="73"/>
      <c r="O591" s="81" t="s">
        <v>613</v>
      </c>
      <c r="P591">
        <v>1</v>
      </c>
      <c r="Q591" s="80" t="str">
        <f>REPLACE(INDEX(GroupVertices[Group],MATCH(Edges[[#This Row],[Vertex 1]],GroupVertices[Vertex],0)),1,1,"")</f>
        <v>8</v>
      </c>
      <c r="R591" s="80" t="str">
        <f>REPLACE(INDEX(GroupVertices[Group],MATCH(Edges[[#This Row],[Vertex 2]],GroupVertices[Vertex],0)),1,1,"")</f>
        <v>8</v>
      </c>
      <c r="S591" s="35"/>
      <c r="T591" s="35"/>
      <c r="U591" s="35"/>
      <c r="V591" s="35"/>
      <c r="W591" s="35"/>
      <c r="X591" s="35"/>
      <c r="Y591" s="35"/>
      <c r="Z591" s="35"/>
      <c r="AA591" s="35"/>
    </row>
    <row r="592" spans="1:27" ht="15">
      <c r="A592" s="65" t="s">
        <v>220</v>
      </c>
      <c r="B592" s="65" t="s">
        <v>593</v>
      </c>
      <c r="C592" s="66" t="s">
        <v>3534</v>
      </c>
      <c r="D592" s="67">
        <v>5</v>
      </c>
      <c r="E592" s="68"/>
      <c r="F592" s="69">
        <v>25</v>
      </c>
      <c r="G592" s="66"/>
      <c r="H592" s="70"/>
      <c r="I592" s="71"/>
      <c r="J592" s="71"/>
      <c r="K592" s="35" t="s">
        <v>65</v>
      </c>
      <c r="L592" s="79">
        <v>592</v>
      </c>
      <c r="M592" s="79"/>
      <c r="N592" s="73"/>
      <c r="O592" s="81" t="s">
        <v>613</v>
      </c>
      <c r="P592">
        <v>1</v>
      </c>
      <c r="Q592" s="80" t="str">
        <f>REPLACE(INDEX(GroupVertices[Group],MATCH(Edges[[#This Row],[Vertex 1]],GroupVertices[Vertex],0)),1,1,"")</f>
        <v>8</v>
      </c>
      <c r="R592" s="80" t="str">
        <f>REPLACE(INDEX(GroupVertices[Group],MATCH(Edges[[#This Row],[Vertex 2]],GroupVertices[Vertex],0)),1,1,"")</f>
        <v>8</v>
      </c>
      <c r="S592" s="35"/>
      <c r="T592" s="35"/>
      <c r="U592" s="35"/>
      <c r="V592" s="35"/>
      <c r="W592" s="35"/>
      <c r="X592" s="35"/>
      <c r="Y592" s="35"/>
      <c r="Z592" s="35"/>
      <c r="AA592" s="35"/>
    </row>
    <row r="593" spans="1:27" ht="15">
      <c r="A593" s="65" t="s">
        <v>220</v>
      </c>
      <c r="B593" s="65" t="s">
        <v>594</v>
      </c>
      <c r="C593" s="66" t="s">
        <v>3534</v>
      </c>
      <c r="D593" s="67">
        <v>5</v>
      </c>
      <c r="E593" s="68"/>
      <c r="F593" s="69">
        <v>25</v>
      </c>
      <c r="G593" s="66"/>
      <c r="H593" s="70"/>
      <c r="I593" s="71"/>
      <c r="J593" s="71"/>
      <c r="K593" s="35" t="s">
        <v>65</v>
      </c>
      <c r="L593" s="79">
        <v>593</v>
      </c>
      <c r="M593" s="79"/>
      <c r="N593" s="73"/>
      <c r="O593" s="81" t="s">
        <v>613</v>
      </c>
      <c r="P593">
        <v>1</v>
      </c>
      <c r="Q593" s="80" t="str">
        <f>REPLACE(INDEX(GroupVertices[Group],MATCH(Edges[[#This Row],[Vertex 1]],GroupVertices[Vertex],0)),1,1,"")</f>
        <v>8</v>
      </c>
      <c r="R593" s="80" t="str">
        <f>REPLACE(INDEX(GroupVertices[Group],MATCH(Edges[[#This Row],[Vertex 2]],GroupVertices[Vertex],0)),1,1,"")</f>
        <v>8</v>
      </c>
      <c r="S593" s="35"/>
      <c r="T593" s="35"/>
      <c r="U593" s="35"/>
      <c r="V593" s="35"/>
      <c r="W593" s="35"/>
      <c r="X593" s="35"/>
      <c r="Y593" s="35"/>
      <c r="Z593" s="35"/>
      <c r="AA593" s="35"/>
    </row>
    <row r="594" spans="1:27" ht="15">
      <c r="A594" s="65" t="s">
        <v>220</v>
      </c>
      <c r="B594" s="65" t="s">
        <v>595</v>
      </c>
      <c r="C594" s="66" t="s">
        <v>3534</v>
      </c>
      <c r="D594" s="67">
        <v>5</v>
      </c>
      <c r="E594" s="68"/>
      <c r="F594" s="69">
        <v>25</v>
      </c>
      <c r="G594" s="66"/>
      <c r="H594" s="70"/>
      <c r="I594" s="71"/>
      <c r="J594" s="71"/>
      <c r="K594" s="35" t="s">
        <v>65</v>
      </c>
      <c r="L594" s="79">
        <v>594</v>
      </c>
      <c r="M594" s="79"/>
      <c r="N594" s="73"/>
      <c r="O594" s="81" t="s">
        <v>613</v>
      </c>
      <c r="P594">
        <v>1</v>
      </c>
      <c r="Q594" s="80" t="str">
        <f>REPLACE(INDEX(GroupVertices[Group],MATCH(Edges[[#This Row],[Vertex 1]],GroupVertices[Vertex],0)),1,1,"")</f>
        <v>8</v>
      </c>
      <c r="R594" s="80" t="str">
        <f>REPLACE(INDEX(GroupVertices[Group],MATCH(Edges[[#This Row],[Vertex 2]],GroupVertices[Vertex],0)),1,1,"")</f>
        <v>8</v>
      </c>
      <c r="S594" s="35"/>
      <c r="T594" s="35"/>
      <c r="U594" s="35"/>
      <c r="V594" s="35"/>
      <c r="W594" s="35"/>
      <c r="X594" s="35"/>
      <c r="Y594" s="35"/>
      <c r="Z594" s="35"/>
      <c r="AA594" s="35"/>
    </row>
    <row r="595" spans="1:27" ht="15">
      <c r="A595" s="65" t="s">
        <v>220</v>
      </c>
      <c r="B595" s="65" t="s">
        <v>596</v>
      </c>
      <c r="C595" s="66" t="s">
        <v>3534</v>
      </c>
      <c r="D595" s="67">
        <v>5</v>
      </c>
      <c r="E595" s="68"/>
      <c r="F595" s="69">
        <v>25</v>
      </c>
      <c r="G595" s="66"/>
      <c r="H595" s="70"/>
      <c r="I595" s="71"/>
      <c r="J595" s="71"/>
      <c r="K595" s="35" t="s">
        <v>65</v>
      </c>
      <c r="L595" s="79">
        <v>595</v>
      </c>
      <c r="M595" s="79"/>
      <c r="N595" s="73"/>
      <c r="O595" s="81" t="s">
        <v>613</v>
      </c>
      <c r="P595">
        <v>1</v>
      </c>
      <c r="Q595" s="80" t="str">
        <f>REPLACE(INDEX(GroupVertices[Group],MATCH(Edges[[#This Row],[Vertex 1]],GroupVertices[Vertex],0)),1,1,"")</f>
        <v>8</v>
      </c>
      <c r="R595" s="80" t="str">
        <f>REPLACE(INDEX(GroupVertices[Group],MATCH(Edges[[#This Row],[Vertex 2]],GroupVertices[Vertex],0)),1,1,"")</f>
        <v>8</v>
      </c>
      <c r="S595" s="35"/>
      <c r="T595" s="35"/>
      <c r="U595" s="35"/>
      <c r="V595" s="35"/>
      <c r="W595" s="35"/>
      <c r="X595" s="35"/>
      <c r="Y595" s="35"/>
      <c r="Z595" s="35"/>
      <c r="AA595" s="35"/>
    </row>
    <row r="596" spans="1:27" ht="15">
      <c r="A596" s="65" t="s">
        <v>220</v>
      </c>
      <c r="B596" s="65" t="s">
        <v>597</v>
      </c>
      <c r="C596" s="66" t="s">
        <v>3534</v>
      </c>
      <c r="D596" s="67">
        <v>5</v>
      </c>
      <c r="E596" s="68"/>
      <c r="F596" s="69">
        <v>25</v>
      </c>
      <c r="G596" s="66"/>
      <c r="H596" s="70"/>
      <c r="I596" s="71"/>
      <c r="J596" s="71"/>
      <c r="K596" s="35" t="s">
        <v>65</v>
      </c>
      <c r="L596" s="79">
        <v>596</v>
      </c>
      <c r="M596" s="79"/>
      <c r="N596" s="73"/>
      <c r="O596" s="81" t="s">
        <v>613</v>
      </c>
      <c r="P596">
        <v>1</v>
      </c>
      <c r="Q596" s="80" t="str">
        <f>REPLACE(INDEX(GroupVertices[Group],MATCH(Edges[[#This Row],[Vertex 1]],GroupVertices[Vertex],0)),1,1,"")</f>
        <v>8</v>
      </c>
      <c r="R596" s="80" t="str">
        <f>REPLACE(INDEX(GroupVertices[Group],MATCH(Edges[[#This Row],[Vertex 2]],GroupVertices[Vertex],0)),1,1,"")</f>
        <v>8</v>
      </c>
      <c r="S596" s="35"/>
      <c r="T596" s="35"/>
      <c r="U596" s="35"/>
      <c r="V596" s="35"/>
      <c r="W596" s="35"/>
      <c r="X596" s="35"/>
      <c r="Y596" s="35"/>
      <c r="Z596" s="35"/>
      <c r="AA596" s="35"/>
    </row>
    <row r="597" spans="1:27" ht="15">
      <c r="A597" s="65" t="s">
        <v>220</v>
      </c>
      <c r="B597" s="65" t="s">
        <v>598</v>
      </c>
      <c r="C597" s="66" t="s">
        <v>3534</v>
      </c>
      <c r="D597" s="67">
        <v>5</v>
      </c>
      <c r="E597" s="68"/>
      <c r="F597" s="69">
        <v>25</v>
      </c>
      <c r="G597" s="66"/>
      <c r="H597" s="70"/>
      <c r="I597" s="71"/>
      <c r="J597" s="71"/>
      <c r="K597" s="35" t="s">
        <v>65</v>
      </c>
      <c r="L597" s="79">
        <v>597</v>
      </c>
      <c r="M597" s="79"/>
      <c r="N597" s="73"/>
      <c r="O597" s="81" t="s">
        <v>613</v>
      </c>
      <c r="P597">
        <v>1</v>
      </c>
      <c r="Q597" s="80" t="str">
        <f>REPLACE(INDEX(GroupVertices[Group],MATCH(Edges[[#This Row],[Vertex 1]],GroupVertices[Vertex],0)),1,1,"")</f>
        <v>8</v>
      </c>
      <c r="R597" s="80" t="str">
        <f>REPLACE(INDEX(GroupVertices[Group],MATCH(Edges[[#This Row],[Vertex 2]],GroupVertices[Vertex],0)),1,1,"")</f>
        <v>8</v>
      </c>
      <c r="S597" s="35"/>
      <c r="T597" s="35"/>
      <c r="U597" s="35"/>
      <c r="V597" s="35"/>
      <c r="W597" s="35"/>
      <c r="X597" s="35"/>
      <c r="Y597" s="35"/>
      <c r="Z597" s="35"/>
      <c r="AA597" s="35"/>
    </row>
    <row r="598" spans="1:27" ht="15">
      <c r="A598" s="65" t="s">
        <v>220</v>
      </c>
      <c r="B598" s="65" t="s">
        <v>599</v>
      </c>
      <c r="C598" s="66" t="s">
        <v>3534</v>
      </c>
      <c r="D598" s="67">
        <v>5</v>
      </c>
      <c r="E598" s="68"/>
      <c r="F598" s="69">
        <v>25</v>
      </c>
      <c r="G598" s="66"/>
      <c r="H598" s="70"/>
      <c r="I598" s="71"/>
      <c r="J598" s="71"/>
      <c r="K598" s="35" t="s">
        <v>65</v>
      </c>
      <c r="L598" s="79">
        <v>598</v>
      </c>
      <c r="M598" s="79"/>
      <c r="N598" s="73"/>
      <c r="O598" s="81" t="s">
        <v>613</v>
      </c>
      <c r="P598">
        <v>1</v>
      </c>
      <c r="Q598" s="80" t="str">
        <f>REPLACE(INDEX(GroupVertices[Group],MATCH(Edges[[#This Row],[Vertex 1]],GroupVertices[Vertex],0)),1,1,"")</f>
        <v>8</v>
      </c>
      <c r="R598" s="80" t="str">
        <f>REPLACE(INDEX(GroupVertices[Group],MATCH(Edges[[#This Row],[Vertex 2]],GroupVertices[Vertex],0)),1,1,"")</f>
        <v>8</v>
      </c>
      <c r="S598" s="35"/>
      <c r="T598" s="35"/>
      <c r="U598" s="35"/>
      <c r="V598" s="35"/>
      <c r="W598" s="35"/>
      <c r="X598" s="35"/>
      <c r="Y598" s="35"/>
      <c r="Z598" s="35"/>
      <c r="AA598" s="35"/>
    </row>
    <row r="599" spans="1:27" ht="15">
      <c r="A599" s="65" t="s">
        <v>220</v>
      </c>
      <c r="B599" s="65" t="s">
        <v>600</v>
      </c>
      <c r="C599" s="66" t="s">
        <v>3534</v>
      </c>
      <c r="D599" s="67">
        <v>5</v>
      </c>
      <c r="E599" s="68"/>
      <c r="F599" s="69">
        <v>25</v>
      </c>
      <c r="G599" s="66"/>
      <c r="H599" s="70"/>
      <c r="I599" s="71"/>
      <c r="J599" s="71"/>
      <c r="K599" s="35" t="s">
        <v>65</v>
      </c>
      <c r="L599" s="79">
        <v>599</v>
      </c>
      <c r="M599" s="79"/>
      <c r="N599" s="73"/>
      <c r="O599" s="81" t="s">
        <v>613</v>
      </c>
      <c r="P599">
        <v>1</v>
      </c>
      <c r="Q599" s="80" t="str">
        <f>REPLACE(INDEX(GroupVertices[Group],MATCH(Edges[[#This Row],[Vertex 1]],GroupVertices[Vertex],0)),1,1,"")</f>
        <v>8</v>
      </c>
      <c r="R599" s="80" t="str">
        <f>REPLACE(INDEX(GroupVertices[Group],MATCH(Edges[[#This Row],[Vertex 2]],GroupVertices[Vertex],0)),1,1,"")</f>
        <v>8</v>
      </c>
      <c r="S599" s="35"/>
      <c r="T599" s="35"/>
      <c r="U599" s="35"/>
      <c r="V599" s="35"/>
      <c r="W599" s="35"/>
      <c r="X599" s="35"/>
      <c r="Y599" s="35"/>
      <c r="Z599" s="35"/>
      <c r="AA599" s="35"/>
    </row>
    <row r="600" spans="1:27" ht="15">
      <c r="A600" s="65" t="s">
        <v>220</v>
      </c>
      <c r="B600" s="65" t="s">
        <v>601</v>
      </c>
      <c r="C600" s="66" t="s">
        <v>3534</v>
      </c>
      <c r="D600" s="67">
        <v>5</v>
      </c>
      <c r="E600" s="68"/>
      <c r="F600" s="69">
        <v>25</v>
      </c>
      <c r="G600" s="66"/>
      <c r="H600" s="70"/>
      <c r="I600" s="71"/>
      <c r="J600" s="71"/>
      <c r="K600" s="35" t="s">
        <v>65</v>
      </c>
      <c r="L600" s="79">
        <v>600</v>
      </c>
      <c r="M600" s="79"/>
      <c r="N600" s="73"/>
      <c r="O600" s="81" t="s">
        <v>613</v>
      </c>
      <c r="P600">
        <v>1</v>
      </c>
      <c r="Q600" s="80" t="str">
        <f>REPLACE(INDEX(GroupVertices[Group],MATCH(Edges[[#This Row],[Vertex 1]],GroupVertices[Vertex],0)),1,1,"")</f>
        <v>8</v>
      </c>
      <c r="R600" s="80" t="str">
        <f>REPLACE(INDEX(GroupVertices[Group],MATCH(Edges[[#This Row],[Vertex 2]],GroupVertices[Vertex],0)),1,1,"")</f>
        <v>8</v>
      </c>
      <c r="S600" s="35"/>
      <c r="T600" s="35"/>
      <c r="U600" s="35"/>
      <c r="V600" s="35"/>
      <c r="W600" s="35"/>
      <c r="X600" s="35"/>
      <c r="Y600" s="35"/>
      <c r="Z600" s="35"/>
      <c r="AA600" s="35"/>
    </row>
    <row r="601" spans="1:27" ht="15">
      <c r="A601" s="65" t="s">
        <v>220</v>
      </c>
      <c r="B601" s="65" t="s">
        <v>602</v>
      </c>
      <c r="C601" s="66" t="s">
        <v>3534</v>
      </c>
      <c r="D601" s="67">
        <v>5</v>
      </c>
      <c r="E601" s="68"/>
      <c r="F601" s="69">
        <v>25</v>
      </c>
      <c r="G601" s="66"/>
      <c r="H601" s="70"/>
      <c r="I601" s="71"/>
      <c r="J601" s="71"/>
      <c r="K601" s="35" t="s">
        <v>65</v>
      </c>
      <c r="L601" s="79">
        <v>601</v>
      </c>
      <c r="M601" s="79"/>
      <c r="N601" s="73"/>
      <c r="O601" s="81" t="s">
        <v>613</v>
      </c>
      <c r="P601">
        <v>1</v>
      </c>
      <c r="Q601" s="80" t="str">
        <f>REPLACE(INDEX(GroupVertices[Group],MATCH(Edges[[#This Row],[Vertex 1]],GroupVertices[Vertex],0)),1,1,"")</f>
        <v>8</v>
      </c>
      <c r="R601" s="80" t="str">
        <f>REPLACE(INDEX(GroupVertices[Group],MATCH(Edges[[#This Row],[Vertex 2]],GroupVertices[Vertex],0)),1,1,"")</f>
        <v>8</v>
      </c>
      <c r="S601" s="35"/>
      <c r="T601" s="35"/>
      <c r="U601" s="35"/>
      <c r="V601" s="35"/>
      <c r="W601" s="35"/>
      <c r="X601" s="35"/>
      <c r="Y601" s="35"/>
      <c r="Z601" s="35"/>
      <c r="AA601" s="35"/>
    </row>
    <row r="602" spans="1:27" ht="15">
      <c r="A602" s="65" t="s">
        <v>220</v>
      </c>
      <c r="B602" s="65" t="s">
        <v>603</v>
      </c>
      <c r="C602" s="66" t="s">
        <v>3534</v>
      </c>
      <c r="D602" s="67">
        <v>5</v>
      </c>
      <c r="E602" s="68"/>
      <c r="F602" s="69">
        <v>25</v>
      </c>
      <c r="G602" s="66"/>
      <c r="H602" s="70"/>
      <c r="I602" s="71"/>
      <c r="J602" s="71"/>
      <c r="K602" s="35" t="s">
        <v>65</v>
      </c>
      <c r="L602" s="79">
        <v>602</v>
      </c>
      <c r="M602" s="79"/>
      <c r="N602" s="73"/>
      <c r="O602" s="81" t="s">
        <v>613</v>
      </c>
      <c r="P602">
        <v>1</v>
      </c>
      <c r="Q602" s="80" t="str">
        <f>REPLACE(INDEX(GroupVertices[Group],MATCH(Edges[[#This Row],[Vertex 1]],GroupVertices[Vertex],0)),1,1,"")</f>
        <v>8</v>
      </c>
      <c r="R602" s="80" t="str">
        <f>REPLACE(INDEX(GroupVertices[Group],MATCH(Edges[[#This Row],[Vertex 2]],GroupVertices[Vertex],0)),1,1,"")</f>
        <v>8</v>
      </c>
      <c r="S602" s="35"/>
      <c r="T602" s="35"/>
      <c r="U602" s="35"/>
      <c r="V602" s="35"/>
      <c r="W602" s="35"/>
      <c r="X602" s="35"/>
      <c r="Y602" s="35"/>
      <c r="Z602" s="35"/>
      <c r="AA602" s="35"/>
    </row>
    <row r="603" spans="1:27" ht="15">
      <c r="A603" s="65" t="s">
        <v>220</v>
      </c>
      <c r="B603" s="65" t="s">
        <v>604</v>
      </c>
      <c r="C603" s="66" t="s">
        <v>3534</v>
      </c>
      <c r="D603" s="67">
        <v>5</v>
      </c>
      <c r="E603" s="68"/>
      <c r="F603" s="69">
        <v>25</v>
      </c>
      <c r="G603" s="66"/>
      <c r="H603" s="70"/>
      <c r="I603" s="71"/>
      <c r="J603" s="71"/>
      <c r="K603" s="35" t="s">
        <v>65</v>
      </c>
      <c r="L603" s="79">
        <v>603</v>
      </c>
      <c r="M603" s="79"/>
      <c r="N603" s="73"/>
      <c r="O603" s="81" t="s">
        <v>613</v>
      </c>
      <c r="P603">
        <v>1</v>
      </c>
      <c r="Q603" s="80" t="str">
        <f>REPLACE(INDEX(GroupVertices[Group],MATCH(Edges[[#This Row],[Vertex 1]],GroupVertices[Vertex],0)),1,1,"")</f>
        <v>8</v>
      </c>
      <c r="R603" s="80" t="str">
        <f>REPLACE(INDEX(GroupVertices[Group],MATCH(Edges[[#This Row],[Vertex 2]],GroupVertices[Vertex],0)),1,1,"")</f>
        <v>8</v>
      </c>
      <c r="S603" s="35"/>
      <c r="T603" s="35"/>
      <c r="U603" s="35"/>
      <c r="V603" s="35"/>
      <c r="W603" s="35"/>
      <c r="X603" s="35"/>
      <c r="Y603" s="35"/>
      <c r="Z603" s="35"/>
      <c r="AA603" s="35"/>
    </row>
    <row r="604" spans="1:27" ht="15">
      <c r="A604" s="65" t="s">
        <v>220</v>
      </c>
      <c r="B604" s="65" t="s">
        <v>605</v>
      </c>
      <c r="C604" s="66" t="s">
        <v>3534</v>
      </c>
      <c r="D604" s="67">
        <v>5</v>
      </c>
      <c r="E604" s="68"/>
      <c r="F604" s="69">
        <v>25</v>
      </c>
      <c r="G604" s="66"/>
      <c r="H604" s="70"/>
      <c r="I604" s="71"/>
      <c r="J604" s="71"/>
      <c r="K604" s="35" t="s">
        <v>65</v>
      </c>
      <c r="L604" s="79">
        <v>604</v>
      </c>
      <c r="M604" s="79"/>
      <c r="N604" s="73"/>
      <c r="O604" s="81" t="s">
        <v>613</v>
      </c>
      <c r="P604">
        <v>1</v>
      </c>
      <c r="Q604" s="80" t="str">
        <f>REPLACE(INDEX(GroupVertices[Group],MATCH(Edges[[#This Row],[Vertex 1]],GroupVertices[Vertex],0)),1,1,"")</f>
        <v>8</v>
      </c>
      <c r="R604" s="80" t="str">
        <f>REPLACE(INDEX(GroupVertices[Group],MATCH(Edges[[#This Row],[Vertex 2]],GroupVertices[Vertex],0)),1,1,"")</f>
        <v>8</v>
      </c>
      <c r="S604" s="35"/>
      <c r="T604" s="35"/>
      <c r="U604" s="35"/>
      <c r="V604" s="35"/>
      <c r="W604" s="35"/>
      <c r="X604" s="35"/>
      <c r="Y604" s="35"/>
      <c r="Z604" s="35"/>
      <c r="AA604" s="35"/>
    </row>
    <row r="605" spans="1:27" ht="15">
      <c r="A605" s="65" t="s">
        <v>220</v>
      </c>
      <c r="B605" s="65" t="s">
        <v>606</v>
      </c>
      <c r="C605" s="66" t="s">
        <v>3534</v>
      </c>
      <c r="D605" s="67">
        <v>5</v>
      </c>
      <c r="E605" s="68"/>
      <c r="F605" s="69">
        <v>25</v>
      </c>
      <c r="G605" s="66"/>
      <c r="H605" s="70"/>
      <c r="I605" s="71"/>
      <c r="J605" s="71"/>
      <c r="K605" s="35" t="s">
        <v>65</v>
      </c>
      <c r="L605" s="79">
        <v>605</v>
      </c>
      <c r="M605" s="79"/>
      <c r="N605" s="73"/>
      <c r="O605" s="81" t="s">
        <v>613</v>
      </c>
      <c r="P605">
        <v>1</v>
      </c>
      <c r="Q605" s="80" t="str">
        <f>REPLACE(INDEX(GroupVertices[Group],MATCH(Edges[[#This Row],[Vertex 1]],GroupVertices[Vertex],0)),1,1,"")</f>
        <v>8</v>
      </c>
      <c r="R605" s="80" t="str">
        <f>REPLACE(INDEX(GroupVertices[Group],MATCH(Edges[[#This Row],[Vertex 2]],GroupVertices[Vertex],0)),1,1,"")</f>
        <v>8</v>
      </c>
      <c r="S605" s="35"/>
      <c r="T605" s="35"/>
      <c r="U605" s="35"/>
      <c r="V605" s="35"/>
      <c r="W605" s="35"/>
      <c r="X605" s="35"/>
      <c r="Y605" s="35"/>
      <c r="Z605" s="35"/>
      <c r="AA605" s="35"/>
    </row>
    <row r="606" spans="1:27" ht="15">
      <c r="A606" s="65" t="s">
        <v>220</v>
      </c>
      <c r="B606" s="65" t="s">
        <v>607</v>
      </c>
      <c r="C606" s="66" t="s">
        <v>3534</v>
      </c>
      <c r="D606" s="67">
        <v>5</v>
      </c>
      <c r="E606" s="68"/>
      <c r="F606" s="69">
        <v>25</v>
      </c>
      <c r="G606" s="66"/>
      <c r="H606" s="70"/>
      <c r="I606" s="71"/>
      <c r="J606" s="71"/>
      <c r="K606" s="35" t="s">
        <v>65</v>
      </c>
      <c r="L606" s="79">
        <v>606</v>
      </c>
      <c r="M606" s="79"/>
      <c r="N606" s="73"/>
      <c r="O606" s="81" t="s">
        <v>613</v>
      </c>
      <c r="P606">
        <v>1</v>
      </c>
      <c r="Q606" s="80" t="str">
        <f>REPLACE(INDEX(GroupVertices[Group],MATCH(Edges[[#This Row],[Vertex 1]],GroupVertices[Vertex],0)),1,1,"")</f>
        <v>8</v>
      </c>
      <c r="R606" s="80" t="str">
        <f>REPLACE(INDEX(GroupVertices[Group],MATCH(Edges[[#This Row],[Vertex 2]],GroupVertices[Vertex],0)),1,1,"")</f>
        <v>8</v>
      </c>
      <c r="S606" s="35"/>
      <c r="T606" s="35"/>
      <c r="U606" s="35"/>
      <c r="V606" s="35"/>
      <c r="W606" s="35"/>
      <c r="X606" s="35"/>
      <c r="Y606" s="35"/>
      <c r="Z606" s="35"/>
      <c r="AA606" s="35"/>
    </row>
    <row r="607" spans="1:27" ht="15">
      <c r="A607" s="65" t="s">
        <v>220</v>
      </c>
      <c r="B607" s="65" t="s">
        <v>608</v>
      </c>
      <c r="C607" s="66" t="s">
        <v>3534</v>
      </c>
      <c r="D607" s="67">
        <v>5</v>
      </c>
      <c r="E607" s="68"/>
      <c r="F607" s="69">
        <v>25</v>
      </c>
      <c r="G607" s="66"/>
      <c r="H607" s="70"/>
      <c r="I607" s="71"/>
      <c r="J607" s="71"/>
      <c r="K607" s="35" t="s">
        <v>65</v>
      </c>
      <c r="L607" s="79">
        <v>607</v>
      </c>
      <c r="M607" s="79"/>
      <c r="N607" s="73"/>
      <c r="O607" s="81" t="s">
        <v>613</v>
      </c>
      <c r="P607">
        <v>1</v>
      </c>
      <c r="Q607" s="80" t="str">
        <f>REPLACE(INDEX(GroupVertices[Group],MATCH(Edges[[#This Row],[Vertex 1]],GroupVertices[Vertex],0)),1,1,"")</f>
        <v>8</v>
      </c>
      <c r="R607" s="80" t="str">
        <f>REPLACE(INDEX(GroupVertices[Group],MATCH(Edges[[#This Row],[Vertex 2]],GroupVertices[Vertex],0)),1,1,"")</f>
        <v>8</v>
      </c>
      <c r="S607" s="35"/>
      <c r="T607" s="35"/>
      <c r="U607" s="35"/>
      <c r="V607" s="35"/>
      <c r="W607" s="35"/>
      <c r="X607" s="35"/>
      <c r="Y607" s="35"/>
      <c r="Z607" s="35"/>
      <c r="AA607" s="35"/>
    </row>
    <row r="608" spans="1:27" ht="15">
      <c r="A608" s="65" t="s">
        <v>220</v>
      </c>
      <c r="B608" s="65" t="s">
        <v>609</v>
      </c>
      <c r="C608" s="66" t="s">
        <v>3534</v>
      </c>
      <c r="D608" s="67">
        <v>5</v>
      </c>
      <c r="E608" s="68"/>
      <c r="F608" s="69">
        <v>25</v>
      </c>
      <c r="G608" s="66"/>
      <c r="H608" s="70"/>
      <c r="I608" s="71"/>
      <c r="J608" s="71"/>
      <c r="K608" s="35" t="s">
        <v>65</v>
      </c>
      <c r="L608" s="79">
        <v>608</v>
      </c>
      <c r="M608" s="79"/>
      <c r="N608" s="73"/>
      <c r="O608" s="81" t="s">
        <v>613</v>
      </c>
      <c r="P608">
        <v>1</v>
      </c>
      <c r="Q608" s="80" t="str">
        <f>REPLACE(INDEX(GroupVertices[Group],MATCH(Edges[[#This Row],[Vertex 1]],GroupVertices[Vertex],0)),1,1,"")</f>
        <v>8</v>
      </c>
      <c r="R608" s="80" t="str">
        <f>REPLACE(INDEX(GroupVertices[Group],MATCH(Edges[[#This Row],[Vertex 2]],GroupVertices[Vertex],0)),1,1,"")</f>
        <v>8</v>
      </c>
      <c r="S608" s="35"/>
      <c r="T608" s="35"/>
      <c r="U608" s="35"/>
      <c r="V608" s="35"/>
      <c r="W608" s="35"/>
      <c r="X608" s="35"/>
      <c r="Y608" s="35"/>
      <c r="Z608" s="35"/>
      <c r="AA608" s="35"/>
    </row>
    <row r="609" spans="1:27" ht="15">
      <c r="A609" s="65" t="s">
        <v>220</v>
      </c>
      <c r="B609" s="65" t="s">
        <v>610</v>
      </c>
      <c r="C609" s="66" t="s">
        <v>3534</v>
      </c>
      <c r="D609" s="67">
        <v>5</v>
      </c>
      <c r="E609" s="68"/>
      <c r="F609" s="69">
        <v>25</v>
      </c>
      <c r="G609" s="66"/>
      <c r="H609" s="70"/>
      <c r="I609" s="71"/>
      <c r="J609" s="71"/>
      <c r="K609" s="35" t="s">
        <v>65</v>
      </c>
      <c r="L609" s="79">
        <v>609</v>
      </c>
      <c r="M609" s="79"/>
      <c r="N609" s="73"/>
      <c r="O609" s="81" t="s">
        <v>613</v>
      </c>
      <c r="P609">
        <v>1</v>
      </c>
      <c r="Q609" s="80" t="str">
        <f>REPLACE(INDEX(GroupVertices[Group],MATCH(Edges[[#This Row],[Vertex 1]],GroupVertices[Vertex],0)),1,1,"")</f>
        <v>8</v>
      </c>
      <c r="R609" s="80" t="str">
        <f>REPLACE(INDEX(GroupVertices[Group],MATCH(Edges[[#This Row],[Vertex 2]],GroupVertices[Vertex],0)),1,1,"")</f>
        <v>8</v>
      </c>
      <c r="S609" s="35"/>
      <c r="T609" s="35"/>
      <c r="U609" s="35"/>
      <c r="V609" s="35"/>
      <c r="W609" s="35"/>
      <c r="X609" s="35"/>
      <c r="Y609" s="35"/>
      <c r="Z609" s="35"/>
      <c r="AA609" s="35"/>
    </row>
    <row r="610" spans="1:27" ht="15">
      <c r="A610" s="65" t="s">
        <v>220</v>
      </c>
      <c r="B610" s="65" t="s">
        <v>611</v>
      </c>
      <c r="C610" s="66" t="s">
        <v>3534</v>
      </c>
      <c r="D610" s="67">
        <v>5</v>
      </c>
      <c r="E610" s="68"/>
      <c r="F610" s="69">
        <v>25</v>
      </c>
      <c r="G610" s="66"/>
      <c r="H610" s="70"/>
      <c r="I610" s="71"/>
      <c r="J610" s="71"/>
      <c r="K610" s="35" t="s">
        <v>65</v>
      </c>
      <c r="L610" s="79">
        <v>610</v>
      </c>
      <c r="M610" s="79"/>
      <c r="N610" s="73"/>
      <c r="O610" s="81" t="s">
        <v>613</v>
      </c>
      <c r="P610">
        <v>1</v>
      </c>
      <c r="Q610" s="80" t="str">
        <f>REPLACE(INDEX(GroupVertices[Group],MATCH(Edges[[#This Row],[Vertex 1]],GroupVertices[Vertex],0)),1,1,"")</f>
        <v>8</v>
      </c>
      <c r="R610" s="80" t="str">
        <f>REPLACE(INDEX(GroupVertices[Group],MATCH(Edges[[#This Row],[Vertex 2]],GroupVertices[Vertex],0)),1,1,"")</f>
        <v>8</v>
      </c>
      <c r="S610" s="35"/>
      <c r="T610" s="35"/>
      <c r="U610" s="35"/>
      <c r="V610" s="35"/>
      <c r="W610" s="35"/>
      <c r="X610" s="35"/>
      <c r="Y610" s="35"/>
      <c r="Z610" s="35"/>
      <c r="AA610"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0"/>
    <dataValidation allowBlank="1" showErrorMessage="1" sqref="N2:N6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0"/>
    <dataValidation allowBlank="1" showInputMessage="1" promptTitle="Edge Color" prompt="To select an optional edge color, right-click and select Select Color on the right-click menu." sqref="C3:C610"/>
    <dataValidation allowBlank="1" showInputMessage="1" promptTitle="Edge Width" prompt="Enter an optional edge width between 1 and 10." errorTitle="Invalid Edge Width" error="The optional edge width must be a whole number between 1 and 10." sqref="D3:D610"/>
    <dataValidation allowBlank="1" showInputMessage="1" promptTitle="Edge Opacity" prompt="Enter an optional edge opacity between 0 (transparent) and 100 (opaque)." errorTitle="Invalid Edge Opacity" error="The optional edge opacity must be a whole number between 0 and 10." sqref="F3:F6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0">
      <formula1>ValidEdgeVisibilities</formula1>
    </dataValidation>
    <dataValidation allowBlank="1" showInputMessage="1" showErrorMessage="1" promptTitle="Vertex 1 Name" prompt="Enter the name of the edge's first vertex." sqref="A3:A610"/>
    <dataValidation allowBlank="1" showInputMessage="1" showErrorMessage="1" promptTitle="Vertex 2 Name" prompt="Enter the name of the edge's second vertex." sqref="B3:B610"/>
    <dataValidation allowBlank="1" showInputMessage="1" showErrorMessage="1" promptTitle="Edge Label" prompt="Enter an optional edge label." errorTitle="Invalid Edge Visibility" error="You have entered an unrecognized edge visibility.  Try selecting from the drop-down list instead." sqref="H3:H6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395ED-2E37-45E9-AB4A-D525CA1C92D1}">
  <dimension ref="A1:C4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3393</v>
      </c>
      <c r="B2" s="109" t="s">
        <v>3394</v>
      </c>
      <c r="C2" s="54" t="s">
        <v>3395</v>
      </c>
    </row>
    <row r="3" spans="1:3" ht="15">
      <c r="A3" s="108" t="s">
        <v>2320</v>
      </c>
      <c r="B3" s="108" t="s">
        <v>2320</v>
      </c>
      <c r="C3" s="35">
        <v>72</v>
      </c>
    </row>
    <row r="4" spans="1:3" ht="15">
      <c r="A4" s="108" t="s">
        <v>2320</v>
      </c>
      <c r="B4" s="108" t="s">
        <v>2321</v>
      </c>
      <c r="C4" s="35">
        <v>7</v>
      </c>
    </row>
    <row r="5" spans="1:3" ht="15">
      <c r="A5" s="108" t="s">
        <v>2320</v>
      </c>
      <c r="B5" s="108" t="s">
        <v>2322</v>
      </c>
      <c r="C5" s="35">
        <v>3</v>
      </c>
    </row>
    <row r="6" spans="1:3" ht="15">
      <c r="A6" s="108" t="s">
        <v>2320</v>
      </c>
      <c r="B6" s="108" t="s">
        <v>2323</v>
      </c>
      <c r="C6" s="35">
        <v>5</v>
      </c>
    </row>
    <row r="7" spans="1:3" ht="15">
      <c r="A7" s="108" t="s">
        <v>2320</v>
      </c>
      <c r="B7" s="108" t="s">
        <v>2324</v>
      </c>
      <c r="C7" s="35">
        <v>3</v>
      </c>
    </row>
    <row r="8" spans="1:3" ht="15">
      <c r="A8" s="108" t="s">
        <v>2320</v>
      </c>
      <c r="B8" s="108" t="s">
        <v>2325</v>
      </c>
      <c r="C8" s="35">
        <v>5</v>
      </c>
    </row>
    <row r="9" spans="1:3" ht="15">
      <c r="A9" s="108" t="s">
        <v>2320</v>
      </c>
      <c r="B9" s="108" t="s">
        <v>2326</v>
      </c>
      <c r="C9" s="35">
        <v>6</v>
      </c>
    </row>
    <row r="10" spans="1:3" ht="15">
      <c r="A10" s="108" t="s">
        <v>2321</v>
      </c>
      <c r="B10" s="108" t="s">
        <v>2320</v>
      </c>
      <c r="C10" s="35">
        <v>5</v>
      </c>
    </row>
    <row r="11" spans="1:3" ht="15">
      <c r="A11" s="108" t="s">
        <v>2321</v>
      </c>
      <c r="B11" s="108" t="s">
        <v>2321</v>
      </c>
      <c r="C11" s="35">
        <v>57</v>
      </c>
    </row>
    <row r="12" spans="1:3" ht="15">
      <c r="A12" s="108" t="s">
        <v>2321</v>
      </c>
      <c r="B12" s="108" t="s">
        <v>2323</v>
      </c>
      <c r="C12" s="35">
        <v>5</v>
      </c>
    </row>
    <row r="13" spans="1:3" ht="15">
      <c r="A13" s="108" t="s">
        <v>2321</v>
      </c>
      <c r="B13" s="108" t="s">
        <v>2324</v>
      </c>
      <c r="C13" s="35">
        <v>5</v>
      </c>
    </row>
    <row r="14" spans="1:3" ht="15">
      <c r="A14" s="108" t="s">
        <v>2321</v>
      </c>
      <c r="B14" s="108" t="s">
        <v>2325</v>
      </c>
      <c r="C14" s="35">
        <v>7</v>
      </c>
    </row>
    <row r="15" spans="1:3" ht="15">
      <c r="A15" s="108" t="s">
        <v>2321</v>
      </c>
      <c r="B15" s="108" t="s">
        <v>2326</v>
      </c>
      <c r="C15" s="35">
        <v>5</v>
      </c>
    </row>
    <row r="16" spans="1:3" ht="15">
      <c r="A16" s="108" t="s">
        <v>2322</v>
      </c>
      <c r="B16" s="108" t="s">
        <v>2320</v>
      </c>
      <c r="C16" s="35">
        <v>9</v>
      </c>
    </row>
    <row r="17" spans="1:3" ht="15">
      <c r="A17" s="108" t="s">
        <v>2322</v>
      </c>
      <c r="B17" s="108" t="s">
        <v>2322</v>
      </c>
      <c r="C17" s="35">
        <v>54</v>
      </c>
    </row>
    <row r="18" spans="1:3" ht="15">
      <c r="A18" s="108" t="s">
        <v>2323</v>
      </c>
      <c r="B18" s="108" t="s">
        <v>2320</v>
      </c>
      <c r="C18" s="35">
        <v>7</v>
      </c>
    </row>
    <row r="19" spans="1:3" ht="15">
      <c r="A19" s="108" t="s">
        <v>2323</v>
      </c>
      <c r="B19" s="108" t="s">
        <v>2321</v>
      </c>
      <c r="C19" s="35">
        <v>7</v>
      </c>
    </row>
    <row r="20" spans="1:3" ht="15">
      <c r="A20" s="108" t="s">
        <v>2323</v>
      </c>
      <c r="B20" s="108" t="s">
        <v>2322</v>
      </c>
      <c r="C20" s="35">
        <v>1</v>
      </c>
    </row>
    <row r="21" spans="1:3" ht="15">
      <c r="A21" s="108" t="s">
        <v>2323</v>
      </c>
      <c r="B21" s="108" t="s">
        <v>2323</v>
      </c>
      <c r="C21" s="35">
        <v>52</v>
      </c>
    </row>
    <row r="22" spans="1:3" ht="15">
      <c r="A22" s="108" t="s">
        <v>2323</v>
      </c>
      <c r="B22" s="108" t="s">
        <v>2324</v>
      </c>
      <c r="C22" s="35">
        <v>4</v>
      </c>
    </row>
    <row r="23" spans="1:3" ht="15">
      <c r="A23" s="108" t="s">
        <v>2323</v>
      </c>
      <c r="B23" s="108" t="s">
        <v>2325</v>
      </c>
      <c r="C23" s="35">
        <v>4</v>
      </c>
    </row>
    <row r="24" spans="1:3" ht="15">
      <c r="A24" s="108" t="s">
        <v>2323</v>
      </c>
      <c r="B24" s="108" t="s">
        <v>2326</v>
      </c>
      <c r="C24" s="35">
        <v>5</v>
      </c>
    </row>
    <row r="25" spans="1:3" ht="15">
      <c r="A25" s="108" t="s">
        <v>2324</v>
      </c>
      <c r="B25" s="108" t="s">
        <v>2320</v>
      </c>
      <c r="C25" s="35">
        <v>4</v>
      </c>
    </row>
    <row r="26" spans="1:3" ht="15">
      <c r="A26" s="108" t="s">
        <v>2324</v>
      </c>
      <c r="B26" s="108" t="s">
        <v>2321</v>
      </c>
      <c r="C26" s="35">
        <v>5</v>
      </c>
    </row>
    <row r="27" spans="1:3" ht="15">
      <c r="A27" s="108" t="s">
        <v>2324</v>
      </c>
      <c r="B27" s="108" t="s">
        <v>2322</v>
      </c>
      <c r="C27" s="35">
        <v>3</v>
      </c>
    </row>
    <row r="28" spans="1:3" ht="15">
      <c r="A28" s="108" t="s">
        <v>2324</v>
      </c>
      <c r="B28" s="108" t="s">
        <v>2323</v>
      </c>
      <c r="C28" s="35">
        <v>8</v>
      </c>
    </row>
    <row r="29" spans="1:3" ht="15">
      <c r="A29" s="108" t="s">
        <v>2324</v>
      </c>
      <c r="B29" s="108" t="s">
        <v>2324</v>
      </c>
      <c r="C29" s="35">
        <v>50</v>
      </c>
    </row>
    <row r="30" spans="1:3" ht="15">
      <c r="A30" s="108" t="s">
        <v>2324</v>
      </c>
      <c r="B30" s="108" t="s">
        <v>2325</v>
      </c>
      <c r="C30" s="35">
        <v>8</v>
      </c>
    </row>
    <row r="31" spans="1:3" ht="15">
      <c r="A31" s="108" t="s">
        <v>2324</v>
      </c>
      <c r="B31" s="108" t="s">
        <v>2326</v>
      </c>
      <c r="C31" s="35">
        <v>7</v>
      </c>
    </row>
    <row r="32" spans="1:3" ht="15">
      <c r="A32" s="108" t="s">
        <v>2325</v>
      </c>
      <c r="B32" s="108" t="s">
        <v>2320</v>
      </c>
      <c r="C32" s="35">
        <v>3</v>
      </c>
    </row>
    <row r="33" spans="1:3" ht="15">
      <c r="A33" s="108" t="s">
        <v>2325</v>
      </c>
      <c r="B33" s="108" t="s">
        <v>2321</v>
      </c>
      <c r="C33" s="35">
        <v>8</v>
      </c>
    </row>
    <row r="34" spans="1:3" ht="15">
      <c r="A34" s="108" t="s">
        <v>2325</v>
      </c>
      <c r="B34" s="108" t="s">
        <v>2322</v>
      </c>
      <c r="C34" s="35">
        <v>1</v>
      </c>
    </row>
    <row r="35" spans="1:3" ht="15">
      <c r="A35" s="108" t="s">
        <v>2325</v>
      </c>
      <c r="B35" s="108" t="s">
        <v>2323</v>
      </c>
      <c r="C35" s="35">
        <v>6</v>
      </c>
    </row>
    <row r="36" spans="1:3" ht="15">
      <c r="A36" s="108" t="s">
        <v>2325</v>
      </c>
      <c r="B36" s="108" t="s">
        <v>2324</v>
      </c>
      <c r="C36" s="35">
        <v>12</v>
      </c>
    </row>
    <row r="37" spans="1:3" ht="15">
      <c r="A37" s="108" t="s">
        <v>2325</v>
      </c>
      <c r="B37" s="108" t="s">
        <v>2325</v>
      </c>
      <c r="C37" s="35">
        <v>50</v>
      </c>
    </row>
    <row r="38" spans="1:3" ht="15">
      <c r="A38" s="108" t="s">
        <v>2325</v>
      </c>
      <c r="B38" s="108" t="s">
        <v>2326</v>
      </c>
      <c r="C38" s="35">
        <v>11</v>
      </c>
    </row>
    <row r="39" spans="1:3" ht="15">
      <c r="A39" s="108" t="s">
        <v>2326</v>
      </c>
      <c r="B39" s="108" t="s">
        <v>2320</v>
      </c>
      <c r="C39" s="35">
        <v>6</v>
      </c>
    </row>
    <row r="40" spans="1:3" ht="15">
      <c r="A40" s="108" t="s">
        <v>2326</v>
      </c>
      <c r="B40" s="108" t="s">
        <v>2321</v>
      </c>
      <c r="C40" s="35">
        <v>5</v>
      </c>
    </row>
    <row r="41" spans="1:3" ht="15">
      <c r="A41" s="108" t="s">
        <v>2326</v>
      </c>
      <c r="B41" s="108" t="s">
        <v>2322</v>
      </c>
      <c r="C41" s="35">
        <v>2</v>
      </c>
    </row>
    <row r="42" spans="1:3" ht="15">
      <c r="A42" s="108" t="s">
        <v>2326</v>
      </c>
      <c r="B42" s="108" t="s">
        <v>2323</v>
      </c>
      <c r="C42" s="35">
        <v>8</v>
      </c>
    </row>
    <row r="43" spans="1:3" ht="15">
      <c r="A43" s="108" t="s">
        <v>2326</v>
      </c>
      <c r="B43" s="108" t="s">
        <v>2324</v>
      </c>
      <c r="C43" s="35">
        <v>9</v>
      </c>
    </row>
    <row r="44" spans="1:3" ht="15">
      <c r="A44" s="108" t="s">
        <v>2326</v>
      </c>
      <c r="B44" s="108" t="s">
        <v>2325</v>
      </c>
      <c r="C44" s="35">
        <v>4</v>
      </c>
    </row>
    <row r="45" spans="1:3" ht="15">
      <c r="A45" s="108" t="s">
        <v>2326</v>
      </c>
      <c r="B45" s="108" t="s">
        <v>2326</v>
      </c>
      <c r="C45" s="35">
        <v>48</v>
      </c>
    </row>
    <row r="46" spans="1:3" ht="15">
      <c r="A46" s="108" t="s">
        <v>2327</v>
      </c>
      <c r="B46" s="108" t="s">
        <v>2327</v>
      </c>
      <c r="C46" s="35">
        <v>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4151D-A266-4534-8E50-51956660E8A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3414</v>
      </c>
      <c r="B1" s="13" t="s">
        <v>17</v>
      </c>
    </row>
    <row r="2" spans="1:2" ht="15">
      <c r="A2" s="80" t="s">
        <v>3415</v>
      </c>
      <c r="B2" s="80" t="s">
        <v>3421</v>
      </c>
    </row>
    <row r="3" spans="1:2" ht="15">
      <c r="A3" s="81" t="s">
        <v>3416</v>
      </c>
      <c r="B3" s="80" t="s">
        <v>3422</v>
      </c>
    </row>
    <row r="4" spans="1:2" ht="15">
      <c r="A4" s="81" t="s">
        <v>3417</v>
      </c>
      <c r="B4" s="80" t="s">
        <v>3423</v>
      </c>
    </row>
    <row r="5" spans="1:2" ht="15">
      <c r="A5" s="81" t="s">
        <v>3418</v>
      </c>
      <c r="B5" s="80" t="s">
        <v>3424</v>
      </c>
    </row>
    <row r="6" spans="1:2" ht="15">
      <c r="A6" s="81" t="s">
        <v>3419</v>
      </c>
      <c r="B6" s="80" t="s">
        <v>3425</v>
      </c>
    </row>
    <row r="7" spans="1:2" ht="15">
      <c r="A7" s="81" t="s">
        <v>3420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99C48-740D-4C07-B6FE-0045CB00D36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3426</v>
      </c>
      <c r="B1" s="13" t="s">
        <v>34</v>
      </c>
    </row>
    <row r="2" spans="1:2" ht="15">
      <c r="A2" s="99" t="s">
        <v>214</v>
      </c>
      <c r="B2" s="80">
        <v>36476.449929</v>
      </c>
    </row>
    <row r="3" spans="1:2" ht="15">
      <c r="A3" s="103" t="s">
        <v>216</v>
      </c>
      <c r="B3" s="80">
        <v>36374.349584</v>
      </c>
    </row>
    <row r="4" spans="1:2" ht="15">
      <c r="A4" s="103" t="s">
        <v>218</v>
      </c>
      <c r="B4" s="80">
        <v>34689.413935</v>
      </c>
    </row>
    <row r="5" spans="1:2" ht="15">
      <c r="A5" s="103" t="s">
        <v>219</v>
      </c>
      <c r="B5" s="80">
        <v>33307.638328</v>
      </c>
    </row>
    <row r="6" spans="1:2" ht="15">
      <c r="A6" s="103" t="s">
        <v>213</v>
      </c>
      <c r="B6" s="80">
        <v>33151.392821</v>
      </c>
    </row>
    <row r="7" spans="1:2" ht="15">
      <c r="A7" s="103" t="s">
        <v>212</v>
      </c>
      <c r="B7" s="80">
        <v>30122.8001</v>
      </c>
    </row>
    <row r="8" spans="1:2" ht="15">
      <c r="A8" s="103" t="s">
        <v>215</v>
      </c>
      <c r="B8" s="80">
        <v>21225.613823</v>
      </c>
    </row>
    <row r="9" spans="1:2" ht="15">
      <c r="A9" s="103" t="s">
        <v>217</v>
      </c>
      <c r="B9" s="80">
        <v>17808.780443</v>
      </c>
    </row>
    <row r="10" spans="1:2" ht="15">
      <c r="A10" s="103" t="s">
        <v>393</v>
      </c>
      <c r="B10" s="80">
        <v>12239.360685</v>
      </c>
    </row>
    <row r="11" spans="1:2" ht="15">
      <c r="A11" s="103" t="s">
        <v>470</v>
      </c>
      <c r="B11" s="80">
        <v>5218.178466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7029C-1D9C-45FA-9B09-821D532653CA}">
  <dimension ref="A1:R24"/>
  <sheetViews>
    <sheetView workbookViewId="0" topLeftCell="A1"/>
  </sheetViews>
  <sheetFormatPr defaultColWidth="9.140625" defaultRowHeight="15"/>
  <cols>
    <col min="1" max="1" width="38.7109375" style="0" customWidth="1"/>
    <col min="2" max="2" width="18.7109375" style="0" bestFit="1" customWidth="1"/>
    <col min="3" max="3" width="28.7109375" style="0" customWidth="1"/>
    <col min="4" max="4" width="10.7109375" style="0" bestFit="1" customWidth="1"/>
    <col min="5" max="5" width="28.7109375" style="0" customWidth="1"/>
    <col min="6" max="6" width="10.7109375" style="0" bestFit="1" customWidth="1"/>
    <col min="7" max="7" width="28.7109375" style="0" customWidth="1"/>
    <col min="8" max="8" width="10.7109375" style="0" bestFit="1" customWidth="1"/>
    <col min="9" max="9" width="28.7109375" style="0" customWidth="1"/>
    <col min="10" max="10" width="10.7109375" style="0" bestFit="1" customWidth="1"/>
    <col min="11" max="11" width="28.7109375" style="0" customWidth="1"/>
    <col min="12" max="12" width="10.7109375" style="0" bestFit="1" customWidth="1"/>
    <col min="13" max="13" width="28.7109375" style="0" customWidth="1"/>
    <col min="14" max="14" width="10.7109375" style="0" bestFit="1" customWidth="1"/>
    <col min="15" max="15" width="28.7109375" style="0" customWidth="1"/>
    <col min="16" max="16" width="10.7109375" style="0" bestFit="1" customWidth="1"/>
    <col min="17" max="17" width="28.7109375" style="0" customWidth="1"/>
    <col min="18" max="18" width="10.7109375" style="0" bestFit="1" customWidth="1"/>
  </cols>
  <sheetData>
    <row r="1" spans="1:18" ht="14.4" customHeight="1">
      <c r="A1" s="13" t="s">
        <v>3427</v>
      </c>
      <c r="B1" s="13" t="s">
        <v>3428</v>
      </c>
      <c r="C1" s="13" t="s">
        <v>3429</v>
      </c>
      <c r="D1" s="13" t="s">
        <v>3431</v>
      </c>
      <c r="E1" s="13" t="s">
        <v>3430</v>
      </c>
      <c r="F1" s="13" t="s">
        <v>3433</v>
      </c>
      <c r="G1" s="13" t="s">
        <v>3432</v>
      </c>
      <c r="H1" s="13" t="s">
        <v>3435</v>
      </c>
      <c r="I1" s="13" t="s">
        <v>3434</v>
      </c>
      <c r="J1" s="13" t="s">
        <v>3437</v>
      </c>
      <c r="K1" s="13" t="s">
        <v>3436</v>
      </c>
      <c r="L1" s="13" t="s">
        <v>3439</v>
      </c>
      <c r="M1" s="13" t="s">
        <v>3438</v>
      </c>
      <c r="N1" s="13" t="s">
        <v>3441</v>
      </c>
      <c r="O1" s="13" t="s">
        <v>3440</v>
      </c>
      <c r="P1" s="13" t="s">
        <v>3443</v>
      </c>
      <c r="Q1" s="13" t="s">
        <v>3442</v>
      </c>
      <c r="R1" s="13" t="s">
        <v>3444</v>
      </c>
    </row>
    <row r="2" spans="1:18" ht="15">
      <c r="A2" s="102" t="s">
        <v>2348</v>
      </c>
      <c r="B2" s="102">
        <v>230</v>
      </c>
      <c r="C2" s="102" t="s">
        <v>2349</v>
      </c>
      <c r="D2" s="102">
        <v>54</v>
      </c>
      <c r="E2" s="102" t="s">
        <v>2350</v>
      </c>
      <c r="F2" s="102">
        <v>35</v>
      </c>
      <c r="G2" s="102" t="s">
        <v>2350</v>
      </c>
      <c r="H2" s="102">
        <v>32</v>
      </c>
      <c r="I2" s="102" t="s">
        <v>2348</v>
      </c>
      <c r="J2" s="102">
        <v>42</v>
      </c>
      <c r="K2" s="102" t="s">
        <v>2349</v>
      </c>
      <c r="L2" s="102">
        <v>36</v>
      </c>
      <c r="M2" s="102" t="s">
        <v>2348</v>
      </c>
      <c r="N2" s="102">
        <v>94</v>
      </c>
      <c r="O2" s="102" t="s">
        <v>2351</v>
      </c>
      <c r="P2" s="102">
        <v>29</v>
      </c>
      <c r="Q2" s="102" t="s">
        <v>2368</v>
      </c>
      <c r="R2" s="102">
        <v>5</v>
      </c>
    </row>
    <row r="3" spans="1:18" ht="15">
      <c r="A3" s="104" t="s">
        <v>2349</v>
      </c>
      <c r="B3" s="102">
        <v>223</v>
      </c>
      <c r="C3" s="102" t="s">
        <v>2350</v>
      </c>
      <c r="D3" s="102">
        <v>44</v>
      </c>
      <c r="E3" s="102" t="s">
        <v>2351</v>
      </c>
      <c r="F3" s="102">
        <v>35</v>
      </c>
      <c r="G3" s="102" t="s">
        <v>2372</v>
      </c>
      <c r="H3" s="102">
        <v>32</v>
      </c>
      <c r="I3" s="102" t="s">
        <v>2353</v>
      </c>
      <c r="J3" s="102">
        <v>30</v>
      </c>
      <c r="K3" s="102" t="s">
        <v>2375</v>
      </c>
      <c r="L3" s="102">
        <v>31</v>
      </c>
      <c r="M3" s="102" t="s">
        <v>2352</v>
      </c>
      <c r="N3" s="102">
        <v>74</v>
      </c>
      <c r="O3" s="102" t="s">
        <v>2350</v>
      </c>
      <c r="P3" s="102">
        <v>27</v>
      </c>
      <c r="Q3" s="102" t="s">
        <v>2794</v>
      </c>
      <c r="R3" s="102">
        <v>4</v>
      </c>
    </row>
    <row r="4" spans="1:18" ht="15">
      <c r="A4" s="104" t="s">
        <v>2350</v>
      </c>
      <c r="B4" s="102">
        <v>207</v>
      </c>
      <c r="C4" s="102" t="s">
        <v>2348</v>
      </c>
      <c r="D4" s="102">
        <v>29</v>
      </c>
      <c r="E4" s="102" t="s">
        <v>2349</v>
      </c>
      <c r="F4" s="102">
        <v>31</v>
      </c>
      <c r="G4" s="102" t="s">
        <v>2374</v>
      </c>
      <c r="H4" s="102">
        <v>31</v>
      </c>
      <c r="I4" s="102" t="s">
        <v>2350</v>
      </c>
      <c r="J4" s="102">
        <v>23</v>
      </c>
      <c r="K4" s="102" t="s">
        <v>2351</v>
      </c>
      <c r="L4" s="102">
        <v>27</v>
      </c>
      <c r="M4" s="102" t="s">
        <v>2349</v>
      </c>
      <c r="N4" s="102">
        <v>57</v>
      </c>
      <c r="O4" s="102" t="s">
        <v>2348</v>
      </c>
      <c r="P4" s="102">
        <v>24</v>
      </c>
      <c r="Q4" s="102" t="s">
        <v>2958</v>
      </c>
      <c r="R4" s="102">
        <v>3</v>
      </c>
    </row>
    <row r="5" spans="1:18" ht="15">
      <c r="A5" s="104" t="s">
        <v>2351</v>
      </c>
      <c r="B5" s="102">
        <v>187</v>
      </c>
      <c r="C5" s="102" t="s">
        <v>2351</v>
      </c>
      <c r="D5" s="102">
        <v>23</v>
      </c>
      <c r="E5" s="102" t="s">
        <v>2348</v>
      </c>
      <c r="F5" s="102">
        <v>23</v>
      </c>
      <c r="G5" s="102" t="s">
        <v>2405</v>
      </c>
      <c r="H5" s="102">
        <v>18</v>
      </c>
      <c r="I5" s="102" t="s">
        <v>2349</v>
      </c>
      <c r="J5" s="102">
        <v>21</v>
      </c>
      <c r="K5" s="102" t="s">
        <v>2350</v>
      </c>
      <c r="L5" s="102">
        <v>24</v>
      </c>
      <c r="M5" s="102" t="s">
        <v>2351</v>
      </c>
      <c r="N5" s="102">
        <v>49</v>
      </c>
      <c r="O5" s="102" t="s">
        <v>2352</v>
      </c>
      <c r="P5" s="102">
        <v>22</v>
      </c>
      <c r="Q5" s="102" t="s">
        <v>2417</v>
      </c>
      <c r="R5" s="102">
        <v>3</v>
      </c>
    </row>
    <row r="6" spans="1:18" ht="15">
      <c r="A6" s="104" t="s">
        <v>2352</v>
      </c>
      <c r="B6" s="102">
        <v>117</v>
      </c>
      <c r="C6" s="102" t="s">
        <v>2365</v>
      </c>
      <c r="D6" s="102">
        <v>20</v>
      </c>
      <c r="E6" s="102" t="s">
        <v>2404</v>
      </c>
      <c r="F6" s="102">
        <v>20</v>
      </c>
      <c r="G6" s="102" t="s">
        <v>2413</v>
      </c>
      <c r="H6" s="102">
        <v>17</v>
      </c>
      <c r="I6" s="102" t="s">
        <v>2351</v>
      </c>
      <c r="J6" s="102">
        <v>21</v>
      </c>
      <c r="K6" s="102" t="s">
        <v>2358</v>
      </c>
      <c r="L6" s="102">
        <v>24</v>
      </c>
      <c r="M6" s="102" t="s">
        <v>2359</v>
      </c>
      <c r="N6" s="102">
        <v>41</v>
      </c>
      <c r="O6" s="102" t="s">
        <v>2366</v>
      </c>
      <c r="P6" s="102">
        <v>22</v>
      </c>
      <c r="Q6" s="102" t="s">
        <v>2832</v>
      </c>
      <c r="R6" s="102">
        <v>2</v>
      </c>
    </row>
    <row r="7" spans="1:18" ht="15">
      <c r="A7" s="104" t="s">
        <v>2353</v>
      </c>
      <c r="B7" s="102">
        <v>77</v>
      </c>
      <c r="C7" s="102" t="s">
        <v>2356</v>
      </c>
      <c r="D7" s="102">
        <v>19</v>
      </c>
      <c r="E7" s="102" t="s">
        <v>2386</v>
      </c>
      <c r="F7" s="102">
        <v>17</v>
      </c>
      <c r="G7" s="102" t="s">
        <v>2425</v>
      </c>
      <c r="H7" s="102">
        <v>16</v>
      </c>
      <c r="I7" s="102" t="s">
        <v>2377</v>
      </c>
      <c r="J7" s="102">
        <v>17</v>
      </c>
      <c r="K7" s="102" t="s">
        <v>2363</v>
      </c>
      <c r="L7" s="102">
        <v>21</v>
      </c>
      <c r="M7" s="102" t="s">
        <v>2353</v>
      </c>
      <c r="N7" s="102">
        <v>38</v>
      </c>
      <c r="O7" s="102" t="s">
        <v>2363</v>
      </c>
      <c r="P7" s="102">
        <v>22</v>
      </c>
      <c r="Q7" s="102" t="s">
        <v>3356</v>
      </c>
      <c r="R7" s="102">
        <v>2</v>
      </c>
    </row>
    <row r="8" spans="1:18" ht="15">
      <c r="A8" s="104" t="s">
        <v>2354</v>
      </c>
      <c r="B8" s="102">
        <v>64</v>
      </c>
      <c r="C8" s="102" t="s">
        <v>2393</v>
      </c>
      <c r="D8" s="102">
        <v>17</v>
      </c>
      <c r="E8" s="102" t="s">
        <v>2373</v>
      </c>
      <c r="F8" s="102">
        <v>16</v>
      </c>
      <c r="G8" s="102" t="s">
        <v>2407</v>
      </c>
      <c r="H8" s="102">
        <v>16</v>
      </c>
      <c r="I8" s="102" t="s">
        <v>2384</v>
      </c>
      <c r="J8" s="102">
        <v>16</v>
      </c>
      <c r="K8" s="102" t="s">
        <v>2399</v>
      </c>
      <c r="L8" s="102">
        <v>18</v>
      </c>
      <c r="M8" s="102" t="s">
        <v>2350</v>
      </c>
      <c r="N8" s="102">
        <v>22</v>
      </c>
      <c r="O8" s="102" t="s">
        <v>2368</v>
      </c>
      <c r="P8" s="102">
        <v>21</v>
      </c>
      <c r="Q8" s="102" t="s">
        <v>3358</v>
      </c>
      <c r="R8" s="102">
        <v>2</v>
      </c>
    </row>
    <row r="9" spans="1:18" ht="15">
      <c r="A9" s="104" t="s">
        <v>2355</v>
      </c>
      <c r="B9" s="102">
        <v>64</v>
      </c>
      <c r="C9" s="102" t="s">
        <v>2360</v>
      </c>
      <c r="D9" s="102">
        <v>17</v>
      </c>
      <c r="E9" s="102" t="s">
        <v>2424</v>
      </c>
      <c r="F9" s="102">
        <v>16</v>
      </c>
      <c r="G9" s="102" t="s">
        <v>2400</v>
      </c>
      <c r="H9" s="102">
        <v>16</v>
      </c>
      <c r="I9" s="102" t="s">
        <v>2388</v>
      </c>
      <c r="J9" s="102">
        <v>14</v>
      </c>
      <c r="K9" s="102" t="s">
        <v>2348</v>
      </c>
      <c r="L9" s="102">
        <v>17</v>
      </c>
      <c r="M9" s="102" t="s">
        <v>2364</v>
      </c>
      <c r="N9" s="102">
        <v>20</v>
      </c>
      <c r="O9" s="102" t="s">
        <v>2358</v>
      </c>
      <c r="P9" s="102">
        <v>20</v>
      </c>
      <c r="Q9" s="102" t="s">
        <v>3360</v>
      </c>
      <c r="R9" s="102">
        <v>2</v>
      </c>
    </row>
    <row r="10" spans="1:18" ht="15">
      <c r="A10" s="104" t="s">
        <v>2356</v>
      </c>
      <c r="B10" s="102">
        <v>63</v>
      </c>
      <c r="C10" s="102" t="s">
        <v>2382</v>
      </c>
      <c r="D10" s="102">
        <v>16</v>
      </c>
      <c r="E10" s="102" t="s">
        <v>2354</v>
      </c>
      <c r="F10" s="102">
        <v>15</v>
      </c>
      <c r="G10" s="102" t="s">
        <v>2478</v>
      </c>
      <c r="H10" s="102">
        <v>11</v>
      </c>
      <c r="I10" s="102" t="s">
        <v>2449</v>
      </c>
      <c r="J10" s="102">
        <v>14</v>
      </c>
      <c r="K10" s="102" t="s">
        <v>2354</v>
      </c>
      <c r="L10" s="102">
        <v>15</v>
      </c>
      <c r="M10" s="102" t="s">
        <v>2370</v>
      </c>
      <c r="N10" s="102">
        <v>19</v>
      </c>
      <c r="O10" s="102" t="s">
        <v>2355</v>
      </c>
      <c r="P10" s="102">
        <v>20</v>
      </c>
      <c r="Q10" s="102" t="s">
        <v>3357</v>
      </c>
      <c r="R10" s="102">
        <v>2</v>
      </c>
    </row>
    <row r="11" spans="1:18" ht="15">
      <c r="A11" s="104" t="s">
        <v>2357</v>
      </c>
      <c r="B11" s="102">
        <v>61</v>
      </c>
      <c r="C11" s="102" t="s">
        <v>2396</v>
      </c>
      <c r="D11" s="102">
        <v>13</v>
      </c>
      <c r="E11" s="102" t="s">
        <v>2430</v>
      </c>
      <c r="F11" s="102">
        <v>14</v>
      </c>
      <c r="G11" s="102" t="s">
        <v>2349</v>
      </c>
      <c r="H11" s="102">
        <v>10</v>
      </c>
      <c r="I11" s="102" t="s">
        <v>2361</v>
      </c>
      <c r="J11" s="102">
        <v>12</v>
      </c>
      <c r="K11" s="102" t="s">
        <v>2378</v>
      </c>
      <c r="L11" s="102">
        <v>15</v>
      </c>
      <c r="M11" s="102" t="s">
        <v>2361</v>
      </c>
      <c r="N11" s="102">
        <v>19</v>
      </c>
      <c r="O11" s="102" t="s">
        <v>2356</v>
      </c>
      <c r="P11" s="102">
        <v>17</v>
      </c>
      <c r="Q11" s="102" t="s">
        <v>3359</v>
      </c>
      <c r="R11" s="102">
        <v>2</v>
      </c>
    </row>
    <row r="14" spans="1:18" ht="14.4" customHeight="1">
      <c r="A14" s="13" t="s">
        <v>3454</v>
      </c>
      <c r="B14" s="13" t="s">
        <v>3428</v>
      </c>
      <c r="C14" s="13" t="s">
        <v>3465</v>
      </c>
      <c r="D14" s="13" t="s">
        <v>3431</v>
      </c>
      <c r="E14" s="13" t="s">
        <v>3474</v>
      </c>
      <c r="F14" s="13" t="s">
        <v>3433</v>
      </c>
      <c r="G14" s="13" t="s">
        <v>3483</v>
      </c>
      <c r="H14" s="13" t="s">
        <v>3435</v>
      </c>
      <c r="I14" s="13" t="s">
        <v>3494</v>
      </c>
      <c r="J14" s="13" t="s">
        <v>3437</v>
      </c>
      <c r="K14" s="13" t="s">
        <v>3500</v>
      </c>
      <c r="L14" s="13" t="s">
        <v>3439</v>
      </c>
      <c r="M14" s="13" t="s">
        <v>3505</v>
      </c>
      <c r="N14" s="13" t="s">
        <v>3441</v>
      </c>
      <c r="O14" s="13" t="s">
        <v>3510</v>
      </c>
      <c r="P14" s="13" t="s">
        <v>3443</v>
      </c>
      <c r="Q14" s="13" t="s">
        <v>3517</v>
      </c>
      <c r="R14" s="13" t="s">
        <v>3444</v>
      </c>
    </row>
    <row r="15" spans="1:18" ht="15">
      <c r="A15" s="102" t="s">
        <v>3455</v>
      </c>
      <c r="B15" s="102">
        <v>94</v>
      </c>
      <c r="C15" s="102" t="s">
        <v>3455</v>
      </c>
      <c r="D15" s="102">
        <v>14</v>
      </c>
      <c r="E15" s="102" t="s">
        <v>3455</v>
      </c>
      <c r="F15" s="102">
        <v>13</v>
      </c>
      <c r="G15" s="102" t="s">
        <v>3484</v>
      </c>
      <c r="H15" s="102">
        <v>16</v>
      </c>
      <c r="I15" s="102" t="s">
        <v>3457</v>
      </c>
      <c r="J15" s="102">
        <v>15</v>
      </c>
      <c r="K15" s="102" t="s">
        <v>3458</v>
      </c>
      <c r="L15" s="102">
        <v>19</v>
      </c>
      <c r="M15" s="102" t="s">
        <v>3456</v>
      </c>
      <c r="N15" s="102">
        <v>36</v>
      </c>
      <c r="O15" s="102" t="s">
        <v>3458</v>
      </c>
      <c r="P15" s="102">
        <v>20</v>
      </c>
      <c r="Q15" s="102" t="s">
        <v>3518</v>
      </c>
      <c r="R15" s="102">
        <v>3</v>
      </c>
    </row>
    <row r="16" spans="1:18" ht="15">
      <c r="A16" s="104" t="s">
        <v>3456</v>
      </c>
      <c r="B16" s="102">
        <v>78</v>
      </c>
      <c r="C16" s="102" t="s">
        <v>3466</v>
      </c>
      <c r="D16" s="102">
        <v>13</v>
      </c>
      <c r="E16" s="102" t="s">
        <v>3475</v>
      </c>
      <c r="F16" s="102">
        <v>13</v>
      </c>
      <c r="G16" s="102" t="s">
        <v>3485</v>
      </c>
      <c r="H16" s="102">
        <v>16</v>
      </c>
      <c r="I16" s="102" t="s">
        <v>3455</v>
      </c>
      <c r="J16" s="102">
        <v>14</v>
      </c>
      <c r="K16" s="102" t="s">
        <v>3462</v>
      </c>
      <c r="L16" s="102">
        <v>12</v>
      </c>
      <c r="M16" s="102" t="s">
        <v>3455</v>
      </c>
      <c r="N16" s="102">
        <v>30</v>
      </c>
      <c r="O16" s="102" t="s">
        <v>3455</v>
      </c>
      <c r="P16" s="102">
        <v>16</v>
      </c>
      <c r="Q16" s="102" t="s">
        <v>3519</v>
      </c>
      <c r="R16" s="102">
        <v>2</v>
      </c>
    </row>
    <row r="17" spans="1:18" ht="15">
      <c r="A17" s="104" t="s">
        <v>3457</v>
      </c>
      <c r="B17" s="102">
        <v>44</v>
      </c>
      <c r="C17" s="102" t="s">
        <v>3456</v>
      </c>
      <c r="D17" s="102">
        <v>11</v>
      </c>
      <c r="E17" s="102" t="s">
        <v>3476</v>
      </c>
      <c r="F17" s="102">
        <v>9</v>
      </c>
      <c r="G17" s="102" t="s">
        <v>3486</v>
      </c>
      <c r="H17" s="102">
        <v>16</v>
      </c>
      <c r="I17" s="102" t="s">
        <v>3464</v>
      </c>
      <c r="J17" s="102">
        <v>14</v>
      </c>
      <c r="K17" s="102" t="s">
        <v>3456</v>
      </c>
      <c r="L17" s="102">
        <v>11</v>
      </c>
      <c r="M17" s="102" t="s">
        <v>3460</v>
      </c>
      <c r="N17" s="102">
        <v>23</v>
      </c>
      <c r="O17" s="102" t="s">
        <v>3463</v>
      </c>
      <c r="P17" s="102">
        <v>12</v>
      </c>
      <c r="Q17" s="102"/>
      <c r="R17" s="102"/>
    </row>
    <row r="18" spans="1:18" ht="15">
      <c r="A18" s="104" t="s">
        <v>3458</v>
      </c>
      <c r="B18" s="102">
        <v>41</v>
      </c>
      <c r="C18" s="102" t="s">
        <v>3467</v>
      </c>
      <c r="D18" s="102">
        <v>11</v>
      </c>
      <c r="E18" s="102" t="s">
        <v>3477</v>
      </c>
      <c r="F18" s="102">
        <v>9</v>
      </c>
      <c r="G18" s="102" t="s">
        <v>3487</v>
      </c>
      <c r="H18" s="102">
        <v>16</v>
      </c>
      <c r="I18" s="102" t="s">
        <v>3461</v>
      </c>
      <c r="J18" s="102">
        <v>14</v>
      </c>
      <c r="K18" s="102" t="s">
        <v>3463</v>
      </c>
      <c r="L18" s="102">
        <v>11</v>
      </c>
      <c r="M18" s="102" t="s">
        <v>3457</v>
      </c>
      <c r="N18" s="102">
        <v>21</v>
      </c>
      <c r="O18" s="102" t="s">
        <v>3511</v>
      </c>
      <c r="P18" s="102">
        <v>10</v>
      </c>
      <c r="Q18" s="102"/>
      <c r="R18" s="102"/>
    </row>
    <row r="19" spans="1:18" ht="15">
      <c r="A19" s="104" t="s">
        <v>3459</v>
      </c>
      <c r="B19" s="102">
        <v>27</v>
      </c>
      <c r="C19" s="102" t="s">
        <v>3468</v>
      </c>
      <c r="D19" s="102">
        <v>10</v>
      </c>
      <c r="E19" s="102" t="s">
        <v>3478</v>
      </c>
      <c r="F19" s="102">
        <v>9</v>
      </c>
      <c r="G19" s="102" t="s">
        <v>3488</v>
      </c>
      <c r="H19" s="102">
        <v>16</v>
      </c>
      <c r="I19" s="102" t="s">
        <v>3456</v>
      </c>
      <c r="J19" s="102">
        <v>10</v>
      </c>
      <c r="K19" s="102" t="s">
        <v>3501</v>
      </c>
      <c r="L19" s="102">
        <v>8</v>
      </c>
      <c r="M19" s="102" t="s">
        <v>3462</v>
      </c>
      <c r="N19" s="102">
        <v>12</v>
      </c>
      <c r="O19" s="102" t="s">
        <v>3459</v>
      </c>
      <c r="P19" s="102">
        <v>9</v>
      </c>
      <c r="Q19" s="102"/>
      <c r="R19" s="102"/>
    </row>
    <row r="20" spans="1:18" ht="15">
      <c r="A20" s="104" t="s">
        <v>3460</v>
      </c>
      <c r="B20" s="102">
        <v>26</v>
      </c>
      <c r="C20" s="102" t="s">
        <v>3469</v>
      </c>
      <c r="D20" s="102">
        <v>10</v>
      </c>
      <c r="E20" s="102" t="s">
        <v>3479</v>
      </c>
      <c r="F20" s="102">
        <v>8</v>
      </c>
      <c r="G20" s="102" t="s">
        <v>3489</v>
      </c>
      <c r="H20" s="102">
        <v>15</v>
      </c>
      <c r="I20" s="102" t="s">
        <v>3495</v>
      </c>
      <c r="J20" s="102">
        <v>8</v>
      </c>
      <c r="K20" s="102" t="s">
        <v>3502</v>
      </c>
      <c r="L20" s="102">
        <v>7</v>
      </c>
      <c r="M20" s="102" t="s">
        <v>3506</v>
      </c>
      <c r="N20" s="102">
        <v>11</v>
      </c>
      <c r="O20" s="102" t="s">
        <v>3512</v>
      </c>
      <c r="P20" s="102">
        <v>9</v>
      </c>
      <c r="Q20" s="102"/>
      <c r="R20" s="102"/>
    </row>
    <row r="21" spans="1:18" ht="15">
      <c r="A21" s="104" t="s">
        <v>3461</v>
      </c>
      <c r="B21" s="102">
        <v>24</v>
      </c>
      <c r="C21" s="102" t="s">
        <v>3470</v>
      </c>
      <c r="D21" s="102">
        <v>9</v>
      </c>
      <c r="E21" s="102" t="s">
        <v>3480</v>
      </c>
      <c r="F21" s="102">
        <v>8</v>
      </c>
      <c r="G21" s="102" t="s">
        <v>3490</v>
      </c>
      <c r="H21" s="102">
        <v>15</v>
      </c>
      <c r="I21" s="102" t="s">
        <v>3496</v>
      </c>
      <c r="J21" s="102">
        <v>6</v>
      </c>
      <c r="K21" s="102" t="s">
        <v>3455</v>
      </c>
      <c r="L21" s="102">
        <v>6</v>
      </c>
      <c r="M21" s="102" t="s">
        <v>3507</v>
      </c>
      <c r="N21" s="102">
        <v>10</v>
      </c>
      <c r="O21" s="102" t="s">
        <v>3513</v>
      </c>
      <c r="P21" s="102">
        <v>9</v>
      </c>
      <c r="Q21" s="102"/>
      <c r="R21" s="102"/>
    </row>
    <row r="22" spans="1:18" ht="15">
      <c r="A22" s="104" t="s">
        <v>3462</v>
      </c>
      <c r="B22" s="102">
        <v>24</v>
      </c>
      <c r="C22" s="102" t="s">
        <v>3471</v>
      </c>
      <c r="D22" s="102">
        <v>9</v>
      </c>
      <c r="E22" s="102" t="s">
        <v>3456</v>
      </c>
      <c r="F22" s="102">
        <v>7</v>
      </c>
      <c r="G22" s="102" t="s">
        <v>3491</v>
      </c>
      <c r="H22" s="102">
        <v>6</v>
      </c>
      <c r="I22" s="102" t="s">
        <v>3497</v>
      </c>
      <c r="J22" s="102">
        <v>6</v>
      </c>
      <c r="K22" s="102" t="s">
        <v>3482</v>
      </c>
      <c r="L22" s="102">
        <v>5</v>
      </c>
      <c r="M22" s="102" t="s">
        <v>3496</v>
      </c>
      <c r="N22" s="102">
        <v>9</v>
      </c>
      <c r="O22" s="102" t="s">
        <v>3514</v>
      </c>
      <c r="P22" s="102">
        <v>9</v>
      </c>
      <c r="Q22" s="102"/>
      <c r="R22" s="102"/>
    </row>
    <row r="23" spans="1:18" ht="15">
      <c r="A23" s="104" t="s">
        <v>3463</v>
      </c>
      <c r="B23" s="102">
        <v>23</v>
      </c>
      <c r="C23" s="102" t="s">
        <v>3472</v>
      </c>
      <c r="D23" s="102">
        <v>8</v>
      </c>
      <c r="E23" s="102" t="s">
        <v>3481</v>
      </c>
      <c r="F23" s="102">
        <v>7</v>
      </c>
      <c r="G23" s="102" t="s">
        <v>3492</v>
      </c>
      <c r="H23" s="102">
        <v>5</v>
      </c>
      <c r="I23" s="102" t="s">
        <v>3498</v>
      </c>
      <c r="J23" s="102">
        <v>6</v>
      </c>
      <c r="K23" s="102" t="s">
        <v>3503</v>
      </c>
      <c r="L23" s="102">
        <v>4</v>
      </c>
      <c r="M23" s="102" t="s">
        <v>3508</v>
      </c>
      <c r="N23" s="102">
        <v>9</v>
      </c>
      <c r="O23" s="102" t="s">
        <v>3515</v>
      </c>
      <c r="P23" s="102">
        <v>7</v>
      </c>
      <c r="Q23" s="102"/>
      <c r="R23" s="102"/>
    </row>
    <row r="24" spans="1:18" ht="15">
      <c r="A24" s="104" t="s">
        <v>3464</v>
      </c>
      <c r="B24" s="102">
        <v>23</v>
      </c>
      <c r="C24" s="102" t="s">
        <v>3473</v>
      </c>
      <c r="D24" s="102">
        <v>7</v>
      </c>
      <c r="E24" s="102" t="s">
        <v>3482</v>
      </c>
      <c r="F24" s="102">
        <v>7</v>
      </c>
      <c r="G24" s="102" t="s">
        <v>3493</v>
      </c>
      <c r="H24" s="102">
        <v>4</v>
      </c>
      <c r="I24" s="102" t="s">
        <v>3499</v>
      </c>
      <c r="J24" s="102">
        <v>5</v>
      </c>
      <c r="K24" s="102" t="s">
        <v>3504</v>
      </c>
      <c r="L24" s="102">
        <v>4</v>
      </c>
      <c r="M24" s="102" t="s">
        <v>3509</v>
      </c>
      <c r="N24" s="102">
        <v>9</v>
      </c>
      <c r="O24" s="102" t="s">
        <v>3516</v>
      </c>
      <c r="P24" s="102">
        <v>7</v>
      </c>
      <c r="Q24" s="102"/>
      <c r="R24" s="102"/>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403"/>
  <sheetViews>
    <sheetView tabSelected="1" workbookViewId="0" topLeftCell="A1">
      <pane xSplit="1" ySplit="2" topLeftCell="Q3" activePane="bottomRight" state="frozen"/>
      <selection pane="topRight" activeCell="B1" sqref="B1"/>
      <selection pane="bottomLeft" activeCell="A3" sqref="A3"/>
      <selection pane="bottomRight" activeCell="U2" sqref="U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6.7109375" style="2" bestFit="1" customWidth="1"/>
    <col min="31" max="31" width="12.421875" style="3" bestFit="1" customWidth="1"/>
    <col min="32" max="32" width="6.8515625" style="3" bestFit="1" customWidth="1"/>
    <col min="33" max="33" width="8.7109375" style="3" bestFit="1" customWidth="1"/>
    <col min="34" max="34" width="14.00390625" style="3" bestFit="1" customWidth="1"/>
    <col min="35" max="35" width="8.00390625" style="0" bestFit="1" customWidth="1"/>
    <col min="36" max="36" width="12.00390625" style="0" bestFit="1" customWidth="1"/>
    <col min="37" max="37" width="12.57421875" style="0" bestFit="1" customWidth="1"/>
    <col min="38" max="38" width="9.28125" style="0" bestFit="1" customWidth="1"/>
    <col min="39" max="40" width="14.57421875" style="0" bestFit="1" customWidth="1"/>
    <col min="41" max="41" width="9.00390625" style="0" bestFit="1" customWidth="1"/>
    <col min="42" max="42" width="18.28125" style="0" bestFit="1" customWidth="1"/>
    <col min="43" max="43" width="22.57421875" style="0" bestFit="1" customWidth="1"/>
    <col min="44" max="44" width="18.28125" style="0" bestFit="1" customWidth="1"/>
    <col min="45" max="45" width="22.57421875" style="0" bestFit="1" customWidth="1"/>
    <col min="46" max="46" width="18.28125" style="0" bestFit="1" customWidth="1"/>
    <col min="47" max="47" width="22.57421875" style="0" bestFit="1" customWidth="1"/>
    <col min="48" max="48" width="17.28125" style="0" bestFit="1" customWidth="1"/>
    <col min="49" max="49" width="20.57421875" style="0" bestFit="1" customWidth="1"/>
    <col min="50" max="50" width="16.140625" style="0" bestFit="1" customWidth="1"/>
    <col min="51" max="51" width="14.57421875" style="0" bestFit="1" customWidth="1"/>
    <col min="52" max="52" width="16.421875" style="0" bestFit="1" customWidth="1"/>
    <col min="53" max="53" width="16.57421875" style="0" bestFit="1" customWidth="1"/>
    <col min="54" max="54"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614</v>
      </c>
      <c r="AE2" s="13" t="s">
        <v>615</v>
      </c>
      <c r="AF2" s="13" t="s">
        <v>616</v>
      </c>
      <c r="AG2" s="13" t="s">
        <v>617</v>
      </c>
      <c r="AH2" s="13" t="s">
        <v>618</v>
      </c>
      <c r="AI2" s="13" t="s">
        <v>619</v>
      </c>
      <c r="AJ2" s="13" t="s">
        <v>620</v>
      </c>
      <c r="AK2" s="13" t="s">
        <v>621</v>
      </c>
      <c r="AL2" s="13" t="s">
        <v>622</v>
      </c>
      <c r="AM2" s="13" t="s">
        <v>623</v>
      </c>
      <c r="AN2" s="13" t="s">
        <v>624</v>
      </c>
      <c r="AO2" s="13" t="s">
        <v>2336</v>
      </c>
      <c r="AP2" s="107" t="s">
        <v>3382</v>
      </c>
      <c r="AQ2" s="107" t="s">
        <v>3383</v>
      </c>
      <c r="AR2" s="107" t="s">
        <v>3384</v>
      </c>
      <c r="AS2" s="107" t="s">
        <v>3385</v>
      </c>
      <c r="AT2" s="107" t="s">
        <v>3386</v>
      </c>
      <c r="AU2" s="107" t="s">
        <v>3387</v>
      </c>
      <c r="AV2" s="107" t="s">
        <v>3388</v>
      </c>
      <c r="AW2" s="107" t="s">
        <v>3389</v>
      </c>
      <c r="AX2" s="107" t="s">
        <v>3391</v>
      </c>
      <c r="AY2" s="107" t="s">
        <v>3529</v>
      </c>
      <c r="AZ2" s="107" t="s">
        <v>3531</v>
      </c>
      <c r="BA2" s="107" t="s">
        <v>3532</v>
      </c>
      <c r="BB2" s="107" t="s">
        <v>3533</v>
      </c>
      <c r="BC2" s="3"/>
      <c r="BD2" s="3"/>
    </row>
    <row r="3" spans="1:56" ht="15" customHeight="1">
      <c r="A3" s="65" t="s">
        <v>214</v>
      </c>
      <c r="B3" s="66" t="s">
        <v>3538</v>
      </c>
      <c r="C3" s="66"/>
      <c r="D3" s="67">
        <v>775</v>
      </c>
      <c r="E3" s="69">
        <v>100</v>
      </c>
      <c r="F3" s="96" t="str">
        <f>HYPERLINK("https://i.ytimg.com/vi/uGHwpg-fJvc/default.jpg")</f>
        <v>https://i.ytimg.com/vi/uGHwpg-fJvc/default.jpg</v>
      </c>
      <c r="G3" s="66"/>
      <c r="H3" s="70" t="s">
        <v>701</v>
      </c>
      <c r="I3" s="71"/>
      <c r="J3" s="71" t="s">
        <v>75</v>
      </c>
      <c r="K3" s="70" t="s">
        <v>701</v>
      </c>
      <c r="L3" s="74">
        <v>3.8775458179985383</v>
      </c>
      <c r="M3" s="75">
        <v>6219.45751953125</v>
      </c>
      <c r="N3" s="75">
        <v>6408.9091796875</v>
      </c>
      <c r="O3" s="76"/>
      <c r="P3" s="77"/>
      <c r="Q3" s="77"/>
      <c r="R3" s="82"/>
      <c r="S3" s="49">
        <v>6</v>
      </c>
      <c r="T3" s="49">
        <v>91</v>
      </c>
      <c r="U3" s="50">
        <v>36476.449929</v>
      </c>
      <c r="V3" s="50">
        <v>0.001408</v>
      </c>
      <c r="W3" s="50">
        <v>0.03076</v>
      </c>
      <c r="X3" s="50">
        <v>27.294502</v>
      </c>
      <c r="Y3" s="50">
        <v>0.016362786348761104</v>
      </c>
      <c r="Z3" s="50">
        <v>0.043010752688172046</v>
      </c>
      <c r="AA3" s="72">
        <v>80</v>
      </c>
      <c r="AB3" s="72"/>
      <c r="AC3" s="73"/>
      <c r="AD3" s="80" t="s">
        <v>701</v>
      </c>
      <c r="AE3" s="80" t="s">
        <v>1091</v>
      </c>
      <c r="AF3" s="80" t="s">
        <v>1449</v>
      </c>
      <c r="AG3" s="80" t="s">
        <v>1727</v>
      </c>
      <c r="AH3" s="80" t="s">
        <v>1992</v>
      </c>
      <c r="AI3" s="80">
        <v>65476</v>
      </c>
      <c r="AJ3" s="80">
        <v>21</v>
      </c>
      <c r="AK3" s="80">
        <v>371</v>
      </c>
      <c r="AL3" s="80">
        <v>43</v>
      </c>
      <c r="AM3" s="80" t="s">
        <v>2317</v>
      </c>
      <c r="AN3" s="98" t="str">
        <f>HYPERLINK("https://www.youtube.com/watch?v=uGHwpg-fJvc")</f>
        <v>https://www.youtube.com/watch?v=uGHwpg-fJvc</v>
      </c>
      <c r="AO3" s="80" t="str">
        <f>REPLACE(INDEX(GroupVertices[Group],MATCH(Vertices[[#This Row],[Vertex]],GroupVertices[Vertex],0)),1,1,"")</f>
        <v>6</v>
      </c>
      <c r="AP3" s="49">
        <v>0</v>
      </c>
      <c r="AQ3" s="50">
        <v>0</v>
      </c>
      <c r="AR3" s="49">
        <v>1</v>
      </c>
      <c r="AS3" s="50">
        <v>6.25</v>
      </c>
      <c r="AT3" s="49">
        <v>0</v>
      </c>
      <c r="AU3" s="50">
        <v>0</v>
      </c>
      <c r="AV3" s="49">
        <v>15</v>
      </c>
      <c r="AW3" s="50">
        <v>93.75</v>
      </c>
      <c r="AX3" s="49">
        <v>16</v>
      </c>
      <c r="AY3" s="111" t="s">
        <v>3530</v>
      </c>
      <c r="AZ3" s="111" t="s">
        <v>3530</v>
      </c>
      <c r="BA3" s="111" t="s">
        <v>3530</v>
      </c>
      <c r="BB3" s="111" t="s">
        <v>3530</v>
      </c>
      <c r="BC3" s="3"/>
      <c r="BD3" s="3"/>
    </row>
    <row r="4" spans="1:59" ht="15">
      <c r="A4" s="65" t="s">
        <v>216</v>
      </c>
      <c r="B4" s="66" t="s">
        <v>3535</v>
      </c>
      <c r="C4" s="66"/>
      <c r="D4" s="67">
        <v>775</v>
      </c>
      <c r="E4" s="69">
        <v>100</v>
      </c>
      <c r="F4" s="96" t="str">
        <f>HYPERLINK("https://i.ytimg.com/vi/lruYVSGcxHs/default.jpg")</f>
        <v>https://i.ytimg.com/vi/lruYVSGcxHs/default.jpg</v>
      </c>
      <c r="G4" s="66"/>
      <c r="H4" s="70" t="s">
        <v>788</v>
      </c>
      <c r="I4" s="71"/>
      <c r="J4" s="71" t="s">
        <v>75</v>
      </c>
      <c r="K4" s="70" t="s">
        <v>788</v>
      </c>
      <c r="L4" s="74">
        <v>1.5713333925356299</v>
      </c>
      <c r="M4" s="75">
        <v>2401.68798828125</v>
      </c>
      <c r="N4" s="75">
        <v>3345.4814453125</v>
      </c>
      <c r="O4" s="76"/>
      <c r="P4" s="77"/>
      <c r="Q4" s="77"/>
      <c r="R4" s="82"/>
      <c r="S4" s="49">
        <v>6</v>
      </c>
      <c r="T4" s="49">
        <v>84</v>
      </c>
      <c r="U4" s="50">
        <v>36374.349584</v>
      </c>
      <c r="V4" s="50">
        <v>0.001395</v>
      </c>
      <c r="W4" s="50">
        <v>0.027442</v>
      </c>
      <c r="X4" s="50">
        <v>26.13621</v>
      </c>
      <c r="Y4" s="50">
        <v>0.01655266757865937</v>
      </c>
      <c r="Z4" s="50">
        <v>0.046511627906976744</v>
      </c>
      <c r="AA4" s="72">
        <v>167</v>
      </c>
      <c r="AB4" s="72"/>
      <c r="AC4" s="73"/>
      <c r="AD4" s="80" t="s">
        <v>788</v>
      </c>
      <c r="AE4" s="80" t="s">
        <v>1174</v>
      </c>
      <c r="AF4" s="80" t="s">
        <v>1521</v>
      </c>
      <c r="AG4" s="80" t="s">
        <v>1727</v>
      </c>
      <c r="AH4" s="80" t="s">
        <v>2079</v>
      </c>
      <c r="AI4" s="80">
        <v>13009</v>
      </c>
      <c r="AJ4" s="80">
        <v>4</v>
      </c>
      <c r="AK4" s="80">
        <v>98</v>
      </c>
      <c r="AL4" s="80">
        <v>10</v>
      </c>
      <c r="AM4" s="80" t="s">
        <v>2317</v>
      </c>
      <c r="AN4" s="98" t="str">
        <f>HYPERLINK("https://www.youtube.com/watch?v=lruYVSGcxHs")</f>
        <v>https://www.youtube.com/watch?v=lruYVSGcxHs</v>
      </c>
      <c r="AO4" s="80" t="str">
        <f>REPLACE(INDEX(GroupVertices[Group],MATCH(Vertices[[#This Row],[Vertex]],GroupVertices[Vertex],0)),1,1,"")</f>
        <v>2</v>
      </c>
      <c r="AP4" s="49">
        <v>0</v>
      </c>
      <c r="AQ4" s="50">
        <v>0</v>
      </c>
      <c r="AR4" s="49">
        <v>2</v>
      </c>
      <c r="AS4" s="50">
        <v>10</v>
      </c>
      <c r="AT4" s="49">
        <v>0</v>
      </c>
      <c r="AU4" s="50">
        <v>0</v>
      </c>
      <c r="AV4" s="49">
        <v>18</v>
      </c>
      <c r="AW4" s="50">
        <v>90</v>
      </c>
      <c r="AX4" s="49">
        <v>20</v>
      </c>
      <c r="AY4" s="111" t="s">
        <v>3530</v>
      </c>
      <c r="AZ4" s="111" t="s">
        <v>3530</v>
      </c>
      <c r="BA4" s="111" t="s">
        <v>3530</v>
      </c>
      <c r="BB4" s="111" t="s">
        <v>3530</v>
      </c>
      <c r="BC4" s="2"/>
      <c r="BD4" s="3"/>
      <c r="BE4" s="3"/>
      <c r="BF4" s="3"/>
      <c r="BG4" s="3"/>
    </row>
    <row r="5" spans="1:59" ht="15">
      <c r="A5" s="65" t="s">
        <v>218</v>
      </c>
      <c r="B5" s="66" t="s">
        <v>3542</v>
      </c>
      <c r="C5" s="66"/>
      <c r="D5" s="67">
        <v>100</v>
      </c>
      <c r="E5" s="69">
        <v>50</v>
      </c>
      <c r="F5" s="96" t="str">
        <f>HYPERLINK("https://i.ytimg.com/vi/voM51OT9XVs/default.jpg")</f>
        <v>https://i.ytimg.com/vi/voM51OT9XVs/default.jpg</v>
      </c>
      <c r="G5" s="66"/>
      <c r="H5" s="70" t="s">
        <v>882</v>
      </c>
      <c r="I5" s="71"/>
      <c r="J5" s="71" t="s">
        <v>159</v>
      </c>
      <c r="K5" s="70" t="s">
        <v>882</v>
      </c>
      <c r="L5" s="74">
        <v>1.010197672493327</v>
      </c>
      <c r="M5" s="75">
        <v>5404.0947265625</v>
      </c>
      <c r="N5" s="75">
        <v>8897.6123046875</v>
      </c>
      <c r="O5" s="76"/>
      <c r="P5" s="77"/>
      <c r="Q5" s="77"/>
      <c r="R5" s="82"/>
      <c r="S5" s="49">
        <v>0</v>
      </c>
      <c r="T5" s="49">
        <v>63</v>
      </c>
      <c r="U5" s="50">
        <v>34689.413935</v>
      </c>
      <c r="V5" s="50">
        <v>0.001002</v>
      </c>
      <c r="W5" s="50">
        <v>0.003557</v>
      </c>
      <c r="X5" s="50">
        <v>23.459955</v>
      </c>
      <c r="Y5" s="50">
        <v>0</v>
      </c>
      <c r="Z5" s="50">
        <v>0</v>
      </c>
      <c r="AA5" s="72">
        <v>263</v>
      </c>
      <c r="AB5" s="72"/>
      <c r="AC5" s="73"/>
      <c r="AD5" s="80" t="s">
        <v>882</v>
      </c>
      <c r="AE5" s="80" t="s">
        <v>1257</v>
      </c>
      <c r="AF5" s="80" t="s">
        <v>1589</v>
      </c>
      <c r="AG5" s="80" t="s">
        <v>1851</v>
      </c>
      <c r="AH5" s="80" t="s">
        <v>2175</v>
      </c>
      <c r="AI5" s="80">
        <v>243</v>
      </c>
      <c r="AJ5" s="80">
        <v>0</v>
      </c>
      <c r="AK5" s="80">
        <v>1</v>
      </c>
      <c r="AL5" s="80">
        <v>0</v>
      </c>
      <c r="AM5" s="80" t="s">
        <v>2317</v>
      </c>
      <c r="AN5" s="98" t="str">
        <f>HYPERLINK("https://www.youtube.com/watch?v=voM51OT9XVs")</f>
        <v>https://www.youtube.com/watch?v=voM51OT9XVs</v>
      </c>
      <c r="AO5" s="80" t="str">
        <f>REPLACE(INDEX(GroupVertices[Group],MATCH(Vertices[[#This Row],[Vertex]],GroupVertices[Vertex],0)),1,1,"")</f>
        <v>3</v>
      </c>
      <c r="AP5" s="49">
        <v>0</v>
      </c>
      <c r="AQ5" s="50">
        <v>0</v>
      </c>
      <c r="AR5" s="49">
        <v>0</v>
      </c>
      <c r="AS5" s="50">
        <v>0</v>
      </c>
      <c r="AT5" s="49">
        <v>0</v>
      </c>
      <c r="AU5" s="50">
        <v>0</v>
      </c>
      <c r="AV5" s="49">
        <v>8</v>
      </c>
      <c r="AW5" s="50">
        <v>100</v>
      </c>
      <c r="AX5" s="49">
        <v>8</v>
      </c>
      <c r="AY5" s="111" t="s">
        <v>3530</v>
      </c>
      <c r="AZ5" s="111" t="s">
        <v>3530</v>
      </c>
      <c r="BA5" s="111" t="s">
        <v>3530</v>
      </c>
      <c r="BB5" s="111" t="s">
        <v>3530</v>
      </c>
      <c r="BC5" s="2"/>
      <c r="BD5" s="3"/>
      <c r="BE5" s="3"/>
      <c r="BF5" s="3"/>
      <c r="BG5" s="3"/>
    </row>
    <row r="6" spans="1:59" ht="15">
      <c r="A6" s="65" t="s">
        <v>219</v>
      </c>
      <c r="B6" s="66" t="s">
        <v>3540</v>
      </c>
      <c r="C6" s="66"/>
      <c r="D6" s="67">
        <v>775</v>
      </c>
      <c r="E6" s="69">
        <v>100</v>
      </c>
      <c r="F6" s="96" t="str">
        <f>HYPERLINK("https://i.ytimg.com/vi/fK1_SH3X2ek/default.jpg")</f>
        <v>https://i.ytimg.com/vi/fK1_SH3X2ek/default.jpg</v>
      </c>
      <c r="G6" s="66"/>
      <c r="H6" s="70" t="s">
        <v>802</v>
      </c>
      <c r="I6" s="71"/>
      <c r="J6" s="71" t="s">
        <v>75</v>
      </c>
      <c r="K6" s="70" t="s">
        <v>802</v>
      </c>
      <c r="L6" s="74">
        <v>10.891082986254045</v>
      </c>
      <c r="M6" s="75">
        <v>8025.5712890625</v>
      </c>
      <c r="N6" s="75">
        <v>5793.72802734375</v>
      </c>
      <c r="O6" s="76"/>
      <c r="P6" s="77"/>
      <c r="Q6" s="77"/>
      <c r="R6" s="82"/>
      <c r="S6" s="49">
        <v>6</v>
      </c>
      <c r="T6" s="49">
        <v>85</v>
      </c>
      <c r="U6" s="50">
        <v>33307.638328</v>
      </c>
      <c r="V6" s="50">
        <v>0.001397</v>
      </c>
      <c r="W6" s="50">
        <v>0.030048</v>
      </c>
      <c r="X6" s="50">
        <v>25.067694</v>
      </c>
      <c r="Y6" s="50">
        <v>0.01871157444533547</v>
      </c>
      <c r="Z6" s="50">
        <v>0.04597701149425287</v>
      </c>
      <c r="AA6" s="72">
        <v>182</v>
      </c>
      <c r="AB6" s="72"/>
      <c r="AC6" s="73"/>
      <c r="AD6" s="80" t="s">
        <v>802</v>
      </c>
      <c r="AE6" s="80" t="s">
        <v>1189</v>
      </c>
      <c r="AF6" s="80"/>
      <c r="AG6" s="80" t="s">
        <v>1796</v>
      </c>
      <c r="AH6" s="80" t="s">
        <v>2094</v>
      </c>
      <c r="AI6" s="80">
        <v>225036</v>
      </c>
      <c r="AJ6" s="80">
        <v>134</v>
      </c>
      <c r="AK6" s="80">
        <v>1566</v>
      </c>
      <c r="AL6" s="80">
        <v>98</v>
      </c>
      <c r="AM6" s="80" t="s">
        <v>2317</v>
      </c>
      <c r="AN6" s="98" t="str">
        <f>HYPERLINK("https://www.youtube.com/watch?v=fK1_SH3X2ek")</f>
        <v>https://www.youtube.com/watch?v=fK1_SH3X2ek</v>
      </c>
      <c r="AO6" s="80" t="str">
        <f>REPLACE(INDEX(GroupVertices[Group],MATCH(Vertices[[#This Row],[Vertex]],GroupVertices[Vertex],0)),1,1,"")</f>
        <v>5</v>
      </c>
      <c r="AP6" s="49"/>
      <c r="AQ6" s="50"/>
      <c r="AR6" s="49"/>
      <c r="AS6" s="50"/>
      <c r="AT6" s="49"/>
      <c r="AU6" s="50"/>
      <c r="AV6" s="49"/>
      <c r="AW6" s="50"/>
      <c r="AX6" s="49"/>
      <c r="AY6" s="111" t="s">
        <v>3530</v>
      </c>
      <c r="AZ6" s="111" t="s">
        <v>3530</v>
      </c>
      <c r="BA6" s="111" t="s">
        <v>3530</v>
      </c>
      <c r="BB6" s="111" t="s">
        <v>3530</v>
      </c>
      <c r="BC6" s="2"/>
      <c r="BD6" s="3"/>
      <c r="BE6" s="3"/>
      <c r="BF6" s="3"/>
      <c r="BG6" s="3"/>
    </row>
    <row r="7" spans="1:59" ht="15">
      <c r="A7" s="65" t="s">
        <v>213</v>
      </c>
      <c r="B7" s="66" t="s">
        <v>3537</v>
      </c>
      <c r="C7" s="66"/>
      <c r="D7" s="67">
        <v>775</v>
      </c>
      <c r="E7" s="69">
        <v>100</v>
      </c>
      <c r="F7" s="96" t="str">
        <f>HYPERLINK("https://i.ytimg.com/vi/MWk8XJWEiO4/default.jpg")</f>
        <v>https://i.ytimg.com/vi/MWk8XJWEiO4/default.jpg</v>
      </c>
      <c r="G7" s="66"/>
      <c r="H7" s="70" t="s">
        <v>658</v>
      </c>
      <c r="I7" s="71"/>
      <c r="J7" s="71" t="s">
        <v>75</v>
      </c>
      <c r="K7" s="70" t="s">
        <v>658</v>
      </c>
      <c r="L7" s="74">
        <v>2.935403954972789</v>
      </c>
      <c r="M7" s="75">
        <v>3238.657958984375</v>
      </c>
      <c r="N7" s="75">
        <v>1646.2713623046875</v>
      </c>
      <c r="O7" s="76"/>
      <c r="P7" s="77"/>
      <c r="Q7" s="77"/>
      <c r="R7" s="82"/>
      <c r="S7" s="49">
        <v>6</v>
      </c>
      <c r="T7" s="49">
        <v>80</v>
      </c>
      <c r="U7" s="50">
        <v>33151.392821</v>
      </c>
      <c r="V7" s="50">
        <v>0.001387</v>
      </c>
      <c r="W7" s="50">
        <v>0.028216</v>
      </c>
      <c r="X7" s="50">
        <v>24.219414</v>
      </c>
      <c r="Y7" s="50">
        <v>0.020174646190906354</v>
      </c>
      <c r="Z7" s="50">
        <v>0.04878048780487805</v>
      </c>
      <c r="AA7" s="72">
        <v>37</v>
      </c>
      <c r="AB7" s="72"/>
      <c r="AC7" s="73"/>
      <c r="AD7" s="80" t="s">
        <v>658</v>
      </c>
      <c r="AE7" s="80" t="s">
        <v>1053</v>
      </c>
      <c r="AF7" s="80" t="s">
        <v>1419</v>
      </c>
      <c r="AG7" s="80" t="s">
        <v>1694</v>
      </c>
      <c r="AH7" s="80" t="s">
        <v>1949</v>
      </c>
      <c r="AI7" s="80">
        <v>44042</v>
      </c>
      <c r="AJ7" s="80">
        <v>12</v>
      </c>
      <c r="AK7" s="80">
        <v>285</v>
      </c>
      <c r="AL7" s="80">
        <v>7</v>
      </c>
      <c r="AM7" s="80" t="s">
        <v>2317</v>
      </c>
      <c r="AN7" s="98" t="str">
        <f>HYPERLINK("https://www.youtube.com/watch?v=MWk8XJWEiO4")</f>
        <v>https://www.youtube.com/watch?v=MWk8XJWEiO4</v>
      </c>
      <c r="AO7" s="80" t="str">
        <f>REPLACE(INDEX(GroupVertices[Group],MATCH(Vertices[[#This Row],[Vertex]],GroupVertices[Vertex],0)),1,1,"")</f>
        <v>4</v>
      </c>
      <c r="AP7" s="49">
        <v>0</v>
      </c>
      <c r="AQ7" s="50">
        <v>0</v>
      </c>
      <c r="AR7" s="49">
        <v>1</v>
      </c>
      <c r="AS7" s="50">
        <v>7.6923076923076925</v>
      </c>
      <c r="AT7" s="49">
        <v>0</v>
      </c>
      <c r="AU7" s="50">
        <v>0</v>
      </c>
      <c r="AV7" s="49">
        <v>12</v>
      </c>
      <c r="AW7" s="50">
        <v>92.3076923076923</v>
      </c>
      <c r="AX7" s="49">
        <v>13</v>
      </c>
      <c r="AY7" s="111" t="s">
        <v>3530</v>
      </c>
      <c r="AZ7" s="111" t="s">
        <v>3530</v>
      </c>
      <c r="BA7" s="111" t="s">
        <v>3530</v>
      </c>
      <c r="BB7" s="111" t="s">
        <v>3530</v>
      </c>
      <c r="BC7" s="2"/>
      <c r="BD7" s="3"/>
      <c r="BE7" s="3"/>
      <c r="BF7" s="3"/>
      <c r="BG7" s="3"/>
    </row>
    <row r="8" spans="1:59" ht="15">
      <c r="A8" s="65" t="s">
        <v>212</v>
      </c>
      <c r="B8" s="66" t="s">
        <v>3535</v>
      </c>
      <c r="C8" s="66"/>
      <c r="D8" s="67">
        <v>662.5</v>
      </c>
      <c r="E8" s="69">
        <v>100</v>
      </c>
      <c r="F8" s="96" t="str">
        <f>HYPERLINK("https://i.ytimg.com/vi/eoRbJqpWwo0/default.jpg")</f>
        <v>https://i.ytimg.com/vi/eoRbJqpWwo0/default.jpg</v>
      </c>
      <c r="G8" s="66"/>
      <c r="H8" s="70" t="s">
        <v>1022</v>
      </c>
      <c r="I8" s="71"/>
      <c r="J8" s="71" t="s">
        <v>75</v>
      </c>
      <c r="K8" s="70" t="s">
        <v>1022</v>
      </c>
      <c r="L8" s="74">
        <v>1.1295368139561857</v>
      </c>
      <c r="M8" s="75">
        <v>7900.9951171875</v>
      </c>
      <c r="N8" s="75">
        <v>2676.828369140625</v>
      </c>
      <c r="O8" s="76"/>
      <c r="P8" s="77"/>
      <c r="Q8" s="77"/>
      <c r="R8" s="49"/>
      <c r="S8" s="49">
        <v>5</v>
      </c>
      <c r="T8" s="49">
        <v>82</v>
      </c>
      <c r="U8" s="50">
        <v>30122.8001</v>
      </c>
      <c r="V8" s="50">
        <v>0.00135</v>
      </c>
      <c r="W8" s="50">
        <v>0.028316</v>
      </c>
      <c r="X8" s="50">
        <v>23.724432</v>
      </c>
      <c r="Y8" s="50">
        <v>0.018953864237437557</v>
      </c>
      <c r="Z8" s="50">
        <v>0.04819277108433735</v>
      </c>
      <c r="AA8" s="72">
        <v>3</v>
      </c>
      <c r="AB8" s="72"/>
      <c r="AC8" s="73"/>
      <c r="AD8" s="80" t="s">
        <v>1022</v>
      </c>
      <c r="AE8" s="80" t="s">
        <v>1390</v>
      </c>
      <c r="AF8" s="80" t="s">
        <v>1674</v>
      </c>
      <c r="AG8" s="80" t="s">
        <v>1692</v>
      </c>
      <c r="AH8" s="80" t="s">
        <v>2316</v>
      </c>
      <c r="AI8" s="80">
        <v>2958</v>
      </c>
      <c r="AJ8" s="80">
        <v>0</v>
      </c>
      <c r="AK8" s="80">
        <v>33</v>
      </c>
      <c r="AL8" s="80">
        <v>4</v>
      </c>
      <c r="AM8" s="80" t="s">
        <v>2317</v>
      </c>
      <c r="AN8" s="98" t="str">
        <f>HYPERLINK("https://www.youtube.com/watch?v=eoRbJqpWwo0")</f>
        <v>https://www.youtube.com/watch?v=eoRbJqpWwo0</v>
      </c>
      <c r="AO8" s="80" t="str">
        <f>REPLACE(INDEX(GroupVertices[Group],MATCH(Vertices[[#This Row],[Vertex]],GroupVertices[Vertex],0)),1,1,"")</f>
        <v>7</v>
      </c>
      <c r="AP8" s="49">
        <v>0</v>
      </c>
      <c r="AQ8" s="50">
        <v>0</v>
      </c>
      <c r="AR8" s="49">
        <v>2</v>
      </c>
      <c r="AS8" s="50">
        <v>4.545454545454546</v>
      </c>
      <c r="AT8" s="49">
        <v>0</v>
      </c>
      <c r="AU8" s="50">
        <v>0</v>
      </c>
      <c r="AV8" s="49">
        <v>42</v>
      </c>
      <c r="AW8" s="50">
        <v>95.45454545454545</v>
      </c>
      <c r="AX8" s="49">
        <v>44</v>
      </c>
      <c r="AY8" s="111" t="s">
        <v>3530</v>
      </c>
      <c r="AZ8" s="111" t="s">
        <v>3530</v>
      </c>
      <c r="BA8" s="111" t="s">
        <v>3530</v>
      </c>
      <c r="BB8" s="111" t="s">
        <v>3530</v>
      </c>
      <c r="BC8" s="2"/>
      <c r="BD8" s="3"/>
      <c r="BE8" s="3"/>
      <c r="BF8" s="3"/>
      <c r="BG8" s="3"/>
    </row>
    <row r="9" spans="1:59" ht="15">
      <c r="A9" s="65" t="s">
        <v>215</v>
      </c>
      <c r="B9" s="66" t="s">
        <v>3539</v>
      </c>
      <c r="C9" s="66"/>
      <c r="D9" s="67">
        <v>100</v>
      </c>
      <c r="E9" s="69">
        <v>50</v>
      </c>
      <c r="F9" s="96" t="str">
        <f>HYPERLINK("https://i.ytimg.com/vi/_gn-E3JIGo0/default.jpg")</f>
        <v>https://i.ytimg.com/vi/_gn-E3JIGo0/default.jpg</v>
      </c>
      <c r="G9" s="66"/>
      <c r="H9" s="70" t="s">
        <v>748</v>
      </c>
      <c r="I9" s="71"/>
      <c r="J9" s="71" t="s">
        <v>159</v>
      </c>
      <c r="K9" s="70" t="s">
        <v>748</v>
      </c>
      <c r="L9" s="74">
        <v>1.0161316629528063</v>
      </c>
      <c r="M9" s="75">
        <v>1529.1024169921875</v>
      </c>
      <c r="N9" s="75">
        <v>8455.306640625</v>
      </c>
      <c r="O9" s="76"/>
      <c r="P9" s="77"/>
      <c r="Q9" s="77"/>
      <c r="R9" s="82"/>
      <c r="S9" s="49">
        <v>0</v>
      </c>
      <c r="T9" s="49">
        <v>58</v>
      </c>
      <c r="U9" s="50">
        <v>21225.613823</v>
      </c>
      <c r="V9" s="50">
        <v>0.001305</v>
      </c>
      <c r="W9" s="50">
        <v>0.021581</v>
      </c>
      <c r="X9" s="50">
        <v>16.579341</v>
      </c>
      <c r="Y9" s="50">
        <v>0.029038112522686024</v>
      </c>
      <c r="Z9" s="50">
        <v>0</v>
      </c>
      <c r="AA9" s="72">
        <v>127</v>
      </c>
      <c r="AB9" s="72"/>
      <c r="AC9" s="73"/>
      <c r="AD9" s="80" t="s">
        <v>748</v>
      </c>
      <c r="AE9" s="80" t="s">
        <v>1136</v>
      </c>
      <c r="AF9" s="80"/>
      <c r="AG9" s="80" t="s">
        <v>1759</v>
      </c>
      <c r="AH9" s="80" t="s">
        <v>2039</v>
      </c>
      <c r="AI9" s="80">
        <v>378</v>
      </c>
      <c r="AJ9" s="80">
        <v>0</v>
      </c>
      <c r="AK9" s="80">
        <v>0</v>
      </c>
      <c r="AL9" s="80">
        <v>0</v>
      </c>
      <c r="AM9" s="80" t="s">
        <v>2317</v>
      </c>
      <c r="AN9" s="98" t="str">
        <f>HYPERLINK("https://www.youtube.com/watch?v=_gn-E3JIGo0")</f>
        <v>https://www.youtube.com/watch?v=_gn-E3JIGo0</v>
      </c>
      <c r="AO9" s="80" t="str">
        <f>REPLACE(INDEX(GroupVertices[Group],MATCH(Vertices[[#This Row],[Vertex]],GroupVertices[Vertex],0)),1,1,"")</f>
        <v>1</v>
      </c>
      <c r="AP9" s="49"/>
      <c r="AQ9" s="50"/>
      <c r="AR9" s="49"/>
      <c r="AS9" s="50"/>
      <c r="AT9" s="49"/>
      <c r="AU9" s="50"/>
      <c r="AV9" s="49"/>
      <c r="AW9" s="50"/>
      <c r="AX9" s="49"/>
      <c r="AY9" s="111" t="s">
        <v>3530</v>
      </c>
      <c r="AZ9" s="111" t="s">
        <v>3530</v>
      </c>
      <c r="BA9" s="111" t="s">
        <v>3530</v>
      </c>
      <c r="BB9" s="111" t="s">
        <v>3530</v>
      </c>
      <c r="BC9" s="2"/>
      <c r="BD9" s="3"/>
      <c r="BE9" s="3"/>
      <c r="BF9" s="3"/>
      <c r="BG9" s="3"/>
    </row>
    <row r="10" spans="1:59" ht="15">
      <c r="A10" s="65" t="s">
        <v>217</v>
      </c>
      <c r="B10" s="66" t="s">
        <v>3541</v>
      </c>
      <c r="C10" s="66"/>
      <c r="D10" s="67">
        <v>100</v>
      </c>
      <c r="E10" s="69">
        <v>50</v>
      </c>
      <c r="F10" s="96" t="str">
        <f>HYPERLINK("https://i.ytimg.com/vi/6bZVEf1OrTU/default.jpg")</f>
        <v>https://i.ytimg.com/vi/6bZVEf1OrTU/default.jpg</v>
      </c>
      <c r="G10" s="66"/>
      <c r="H10" s="70" t="s">
        <v>855</v>
      </c>
      <c r="I10" s="71"/>
      <c r="J10" s="71" t="s">
        <v>159</v>
      </c>
      <c r="K10" s="70" t="s">
        <v>855</v>
      </c>
      <c r="L10" s="74">
        <v>1.008615275037466</v>
      </c>
      <c r="M10" s="75">
        <v>1927.9986572265625</v>
      </c>
      <c r="N10" s="75">
        <v>8990.1474609375</v>
      </c>
      <c r="O10" s="76"/>
      <c r="P10" s="77"/>
      <c r="Q10" s="77"/>
      <c r="R10" s="82"/>
      <c r="S10" s="49">
        <v>0</v>
      </c>
      <c r="T10" s="49">
        <v>43</v>
      </c>
      <c r="U10" s="50">
        <v>17808.780443</v>
      </c>
      <c r="V10" s="50">
        <v>0.001221</v>
      </c>
      <c r="W10" s="50">
        <v>0.013216</v>
      </c>
      <c r="X10" s="50">
        <v>12.96543</v>
      </c>
      <c r="Y10" s="50">
        <v>0.018826135105204873</v>
      </c>
      <c r="Z10" s="50">
        <v>0</v>
      </c>
      <c r="AA10" s="72">
        <v>236</v>
      </c>
      <c r="AB10" s="72"/>
      <c r="AC10" s="73"/>
      <c r="AD10" s="80" t="s">
        <v>855</v>
      </c>
      <c r="AE10" s="80" t="s">
        <v>1233</v>
      </c>
      <c r="AF10" s="80"/>
      <c r="AG10" s="80" t="s">
        <v>1836</v>
      </c>
      <c r="AH10" s="80" t="s">
        <v>2148</v>
      </c>
      <c r="AI10" s="80">
        <v>207</v>
      </c>
      <c r="AJ10" s="80">
        <v>0</v>
      </c>
      <c r="AK10" s="80">
        <v>1</v>
      </c>
      <c r="AL10" s="80">
        <v>0</v>
      </c>
      <c r="AM10" s="80" t="s">
        <v>2317</v>
      </c>
      <c r="AN10" s="98" t="str">
        <f>HYPERLINK("https://www.youtube.com/watch?v=6bZVEf1OrTU")</f>
        <v>https://www.youtube.com/watch?v=6bZVEf1OrTU</v>
      </c>
      <c r="AO10" s="80" t="str">
        <f>REPLACE(INDEX(GroupVertices[Group],MATCH(Vertices[[#This Row],[Vertex]],GroupVertices[Vertex],0)),1,1,"")</f>
        <v>1</v>
      </c>
      <c r="AP10" s="49"/>
      <c r="AQ10" s="50"/>
      <c r="AR10" s="49"/>
      <c r="AS10" s="50"/>
      <c r="AT10" s="49"/>
      <c r="AU10" s="50"/>
      <c r="AV10" s="49"/>
      <c r="AW10" s="50"/>
      <c r="AX10" s="49"/>
      <c r="AY10" s="111" t="s">
        <v>3530</v>
      </c>
      <c r="AZ10" s="111" t="s">
        <v>3530</v>
      </c>
      <c r="BA10" s="111" t="s">
        <v>3530</v>
      </c>
      <c r="BB10" s="111" t="s">
        <v>3530</v>
      </c>
      <c r="BC10" s="2"/>
      <c r="BD10" s="3"/>
      <c r="BE10" s="3"/>
      <c r="BF10" s="3"/>
      <c r="BG10" s="3"/>
    </row>
    <row r="11" spans="1:59" ht="15">
      <c r="A11" s="65" t="s">
        <v>393</v>
      </c>
      <c r="B11" s="66" t="s">
        <v>3536</v>
      </c>
      <c r="C11" s="66"/>
      <c r="D11" s="67">
        <v>1000</v>
      </c>
      <c r="E11" s="69">
        <v>100</v>
      </c>
      <c r="F11" s="96" t="str">
        <f>HYPERLINK("https://i.ytimg.com/vi/xS_txj05aTQ/default.jpg")</f>
        <v>https://i.ytimg.com/vi/xS_txj05aTQ/default.jpg</v>
      </c>
      <c r="G11" s="66"/>
      <c r="H11" s="70" t="s">
        <v>801</v>
      </c>
      <c r="I11" s="71"/>
      <c r="J11" s="71" t="s">
        <v>75</v>
      </c>
      <c r="K11" s="70" t="s">
        <v>801</v>
      </c>
      <c r="L11" s="74">
        <v>1.812077583250943</v>
      </c>
      <c r="M11" s="75">
        <v>1529.1024169921875</v>
      </c>
      <c r="N11" s="75">
        <v>6315.943359375</v>
      </c>
      <c r="O11" s="76"/>
      <c r="P11" s="77"/>
      <c r="Q11" s="77"/>
      <c r="R11" s="82"/>
      <c r="S11" s="49">
        <v>8</v>
      </c>
      <c r="T11" s="49">
        <v>0</v>
      </c>
      <c r="U11" s="50">
        <v>12239.360685</v>
      </c>
      <c r="V11" s="50">
        <v>0.00134</v>
      </c>
      <c r="W11" s="50">
        <v>0.011047</v>
      </c>
      <c r="X11" s="50">
        <v>2.212508</v>
      </c>
      <c r="Y11" s="50">
        <v>0.5178571428571429</v>
      </c>
      <c r="Z11" s="50">
        <v>0</v>
      </c>
      <c r="AA11" s="72">
        <v>181</v>
      </c>
      <c r="AB11" s="72"/>
      <c r="AC11" s="73"/>
      <c r="AD11" s="80" t="s">
        <v>801</v>
      </c>
      <c r="AE11" s="80" t="s">
        <v>1188</v>
      </c>
      <c r="AF11" s="80" t="s">
        <v>1532</v>
      </c>
      <c r="AG11" s="80" t="s">
        <v>1698</v>
      </c>
      <c r="AH11" s="80" t="s">
        <v>2093</v>
      </c>
      <c r="AI11" s="80">
        <v>18486</v>
      </c>
      <c r="AJ11" s="80">
        <v>24</v>
      </c>
      <c r="AK11" s="80">
        <v>268</v>
      </c>
      <c r="AL11" s="80">
        <v>7</v>
      </c>
      <c r="AM11" s="80" t="s">
        <v>2317</v>
      </c>
      <c r="AN11" s="98" t="str">
        <f>HYPERLINK("https://www.youtube.com/watch?v=xS_txj05aTQ")</f>
        <v>https://www.youtube.com/watch?v=xS_txj05aTQ</v>
      </c>
      <c r="AO11" s="80" t="str">
        <f>REPLACE(INDEX(GroupVertices[Group],MATCH(Vertices[[#This Row],[Vertex]],GroupVertices[Vertex],0)),1,1,"")</f>
        <v>1</v>
      </c>
      <c r="AP11" s="49">
        <v>1</v>
      </c>
      <c r="AQ11" s="50">
        <v>9.090909090909092</v>
      </c>
      <c r="AR11" s="49">
        <v>0</v>
      </c>
      <c r="AS11" s="50">
        <v>0</v>
      </c>
      <c r="AT11" s="49">
        <v>0</v>
      </c>
      <c r="AU11" s="50">
        <v>0</v>
      </c>
      <c r="AV11" s="49">
        <v>10</v>
      </c>
      <c r="AW11" s="50">
        <v>90.9090909090909</v>
      </c>
      <c r="AX11" s="49">
        <v>11</v>
      </c>
      <c r="AY11" s="49"/>
      <c r="AZ11" s="49"/>
      <c r="BA11" s="49"/>
      <c r="BB11" s="49"/>
      <c r="BC11" s="2"/>
      <c r="BD11" s="3"/>
      <c r="BE11" s="3"/>
      <c r="BF11" s="3"/>
      <c r="BG11" s="3"/>
    </row>
    <row r="12" spans="1:59" ht="15">
      <c r="A12" s="65" t="s">
        <v>470</v>
      </c>
      <c r="B12" s="66" t="s">
        <v>3536</v>
      </c>
      <c r="C12" s="66"/>
      <c r="D12" s="67">
        <v>662.5</v>
      </c>
      <c r="E12" s="69">
        <v>100</v>
      </c>
      <c r="F12" s="96" t="str">
        <f>HYPERLINK("https://i.ytimg.com/vi/TAO_rztPO80/default.jpg")</f>
        <v>https://i.ytimg.com/vi/TAO_rztPO80/default.jpg</v>
      </c>
      <c r="G12" s="66"/>
      <c r="H12" s="70" t="s">
        <v>879</v>
      </c>
      <c r="I12" s="71"/>
      <c r="J12" s="71" t="s">
        <v>75</v>
      </c>
      <c r="K12" s="70" t="s">
        <v>879</v>
      </c>
      <c r="L12" s="74">
        <v>1.5740586325985015</v>
      </c>
      <c r="M12" s="75">
        <v>5043.1884765625</v>
      </c>
      <c r="N12" s="75">
        <v>7704.5498046875</v>
      </c>
      <c r="O12" s="76"/>
      <c r="P12" s="77"/>
      <c r="Q12" s="77"/>
      <c r="R12" s="82"/>
      <c r="S12" s="49">
        <v>5</v>
      </c>
      <c r="T12" s="49">
        <v>0</v>
      </c>
      <c r="U12" s="50">
        <v>5218.178466</v>
      </c>
      <c r="V12" s="50">
        <v>0.001171</v>
      </c>
      <c r="W12" s="50">
        <v>0.006382</v>
      </c>
      <c r="X12" s="50">
        <v>1.468251</v>
      </c>
      <c r="Y12" s="50">
        <v>0.45</v>
      </c>
      <c r="Z12" s="50">
        <v>0</v>
      </c>
      <c r="AA12" s="72">
        <v>260</v>
      </c>
      <c r="AB12" s="72"/>
      <c r="AC12" s="73"/>
      <c r="AD12" s="80" t="s">
        <v>879</v>
      </c>
      <c r="AE12" s="80" t="s">
        <v>1254</v>
      </c>
      <c r="AF12" s="80" t="s">
        <v>1586</v>
      </c>
      <c r="AG12" s="80" t="s">
        <v>1850</v>
      </c>
      <c r="AH12" s="80" t="s">
        <v>2172</v>
      </c>
      <c r="AI12" s="80">
        <v>13071</v>
      </c>
      <c r="AJ12" s="80">
        <v>2</v>
      </c>
      <c r="AK12" s="80">
        <v>39</v>
      </c>
      <c r="AL12" s="80">
        <v>4</v>
      </c>
      <c r="AM12" s="80" t="s">
        <v>2317</v>
      </c>
      <c r="AN12" s="98" t="str">
        <f>HYPERLINK("https://www.youtube.com/watch?v=TAO_rztPO80")</f>
        <v>https://www.youtube.com/watch?v=TAO_rztPO80</v>
      </c>
      <c r="AO12" s="80" t="str">
        <f>REPLACE(INDEX(GroupVertices[Group],MATCH(Vertices[[#This Row],[Vertex]],GroupVertices[Vertex],0)),1,1,"")</f>
        <v>3</v>
      </c>
      <c r="AP12" s="49">
        <v>0</v>
      </c>
      <c r="AQ12" s="50">
        <v>0</v>
      </c>
      <c r="AR12" s="49">
        <v>1</v>
      </c>
      <c r="AS12" s="50">
        <v>8.333333333333334</v>
      </c>
      <c r="AT12" s="49">
        <v>0</v>
      </c>
      <c r="AU12" s="50">
        <v>0</v>
      </c>
      <c r="AV12" s="49">
        <v>11</v>
      </c>
      <c r="AW12" s="50">
        <v>91.66666666666667</v>
      </c>
      <c r="AX12" s="49">
        <v>12</v>
      </c>
      <c r="AY12" s="49"/>
      <c r="AZ12" s="49"/>
      <c r="BA12" s="49"/>
      <c r="BB12" s="49"/>
      <c r="BC12" s="2"/>
      <c r="BD12" s="3"/>
      <c r="BE12" s="3"/>
      <c r="BF12" s="3"/>
      <c r="BG12" s="3"/>
    </row>
    <row r="13" spans="1:59" ht="15">
      <c r="A13" s="65" t="s">
        <v>388</v>
      </c>
      <c r="B13" s="66" t="s">
        <v>3536</v>
      </c>
      <c r="C13" s="66"/>
      <c r="D13" s="67">
        <v>775</v>
      </c>
      <c r="E13" s="69">
        <v>100</v>
      </c>
      <c r="F13" s="96" t="str">
        <f>HYPERLINK("https://i.ytimg.com/vi/Na5VOjJAjCI/default.jpg")</f>
        <v>https://i.ytimg.com/vi/Na5VOjJAjCI/default.jpg</v>
      </c>
      <c r="G13" s="66"/>
      <c r="H13" s="70" t="s">
        <v>796</v>
      </c>
      <c r="I13" s="71"/>
      <c r="J13" s="71" t="s">
        <v>75</v>
      </c>
      <c r="K13" s="70" t="s">
        <v>796</v>
      </c>
      <c r="L13" s="74">
        <v>1.181580108060062</v>
      </c>
      <c r="M13" s="75">
        <v>731.309814453125</v>
      </c>
      <c r="N13" s="75">
        <v>7385.625</v>
      </c>
      <c r="O13" s="76"/>
      <c r="P13" s="77"/>
      <c r="Q13" s="77"/>
      <c r="R13" s="82"/>
      <c r="S13" s="49">
        <v>6</v>
      </c>
      <c r="T13" s="49">
        <v>0</v>
      </c>
      <c r="U13" s="50">
        <v>4512.730619</v>
      </c>
      <c r="V13" s="50">
        <v>0.00119</v>
      </c>
      <c r="W13" s="50">
        <v>0.007536</v>
      </c>
      <c r="X13" s="50">
        <v>1.704719</v>
      </c>
      <c r="Y13" s="50">
        <v>0.36666666666666664</v>
      </c>
      <c r="Z13" s="50">
        <v>0</v>
      </c>
      <c r="AA13" s="72">
        <v>176</v>
      </c>
      <c r="AB13" s="72"/>
      <c r="AC13" s="73"/>
      <c r="AD13" s="80" t="s">
        <v>796</v>
      </c>
      <c r="AE13" s="80" t="s">
        <v>1183</v>
      </c>
      <c r="AF13" s="80" t="s">
        <v>1528</v>
      </c>
      <c r="AG13" s="80" t="s">
        <v>1694</v>
      </c>
      <c r="AH13" s="80" t="s">
        <v>2088</v>
      </c>
      <c r="AI13" s="80">
        <v>4142</v>
      </c>
      <c r="AJ13" s="80">
        <v>0</v>
      </c>
      <c r="AK13" s="80">
        <v>19</v>
      </c>
      <c r="AL13" s="80">
        <v>1</v>
      </c>
      <c r="AM13" s="80" t="s">
        <v>2317</v>
      </c>
      <c r="AN13" s="98" t="str">
        <f>HYPERLINK("https://www.youtube.com/watch?v=Na5VOjJAjCI")</f>
        <v>https://www.youtube.com/watch?v=Na5VOjJAjCI</v>
      </c>
      <c r="AO13" s="80" t="str">
        <f>REPLACE(INDEX(GroupVertices[Group],MATCH(Vertices[[#This Row],[Vertex]],GroupVertices[Vertex],0)),1,1,"")</f>
        <v>1</v>
      </c>
      <c r="AP13" s="49">
        <v>0</v>
      </c>
      <c r="AQ13" s="50">
        <v>0</v>
      </c>
      <c r="AR13" s="49">
        <v>1</v>
      </c>
      <c r="AS13" s="50">
        <v>2.4390243902439024</v>
      </c>
      <c r="AT13" s="49">
        <v>0</v>
      </c>
      <c r="AU13" s="50">
        <v>0</v>
      </c>
      <c r="AV13" s="49">
        <v>40</v>
      </c>
      <c r="AW13" s="50">
        <v>97.5609756097561</v>
      </c>
      <c r="AX13" s="49">
        <v>41</v>
      </c>
      <c r="AY13" s="49"/>
      <c r="AZ13" s="49"/>
      <c r="BA13" s="49"/>
      <c r="BB13" s="49"/>
      <c r="BC13" s="2"/>
      <c r="BD13" s="3"/>
      <c r="BE13" s="3"/>
      <c r="BF13" s="3"/>
      <c r="BG13" s="3"/>
    </row>
    <row r="14" spans="1:59" ht="15">
      <c r="A14" s="65" t="s">
        <v>373</v>
      </c>
      <c r="B14" s="66" t="s">
        <v>3536</v>
      </c>
      <c r="C14" s="66"/>
      <c r="D14" s="67">
        <v>550</v>
      </c>
      <c r="E14" s="69">
        <v>100</v>
      </c>
      <c r="F14" s="96" t="str">
        <f>HYPERLINK("https://i.ytimg.com/vi/dH9iFU1AGAg/default.jpg")</f>
        <v>https://i.ytimg.com/vi/dH9iFU1AGAg/default.jpg</v>
      </c>
      <c r="G14" s="66"/>
      <c r="H14" s="70" t="s">
        <v>781</v>
      </c>
      <c r="I14" s="71"/>
      <c r="J14" s="71" t="s">
        <v>75</v>
      </c>
      <c r="K14" s="70" t="s">
        <v>781</v>
      </c>
      <c r="L14" s="74">
        <v>1.301446715341541</v>
      </c>
      <c r="M14" s="75">
        <v>2725.791259765625</v>
      </c>
      <c r="N14" s="75">
        <v>7385.625</v>
      </c>
      <c r="O14" s="76"/>
      <c r="P14" s="77"/>
      <c r="Q14" s="77"/>
      <c r="R14" s="82"/>
      <c r="S14" s="49">
        <v>4</v>
      </c>
      <c r="T14" s="49">
        <v>0</v>
      </c>
      <c r="U14" s="50">
        <v>2094.678078</v>
      </c>
      <c r="V14" s="50">
        <v>0.001072</v>
      </c>
      <c r="W14" s="50">
        <v>0.004016</v>
      </c>
      <c r="X14" s="50">
        <v>1.216844</v>
      </c>
      <c r="Y14" s="50">
        <v>0.16666666666666666</v>
      </c>
      <c r="Z14" s="50">
        <v>0</v>
      </c>
      <c r="AA14" s="72">
        <v>160</v>
      </c>
      <c r="AB14" s="72"/>
      <c r="AC14" s="73"/>
      <c r="AD14" s="80" t="s">
        <v>781</v>
      </c>
      <c r="AE14" s="80" t="s">
        <v>1167</v>
      </c>
      <c r="AF14" s="80"/>
      <c r="AG14" s="80" t="s">
        <v>1710</v>
      </c>
      <c r="AH14" s="80" t="s">
        <v>2072</v>
      </c>
      <c r="AI14" s="80">
        <v>6869</v>
      </c>
      <c r="AJ14" s="80">
        <v>5</v>
      </c>
      <c r="AK14" s="80">
        <v>67</v>
      </c>
      <c r="AL14" s="80">
        <v>12</v>
      </c>
      <c r="AM14" s="80" t="s">
        <v>2317</v>
      </c>
      <c r="AN14" s="98" t="str">
        <f>HYPERLINK("https://www.youtube.com/watch?v=dH9iFU1AGAg")</f>
        <v>https://www.youtube.com/watch?v=dH9iFU1AGAg</v>
      </c>
      <c r="AO14" s="80" t="str">
        <f>REPLACE(INDEX(GroupVertices[Group],MATCH(Vertices[[#This Row],[Vertex]],GroupVertices[Vertex],0)),1,1,"")</f>
        <v>1</v>
      </c>
      <c r="AP14" s="49"/>
      <c r="AQ14" s="50"/>
      <c r="AR14" s="49"/>
      <c r="AS14" s="50"/>
      <c r="AT14" s="49"/>
      <c r="AU14" s="50"/>
      <c r="AV14" s="49"/>
      <c r="AW14" s="50"/>
      <c r="AX14" s="49"/>
      <c r="AY14" s="49"/>
      <c r="AZ14" s="49"/>
      <c r="BA14" s="49"/>
      <c r="BB14" s="49"/>
      <c r="BC14" s="2"/>
      <c r="BD14" s="3"/>
      <c r="BE14" s="3"/>
      <c r="BF14" s="3"/>
      <c r="BG14" s="3"/>
    </row>
    <row r="15" spans="1:59" ht="15">
      <c r="A15" s="65" t="s">
        <v>467</v>
      </c>
      <c r="B15" s="66" t="s">
        <v>3536</v>
      </c>
      <c r="C15" s="66"/>
      <c r="D15" s="67">
        <v>437.5</v>
      </c>
      <c r="E15" s="69">
        <v>100</v>
      </c>
      <c r="F15" s="96" t="str">
        <f>HYPERLINK("https://i.ytimg.com/vi/cyWhBob0q0I/default.jpg")</f>
        <v>https://i.ytimg.com/vi/cyWhBob0q0I/default.jpg</v>
      </c>
      <c r="G15" s="66"/>
      <c r="H15" s="70" t="s">
        <v>876</v>
      </c>
      <c r="I15" s="71"/>
      <c r="J15" s="71" t="s">
        <v>75</v>
      </c>
      <c r="K15" s="70" t="s">
        <v>876</v>
      </c>
      <c r="L15" s="74">
        <v>1.4419284450340992</v>
      </c>
      <c r="M15" s="75">
        <v>3599.564208984375</v>
      </c>
      <c r="N15" s="75">
        <v>7704.5498046875</v>
      </c>
      <c r="O15" s="76"/>
      <c r="P15" s="77"/>
      <c r="Q15" s="77"/>
      <c r="R15" s="82"/>
      <c r="S15" s="49">
        <v>3</v>
      </c>
      <c r="T15" s="49">
        <v>0</v>
      </c>
      <c r="U15" s="50">
        <v>1528.383506</v>
      </c>
      <c r="V15" s="50">
        <v>0.001041</v>
      </c>
      <c r="W15" s="50">
        <v>0.00272</v>
      </c>
      <c r="X15" s="50">
        <v>0.965777</v>
      </c>
      <c r="Y15" s="50">
        <v>0</v>
      </c>
      <c r="Z15" s="50">
        <v>0</v>
      </c>
      <c r="AA15" s="72">
        <v>257</v>
      </c>
      <c r="AB15" s="72"/>
      <c r="AC15" s="73"/>
      <c r="AD15" s="80" t="s">
        <v>876</v>
      </c>
      <c r="AE15" s="80" t="s">
        <v>1251</v>
      </c>
      <c r="AF15" s="80" t="s">
        <v>1583</v>
      </c>
      <c r="AG15" s="80" t="s">
        <v>1847</v>
      </c>
      <c r="AH15" s="80" t="s">
        <v>2169</v>
      </c>
      <c r="AI15" s="80">
        <v>10065</v>
      </c>
      <c r="AJ15" s="80">
        <v>6</v>
      </c>
      <c r="AK15" s="80">
        <v>40</v>
      </c>
      <c r="AL15" s="80">
        <v>8</v>
      </c>
      <c r="AM15" s="80" t="s">
        <v>2317</v>
      </c>
      <c r="AN15" s="98" t="str">
        <f>HYPERLINK("https://www.youtube.com/watch?v=cyWhBob0q0I")</f>
        <v>https://www.youtube.com/watch?v=cyWhBob0q0I</v>
      </c>
      <c r="AO15" s="80" t="str">
        <f>REPLACE(INDEX(GroupVertices[Group],MATCH(Vertices[[#This Row],[Vertex]],GroupVertices[Vertex],0)),1,1,"")</f>
        <v>3</v>
      </c>
      <c r="AP15" s="49">
        <v>0</v>
      </c>
      <c r="AQ15" s="50">
        <v>0</v>
      </c>
      <c r="AR15" s="49">
        <v>1</v>
      </c>
      <c r="AS15" s="50">
        <v>5.555555555555555</v>
      </c>
      <c r="AT15" s="49">
        <v>0</v>
      </c>
      <c r="AU15" s="50">
        <v>0</v>
      </c>
      <c r="AV15" s="49">
        <v>17</v>
      </c>
      <c r="AW15" s="50">
        <v>94.44444444444444</v>
      </c>
      <c r="AX15" s="49">
        <v>18</v>
      </c>
      <c r="AY15" s="49"/>
      <c r="AZ15" s="49"/>
      <c r="BA15" s="49"/>
      <c r="BB15" s="49"/>
      <c r="BC15" s="2"/>
      <c r="BD15" s="3"/>
      <c r="BE15" s="3"/>
      <c r="BF15" s="3"/>
      <c r="BG15" s="3"/>
    </row>
    <row r="16" spans="1:59" ht="15">
      <c r="A16" s="65" t="s">
        <v>472</v>
      </c>
      <c r="B16" s="66" t="s">
        <v>3536</v>
      </c>
      <c r="C16" s="66"/>
      <c r="D16" s="67">
        <v>437.5</v>
      </c>
      <c r="E16" s="69">
        <v>100</v>
      </c>
      <c r="F16" s="96" t="str">
        <f>HYPERLINK("https://i.ytimg.com/vi/3HR8nhiLSLU/default.jpg")</f>
        <v>https://i.ytimg.com/vi/3HR8nhiLSLU/default.jpg</v>
      </c>
      <c r="G16" s="66"/>
      <c r="H16" s="70" t="s">
        <v>881</v>
      </c>
      <c r="I16" s="71"/>
      <c r="J16" s="71" t="s">
        <v>75</v>
      </c>
      <c r="K16" s="70" t="s">
        <v>881</v>
      </c>
      <c r="L16" s="74">
        <v>1.2354255770442246</v>
      </c>
      <c r="M16" s="75">
        <v>4682.28271484375</v>
      </c>
      <c r="N16" s="75">
        <v>8301.0810546875</v>
      </c>
      <c r="O16" s="76"/>
      <c r="P16" s="77"/>
      <c r="Q16" s="77"/>
      <c r="R16" s="82"/>
      <c r="S16" s="49">
        <v>3</v>
      </c>
      <c r="T16" s="49">
        <v>0</v>
      </c>
      <c r="U16" s="50">
        <v>1528.383506</v>
      </c>
      <c r="V16" s="50">
        <v>0.001041</v>
      </c>
      <c r="W16" s="50">
        <v>0.00272</v>
      </c>
      <c r="X16" s="50">
        <v>0.965777</v>
      </c>
      <c r="Y16" s="50">
        <v>0</v>
      </c>
      <c r="Z16" s="50">
        <v>0</v>
      </c>
      <c r="AA16" s="72">
        <v>262</v>
      </c>
      <c r="AB16" s="72"/>
      <c r="AC16" s="73"/>
      <c r="AD16" s="80" t="s">
        <v>881</v>
      </c>
      <c r="AE16" s="80" t="s">
        <v>1256</v>
      </c>
      <c r="AF16" s="80" t="s">
        <v>1588</v>
      </c>
      <c r="AG16" s="80" t="s">
        <v>1845</v>
      </c>
      <c r="AH16" s="80" t="s">
        <v>2174</v>
      </c>
      <c r="AI16" s="80">
        <v>5367</v>
      </c>
      <c r="AJ16" s="80">
        <v>3</v>
      </c>
      <c r="AK16" s="80">
        <v>16</v>
      </c>
      <c r="AL16" s="80">
        <v>0</v>
      </c>
      <c r="AM16" s="80" t="s">
        <v>2317</v>
      </c>
      <c r="AN16" s="98" t="str">
        <f>HYPERLINK("https://www.youtube.com/watch?v=3HR8nhiLSLU")</f>
        <v>https://www.youtube.com/watch?v=3HR8nhiLSLU</v>
      </c>
      <c r="AO16" s="80" t="str">
        <f>REPLACE(INDEX(GroupVertices[Group],MATCH(Vertices[[#This Row],[Vertex]],GroupVertices[Vertex],0)),1,1,"")</f>
        <v>3</v>
      </c>
      <c r="AP16" s="49">
        <v>0</v>
      </c>
      <c r="AQ16" s="50">
        <v>0</v>
      </c>
      <c r="AR16" s="49">
        <v>0</v>
      </c>
      <c r="AS16" s="50">
        <v>0</v>
      </c>
      <c r="AT16" s="49">
        <v>0</v>
      </c>
      <c r="AU16" s="50">
        <v>0</v>
      </c>
      <c r="AV16" s="49">
        <v>17</v>
      </c>
      <c r="AW16" s="50">
        <v>100</v>
      </c>
      <c r="AX16" s="49">
        <v>17</v>
      </c>
      <c r="AY16" s="49"/>
      <c r="AZ16" s="49"/>
      <c r="BA16" s="49"/>
      <c r="BB16" s="49"/>
      <c r="BC16" s="2"/>
      <c r="BD16" s="3"/>
      <c r="BE16" s="3"/>
      <c r="BF16" s="3"/>
      <c r="BG16" s="3"/>
    </row>
    <row r="17" spans="1:59" ht="15">
      <c r="A17" s="65" t="s">
        <v>522</v>
      </c>
      <c r="B17" s="66" t="s">
        <v>3536</v>
      </c>
      <c r="C17" s="66"/>
      <c r="D17" s="67">
        <v>325</v>
      </c>
      <c r="E17" s="69">
        <v>100</v>
      </c>
      <c r="F17" s="96" t="str">
        <f>HYPERLINK("https://i.ytimg.com/vi/Qf92l7FPyKo/default.jpg")</f>
        <v>https://i.ytimg.com/vi/Qf92l7FPyKo/default.jpg</v>
      </c>
      <c r="G17" s="66"/>
      <c r="H17" s="70" t="s">
        <v>932</v>
      </c>
      <c r="I17" s="71"/>
      <c r="J17" s="71" t="s">
        <v>75</v>
      </c>
      <c r="K17" s="70" t="s">
        <v>932</v>
      </c>
      <c r="L17" s="74">
        <v>10.82558931377535</v>
      </c>
      <c r="M17" s="75">
        <v>3238.657958984375</v>
      </c>
      <c r="N17" s="75">
        <v>5914.9560546875</v>
      </c>
      <c r="O17" s="76"/>
      <c r="P17" s="77"/>
      <c r="Q17" s="77"/>
      <c r="R17" s="82"/>
      <c r="S17" s="49">
        <v>2</v>
      </c>
      <c r="T17" s="49">
        <v>0</v>
      </c>
      <c r="U17" s="50">
        <v>1092.124909</v>
      </c>
      <c r="V17" s="50">
        <v>0.001017</v>
      </c>
      <c r="W17" s="50">
        <v>0.002027</v>
      </c>
      <c r="X17" s="50">
        <v>0.711437</v>
      </c>
      <c r="Y17" s="50">
        <v>0</v>
      </c>
      <c r="Z17" s="50">
        <v>0</v>
      </c>
      <c r="AA17" s="72">
        <v>313</v>
      </c>
      <c r="AB17" s="72"/>
      <c r="AC17" s="73"/>
      <c r="AD17" s="80" t="s">
        <v>932</v>
      </c>
      <c r="AE17" s="80" t="s">
        <v>1304</v>
      </c>
      <c r="AF17" s="80" t="s">
        <v>1621</v>
      </c>
      <c r="AG17" s="80" t="s">
        <v>1877</v>
      </c>
      <c r="AH17" s="80" t="s">
        <v>2225</v>
      </c>
      <c r="AI17" s="80">
        <v>223546</v>
      </c>
      <c r="AJ17" s="80">
        <v>225</v>
      </c>
      <c r="AK17" s="80">
        <v>3778</v>
      </c>
      <c r="AL17" s="80">
        <v>91</v>
      </c>
      <c r="AM17" s="80" t="s">
        <v>2317</v>
      </c>
      <c r="AN17" s="98" t="str">
        <f>HYPERLINK("https://www.youtube.com/watch?v=Qf92l7FPyKo")</f>
        <v>https://www.youtube.com/watch?v=Qf92l7FPyKo</v>
      </c>
      <c r="AO17" s="80" t="str">
        <f>REPLACE(INDEX(GroupVertices[Group],MATCH(Vertices[[#This Row],[Vertex]],GroupVertices[Vertex],0)),1,1,"")</f>
        <v>3</v>
      </c>
      <c r="AP17" s="49">
        <v>0</v>
      </c>
      <c r="AQ17" s="50">
        <v>0</v>
      </c>
      <c r="AR17" s="49">
        <v>1</v>
      </c>
      <c r="AS17" s="50">
        <v>2.7027027027027026</v>
      </c>
      <c r="AT17" s="49">
        <v>0</v>
      </c>
      <c r="AU17" s="50">
        <v>0</v>
      </c>
      <c r="AV17" s="49">
        <v>36</v>
      </c>
      <c r="AW17" s="50">
        <v>97.29729729729729</v>
      </c>
      <c r="AX17" s="49">
        <v>37</v>
      </c>
      <c r="AY17" s="49"/>
      <c r="AZ17" s="49"/>
      <c r="BA17" s="49"/>
      <c r="BB17" s="49"/>
      <c r="BC17" s="2"/>
      <c r="BD17" s="3"/>
      <c r="BE17" s="3"/>
      <c r="BF17" s="3"/>
      <c r="BG17" s="3"/>
    </row>
    <row r="18" spans="1:59" ht="15">
      <c r="A18" s="65" t="s">
        <v>523</v>
      </c>
      <c r="B18" s="66" t="s">
        <v>3536</v>
      </c>
      <c r="C18" s="66"/>
      <c r="D18" s="67">
        <v>325</v>
      </c>
      <c r="E18" s="69">
        <v>100</v>
      </c>
      <c r="F18" s="96" t="str">
        <f>HYPERLINK("https://i.ytimg.com/vi/jTe8gnsHQ-Q/default.jpg")</f>
        <v>https://i.ytimg.com/vi/jTe8gnsHQ-Q/default.jpg</v>
      </c>
      <c r="G18" s="66"/>
      <c r="H18" s="70" t="s">
        <v>933</v>
      </c>
      <c r="I18" s="71"/>
      <c r="J18" s="71" t="s">
        <v>75</v>
      </c>
      <c r="K18" s="70" t="s">
        <v>933</v>
      </c>
      <c r="L18" s="74">
        <v>1.1503277583068052</v>
      </c>
      <c r="M18" s="75">
        <v>3960.469970703125</v>
      </c>
      <c r="N18" s="75">
        <v>8301.0810546875</v>
      </c>
      <c r="O18" s="76"/>
      <c r="P18" s="77"/>
      <c r="Q18" s="77"/>
      <c r="R18" s="82"/>
      <c r="S18" s="49">
        <v>2</v>
      </c>
      <c r="T18" s="49">
        <v>0</v>
      </c>
      <c r="U18" s="50">
        <v>1092.124909</v>
      </c>
      <c r="V18" s="50">
        <v>0.001017</v>
      </c>
      <c r="W18" s="50">
        <v>0.002027</v>
      </c>
      <c r="X18" s="50">
        <v>0.711437</v>
      </c>
      <c r="Y18" s="50">
        <v>0</v>
      </c>
      <c r="Z18" s="50">
        <v>0</v>
      </c>
      <c r="AA18" s="72">
        <v>314</v>
      </c>
      <c r="AB18" s="72"/>
      <c r="AC18" s="73"/>
      <c r="AD18" s="80" t="s">
        <v>933</v>
      </c>
      <c r="AE18" s="80" t="s">
        <v>1305</v>
      </c>
      <c r="AF18" s="80" t="s">
        <v>1622</v>
      </c>
      <c r="AG18" s="80" t="s">
        <v>1878</v>
      </c>
      <c r="AH18" s="80" t="s">
        <v>2226</v>
      </c>
      <c r="AI18" s="80">
        <v>3431</v>
      </c>
      <c r="AJ18" s="80">
        <v>1</v>
      </c>
      <c r="AK18" s="80">
        <v>12</v>
      </c>
      <c r="AL18" s="80">
        <v>0</v>
      </c>
      <c r="AM18" s="80" t="s">
        <v>2317</v>
      </c>
      <c r="AN18" s="98" t="str">
        <f>HYPERLINK("https://www.youtube.com/watch?v=jTe8gnsHQ-Q")</f>
        <v>https://www.youtube.com/watch?v=jTe8gnsHQ-Q</v>
      </c>
      <c r="AO18" s="80" t="str">
        <f>REPLACE(INDEX(GroupVertices[Group],MATCH(Vertices[[#This Row],[Vertex]],GroupVertices[Vertex],0)),1,1,"")</f>
        <v>3</v>
      </c>
      <c r="AP18" s="49">
        <v>0</v>
      </c>
      <c r="AQ18" s="50">
        <v>0</v>
      </c>
      <c r="AR18" s="49">
        <v>2</v>
      </c>
      <c r="AS18" s="50">
        <v>14.285714285714286</v>
      </c>
      <c r="AT18" s="49">
        <v>0</v>
      </c>
      <c r="AU18" s="50">
        <v>0</v>
      </c>
      <c r="AV18" s="49">
        <v>12</v>
      </c>
      <c r="AW18" s="50">
        <v>85.71428571428571</v>
      </c>
      <c r="AX18" s="49">
        <v>14</v>
      </c>
      <c r="AY18" s="49"/>
      <c r="AZ18" s="49"/>
      <c r="BA18" s="49"/>
      <c r="BB18" s="49"/>
      <c r="BC18" s="2"/>
      <c r="BD18" s="3"/>
      <c r="BE18" s="3"/>
      <c r="BF18" s="3"/>
      <c r="BG18" s="3"/>
    </row>
    <row r="19" spans="1:59" ht="15">
      <c r="A19" s="65" t="s">
        <v>382</v>
      </c>
      <c r="B19" s="66" t="s">
        <v>3536</v>
      </c>
      <c r="C19" s="66"/>
      <c r="D19" s="67">
        <v>437.5</v>
      </c>
      <c r="E19" s="69">
        <v>100</v>
      </c>
      <c r="F19" s="96" t="str">
        <f>HYPERLINK("https://i.ytimg.com/vi/lSClgMg6nrY/default.jpg")</f>
        <v>https://i.ytimg.com/vi/lSClgMg6nrY/default.jpg</v>
      </c>
      <c r="G19" s="66"/>
      <c r="H19" s="70" t="s">
        <v>791</v>
      </c>
      <c r="I19" s="71"/>
      <c r="J19" s="71" t="s">
        <v>75</v>
      </c>
      <c r="K19" s="70" t="s">
        <v>791</v>
      </c>
      <c r="L19" s="74">
        <v>1.2662383719486312</v>
      </c>
      <c r="M19" s="75">
        <v>1529.1024169921875</v>
      </c>
      <c r="N19" s="75">
        <v>7385.625</v>
      </c>
      <c r="O19" s="76"/>
      <c r="P19" s="77"/>
      <c r="Q19" s="77"/>
      <c r="R19" s="82"/>
      <c r="S19" s="49">
        <v>3</v>
      </c>
      <c r="T19" s="49">
        <v>0</v>
      </c>
      <c r="U19" s="50">
        <v>821.629422</v>
      </c>
      <c r="V19" s="50">
        <v>0.001009</v>
      </c>
      <c r="W19" s="50">
        <v>0.002314</v>
      </c>
      <c r="X19" s="50">
        <v>0.965789</v>
      </c>
      <c r="Y19" s="50">
        <v>0</v>
      </c>
      <c r="Z19" s="50">
        <v>0</v>
      </c>
      <c r="AA19" s="72">
        <v>170</v>
      </c>
      <c r="AB19" s="72"/>
      <c r="AC19" s="73"/>
      <c r="AD19" s="80" t="s">
        <v>791</v>
      </c>
      <c r="AE19" s="80" t="s">
        <v>1177</v>
      </c>
      <c r="AF19" s="80"/>
      <c r="AG19" s="80" t="s">
        <v>1789</v>
      </c>
      <c r="AH19" s="80" t="s">
        <v>2082</v>
      </c>
      <c r="AI19" s="80">
        <v>6068</v>
      </c>
      <c r="AJ19" s="80">
        <v>1</v>
      </c>
      <c r="AK19" s="80">
        <v>25</v>
      </c>
      <c r="AL19" s="80">
        <v>2</v>
      </c>
      <c r="AM19" s="80" t="s">
        <v>2317</v>
      </c>
      <c r="AN19" s="98" t="str">
        <f>HYPERLINK("https://www.youtube.com/watch?v=lSClgMg6nrY")</f>
        <v>https://www.youtube.com/watch?v=lSClgMg6nrY</v>
      </c>
      <c r="AO19" s="80" t="str">
        <f>REPLACE(INDEX(GroupVertices[Group],MATCH(Vertices[[#This Row],[Vertex]],GroupVertices[Vertex],0)),1,1,"")</f>
        <v>1</v>
      </c>
      <c r="AP19" s="49"/>
      <c r="AQ19" s="50"/>
      <c r="AR19" s="49"/>
      <c r="AS19" s="50"/>
      <c r="AT19" s="49"/>
      <c r="AU19" s="50"/>
      <c r="AV19" s="49"/>
      <c r="AW19" s="50"/>
      <c r="AX19" s="49"/>
      <c r="AY19" s="49"/>
      <c r="AZ19" s="49"/>
      <c r="BA19" s="49"/>
      <c r="BB19" s="49"/>
      <c r="BC19" s="2"/>
      <c r="BD19" s="3"/>
      <c r="BE19" s="3"/>
      <c r="BF19" s="3"/>
      <c r="BG19" s="3"/>
    </row>
    <row r="20" spans="1:59" ht="15">
      <c r="A20" s="65" t="s">
        <v>386</v>
      </c>
      <c r="B20" s="66" t="s">
        <v>3536</v>
      </c>
      <c r="C20" s="66"/>
      <c r="D20" s="67">
        <v>437.5</v>
      </c>
      <c r="E20" s="69">
        <v>100</v>
      </c>
      <c r="F20" s="96" t="str">
        <f>HYPERLINK("https://i.ytimg.com/vi/-Um-b9tiF_8/default.jpg")</f>
        <v>https://i.ytimg.com/vi/-Um-b9tiF_8/default.jpg</v>
      </c>
      <c r="G20" s="66"/>
      <c r="H20" s="70" t="s">
        <v>794</v>
      </c>
      <c r="I20" s="71"/>
      <c r="J20" s="71" t="s">
        <v>75</v>
      </c>
      <c r="K20" s="70" t="s">
        <v>794</v>
      </c>
      <c r="L20" s="74">
        <v>1.301534626311311</v>
      </c>
      <c r="M20" s="75">
        <v>332.41357421875</v>
      </c>
      <c r="N20" s="75">
        <v>6850.7841796875</v>
      </c>
      <c r="O20" s="76"/>
      <c r="P20" s="77"/>
      <c r="Q20" s="77"/>
      <c r="R20" s="82"/>
      <c r="S20" s="49">
        <v>3</v>
      </c>
      <c r="T20" s="49">
        <v>0</v>
      </c>
      <c r="U20" s="50">
        <v>821.629422</v>
      </c>
      <c r="V20" s="50">
        <v>0.001009</v>
      </c>
      <c r="W20" s="50">
        <v>0.002314</v>
      </c>
      <c r="X20" s="50">
        <v>0.965789</v>
      </c>
      <c r="Y20" s="50">
        <v>0</v>
      </c>
      <c r="Z20" s="50">
        <v>0</v>
      </c>
      <c r="AA20" s="72">
        <v>174</v>
      </c>
      <c r="AB20" s="72"/>
      <c r="AC20" s="73"/>
      <c r="AD20" s="80" t="s">
        <v>794</v>
      </c>
      <c r="AE20" s="80" t="s">
        <v>1181</v>
      </c>
      <c r="AF20" s="80" t="s">
        <v>1526</v>
      </c>
      <c r="AG20" s="80" t="s">
        <v>1793</v>
      </c>
      <c r="AH20" s="80" t="s">
        <v>2086</v>
      </c>
      <c r="AI20" s="80">
        <v>6871</v>
      </c>
      <c r="AJ20" s="80">
        <v>1</v>
      </c>
      <c r="AK20" s="80">
        <v>25</v>
      </c>
      <c r="AL20" s="80">
        <v>1</v>
      </c>
      <c r="AM20" s="80" t="s">
        <v>2317</v>
      </c>
      <c r="AN20" s="98" t="str">
        <f>HYPERLINK("https://www.youtube.com/watch?v=-Um-b9tiF_8")</f>
        <v>https://www.youtube.com/watch?v=-Um-b9tiF_8</v>
      </c>
      <c r="AO20" s="80" t="str">
        <f>REPLACE(INDEX(GroupVertices[Group],MATCH(Vertices[[#This Row],[Vertex]],GroupVertices[Vertex],0)),1,1,"")</f>
        <v>1</v>
      </c>
      <c r="AP20" s="49">
        <v>0</v>
      </c>
      <c r="AQ20" s="50">
        <v>0</v>
      </c>
      <c r="AR20" s="49">
        <v>1</v>
      </c>
      <c r="AS20" s="50">
        <v>3.3333333333333335</v>
      </c>
      <c r="AT20" s="49">
        <v>0</v>
      </c>
      <c r="AU20" s="50">
        <v>0</v>
      </c>
      <c r="AV20" s="49">
        <v>29</v>
      </c>
      <c r="AW20" s="50">
        <v>96.66666666666667</v>
      </c>
      <c r="AX20" s="49">
        <v>30</v>
      </c>
      <c r="AY20" s="49"/>
      <c r="AZ20" s="49"/>
      <c r="BA20" s="49"/>
      <c r="BB20" s="49"/>
      <c r="BC20" s="2"/>
      <c r="BD20" s="3"/>
      <c r="BE20" s="3"/>
      <c r="BF20" s="3"/>
      <c r="BG20" s="3"/>
    </row>
    <row r="21" spans="1:59" ht="15">
      <c r="A21" s="65" t="s">
        <v>389</v>
      </c>
      <c r="B21" s="66" t="s">
        <v>3536</v>
      </c>
      <c r="C21" s="66"/>
      <c r="D21" s="67">
        <v>437.5</v>
      </c>
      <c r="E21" s="69">
        <v>100</v>
      </c>
      <c r="F21" s="96" t="str">
        <f>HYPERLINK("https://i.ytimg.com/vi/PG_9tDm705g/default.jpg")</f>
        <v>https://i.ytimg.com/vi/PG_9tDm705g/default.jpg</v>
      </c>
      <c r="G21" s="66"/>
      <c r="H21" s="70" t="s">
        <v>797</v>
      </c>
      <c r="I21" s="71"/>
      <c r="J21" s="71" t="s">
        <v>75</v>
      </c>
      <c r="K21" s="70" t="s">
        <v>797</v>
      </c>
      <c r="L21" s="74">
        <v>1.3393802987973225</v>
      </c>
      <c r="M21" s="75">
        <v>1529.1024169921875</v>
      </c>
      <c r="N21" s="75">
        <v>6850.7841796875</v>
      </c>
      <c r="O21" s="76"/>
      <c r="P21" s="77"/>
      <c r="Q21" s="77"/>
      <c r="R21" s="82"/>
      <c r="S21" s="49">
        <v>3</v>
      </c>
      <c r="T21" s="49">
        <v>0</v>
      </c>
      <c r="U21" s="50">
        <v>821.629422</v>
      </c>
      <c r="V21" s="50">
        <v>0.001009</v>
      </c>
      <c r="W21" s="50">
        <v>0.002314</v>
      </c>
      <c r="X21" s="50">
        <v>0.965789</v>
      </c>
      <c r="Y21" s="50">
        <v>0</v>
      </c>
      <c r="Z21" s="50">
        <v>0</v>
      </c>
      <c r="AA21" s="72">
        <v>177</v>
      </c>
      <c r="AB21" s="72"/>
      <c r="AC21" s="73"/>
      <c r="AD21" s="80" t="s">
        <v>797</v>
      </c>
      <c r="AE21" s="80" t="s">
        <v>1184</v>
      </c>
      <c r="AF21" s="80" t="s">
        <v>1529</v>
      </c>
      <c r="AG21" s="80" t="s">
        <v>1795</v>
      </c>
      <c r="AH21" s="80" t="s">
        <v>2089</v>
      </c>
      <c r="AI21" s="80">
        <v>7732</v>
      </c>
      <c r="AJ21" s="80">
        <v>2</v>
      </c>
      <c r="AK21" s="80">
        <v>26</v>
      </c>
      <c r="AL21" s="80">
        <v>3</v>
      </c>
      <c r="AM21" s="80" t="s">
        <v>2317</v>
      </c>
      <c r="AN21" s="98" t="str">
        <f>HYPERLINK("https://www.youtube.com/watch?v=PG_9tDm705g")</f>
        <v>https://www.youtube.com/watch?v=PG_9tDm705g</v>
      </c>
      <c r="AO21" s="80" t="str">
        <f>REPLACE(INDEX(GroupVertices[Group],MATCH(Vertices[[#This Row],[Vertex]],GroupVertices[Vertex],0)),1,1,"")</f>
        <v>1</v>
      </c>
      <c r="AP21" s="49">
        <v>0</v>
      </c>
      <c r="AQ21" s="50">
        <v>0</v>
      </c>
      <c r="AR21" s="49">
        <v>1</v>
      </c>
      <c r="AS21" s="50">
        <v>3.125</v>
      </c>
      <c r="AT21" s="49">
        <v>0</v>
      </c>
      <c r="AU21" s="50">
        <v>0</v>
      </c>
      <c r="AV21" s="49">
        <v>31</v>
      </c>
      <c r="AW21" s="50">
        <v>96.875</v>
      </c>
      <c r="AX21" s="49">
        <v>32</v>
      </c>
      <c r="AY21" s="49"/>
      <c r="AZ21" s="49"/>
      <c r="BA21" s="49"/>
      <c r="BB21" s="49"/>
      <c r="BC21" s="2"/>
      <c r="BD21" s="3"/>
      <c r="BE21" s="3"/>
      <c r="BF21" s="3"/>
      <c r="BG21" s="3"/>
    </row>
    <row r="22" spans="1:59" ht="15">
      <c r="A22" s="65" t="s">
        <v>220</v>
      </c>
      <c r="B22" s="66" t="s">
        <v>3543</v>
      </c>
      <c r="C22" s="66"/>
      <c r="D22" s="67">
        <v>100</v>
      </c>
      <c r="E22" s="69">
        <v>50</v>
      </c>
      <c r="F22" s="96" t="str">
        <f>HYPERLINK("https://i.ytimg.com/vi/X2WiIHZZfTU/default.jpg")</f>
        <v>https://i.ytimg.com/vi/X2WiIHZZfTU/default.jpg</v>
      </c>
      <c r="G22" s="66"/>
      <c r="H22" s="70" t="s">
        <v>999</v>
      </c>
      <c r="I22" s="71"/>
      <c r="J22" s="71" t="s">
        <v>159</v>
      </c>
      <c r="K22" s="70" t="s">
        <v>999</v>
      </c>
      <c r="L22" s="74">
        <v>1.0031647949117222</v>
      </c>
      <c r="M22" s="75">
        <v>9402.3173828125</v>
      </c>
      <c r="N22" s="75">
        <v>3728.9658203125</v>
      </c>
      <c r="O22" s="76"/>
      <c r="P22" s="77"/>
      <c r="Q22" s="77"/>
      <c r="R22" s="82"/>
      <c r="S22" s="49">
        <v>0</v>
      </c>
      <c r="T22" s="49">
        <v>22</v>
      </c>
      <c r="U22" s="50">
        <v>462</v>
      </c>
      <c r="V22" s="50">
        <v>0.045455</v>
      </c>
      <c r="W22" s="50">
        <v>0</v>
      </c>
      <c r="X22" s="50">
        <v>10.648632</v>
      </c>
      <c r="Y22" s="50">
        <v>0</v>
      </c>
      <c r="Z22" s="50">
        <v>0</v>
      </c>
      <c r="AA22" s="72">
        <v>381</v>
      </c>
      <c r="AB22" s="72"/>
      <c r="AC22" s="73"/>
      <c r="AD22" s="80" t="s">
        <v>999</v>
      </c>
      <c r="AE22" s="80" t="s">
        <v>1368</v>
      </c>
      <c r="AF22" s="80"/>
      <c r="AG22" s="80" t="s">
        <v>1914</v>
      </c>
      <c r="AH22" s="80" t="s">
        <v>2293</v>
      </c>
      <c r="AI22" s="80">
        <v>83</v>
      </c>
      <c r="AJ22" s="80">
        <v>0</v>
      </c>
      <c r="AK22" s="80">
        <v>1</v>
      </c>
      <c r="AL22" s="80">
        <v>0</v>
      </c>
      <c r="AM22" s="80" t="s">
        <v>2317</v>
      </c>
      <c r="AN22" s="98" t="str">
        <f>HYPERLINK("https://www.youtube.com/watch?v=X2WiIHZZfTU")</f>
        <v>https://www.youtube.com/watch?v=X2WiIHZZfTU</v>
      </c>
      <c r="AO22" s="80" t="str">
        <f>REPLACE(INDEX(GroupVertices[Group],MATCH(Vertices[[#This Row],[Vertex]],GroupVertices[Vertex],0)),1,1,"")</f>
        <v>8</v>
      </c>
      <c r="AP22" s="49"/>
      <c r="AQ22" s="50"/>
      <c r="AR22" s="49"/>
      <c r="AS22" s="50"/>
      <c r="AT22" s="49"/>
      <c r="AU22" s="50"/>
      <c r="AV22" s="49"/>
      <c r="AW22" s="50"/>
      <c r="AX22" s="49"/>
      <c r="AY22" s="111" t="s">
        <v>3530</v>
      </c>
      <c r="AZ22" s="111" t="s">
        <v>3530</v>
      </c>
      <c r="BA22" s="111" t="s">
        <v>3530</v>
      </c>
      <c r="BB22" s="111" t="s">
        <v>3530</v>
      </c>
      <c r="BC22" s="2"/>
      <c r="BD22" s="3"/>
      <c r="BE22" s="3"/>
      <c r="BF22" s="3"/>
      <c r="BG22" s="3"/>
    </row>
    <row r="23" spans="1:59" ht="15">
      <c r="A23" s="65" t="s">
        <v>468</v>
      </c>
      <c r="B23" s="66" t="s">
        <v>3536</v>
      </c>
      <c r="C23" s="66"/>
      <c r="D23" s="67">
        <v>325</v>
      </c>
      <c r="E23" s="69">
        <v>100</v>
      </c>
      <c r="F23" s="96" t="str">
        <f>HYPERLINK("https://i.ytimg.com/vi/Rpj0emEGShQ/default.jpg")</f>
        <v>https://i.ytimg.com/vi/Rpj0emEGShQ/default.jpg</v>
      </c>
      <c r="G23" s="66"/>
      <c r="H23" s="70" t="s">
        <v>877</v>
      </c>
      <c r="I23" s="71"/>
      <c r="J23" s="71" t="s">
        <v>75</v>
      </c>
      <c r="K23" s="70" t="s">
        <v>877</v>
      </c>
      <c r="L23" s="74">
        <v>383.3332030276105</v>
      </c>
      <c r="M23" s="75">
        <v>1927.9986572265625</v>
      </c>
      <c r="N23" s="75">
        <v>5246.26123046875</v>
      </c>
      <c r="O23" s="76"/>
      <c r="P23" s="77"/>
      <c r="Q23" s="77"/>
      <c r="R23" s="82"/>
      <c r="S23" s="49">
        <v>2</v>
      </c>
      <c r="T23" s="49">
        <v>0</v>
      </c>
      <c r="U23" s="50">
        <v>202.455875</v>
      </c>
      <c r="V23" s="50">
        <v>0.000915</v>
      </c>
      <c r="W23" s="50">
        <v>0.001012</v>
      </c>
      <c r="X23" s="50">
        <v>0.722816</v>
      </c>
      <c r="Y23" s="50">
        <v>0</v>
      </c>
      <c r="Z23" s="50">
        <v>0</v>
      </c>
      <c r="AA23" s="72">
        <v>258</v>
      </c>
      <c r="AB23" s="72"/>
      <c r="AC23" s="73"/>
      <c r="AD23" s="80" t="s">
        <v>877</v>
      </c>
      <c r="AE23" s="80" t="s">
        <v>1252</v>
      </c>
      <c r="AF23" s="80" t="s">
        <v>1584</v>
      </c>
      <c r="AG23" s="80" t="s">
        <v>1848</v>
      </c>
      <c r="AH23" s="80" t="s">
        <v>2170</v>
      </c>
      <c r="AI23" s="80">
        <v>8698202</v>
      </c>
      <c r="AJ23" s="80">
        <v>3708</v>
      </c>
      <c r="AK23" s="80">
        <v>40297</v>
      </c>
      <c r="AL23" s="80">
        <v>2377</v>
      </c>
      <c r="AM23" s="80" t="s">
        <v>2317</v>
      </c>
      <c r="AN23" s="98" t="str">
        <f>HYPERLINK("https://www.youtube.com/watch?v=Rpj0emEGShQ")</f>
        <v>https://www.youtube.com/watch?v=Rpj0emEGShQ</v>
      </c>
      <c r="AO23" s="80" t="str">
        <f>REPLACE(INDEX(GroupVertices[Group],MATCH(Vertices[[#This Row],[Vertex]],GroupVertices[Vertex],0)),1,1,"")</f>
        <v>1</v>
      </c>
      <c r="AP23" s="49">
        <v>0</v>
      </c>
      <c r="AQ23" s="50">
        <v>0</v>
      </c>
      <c r="AR23" s="49">
        <v>1</v>
      </c>
      <c r="AS23" s="50">
        <v>9.090909090909092</v>
      </c>
      <c r="AT23" s="49">
        <v>0</v>
      </c>
      <c r="AU23" s="50">
        <v>0</v>
      </c>
      <c r="AV23" s="49">
        <v>10</v>
      </c>
      <c r="AW23" s="50">
        <v>90.9090909090909</v>
      </c>
      <c r="AX23" s="49">
        <v>11</v>
      </c>
      <c r="AY23" s="49"/>
      <c r="AZ23" s="49"/>
      <c r="BA23" s="49"/>
      <c r="BB23" s="49"/>
      <c r="BC23" s="2"/>
      <c r="BD23" s="3"/>
      <c r="BE23" s="3"/>
      <c r="BF23" s="3"/>
      <c r="BG23" s="3"/>
    </row>
    <row r="24" spans="1:59" ht="15">
      <c r="A24" s="65" t="s">
        <v>469</v>
      </c>
      <c r="B24" s="66" t="s">
        <v>3536</v>
      </c>
      <c r="C24" s="66"/>
      <c r="D24" s="67">
        <v>325</v>
      </c>
      <c r="E24" s="69">
        <v>100</v>
      </c>
      <c r="F24" s="96" t="str">
        <f>HYPERLINK("https://i.ytimg.com/vi/ndazkaDbmD0/default.jpg")</f>
        <v>https://i.ytimg.com/vi/ndazkaDbmD0/default.jpg</v>
      </c>
      <c r="G24" s="66"/>
      <c r="H24" s="70" t="s">
        <v>878</v>
      </c>
      <c r="I24" s="71"/>
      <c r="J24" s="71" t="s">
        <v>75</v>
      </c>
      <c r="K24" s="70" t="s">
        <v>878</v>
      </c>
      <c r="L24" s="74">
        <v>10.342035024555127</v>
      </c>
      <c r="M24" s="75">
        <v>731.309814453125</v>
      </c>
      <c r="N24" s="75">
        <v>5246.26123046875</v>
      </c>
      <c r="O24" s="76"/>
      <c r="P24" s="77"/>
      <c r="Q24" s="77"/>
      <c r="R24" s="82"/>
      <c r="S24" s="49">
        <v>2</v>
      </c>
      <c r="T24" s="49">
        <v>0</v>
      </c>
      <c r="U24" s="50">
        <v>202.455875</v>
      </c>
      <c r="V24" s="50">
        <v>0.000915</v>
      </c>
      <c r="W24" s="50">
        <v>0.001012</v>
      </c>
      <c r="X24" s="50">
        <v>0.722816</v>
      </c>
      <c r="Y24" s="50">
        <v>0</v>
      </c>
      <c r="Z24" s="50">
        <v>0</v>
      </c>
      <c r="AA24" s="72">
        <v>259</v>
      </c>
      <c r="AB24" s="72"/>
      <c r="AC24" s="73"/>
      <c r="AD24" s="80" t="s">
        <v>878</v>
      </c>
      <c r="AE24" s="80" t="s">
        <v>1253</v>
      </c>
      <c r="AF24" s="80" t="s">
        <v>1585</v>
      </c>
      <c r="AG24" s="80" t="s">
        <v>1849</v>
      </c>
      <c r="AH24" s="80" t="s">
        <v>2171</v>
      </c>
      <c r="AI24" s="80">
        <v>212545</v>
      </c>
      <c r="AJ24" s="80">
        <v>253</v>
      </c>
      <c r="AK24" s="80">
        <v>3220</v>
      </c>
      <c r="AL24" s="80">
        <v>65</v>
      </c>
      <c r="AM24" s="80" t="s">
        <v>2317</v>
      </c>
      <c r="AN24" s="98" t="str">
        <f>HYPERLINK("https://www.youtube.com/watch?v=ndazkaDbmD0")</f>
        <v>https://www.youtube.com/watch?v=ndazkaDbmD0</v>
      </c>
      <c r="AO24" s="80" t="str">
        <f>REPLACE(INDEX(GroupVertices[Group],MATCH(Vertices[[#This Row],[Vertex]],GroupVertices[Vertex],0)),1,1,"")</f>
        <v>1</v>
      </c>
      <c r="AP24" s="49">
        <v>1</v>
      </c>
      <c r="AQ24" s="50">
        <v>1.6129032258064515</v>
      </c>
      <c r="AR24" s="49">
        <v>16</v>
      </c>
      <c r="AS24" s="50">
        <v>25.806451612903224</v>
      </c>
      <c r="AT24" s="49">
        <v>0</v>
      </c>
      <c r="AU24" s="50">
        <v>0</v>
      </c>
      <c r="AV24" s="49">
        <v>45</v>
      </c>
      <c r="AW24" s="50">
        <v>72.58064516129032</v>
      </c>
      <c r="AX24" s="49">
        <v>62</v>
      </c>
      <c r="AY24" s="49"/>
      <c r="AZ24" s="49"/>
      <c r="BA24" s="49"/>
      <c r="BB24" s="49"/>
      <c r="BC24" s="2"/>
      <c r="BD24" s="3"/>
      <c r="BE24" s="3"/>
      <c r="BF24" s="3"/>
      <c r="BG24" s="3"/>
    </row>
    <row r="25" spans="1:59" ht="15">
      <c r="A25" s="65" t="s">
        <v>471</v>
      </c>
      <c r="B25" s="66" t="s">
        <v>3536</v>
      </c>
      <c r="C25" s="66"/>
      <c r="D25" s="67">
        <v>325</v>
      </c>
      <c r="E25" s="69">
        <v>100</v>
      </c>
      <c r="F25" s="96" t="str">
        <f>HYPERLINK("https://i.ytimg.com/vi/Q9L7ZQPc8EA/default.jpg")</f>
        <v>https://i.ytimg.com/vi/Q9L7ZQPc8EA/default.jpg</v>
      </c>
      <c r="G25" s="66"/>
      <c r="H25" s="70" t="s">
        <v>880</v>
      </c>
      <c r="I25" s="71"/>
      <c r="J25" s="71" t="s">
        <v>75</v>
      </c>
      <c r="K25" s="70" t="s">
        <v>880</v>
      </c>
      <c r="L25" s="74">
        <v>107.26137373340948</v>
      </c>
      <c r="M25" s="75">
        <v>1529.1024169921875</v>
      </c>
      <c r="N25" s="75">
        <v>5246.26123046875</v>
      </c>
      <c r="O25" s="76"/>
      <c r="P25" s="77"/>
      <c r="Q25" s="77"/>
      <c r="R25" s="82"/>
      <c r="S25" s="49">
        <v>2</v>
      </c>
      <c r="T25" s="49">
        <v>0</v>
      </c>
      <c r="U25" s="50">
        <v>202.455875</v>
      </c>
      <c r="V25" s="50">
        <v>0.000915</v>
      </c>
      <c r="W25" s="50">
        <v>0.001012</v>
      </c>
      <c r="X25" s="50">
        <v>0.722816</v>
      </c>
      <c r="Y25" s="50">
        <v>0</v>
      </c>
      <c r="Z25" s="50">
        <v>0</v>
      </c>
      <c r="AA25" s="72">
        <v>261</v>
      </c>
      <c r="AB25" s="72"/>
      <c r="AC25" s="73"/>
      <c r="AD25" s="80" t="s">
        <v>880</v>
      </c>
      <c r="AE25" s="80" t="s">
        <v>1255</v>
      </c>
      <c r="AF25" s="80" t="s">
        <v>1587</v>
      </c>
      <c r="AG25" s="80" t="s">
        <v>1844</v>
      </c>
      <c r="AH25" s="80" t="s">
        <v>2173</v>
      </c>
      <c r="AI25" s="80">
        <v>2417488</v>
      </c>
      <c r="AJ25" s="80">
        <v>961</v>
      </c>
      <c r="AK25" s="80">
        <v>20650</v>
      </c>
      <c r="AL25" s="80">
        <v>729</v>
      </c>
      <c r="AM25" s="80" t="s">
        <v>2317</v>
      </c>
      <c r="AN25" s="98" t="str">
        <f>HYPERLINK("https://www.youtube.com/watch?v=Q9L7ZQPc8EA")</f>
        <v>https://www.youtube.com/watch?v=Q9L7ZQPc8EA</v>
      </c>
      <c r="AO25" s="80" t="str">
        <f>REPLACE(INDEX(GroupVertices[Group],MATCH(Vertices[[#This Row],[Vertex]],GroupVertices[Vertex],0)),1,1,"")</f>
        <v>1</v>
      </c>
      <c r="AP25" s="49">
        <v>0</v>
      </c>
      <c r="AQ25" s="50">
        <v>0</v>
      </c>
      <c r="AR25" s="49">
        <v>2</v>
      </c>
      <c r="AS25" s="50">
        <v>3.389830508474576</v>
      </c>
      <c r="AT25" s="49">
        <v>0</v>
      </c>
      <c r="AU25" s="50">
        <v>0</v>
      </c>
      <c r="AV25" s="49">
        <v>57</v>
      </c>
      <c r="AW25" s="50">
        <v>96.61016949152543</v>
      </c>
      <c r="AX25" s="49">
        <v>59</v>
      </c>
      <c r="AY25" s="49"/>
      <c r="AZ25" s="49"/>
      <c r="BA25" s="49"/>
      <c r="BB25" s="49"/>
      <c r="BC25" s="2"/>
      <c r="BD25" s="3"/>
      <c r="BE25" s="3"/>
      <c r="BF25" s="3"/>
      <c r="BG25" s="3"/>
    </row>
    <row r="26" spans="1:59" ht="15">
      <c r="A26" s="65" t="s">
        <v>371</v>
      </c>
      <c r="B26" s="66" t="s">
        <v>3536</v>
      </c>
      <c r="C26" s="66"/>
      <c r="D26" s="67">
        <v>437.5</v>
      </c>
      <c r="E26" s="69">
        <v>100</v>
      </c>
      <c r="F26" s="96" t="str">
        <f>HYPERLINK("https://i.ytimg.com/vi/QHNOqA4N3TA/default.jpg")</f>
        <v>https://i.ytimg.com/vi/QHNOqA4N3TA/default.jpg</v>
      </c>
      <c r="G26" s="66"/>
      <c r="H26" s="70" t="s">
        <v>779</v>
      </c>
      <c r="I26" s="71"/>
      <c r="J26" s="71" t="s">
        <v>75</v>
      </c>
      <c r="K26" s="70" t="s">
        <v>779</v>
      </c>
      <c r="L26" s="74">
        <v>1.179909799634431</v>
      </c>
      <c r="M26" s="75">
        <v>332.41357421875</v>
      </c>
      <c r="N26" s="75">
        <v>7385.625</v>
      </c>
      <c r="O26" s="76"/>
      <c r="P26" s="77"/>
      <c r="Q26" s="77"/>
      <c r="R26" s="82"/>
      <c r="S26" s="49">
        <v>3</v>
      </c>
      <c r="T26" s="49">
        <v>0</v>
      </c>
      <c r="U26" s="50">
        <v>189.109741</v>
      </c>
      <c r="V26" s="50">
        <v>0.000965</v>
      </c>
      <c r="W26" s="50">
        <v>0.003807</v>
      </c>
      <c r="X26" s="50">
        <v>0.892227</v>
      </c>
      <c r="Y26" s="50">
        <v>0.16666666666666666</v>
      </c>
      <c r="Z26" s="50">
        <v>0</v>
      </c>
      <c r="AA26" s="72">
        <v>158</v>
      </c>
      <c r="AB26" s="72"/>
      <c r="AC26" s="73"/>
      <c r="AD26" s="80" t="s">
        <v>779</v>
      </c>
      <c r="AE26" s="80" t="s">
        <v>1165</v>
      </c>
      <c r="AF26" s="80" t="s">
        <v>1514</v>
      </c>
      <c r="AG26" s="80" t="s">
        <v>1782</v>
      </c>
      <c r="AH26" s="80" t="s">
        <v>2070</v>
      </c>
      <c r="AI26" s="80">
        <v>4104</v>
      </c>
      <c r="AJ26" s="80">
        <v>0</v>
      </c>
      <c r="AK26" s="80">
        <v>20</v>
      </c>
      <c r="AL26" s="80">
        <v>7</v>
      </c>
      <c r="AM26" s="80" t="s">
        <v>2317</v>
      </c>
      <c r="AN26" s="98" t="str">
        <f>HYPERLINK("https://www.youtube.com/watch?v=QHNOqA4N3TA")</f>
        <v>https://www.youtube.com/watch?v=QHNOqA4N3TA</v>
      </c>
      <c r="AO26" s="80" t="str">
        <f>REPLACE(INDEX(GroupVertices[Group],MATCH(Vertices[[#This Row],[Vertex]],GroupVertices[Vertex],0)),1,1,"")</f>
        <v>1</v>
      </c>
      <c r="AP26" s="49">
        <v>2</v>
      </c>
      <c r="AQ26" s="50">
        <v>9.523809523809524</v>
      </c>
      <c r="AR26" s="49">
        <v>0</v>
      </c>
      <c r="AS26" s="50">
        <v>0</v>
      </c>
      <c r="AT26" s="49">
        <v>0</v>
      </c>
      <c r="AU26" s="50">
        <v>0</v>
      </c>
      <c r="AV26" s="49">
        <v>19</v>
      </c>
      <c r="AW26" s="50">
        <v>90.47619047619048</v>
      </c>
      <c r="AX26" s="49">
        <v>21</v>
      </c>
      <c r="AY26" s="49"/>
      <c r="AZ26" s="49"/>
      <c r="BA26" s="49"/>
      <c r="BB26" s="49"/>
      <c r="BC26" s="2"/>
      <c r="BD26" s="3"/>
      <c r="BE26" s="3"/>
      <c r="BF26" s="3"/>
      <c r="BG26" s="3"/>
    </row>
    <row r="27" spans="1:59" ht="15">
      <c r="A27" s="65" t="s">
        <v>383</v>
      </c>
      <c r="B27" s="66" t="s">
        <v>3536</v>
      </c>
      <c r="C27" s="66"/>
      <c r="D27" s="67">
        <v>662.5</v>
      </c>
      <c r="E27" s="69">
        <v>100</v>
      </c>
      <c r="F27" s="96" t="str">
        <f>HYPERLINK("https://i.ytimg.com/vi/wjrTq0dEvGI/default.jpg")</f>
        <v>https://i.ytimg.com/vi/wjrTq0dEvGI/default.jpg</v>
      </c>
      <c r="G27" s="66"/>
      <c r="H27" s="70" t="s">
        <v>792</v>
      </c>
      <c r="I27" s="71"/>
      <c r="J27" s="71" t="s">
        <v>75</v>
      </c>
      <c r="K27" s="70" t="s">
        <v>792</v>
      </c>
      <c r="L27" s="74">
        <v>1.3024576914938966</v>
      </c>
      <c r="M27" s="75">
        <v>731.309814453125</v>
      </c>
      <c r="N27" s="75">
        <v>6850.7841796875</v>
      </c>
      <c r="O27" s="76"/>
      <c r="P27" s="77"/>
      <c r="Q27" s="77"/>
      <c r="R27" s="82"/>
      <c r="S27" s="49">
        <v>5</v>
      </c>
      <c r="T27" s="49">
        <v>0</v>
      </c>
      <c r="U27" s="50">
        <v>189.109741</v>
      </c>
      <c r="V27" s="50">
        <v>0.001071</v>
      </c>
      <c r="W27" s="50">
        <v>0.007165</v>
      </c>
      <c r="X27" s="50">
        <v>1.401605</v>
      </c>
      <c r="Y27" s="50">
        <v>0.55</v>
      </c>
      <c r="Z27" s="50">
        <v>0</v>
      </c>
      <c r="AA27" s="72">
        <v>171</v>
      </c>
      <c r="AB27" s="72"/>
      <c r="AC27" s="73"/>
      <c r="AD27" s="80" t="s">
        <v>792</v>
      </c>
      <c r="AE27" s="80" t="s">
        <v>1178</v>
      </c>
      <c r="AF27" s="80" t="s">
        <v>1524</v>
      </c>
      <c r="AG27" s="80" t="s">
        <v>1790</v>
      </c>
      <c r="AH27" s="80" t="s">
        <v>2083</v>
      </c>
      <c r="AI27" s="80">
        <v>6892</v>
      </c>
      <c r="AJ27" s="80">
        <v>0</v>
      </c>
      <c r="AK27" s="80">
        <v>23</v>
      </c>
      <c r="AL27" s="80">
        <v>2</v>
      </c>
      <c r="AM27" s="80" t="s">
        <v>2317</v>
      </c>
      <c r="AN27" s="98" t="str">
        <f>HYPERLINK("https://www.youtube.com/watch?v=wjrTq0dEvGI")</f>
        <v>https://www.youtube.com/watch?v=wjrTq0dEvGI</v>
      </c>
      <c r="AO27" s="80" t="str">
        <f>REPLACE(INDEX(GroupVertices[Group],MATCH(Vertices[[#This Row],[Vertex]],GroupVertices[Vertex],0)),1,1,"")</f>
        <v>1</v>
      </c>
      <c r="AP27" s="49">
        <v>1</v>
      </c>
      <c r="AQ27" s="50">
        <v>4.166666666666667</v>
      </c>
      <c r="AR27" s="49">
        <v>4</v>
      </c>
      <c r="AS27" s="50">
        <v>16.666666666666668</v>
      </c>
      <c r="AT27" s="49">
        <v>0</v>
      </c>
      <c r="AU27" s="50">
        <v>0</v>
      </c>
      <c r="AV27" s="49">
        <v>19</v>
      </c>
      <c r="AW27" s="50">
        <v>79.16666666666667</v>
      </c>
      <c r="AX27" s="49">
        <v>24</v>
      </c>
      <c r="AY27" s="49"/>
      <c r="AZ27" s="49"/>
      <c r="BA27" s="49"/>
      <c r="BB27" s="49"/>
      <c r="BC27" s="2"/>
      <c r="BD27" s="3"/>
      <c r="BE27" s="3"/>
      <c r="BF27" s="3"/>
      <c r="BG27" s="3"/>
    </row>
    <row r="28" spans="1:59" ht="15">
      <c r="A28" s="65" t="s">
        <v>387</v>
      </c>
      <c r="B28" s="66" t="s">
        <v>3536</v>
      </c>
      <c r="C28" s="66"/>
      <c r="D28" s="67">
        <v>887.5</v>
      </c>
      <c r="E28" s="69">
        <v>100</v>
      </c>
      <c r="F28" s="96" t="str">
        <f>HYPERLINK("https://i.ytimg.com/vi/Uuk8iIhq-Do/default.jpg")</f>
        <v>https://i.ytimg.com/vi/Uuk8iIhq-Do/default.jpg</v>
      </c>
      <c r="G28" s="66"/>
      <c r="H28" s="70" t="s">
        <v>795</v>
      </c>
      <c r="I28" s="71"/>
      <c r="J28" s="71" t="s">
        <v>75</v>
      </c>
      <c r="K28" s="70" t="s">
        <v>795</v>
      </c>
      <c r="L28" s="74">
        <v>1.4209616787439394</v>
      </c>
      <c r="M28" s="75">
        <v>2326.89501953125</v>
      </c>
      <c r="N28" s="75">
        <v>6850.7841796875</v>
      </c>
      <c r="O28" s="76"/>
      <c r="P28" s="77"/>
      <c r="Q28" s="77"/>
      <c r="R28" s="82"/>
      <c r="S28" s="49">
        <v>7</v>
      </c>
      <c r="T28" s="49">
        <v>0</v>
      </c>
      <c r="U28" s="50">
        <v>189.109741</v>
      </c>
      <c r="V28" s="50">
        <v>0.001182</v>
      </c>
      <c r="W28" s="50">
        <v>0.010833</v>
      </c>
      <c r="X28" s="50">
        <v>1.895985</v>
      </c>
      <c r="Y28" s="50">
        <v>0.6904761904761905</v>
      </c>
      <c r="Z28" s="50">
        <v>0</v>
      </c>
      <c r="AA28" s="72">
        <v>175</v>
      </c>
      <c r="AB28" s="72"/>
      <c r="AC28" s="73"/>
      <c r="AD28" s="80" t="s">
        <v>795</v>
      </c>
      <c r="AE28" s="80" t="s">
        <v>1182</v>
      </c>
      <c r="AF28" s="80" t="s">
        <v>1527</v>
      </c>
      <c r="AG28" s="80" t="s">
        <v>1794</v>
      </c>
      <c r="AH28" s="80" t="s">
        <v>2087</v>
      </c>
      <c r="AI28" s="80">
        <v>9588</v>
      </c>
      <c r="AJ28" s="80">
        <v>1</v>
      </c>
      <c r="AK28" s="80">
        <v>92</v>
      </c>
      <c r="AL28" s="80">
        <v>4</v>
      </c>
      <c r="AM28" s="80" t="s">
        <v>2317</v>
      </c>
      <c r="AN28" s="98" t="str">
        <f>HYPERLINK("https://www.youtube.com/watch?v=Uuk8iIhq-Do")</f>
        <v>https://www.youtube.com/watch?v=Uuk8iIhq-Do</v>
      </c>
      <c r="AO28" s="80" t="str">
        <f>REPLACE(INDEX(GroupVertices[Group],MATCH(Vertices[[#This Row],[Vertex]],GroupVertices[Vertex],0)),1,1,"")</f>
        <v>1</v>
      </c>
      <c r="AP28" s="49">
        <v>3</v>
      </c>
      <c r="AQ28" s="50">
        <v>5.660377358490566</v>
      </c>
      <c r="AR28" s="49">
        <v>4</v>
      </c>
      <c r="AS28" s="50">
        <v>7.547169811320755</v>
      </c>
      <c r="AT28" s="49">
        <v>0</v>
      </c>
      <c r="AU28" s="50">
        <v>0</v>
      </c>
      <c r="AV28" s="49">
        <v>46</v>
      </c>
      <c r="AW28" s="50">
        <v>86.79245283018868</v>
      </c>
      <c r="AX28" s="49">
        <v>53</v>
      </c>
      <c r="AY28" s="49"/>
      <c r="AZ28" s="49"/>
      <c r="BA28" s="49"/>
      <c r="BB28" s="49"/>
      <c r="BC28" s="2"/>
      <c r="BD28" s="3"/>
      <c r="BE28" s="3"/>
      <c r="BF28" s="3"/>
      <c r="BG28" s="3"/>
    </row>
    <row r="29" spans="1:59" ht="15">
      <c r="A29" s="65" t="s">
        <v>453</v>
      </c>
      <c r="B29" s="66" t="s">
        <v>3536</v>
      </c>
      <c r="C29" s="66"/>
      <c r="D29" s="67">
        <v>325</v>
      </c>
      <c r="E29" s="69">
        <v>100</v>
      </c>
      <c r="F29" s="96" t="str">
        <f>HYPERLINK("https://i.ytimg.com/vi/Am3OdwWVL6k/default.jpg")</f>
        <v>https://i.ytimg.com/vi/Am3OdwWVL6k/default.jpg</v>
      </c>
      <c r="G29" s="66"/>
      <c r="H29" s="70" t="s">
        <v>862</v>
      </c>
      <c r="I29" s="71"/>
      <c r="J29" s="71" t="s">
        <v>75</v>
      </c>
      <c r="K29" s="70" t="s">
        <v>862</v>
      </c>
      <c r="L29" s="74">
        <v>1.3592481779653562</v>
      </c>
      <c r="M29" s="75">
        <v>1927.9986572265625</v>
      </c>
      <c r="N29" s="75">
        <v>6850.7841796875</v>
      </c>
      <c r="O29" s="76"/>
      <c r="P29" s="77"/>
      <c r="Q29" s="77"/>
      <c r="R29" s="82"/>
      <c r="S29" s="49">
        <v>2</v>
      </c>
      <c r="T29" s="49">
        <v>0</v>
      </c>
      <c r="U29" s="50">
        <v>124.80924</v>
      </c>
      <c r="V29" s="50">
        <v>0.000941</v>
      </c>
      <c r="W29" s="50">
        <v>0.002505</v>
      </c>
      <c r="X29" s="50">
        <v>0.649254</v>
      </c>
      <c r="Y29" s="50">
        <v>0</v>
      </c>
      <c r="Z29" s="50">
        <v>0</v>
      </c>
      <c r="AA29" s="72">
        <v>243</v>
      </c>
      <c r="AB29" s="72"/>
      <c r="AC29" s="73"/>
      <c r="AD29" s="80" t="s">
        <v>862</v>
      </c>
      <c r="AE29" s="80"/>
      <c r="AF29" s="80"/>
      <c r="AG29" s="80" t="s">
        <v>1842</v>
      </c>
      <c r="AH29" s="80" t="s">
        <v>2155</v>
      </c>
      <c r="AI29" s="80">
        <v>8184</v>
      </c>
      <c r="AJ29" s="80">
        <v>2</v>
      </c>
      <c r="AK29" s="80">
        <v>22</v>
      </c>
      <c r="AL29" s="80">
        <v>2</v>
      </c>
      <c r="AM29" s="80" t="s">
        <v>2317</v>
      </c>
      <c r="AN29" s="98" t="str">
        <f>HYPERLINK("https://www.youtube.com/watch?v=Am3OdwWVL6k")</f>
        <v>https://www.youtube.com/watch?v=Am3OdwWVL6k</v>
      </c>
      <c r="AO29" s="80" t="str">
        <f>REPLACE(INDEX(GroupVertices[Group],MATCH(Vertices[[#This Row],[Vertex]],GroupVertices[Vertex],0)),1,1,"")</f>
        <v>1</v>
      </c>
      <c r="AP29" s="49"/>
      <c r="AQ29" s="50"/>
      <c r="AR29" s="49"/>
      <c r="AS29" s="50"/>
      <c r="AT29" s="49"/>
      <c r="AU29" s="50"/>
      <c r="AV29" s="49"/>
      <c r="AW29" s="50"/>
      <c r="AX29" s="49"/>
      <c r="AY29" s="49"/>
      <c r="AZ29" s="49"/>
      <c r="BA29" s="49"/>
      <c r="BB29" s="49"/>
      <c r="BC29" s="2"/>
      <c r="BD29" s="3"/>
      <c r="BE29" s="3"/>
      <c r="BF29" s="3"/>
      <c r="BG29" s="3"/>
    </row>
    <row r="30" spans="1:59" ht="15">
      <c r="A30" s="65" t="s">
        <v>377</v>
      </c>
      <c r="B30" s="66" t="s">
        <v>3536</v>
      </c>
      <c r="C30" s="66"/>
      <c r="D30" s="67">
        <v>775</v>
      </c>
      <c r="E30" s="69">
        <v>100</v>
      </c>
      <c r="F30" s="96" t="str">
        <f>HYPERLINK("https://i.ytimg.com/vi/vpEAos0blyw/default.jpg")</f>
        <v>https://i.ytimg.com/vi/vpEAos0blyw/default.jpg</v>
      </c>
      <c r="G30" s="66"/>
      <c r="H30" s="70" t="s">
        <v>785</v>
      </c>
      <c r="I30" s="71"/>
      <c r="J30" s="71" t="s">
        <v>75</v>
      </c>
      <c r="K30" s="70" t="s">
        <v>785</v>
      </c>
      <c r="L30" s="74">
        <v>4.230772094534645</v>
      </c>
      <c r="M30" s="75">
        <v>1529.1024169921875</v>
      </c>
      <c r="N30" s="75">
        <v>5781.1015625</v>
      </c>
      <c r="O30" s="76"/>
      <c r="P30" s="77"/>
      <c r="Q30" s="77"/>
      <c r="R30" s="82"/>
      <c r="S30" s="49">
        <v>6</v>
      </c>
      <c r="T30" s="49">
        <v>0</v>
      </c>
      <c r="U30" s="50">
        <v>64.300501</v>
      </c>
      <c r="V30" s="50">
        <v>0.001136</v>
      </c>
      <c r="W30" s="50">
        <v>0.009124</v>
      </c>
      <c r="X30" s="50">
        <v>1.653024</v>
      </c>
      <c r="Y30" s="50">
        <v>0.6666666666666666</v>
      </c>
      <c r="Z30" s="50">
        <v>0</v>
      </c>
      <c r="AA30" s="72">
        <v>164</v>
      </c>
      <c r="AB30" s="72"/>
      <c r="AC30" s="73"/>
      <c r="AD30" s="80" t="s">
        <v>785</v>
      </c>
      <c r="AE30" s="80" t="s">
        <v>1171</v>
      </c>
      <c r="AF30" s="80" t="s">
        <v>1518</v>
      </c>
      <c r="AG30" s="80" t="s">
        <v>1727</v>
      </c>
      <c r="AH30" s="80" t="s">
        <v>2076</v>
      </c>
      <c r="AI30" s="80">
        <v>73512</v>
      </c>
      <c r="AJ30" s="80">
        <v>74</v>
      </c>
      <c r="AK30" s="80">
        <v>347</v>
      </c>
      <c r="AL30" s="80">
        <v>39</v>
      </c>
      <c r="AM30" s="80" t="s">
        <v>2317</v>
      </c>
      <c r="AN30" s="98" t="str">
        <f>HYPERLINK("https://www.youtube.com/watch?v=vpEAos0blyw")</f>
        <v>https://www.youtube.com/watch?v=vpEAos0blyw</v>
      </c>
      <c r="AO30" s="80" t="str">
        <f>REPLACE(INDEX(GroupVertices[Group],MATCH(Vertices[[#This Row],[Vertex]],GroupVertices[Vertex],0)),1,1,"")</f>
        <v>1</v>
      </c>
      <c r="AP30" s="49">
        <v>0</v>
      </c>
      <c r="AQ30" s="50">
        <v>0</v>
      </c>
      <c r="AR30" s="49">
        <v>5</v>
      </c>
      <c r="AS30" s="50">
        <v>20.833333333333332</v>
      </c>
      <c r="AT30" s="49">
        <v>0</v>
      </c>
      <c r="AU30" s="50">
        <v>0</v>
      </c>
      <c r="AV30" s="49">
        <v>19</v>
      </c>
      <c r="AW30" s="50">
        <v>79.16666666666667</v>
      </c>
      <c r="AX30" s="49">
        <v>24</v>
      </c>
      <c r="AY30" s="49"/>
      <c r="AZ30" s="49"/>
      <c r="BA30" s="49"/>
      <c r="BB30" s="49"/>
      <c r="BC30" s="2"/>
      <c r="BD30" s="3"/>
      <c r="BE30" s="3"/>
      <c r="BF30" s="3"/>
      <c r="BG30" s="3"/>
    </row>
    <row r="31" spans="1:59" ht="15">
      <c r="A31" s="65" t="s">
        <v>390</v>
      </c>
      <c r="B31" s="66" t="s">
        <v>3536</v>
      </c>
      <c r="C31" s="66"/>
      <c r="D31" s="67">
        <v>325</v>
      </c>
      <c r="E31" s="69">
        <v>100</v>
      </c>
      <c r="F31" s="96" t="str">
        <f>HYPERLINK("https://i.ytimg.com/vi/uGZbbC0Smi4/default.jpg")</f>
        <v>https://i.ytimg.com/vi/uGZbbC0Smi4/default.jpg</v>
      </c>
      <c r="G31" s="66"/>
      <c r="H31" s="70" t="s">
        <v>798</v>
      </c>
      <c r="I31" s="71"/>
      <c r="J31" s="71" t="s">
        <v>75</v>
      </c>
      <c r="K31" s="70" t="s">
        <v>798</v>
      </c>
      <c r="L31" s="74">
        <v>2.183281653105028</v>
      </c>
      <c r="M31" s="75">
        <v>1927.9986572265625</v>
      </c>
      <c r="N31" s="75">
        <v>6315.943359375</v>
      </c>
      <c r="O31" s="76"/>
      <c r="P31" s="77"/>
      <c r="Q31" s="77"/>
      <c r="R31" s="82"/>
      <c r="S31" s="49">
        <v>2</v>
      </c>
      <c r="T31" s="49">
        <v>0</v>
      </c>
      <c r="U31" s="50">
        <v>64.300501</v>
      </c>
      <c r="V31" s="50">
        <v>0.000915</v>
      </c>
      <c r="W31" s="50">
        <v>0.002099</v>
      </c>
      <c r="X31" s="50">
        <v>0.649266</v>
      </c>
      <c r="Y31" s="50">
        <v>0</v>
      </c>
      <c r="Z31" s="50">
        <v>0</v>
      </c>
      <c r="AA31" s="72">
        <v>178</v>
      </c>
      <c r="AB31" s="72"/>
      <c r="AC31" s="73"/>
      <c r="AD31" s="80" t="s">
        <v>798</v>
      </c>
      <c r="AE31" s="80" t="s">
        <v>1185</v>
      </c>
      <c r="AF31" s="80"/>
      <c r="AG31" s="80" t="s">
        <v>1694</v>
      </c>
      <c r="AH31" s="80" t="s">
        <v>2090</v>
      </c>
      <c r="AI31" s="80">
        <v>26931</v>
      </c>
      <c r="AJ31" s="80">
        <v>0</v>
      </c>
      <c r="AK31" s="80">
        <v>0</v>
      </c>
      <c r="AL31" s="80">
        <v>0</v>
      </c>
      <c r="AM31" s="80" t="s">
        <v>2317</v>
      </c>
      <c r="AN31" s="98" t="str">
        <f>HYPERLINK("https://www.youtube.com/watch?v=uGZbbC0Smi4")</f>
        <v>https://www.youtube.com/watch?v=uGZbbC0Smi4</v>
      </c>
      <c r="AO31" s="80" t="str">
        <f>REPLACE(INDEX(GroupVertices[Group],MATCH(Vertices[[#This Row],[Vertex]],GroupVertices[Vertex],0)),1,1,"")</f>
        <v>1</v>
      </c>
      <c r="AP31" s="49"/>
      <c r="AQ31" s="50"/>
      <c r="AR31" s="49"/>
      <c r="AS31" s="50"/>
      <c r="AT31" s="49"/>
      <c r="AU31" s="50"/>
      <c r="AV31" s="49"/>
      <c r="AW31" s="50"/>
      <c r="AX31" s="49"/>
      <c r="AY31" s="49"/>
      <c r="AZ31" s="49"/>
      <c r="BA31" s="49"/>
      <c r="BB31" s="49"/>
      <c r="BC31" s="2"/>
      <c r="BD31" s="3"/>
      <c r="BE31" s="3"/>
      <c r="BF31" s="3"/>
      <c r="BG31" s="3"/>
    </row>
    <row r="32" spans="1:59" ht="15">
      <c r="A32" s="65" t="s">
        <v>391</v>
      </c>
      <c r="B32" s="66" t="s">
        <v>3536</v>
      </c>
      <c r="C32" s="66"/>
      <c r="D32" s="67">
        <v>325</v>
      </c>
      <c r="E32" s="69">
        <v>100</v>
      </c>
      <c r="F32" s="96" t="str">
        <f>HYPERLINK("https://i.ytimg.com/vi/vawW1_p2p64/default.jpg")</f>
        <v>https://i.ytimg.com/vi/vawW1_p2p64/default.jpg</v>
      </c>
      <c r="G32" s="66"/>
      <c r="H32" s="70" t="s">
        <v>799</v>
      </c>
      <c r="I32" s="71"/>
      <c r="J32" s="71" t="s">
        <v>75</v>
      </c>
      <c r="K32" s="70" t="s">
        <v>799</v>
      </c>
      <c r="L32" s="74">
        <v>1.1798218886646608</v>
      </c>
      <c r="M32" s="75">
        <v>2725.791259765625</v>
      </c>
      <c r="N32" s="75">
        <v>7920.4658203125</v>
      </c>
      <c r="O32" s="76"/>
      <c r="P32" s="77"/>
      <c r="Q32" s="77"/>
      <c r="R32" s="82"/>
      <c r="S32" s="49">
        <v>2</v>
      </c>
      <c r="T32" s="49">
        <v>0</v>
      </c>
      <c r="U32" s="50">
        <v>64.300501</v>
      </c>
      <c r="V32" s="50">
        <v>0.000915</v>
      </c>
      <c r="W32" s="50">
        <v>0.002099</v>
      </c>
      <c r="X32" s="50">
        <v>0.649266</v>
      </c>
      <c r="Y32" s="50">
        <v>0</v>
      </c>
      <c r="Z32" s="50">
        <v>0</v>
      </c>
      <c r="AA32" s="72">
        <v>179</v>
      </c>
      <c r="AB32" s="72"/>
      <c r="AC32" s="73"/>
      <c r="AD32" s="80" t="s">
        <v>799</v>
      </c>
      <c r="AE32" s="80" t="s">
        <v>1186</v>
      </c>
      <c r="AF32" s="80" t="s">
        <v>1530</v>
      </c>
      <c r="AG32" s="80" t="s">
        <v>1725</v>
      </c>
      <c r="AH32" s="80" t="s">
        <v>2091</v>
      </c>
      <c r="AI32" s="80">
        <v>4102</v>
      </c>
      <c r="AJ32" s="80">
        <v>0</v>
      </c>
      <c r="AK32" s="80">
        <v>23</v>
      </c>
      <c r="AL32" s="80">
        <v>1</v>
      </c>
      <c r="AM32" s="80" t="s">
        <v>2317</v>
      </c>
      <c r="AN32" s="98" t="str">
        <f>HYPERLINK("https://www.youtube.com/watch?v=vawW1_p2p64")</f>
        <v>https://www.youtube.com/watch?v=vawW1_p2p64</v>
      </c>
      <c r="AO32" s="80" t="str">
        <f>REPLACE(INDEX(GroupVertices[Group],MATCH(Vertices[[#This Row],[Vertex]],GroupVertices[Vertex],0)),1,1,"")</f>
        <v>1</v>
      </c>
      <c r="AP32" s="49">
        <v>0</v>
      </c>
      <c r="AQ32" s="50">
        <v>0</v>
      </c>
      <c r="AR32" s="49">
        <v>1</v>
      </c>
      <c r="AS32" s="50">
        <v>4.761904761904762</v>
      </c>
      <c r="AT32" s="49">
        <v>0</v>
      </c>
      <c r="AU32" s="50">
        <v>0</v>
      </c>
      <c r="AV32" s="49">
        <v>20</v>
      </c>
      <c r="AW32" s="50">
        <v>95.23809523809524</v>
      </c>
      <c r="AX32" s="49">
        <v>21</v>
      </c>
      <c r="AY32" s="49"/>
      <c r="AZ32" s="49"/>
      <c r="BA32" s="49"/>
      <c r="BB32" s="49"/>
      <c r="BC32" s="2"/>
      <c r="BD32" s="3"/>
      <c r="BE32" s="3"/>
      <c r="BF32" s="3"/>
      <c r="BG32" s="3"/>
    </row>
    <row r="33" spans="1:59" ht="15">
      <c r="A33" s="65" t="s">
        <v>392</v>
      </c>
      <c r="B33" s="66" t="s">
        <v>3536</v>
      </c>
      <c r="C33" s="66"/>
      <c r="D33" s="67">
        <v>437.5</v>
      </c>
      <c r="E33" s="69">
        <v>100</v>
      </c>
      <c r="F33" s="96" t="str">
        <f>HYPERLINK("https://i.ytimg.com/vi/vktuZrWS5IQ/default.jpg")</f>
        <v>https://i.ytimg.com/vi/vktuZrWS5IQ/default.jpg</v>
      </c>
      <c r="G33" s="66"/>
      <c r="H33" s="70" t="s">
        <v>800</v>
      </c>
      <c r="I33" s="71"/>
      <c r="J33" s="71" t="s">
        <v>75</v>
      </c>
      <c r="K33" s="70" t="s">
        <v>800</v>
      </c>
      <c r="L33" s="74">
        <v>1.2726119172569608</v>
      </c>
      <c r="M33" s="75">
        <v>1927.9986572265625</v>
      </c>
      <c r="N33" s="75">
        <v>7385.625</v>
      </c>
      <c r="O33" s="76"/>
      <c r="P33" s="77"/>
      <c r="Q33" s="77"/>
      <c r="R33" s="82"/>
      <c r="S33" s="49">
        <v>3</v>
      </c>
      <c r="T33" s="49">
        <v>0</v>
      </c>
      <c r="U33" s="50">
        <v>64.300501</v>
      </c>
      <c r="V33" s="50">
        <v>0.000966</v>
      </c>
      <c r="W33" s="50">
        <v>0.003801</v>
      </c>
      <c r="X33" s="50">
        <v>0.900321</v>
      </c>
      <c r="Y33" s="50">
        <v>0.3333333333333333</v>
      </c>
      <c r="Z33" s="50">
        <v>0</v>
      </c>
      <c r="AA33" s="72">
        <v>180</v>
      </c>
      <c r="AB33" s="72"/>
      <c r="AC33" s="73"/>
      <c r="AD33" s="80" t="s">
        <v>800</v>
      </c>
      <c r="AE33" s="80" t="s">
        <v>1187</v>
      </c>
      <c r="AF33" s="80" t="s">
        <v>1531</v>
      </c>
      <c r="AG33" s="80" t="s">
        <v>1694</v>
      </c>
      <c r="AH33" s="80" t="s">
        <v>2092</v>
      </c>
      <c r="AI33" s="80">
        <v>6213</v>
      </c>
      <c r="AJ33" s="80">
        <v>9</v>
      </c>
      <c r="AK33" s="80">
        <v>63</v>
      </c>
      <c r="AL33" s="80">
        <v>16</v>
      </c>
      <c r="AM33" s="80" t="s">
        <v>2317</v>
      </c>
      <c r="AN33" s="98" t="str">
        <f>HYPERLINK("https://www.youtube.com/watch?v=vktuZrWS5IQ")</f>
        <v>https://www.youtube.com/watch?v=vktuZrWS5IQ</v>
      </c>
      <c r="AO33" s="80" t="str">
        <f>REPLACE(INDEX(GroupVertices[Group],MATCH(Vertices[[#This Row],[Vertex]],GroupVertices[Vertex],0)),1,1,"")</f>
        <v>1</v>
      </c>
      <c r="AP33" s="49">
        <v>1</v>
      </c>
      <c r="AQ33" s="50">
        <v>2.9411764705882355</v>
      </c>
      <c r="AR33" s="49">
        <v>3</v>
      </c>
      <c r="AS33" s="50">
        <v>8.823529411764707</v>
      </c>
      <c r="AT33" s="49">
        <v>0</v>
      </c>
      <c r="AU33" s="50">
        <v>0</v>
      </c>
      <c r="AV33" s="49">
        <v>30</v>
      </c>
      <c r="AW33" s="50">
        <v>88.23529411764706</v>
      </c>
      <c r="AX33" s="49">
        <v>34</v>
      </c>
      <c r="AY33" s="49"/>
      <c r="AZ33" s="49"/>
      <c r="BA33" s="49"/>
      <c r="BB33" s="49"/>
      <c r="BC33" s="2"/>
      <c r="BD33" s="3"/>
      <c r="BE33" s="3"/>
      <c r="BF33" s="3"/>
      <c r="BG33" s="3"/>
    </row>
    <row r="34" spans="1:59" ht="15">
      <c r="A34" s="65" t="s">
        <v>612</v>
      </c>
      <c r="B34" s="66" t="s">
        <v>3536</v>
      </c>
      <c r="C34" s="66"/>
      <c r="D34" s="67">
        <v>212.5</v>
      </c>
      <c r="E34" s="69">
        <v>50</v>
      </c>
      <c r="F34" s="96" t="str">
        <f>HYPERLINK("https://i.ytimg.com/vi/EFxXcteDwLQ/default.jpg")</f>
        <v>https://i.ytimg.com/vi/EFxXcteDwLQ/default.jpg</v>
      </c>
      <c r="G34" s="66"/>
      <c r="H34" s="70" t="s">
        <v>625</v>
      </c>
      <c r="I34" s="71"/>
      <c r="J34" s="71" t="s">
        <v>159</v>
      </c>
      <c r="K34" s="70" t="s">
        <v>625</v>
      </c>
      <c r="L34" s="74">
        <v>1.0077801208246504</v>
      </c>
      <c r="M34" s="75">
        <v>6313.0087890625</v>
      </c>
      <c r="N34" s="75">
        <v>3225.769287109375</v>
      </c>
      <c r="O34" s="76"/>
      <c r="P34" s="77"/>
      <c r="Q34" s="77"/>
      <c r="R34" s="82"/>
      <c r="S34" s="49">
        <v>1</v>
      </c>
      <c r="T34" s="49">
        <v>0</v>
      </c>
      <c r="U34" s="50">
        <v>0</v>
      </c>
      <c r="V34" s="50">
        <v>0.000895</v>
      </c>
      <c r="W34" s="50">
        <v>0.001708</v>
      </c>
      <c r="X34" s="50">
        <v>0.392961</v>
      </c>
      <c r="Y34" s="50">
        <v>0</v>
      </c>
      <c r="Z34" s="50">
        <v>0</v>
      </c>
      <c r="AA34" s="72">
        <v>4</v>
      </c>
      <c r="AB34" s="72"/>
      <c r="AC34" s="73"/>
      <c r="AD34" s="80" t="s">
        <v>625</v>
      </c>
      <c r="AE34" s="80" t="s">
        <v>1023</v>
      </c>
      <c r="AF34" s="80" t="s">
        <v>1391</v>
      </c>
      <c r="AG34" s="80" t="s">
        <v>1675</v>
      </c>
      <c r="AH34" s="80" t="s">
        <v>1916</v>
      </c>
      <c r="AI34" s="80">
        <v>188</v>
      </c>
      <c r="AJ34" s="80">
        <v>3</v>
      </c>
      <c r="AK34" s="80">
        <v>13</v>
      </c>
      <c r="AL34" s="80">
        <v>1</v>
      </c>
      <c r="AM34" s="80" t="s">
        <v>2317</v>
      </c>
      <c r="AN34" s="98" t="str">
        <f>HYPERLINK("https://www.youtube.com/watch?v=EFxXcteDwLQ")</f>
        <v>https://www.youtube.com/watch?v=EFxXcteDwLQ</v>
      </c>
      <c r="AO34" s="80" t="str">
        <f>REPLACE(INDEX(GroupVertices[Group],MATCH(Vertices[[#This Row],[Vertex]],GroupVertices[Vertex],0)),1,1,"")</f>
        <v>7</v>
      </c>
      <c r="AP34" s="49">
        <v>0</v>
      </c>
      <c r="AQ34" s="50">
        <v>0</v>
      </c>
      <c r="AR34" s="49">
        <v>1</v>
      </c>
      <c r="AS34" s="50">
        <v>1.8518518518518519</v>
      </c>
      <c r="AT34" s="49">
        <v>0</v>
      </c>
      <c r="AU34" s="50">
        <v>0</v>
      </c>
      <c r="AV34" s="49">
        <v>53</v>
      </c>
      <c r="AW34" s="50">
        <v>98.14814814814815</v>
      </c>
      <c r="AX34" s="49">
        <v>54</v>
      </c>
      <c r="AY34" s="49"/>
      <c r="AZ34" s="49"/>
      <c r="BA34" s="49"/>
      <c r="BB34" s="49"/>
      <c r="BC34" s="2"/>
      <c r="BD34" s="3"/>
      <c r="BE34" s="3"/>
      <c r="BF34" s="3"/>
      <c r="BG34" s="3"/>
    </row>
    <row r="35" spans="1:59" ht="15">
      <c r="A35" s="65" t="s">
        <v>221</v>
      </c>
      <c r="B35" s="66" t="s">
        <v>3536</v>
      </c>
      <c r="C35" s="66"/>
      <c r="D35" s="67">
        <v>212.5</v>
      </c>
      <c r="E35" s="69">
        <v>50</v>
      </c>
      <c r="F35" s="96" t="str">
        <f>HYPERLINK("https://i.ytimg.com/vi/VCC4kUaRZpw/default.jpg")</f>
        <v>https://i.ytimg.com/vi/VCC4kUaRZpw/default.jpg</v>
      </c>
      <c r="G35" s="66"/>
      <c r="H35" s="70" t="s">
        <v>626</v>
      </c>
      <c r="I35" s="71"/>
      <c r="J35" s="71" t="s">
        <v>159</v>
      </c>
      <c r="K35" s="70" t="s">
        <v>626</v>
      </c>
      <c r="L35" s="74">
        <v>1.0532300921957722</v>
      </c>
      <c r="M35" s="75">
        <v>6313.0087890625</v>
      </c>
      <c r="N35" s="75">
        <v>2676.828369140625</v>
      </c>
      <c r="O35" s="76"/>
      <c r="P35" s="77"/>
      <c r="Q35" s="77"/>
      <c r="R35" s="82"/>
      <c r="S35" s="49">
        <v>1</v>
      </c>
      <c r="T35" s="49">
        <v>0</v>
      </c>
      <c r="U35" s="50">
        <v>0</v>
      </c>
      <c r="V35" s="50">
        <v>0.000895</v>
      </c>
      <c r="W35" s="50">
        <v>0.001708</v>
      </c>
      <c r="X35" s="50">
        <v>0.392961</v>
      </c>
      <c r="Y35" s="50">
        <v>0</v>
      </c>
      <c r="Z35" s="50">
        <v>0</v>
      </c>
      <c r="AA35" s="72">
        <v>5</v>
      </c>
      <c r="AB35" s="72"/>
      <c r="AC35" s="73"/>
      <c r="AD35" s="80" t="s">
        <v>626</v>
      </c>
      <c r="AE35" s="80" t="s">
        <v>1024</v>
      </c>
      <c r="AF35" s="80" t="s">
        <v>1392</v>
      </c>
      <c r="AG35" s="80" t="s">
        <v>1676</v>
      </c>
      <c r="AH35" s="80" t="s">
        <v>1917</v>
      </c>
      <c r="AI35" s="80">
        <v>1222</v>
      </c>
      <c r="AJ35" s="80">
        <v>0</v>
      </c>
      <c r="AK35" s="80">
        <v>16</v>
      </c>
      <c r="AL35" s="80">
        <v>2</v>
      </c>
      <c r="AM35" s="80" t="s">
        <v>2317</v>
      </c>
      <c r="AN35" s="98" t="str">
        <f>HYPERLINK("https://www.youtube.com/watch?v=VCC4kUaRZpw")</f>
        <v>https://www.youtube.com/watch?v=VCC4kUaRZpw</v>
      </c>
      <c r="AO35" s="80" t="str">
        <f>REPLACE(INDEX(GroupVertices[Group],MATCH(Vertices[[#This Row],[Vertex]],GroupVertices[Vertex],0)),1,1,"")</f>
        <v>7</v>
      </c>
      <c r="AP35" s="49">
        <v>0</v>
      </c>
      <c r="AQ35" s="50">
        <v>0</v>
      </c>
      <c r="AR35" s="49">
        <v>1</v>
      </c>
      <c r="AS35" s="50">
        <v>1.2195121951219512</v>
      </c>
      <c r="AT35" s="49">
        <v>0</v>
      </c>
      <c r="AU35" s="50">
        <v>0</v>
      </c>
      <c r="AV35" s="49">
        <v>81</v>
      </c>
      <c r="AW35" s="50">
        <v>98.78048780487805</v>
      </c>
      <c r="AX35" s="49">
        <v>82</v>
      </c>
      <c r="AY35" s="49"/>
      <c r="AZ35" s="49"/>
      <c r="BA35" s="49"/>
      <c r="BB35" s="49"/>
      <c r="BC35" s="2"/>
      <c r="BD35" s="3"/>
      <c r="BE35" s="3"/>
      <c r="BF35" s="3"/>
      <c r="BG35" s="3"/>
    </row>
    <row r="36" spans="1:59" ht="15">
      <c r="A36" s="65" t="s">
        <v>222</v>
      </c>
      <c r="B36" s="66" t="s">
        <v>3536</v>
      </c>
      <c r="C36" s="66"/>
      <c r="D36" s="67">
        <v>212.5</v>
      </c>
      <c r="E36" s="69">
        <v>50</v>
      </c>
      <c r="F36" s="96" t="str">
        <f>HYPERLINK("https://i.ytimg.com/vi/08BO3wjtIJc/default.jpg")</f>
        <v>https://i.ytimg.com/vi/08BO3wjtIJc/default.jpg</v>
      </c>
      <c r="G36" s="66"/>
      <c r="H36" s="70" t="s">
        <v>627</v>
      </c>
      <c r="I36" s="71"/>
      <c r="J36" s="71" t="s">
        <v>159</v>
      </c>
      <c r="K36" s="70" t="s">
        <v>627</v>
      </c>
      <c r="L36" s="74">
        <v>1.8435936659135104</v>
      </c>
      <c r="M36" s="75">
        <v>7107.001953125</v>
      </c>
      <c r="N36" s="75">
        <v>1578.9444580078125</v>
      </c>
      <c r="O36" s="76"/>
      <c r="P36" s="77"/>
      <c r="Q36" s="77"/>
      <c r="R36" s="82"/>
      <c r="S36" s="49">
        <v>1</v>
      </c>
      <c r="T36" s="49">
        <v>0</v>
      </c>
      <c r="U36" s="50">
        <v>0</v>
      </c>
      <c r="V36" s="50">
        <v>0.000895</v>
      </c>
      <c r="W36" s="50">
        <v>0.001708</v>
      </c>
      <c r="X36" s="50">
        <v>0.392961</v>
      </c>
      <c r="Y36" s="50">
        <v>0</v>
      </c>
      <c r="Z36" s="50">
        <v>0</v>
      </c>
      <c r="AA36" s="72">
        <v>6</v>
      </c>
      <c r="AB36" s="72"/>
      <c r="AC36" s="73"/>
      <c r="AD36" s="80" t="s">
        <v>627</v>
      </c>
      <c r="AE36" s="80" t="s">
        <v>1025</v>
      </c>
      <c r="AF36" s="80" t="s">
        <v>1393</v>
      </c>
      <c r="AG36" s="80" t="s">
        <v>1677</v>
      </c>
      <c r="AH36" s="80" t="s">
        <v>1918</v>
      </c>
      <c r="AI36" s="80">
        <v>19203</v>
      </c>
      <c r="AJ36" s="80">
        <v>2</v>
      </c>
      <c r="AK36" s="80">
        <v>153</v>
      </c>
      <c r="AL36" s="80">
        <v>15</v>
      </c>
      <c r="AM36" s="80" t="s">
        <v>2317</v>
      </c>
      <c r="AN36" s="98" t="str">
        <f>HYPERLINK("https://www.youtube.com/watch?v=08BO3wjtIJc")</f>
        <v>https://www.youtube.com/watch?v=08BO3wjtIJc</v>
      </c>
      <c r="AO36" s="80" t="str">
        <f>REPLACE(INDEX(GroupVertices[Group],MATCH(Vertices[[#This Row],[Vertex]],GroupVertices[Vertex],0)),1,1,"")</f>
        <v>7</v>
      </c>
      <c r="AP36" s="49">
        <v>0</v>
      </c>
      <c r="AQ36" s="50">
        <v>0</v>
      </c>
      <c r="AR36" s="49">
        <v>2</v>
      </c>
      <c r="AS36" s="50">
        <v>2.898550724637681</v>
      </c>
      <c r="AT36" s="49">
        <v>0</v>
      </c>
      <c r="AU36" s="50">
        <v>0</v>
      </c>
      <c r="AV36" s="49">
        <v>67</v>
      </c>
      <c r="AW36" s="50">
        <v>97.10144927536231</v>
      </c>
      <c r="AX36" s="49">
        <v>69</v>
      </c>
      <c r="AY36" s="49"/>
      <c r="AZ36" s="49"/>
      <c r="BA36" s="49"/>
      <c r="BB36" s="49"/>
      <c r="BC36" s="2"/>
      <c r="BD36" s="3"/>
      <c r="BE36" s="3"/>
      <c r="BF36" s="3"/>
      <c r="BG36" s="3"/>
    </row>
    <row r="37" spans="1:59" ht="15">
      <c r="A37" s="65" t="s">
        <v>223</v>
      </c>
      <c r="B37" s="66" t="s">
        <v>3536</v>
      </c>
      <c r="C37" s="66"/>
      <c r="D37" s="67">
        <v>212.5</v>
      </c>
      <c r="E37" s="69">
        <v>50</v>
      </c>
      <c r="F37" s="96" t="str">
        <f>HYPERLINK("https://i.ytimg.com/vi/PUwmA3Q0_OE/default.jpg")</f>
        <v>https://i.ytimg.com/vi/PUwmA3Q0_OE/default.jpg</v>
      </c>
      <c r="G37" s="66"/>
      <c r="H37" s="70" t="s">
        <v>628</v>
      </c>
      <c r="I37" s="71"/>
      <c r="J37" s="71" t="s">
        <v>159</v>
      </c>
      <c r="K37" s="70" t="s">
        <v>628</v>
      </c>
      <c r="L37" s="74">
        <v>705.2344713939459</v>
      </c>
      <c r="M37" s="75">
        <v>8297.9921875</v>
      </c>
      <c r="N37" s="75">
        <v>481.0614929199219</v>
      </c>
      <c r="O37" s="76"/>
      <c r="P37" s="77"/>
      <c r="Q37" s="77"/>
      <c r="R37" s="82"/>
      <c r="S37" s="49">
        <v>1</v>
      </c>
      <c r="T37" s="49">
        <v>0</v>
      </c>
      <c r="U37" s="50">
        <v>0</v>
      </c>
      <c r="V37" s="50">
        <v>0.000895</v>
      </c>
      <c r="W37" s="50">
        <v>0.001708</v>
      </c>
      <c r="X37" s="50">
        <v>0.392961</v>
      </c>
      <c r="Y37" s="50">
        <v>0</v>
      </c>
      <c r="Z37" s="50">
        <v>0</v>
      </c>
      <c r="AA37" s="72">
        <v>7</v>
      </c>
      <c r="AB37" s="72"/>
      <c r="AC37" s="73"/>
      <c r="AD37" s="80" t="s">
        <v>628</v>
      </c>
      <c r="AE37" s="80" t="s">
        <v>1026</v>
      </c>
      <c r="AF37" s="80" t="s">
        <v>1394</v>
      </c>
      <c r="AG37" s="80" t="s">
        <v>1678</v>
      </c>
      <c r="AH37" s="80" t="s">
        <v>1919</v>
      </c>
      <c r="AI37" s="80">
        <v>16021549</v>
      </c>
      <c r="AJ37" s="80">
        <v>25874</v>
      </c>
      <c r="AK37" s="80">
        <v>240256</v>
      </c>
      <c r="AL37" s="80">
        <v>13971</v>
      </c>
      <c r="AM37" s="80" t="s">
        <v>2317</v>
      </c>
      <c r="AN37" s="98" t="str">
        <f>HYPERLINK("https://www.youtube.com/watch?v=PUwmA3Q0_OE")</f>
        <v>https://www.youtube.com/watch?v=PUwmA3Q0_OE</v>
      </c>
      <c r="AO37" s="80" t="str">
        <f>REPLACE(INDEX(GroupVertices[Group],MATCH(Vertices[[#This Row],[Vertex]],GroupVertices[Vertex],0)),1,1,"")</f>
        <v>7</v>
      </c>
      <c r="AP37" s="49">
        <v>0</v>
      </c>
      <c r="AQ37" s="50">
        <v>0</v>
      </c>
      <c r="AR37" s="49">
        <v>0</v>
      </c>
      <c r="AS37" s="50">
        <v>0</v>
      </c>
      <c r="AT37" s="49">
        <v>0</v>
      </c>
      <c r="AU37" s="50">
        <v>0</v>
      </c>
      <c r="AV37" s="49">
        <v>35</v>
      </c>
      <c r="AW37" s="50">
        <v>100</v>
      </c>
      <c r="AX37" s="49">
        <v>35</v>
      </c>
      <c r="AY37" s="49"/>
      <c r="AZ37" s="49"/>
      <c r="BA37" s="49"/>
      <c r="BB37" s="49"/>
      <c r="BC37" s="2"/>
      <c r="BD37" s="3"/>
      <c r="BE37" s="3"/>
      <c r="BF37" s="3"/>
      <c r="BG37" s="3"/>
    </row>
    <row r="38" spans="1:59" ht="15">
      <c r="A38" s="65" t="s">
        <v>224</v>
      </c>
      <c r="B38" s="66" t="s">
        <v>3536</v>
      </c>
      <c r="C38" s="66"/>
      <c r="D38" s="67">
        <v>212.5</v>
      </c>
      <c r="E38" s="69">
        <v>50</v>
      </c>
      <c r="F38" s="96" t="str">
        <f>HYPERLINK("https://i.ytimg.com/vi/rUfIZuPB04w/default.jpg")</f>
        <v>https://i.ytimg.com/vi/rUfIZuPB04w/default.jpg</v>
      </c>
      <c r="G38" s="66"/>
      <c r="H38" s="70" t="s">
        <v>629</v>
      </c>
      <c r="I38" s="71"/>
      <c r="J38" s="71" t="s">
        <v>159</v>
      </c>
      <c r="K38" s="70" t="s">
        <v>629</v>
      </c>
      <c r="L38" s="74">
        <v>1.0176701049237824</v>
      </c>
      <c r="M38" s="75">
        <v>7503.99853515625</v>
      </c>
      <c r="N38" s="75">
        <v>3225.769287109375</v>
      </c>
      <c r="O38" s="76"/>
      <c r="P38" s="77"/>
      <c r="Q38" s="77"/>
      <c r="R38" s="82"/>
      <c r="S38" s="49">
        <v>1</v>
      </c>
      <c r="T38" s="49">
        <v>0</v>
      </c>
      <c r="U38" s="50">
        <v>0</v>
      </c>
      <c r="V38" s="50">
        <v>0.000895</v>
      </c>
      <c r="W38" s="50">
        <v>0.001708</v>
      </c>
      <c r="X38" s="50">
        <v>0.392961</v>
      </c>
      <c r="Y38" s="50">
        <v>0</v>
      </c>
      <c r="Z38" s="50">
        <v>0</v>
      </c>
      <c r="AA38" s="72">
        <v>8</v>
      </c>
      <c r="AB38" s="72"/>
      <c r="AC38" s="73"/>
      <c r="AD38" s="80" t="s">
        <v>629</v>
      </c>
      <c r="AE38" s="80" t="s">
        <v>1027</v>
      </c>
      <c r="AF38" s="80" t="s">
        <v>1395</v>
      </c>
      <c r="AG38" s="80" t="s">
        <v>1679</v>
      </c>
      <c r="AH38" s="80" t="s">
        <v>1920</v>
      </c>
      <c r="AI38" s="80">
        <v>413</v>
      </c>
      <c r="AJ38" s="80">
        <v>0</v>
      </c>
      <c r="AK38" s="80">
        <v>24</v>
      </c>
      <c r="AL38" s="80">
        <v>0</v>
      </c>
      <c r="AM38" s="80" t="s">
        <v>2317</v>
      </c>
      <c r="AN38" s="98" t="str">
        <f>HYPERLINK("https://www.youtube.com/watch?v=rUfIZuPB04w")</f>
        <v>https://www.youtube.com/watch?v=rUfIZuPB04w</v>
      </c>
      <c r="AO38" s="80" t="str">
        <f>REPLACE(INDEX(GroupVertices[Group],MATCH(Vertices[[#This Row],[Vertex]],GroupVertices[Vertex],0)),1,1,"")</f>
        <v>7</v>
      </c>
      <c r="AP38" s="49">
        <v>0</v>
      </c>
      <c r="AQ38" s="50">
        <v>0</v>
      </c>
      <c r="AR38" s="49">
        <v>0</v>
      </c>
      <c r="AS38" s="50">
        <v>0</v>
      </c>
      <c r="AT38" s="49">
        <v>0</v>
      </c>
      <c r="AU38" s="50">
        <v>0</v>
      </c>
      <c r="AV38" s="49">
        <v>88</v>
      </c>
      <c r="AW38" s="50">
        <v>100</v>
      </c>
      <c r="AX38" s="49">
        <v>88</v>
      </c>
      <c r="AY38" s="49"/>
      <c r="AZ38" s="49"/>
      <c r="BA38" s="49"/>
      <c r="BB38" s="49"/>
      <c r="BC38" s="2"/>
      <c r="BD38" s="3"/>
      <c r="BE38" s="3"/>
      <c r="BF38" s="3"/>
      <c r="BG38" s="3"/>
    </row>
    <row r="39" spans="1:59" ht="15">
      <c r="A39" s="65" t="s">
        <v>225</v>
      </c>
      <c r="B39" s="66" t="s">
        <v>3536</v>
      </c>
      <c r="C39" s="66"/>
      <c r="D39" s="67">
        <v>212.5</v>
      </c>
      <c r="E39" s="69">
        <v>50</v>
      </c>
      <c r="F39" s="96" t="str">
        <f>HYPERLINK("https://i.ytimg.com/vi/OvyQAmqV7Zk/default.jpg")</f>
        <v>https://i.ytimg.com/vi/OvyQAmqV7Zk/default.jpg</v>
      </c>
      <c r="G39" s="66"/>
      <c r="H39" s="70" t="s">
        <v>630</v>
      </c>
      <c r="I39" s="71"/>
      <c r="J39" s="71" t="s">
        <v>159</v>
      </c>
      <c r="K39" s="70" t="s">
        <v>630</v>
      </c>
      <c r="L39" s="74">
        <v>2.135326219095459</v>
      </c>
      <c r="M39" s="75">
        <v>8297.9921875</v>
      </c>
      <c r="N39" s="75">
        <v>1578.9444580078125</v>
      </c>
      <c r="O39" s="76"/>
      <c r="P39" s="77"/>
      <c r="Q39" s="77"/>
      <c r="R39" s="82"/>
      <c r="S39" s="49">
        <v>1</v>
      </c>
      <c r="T39" s="49">
        <v>0</v>
      </c>
      <c r="U39" s="50">
        <v>0</v>
      </c>
      <c r="V39" s="50">
        <v>0.000895</v>
      </c>
      <c r="W39" s="50">
        <v>0.001708</v>
      </c>
      <c r="X39" s="50">
        <v>0.392961</v>
      </c>
      <c r="Y39" s="50">
        <v>0</v>
      </c>
      <c r="Z39" s="50">
        <v>0</v>
      </c>
      <c r="AA39" s="72">
        <v>9</v>
      </c>
      <c r="AB39" s="72"/>
      <c r="AC39" s="73"/>
      <c r="AD39" s="80" t="s">
        <v>630</v>
      </c>
      <c r="AE39" s="80" t="s">
        <v>1028</v>
      </c>
      <c r="AF39" s="80" t="s">
        <v>1396</v>
      </c>
      <c r="AG39" s="80" t="s">
        <v>1680</v>
      </c>
      <c r="AH39" s="80" t="s">
        <v>1921</v>
      </c>
      <c r="AI39" s="80">
        <v>25840</v>
      </c>
      <c r="AJ39" s="80">
        <v>39</v>
      </c>
      <c r="AK39" s="80">
        <v>463</v>
      </c>
      <c r="AL39" s="80">
        <v>26</v>
      </c>
      <c r="AM39" s="80" t="s">
        <v>2317</v>
      </c>
      <c r="AN39" s="98" t="str">
        <f>HYPERLINK("https://www.youtube.com/watch?v=OvyQAmqV7Zk")</f>
        <v>https://www.youtube.com/watch?v=OvyQAmqV7Zk</v>
      </c>
      <c r="AO39" s="80" t="str">
        <f>REPLACE(INDEX(GroupVertices[Group],MATCH(Vertices[[#This Row],[Vertex]],GroupVertices[Vertex],0)),1,1,"")</f>
        <v>7</v>
      </c>
      <c r="AP39" s="49">
        <v>0</v>
      </c>
      <c r="AQ39" s="50">
        <v>0</v>
      </c>
      <c r="AR39" s="49">
        <v>11</v>
      </c>
      <c r="AS39" s="50">
        <v>20</v>
      </c>
      <c r="AT39" s="49">
        <v>0</v>
      </c>
      <c r="AU39" s="50">
        <v>0</v>
      </c>
      <c r="AV39" s="49">
        <v>44</v>
      </c>
      <c r="AW39" s="50">
        <v>80</v>
      </c>
      <c r="AX39" s="49">
        <v>55</v>
      </c>
      <c r="AY39" s="49"/>
      <c r="AZ39" s="49"/>
      <c r="BA39" s="49"/>
      <c r="BB39" s="49"/>
      <c r="BC39" s="2"/>
      <c r="BD39" s="3"/>
      <c r="BE39" s="3"/>
      <c r="BF39" s="3"/>
      <c r="BG39" s="3"/>
    </row>
    <row r="40" spans="1:59" ht="15">
      <c r="A40" s="65" t="s">
        <v>226</v>
      </c>
      <c r="B40" s="66" t="s">
        <v>3536</v>
      </c>
      <c r="C40" s="66"/>
      <c r="D40" s="67">
        <v>212.5</v>
      </c>
      <c r="E40" s="69">
        <v>50</v>
      </c>
      <c r="F40" s="96" t="str">
        <f>HYPERLINK("https://i.ytimg.com/vi/T7oaOL61JOQ/default.jpg")</f>
        <v>https://i.ytimg.com/vi/T7oaOL61JOQ/default.jpg</v>
      </c>
      <c r="G40" s="66"/>
      <c r="H40" s="70" t="s">
        <v>631</v>
      </c>
      <c r="I40" s="71"/>
      <c r="J40" s="71" t="s">
        <v>159</v>
      </c>
      <c r="K40" s="70" t="s">
        <v>631</v>
      </c>
      <c r="L40" s="74">
        <v>10.785633778014857</v>
      </c>
      <c r="M40" s="75">
        <v>5916.01123046875</v>
      </c>
      <c r="N40" s="75">
        <v>481.0614929199219</v>
      </c>
      <c r="O40" s="76"/>
      <c r="P40" s="77"/>
      <c r="Q40" s="77"/>
      <c r="R40" s="82"/>
      <c r="S40" s="49">
        <v>1</v>
      </c>
      <c r="T40" s="49">
        <v>0</v>
      </c>
      <c r="U40" s="50">
        <v>0</v>
      </c>
      <c r="V40" s="50">
        <v>0.000895</v>
      </c>
      <c r="W40" s="50">
        <v>0.001708</v>
      </c>
      <c r="X40" s="50">
        <v>0.392961</v>
      </c>
      <c r="Y40" s="50">
        <v>0</v>
      </c>
      <c r="Z40" s="50">
        <v>0</v>
      </c>
      <c r="AA40" s="72">
        <v>10</v>
      </c>
      <c r="AB40" s="72"/>
      <c r="AC40" s="73"/>
      <c r="AD40" s="80" t="s">
        <v>631</v>
      </c>
      <c r="AE40" s="80" t="s">
        <v>1029</v>
      </c>
      <c r="AF40" s="80" t="s">
        <v>1397</v>
      </c>
      <c r="AG40" s="80" t="s">
        <v>1681</v>
      </c>
      <c r="AH40" s="80" t="s">
        <v>1922</v>
      </c>
      <c r="AI40" s="80">
        <v>222637</v>
      </c>
      <c r="AJ40" s="80">
        <v>1339</v>
      </c>
      <c r="AK40" s="80">
        <v>10944</v>
      </c>
      <c r="AL40" s="80">
        <v>116</v>
      </c>
      <c r="AM40" s="80" t="s">
        <v>2317</v>
      </c>
      <c r="AN40" s="98" t="str">
        <f>HYPERLINK("https://www.youtube.com/watch?v=T7oaOL61JOQ")</f>
        <v>https://www.youtube.com/watch?v=T7oaOL61JOQ</v>
      </c>
      <c r="AO40" s="80" t="str">
        <f>REPLACE(INDEX(GroupVertices[Group],MATCH(Vertices[[#This Row],[Vertex]],GroupVertices[Vertex],0)),1,1,"")</f>
        <v>7</v>
      </c>
      <c r="AP40" s="49">
        <v>3</v>
      </c>
      <c r="AQ40" s="50">
        <v>4.6875</v>
      </c>
      <c r="AR40" s="49">
        <v>1</v>
      </c>
      <c r="AS40" s="50">
        <v>1.5625</v>
      </c>
      <c r="AT40" s="49">
        <v>0</v>
      </c>
      <c r="AU40" s="50">
        <v>0</v>
      </c>
      <c r="AV40" s="49">
        <v>60</v>
      </c>
      <c r="AW40" s="50">
        <v>93.75</v>
      </c>
      <c r="AX40" s="49">
        <v>64</v>
      </c>
      <c r="AY40" s="49"/>
      <c r="AZ40" s="49"/>
      <c r="BA40" s="49"/>
      <c r="BB40" s="49"/>
      <c r="BC40" s="2"/>
      <c r="BD40" s="3"/>
      <c r="BE40" s="3"/>
      <c r="BF40" s="3"/>
      <c r="BG40" s="3"/>
    </row>
    <row r="41" spans="1:59" ht="15">
      <c r="A41" s="65" t="s">
        <v>227</v>
      </c>
      <c r="B41" s="66" t="s">
        <v>3536</v>
      </c>
      <c r="C41" s="66"/>
      <c r="D41" s="67">
        <v>212.5</v>
      </c>
      <c r="E41" s="69">
        <v>50</v>
      </c>
      <c r="F41" s="96" t="str">
        <f>HYPERLINK("https://i.ytimg.com/vi/EN5j-ZRGROg/default.jpg")</f>
        <v>https://i.ytimg.com/vi/EN5j-ZRGROg/default.jpg</v>
      </c>
      <c r="G41" s="66"/>
      <c r="H41" s="70" t="s">
        <v>632</v>
      </c>
      <c r="I41" s="71"/>
      <c r="J41" s="71" t="s">
        <v>159</v>
      </c>
      <c r="K41" s="70" t="s">
        <v>632</v>
      </c>
      <c r="L41" s="74">
        <v>5.375197099001306</v>
      </c>
      <c r="M41" s="75">
        <v>7503.99853515625</v>
      </c>
      <c r="N41" s="75">
        <v>1030.00341796875</v>
      </c>
      <c r="O41" s="76"/>
      <c r="P41" s="77"/>
      <c r="Q41" s="77"/>
      <c r="R41" s="82"/>
      <c r="S41" s="49">
        <v>1</v>
      </c>
      <c r="T41" s="49">
        <v>0</v>
      </c>
      <c r="U41" s="50">
        <v>0</v>
      </c>
      <c r="V41" s="50">
        <v>0.000895</v>
      </c>
      <c r="W41" s="50">
        <v>0.001708</v>
      </c>
      <c r="X41" s="50">
        <v>0.392961</v>
      </c>
      <c r="Y41" s="50">
        <v>0</v>
      </c>
      <c r="Z41" s="50">
        <v>0</v>
      </c>
      <c r="AA41" s="72">
        <v>11</v>
      </c>
      <c r="AB41" s="72"/>
      <c r="AC41" s="73"/>
      <c r="AD41" s="80" t="s">
        <v>632</v>
      </c>
      <c r="AE41" s="80" t="s">
        <v>1030</v>
      </c>
      <c r="AF41" s="80" t="s">
        <v>1398</v>
      </c>
      <c r="AG41" s="80" t="s">
        <v>1682</v>
      </c>
      <c r="AH41" s="80" t="s">
        <v>1923</v>
      </c>
      <c r="AI41" s="80">
        <v>99548</v>
      </c>
      <c r="AJ41" s="80">
        <v>208</v>
      </c>
      <c r="AK41" s="80">
        <v>3863</v>
      </c>
      <c r="AL41" s="80">
        <v>98</v>
      </c>
      <c r="AM41" s="80" t="s">
        <v>2317</v>
      </c>
      <c r="AN41" s="98" t="str">
        <f>HYPERLINK("https://www.youtube.com/watch?v=EN5j-ZRGROg")</f>
        <v>https://www.youtube.com/watch?v=EN5j-ZRGROg</v>
      </c>
      <c r="AO41" s="80" t="str">
        <f>REPLACE(INDEX(GroupVertices[Group],MATCH(Vertices[[#This Row],[Vertex]],GroupVertices[Vertex],0)),1,1,"")</f>
        <v>7</v>
      </c>
      <c r="AP41" s="49">
        <v>0</v>
      </c>
      <c r="AQ41" s="50">
        <v>0</v>
      </c>
      <c r="AR41" s="49">
        <v>0</v>
      </c>
      <c r="AS41" s="50">
        <v>0</v>
      </c>
      <c r="AT41" s="49">
        <v>0</v>
      </c>
      <c r="AU41" s="50">
        <v>0</v>
      </c>
      <c r="AV41" s="49">
        <v>66</v>
      </c>
      <c r="AW41" s="50">
        <v>100</v>
      </c>
      <c r="AX41" s="49">
        <v>66</v>
      </c>
      <c r="AY41" s="49"/>
      <c r="AZ41" s="49"/>
      <c r="BA41" s="49"/>
      <c r="BB41" s="49"/>
      <c r="BC41" s="2"/>
      <c r="BD41" s="3"/>
      <c r="BE41" s="3"/>
      <c r="BF41" s="3"/>
      <c r="BG41" s="3"/>
    </row>
    <row r="42" spans="1:59" ht="15">
      <c r="A42" s="65" t="s">
        <v>228</v>
      </c>
      <c r="B42" s="66" t="s">
        <v>3536</v>
      </c>
      <c r="C42" s="66"/>
      <c r="D42" s="67">
        <v>212.5</v>
      </c>
      <c r="E42" s="69">
        <v>50</v>
      </c>
      <c r="F42" s="96" t="str">
        <f>HYPERLINK("https://i.ytimg.com/vi/ZG4-XRq7IF8/default.jpg")</f>
        <v>https://i.ytimg.com/vi/ZG4-XRq7IF8/default.jpg</v>
      </c>
      <c r="G42" s="66"/>
      <c r="H42" s="70" t="s">
        <v>633</v>
      </c>
      <c r="I42" s="71"/>
      <c r="J42" s="71" t="s">
        <v>159</v>
      </c>
      <c r="K42" s="70" t="s">
        <v>633</v>
      </c>
      <c r="L42" s="74">
        <v>1.0037362162152277</v>
      </c>
      <c r="M42" s="75">
        <v>6313.0087890625</v>
      </c>
      <c r="N42" s="75">
        <v>3774.711181640625</v>
      </c>
      <c r="O42" s="76"/>
      <c r="P42" s="77"/>
      <c r="Q42" s="77"/>
      <c r="R42" s="82"/>
      <c r="S42" s="49">
        <v>1</v>
      </c>
      <c r="T42" s="49">
        <v>0</v>
      </c>
      <c r="U42" s="50">
        <v>0</v>
      </c>
      <c r="V42" s="50">
        <v>0.000895</v>
      </c>
      <c r="W42" s="50">
        <v>0.001708</v>
      </c>
      <c r="X42" s="50">
        <v>0.392961</v>
      </c>
      <c r="Y42" s="50">
        <v>0</v>
      </c>
      <c r="Z42" s="50">
        <v>0</v>
      </c>
      <c r="AA42" s="72">
        <v>12</v>
      </c>
      <c r="AB42" s="72"/>
      <c r="AC42" s="73"/>
      <c r="AD42" s="80" t="s">
        <v>633</v>
      </c>
      <c r="AE42" s="80" t="s">
        <v>1031</v>
      </c>
      <c r="AF42" s="80" t="s">
        <v>1399</v>
      </c>
      <c r="AG42" s="80" t="s">
        <v>1683</v>
      </c>
      <c r="AH42" s="80" t="s">
        <v>1924</v>
      </c>
      <c r="AI42" s="80">
        <v>96</v>
      </c>
      <c r="AJ42" s="80">
        <v>0</v>
      </c>
      <c r="AK42" s="80">
        <v>3</v>
      </c>
      <c r="AL42" s="80">
        <v>1</v>
      </c>
      <c r="AM42" s="80" t="s">
        <v>2317</v>
      </c>
      <c r="AN42" s="98" t="str">
        <f>HYPERLINK("https://www.youtube.com/watch?v=ZG4-XRq7IF8")</f>
        <v>https://www.youtube.com/watch?v=ZG4-XRq7IF8</v>
      </c>
      <c r="AO42" s="80" t="str">
        <f>REPLACE(INDEX(GroupVertices[Group],MATCH(Vertices[[#This Row],[Vertex]],GroupVertices[Vertex],0)),1,1,"")</f>
        <v>7</v>
      </c>
      <c r="AP42" s="49">
        <v>0</v>
      </c>
      <c r="AQ42" s="50">
        <v>0</v>
      </c>
      <c r="AR42" s="49">
        <v>0</v>
      </c>
      <c r="AS42" s="50">
        <v>0</v>
      </c>
      <c r="AT42" s="49">
        <v>0</v>
      </c>
      <c r="AU42" s="50">
        <v>0</v>
      </c>
      <c r="AV42" s="49">
        <v>35</v>
      </c>
      <c r="AW42" s="50">
        <v>100</v>
      </c>
      <c r="AX42" s="49">
        <v>35</v>
      </c>
      <c r="AY42" s="49"/>
      <c r="AZ42" s="49"/>
      <c r="BA42" s="49"/>
      <c r="BB42" s="49"/>
      <c r="BC42" s="2"/>
      <c r="BD42" s="3"/>
      <c r="BE42" s="3"/>
      <c r="BF42" s="3"/>
      <c r="BG42" s="3"/>
    </row>
    <row r="43" spans="1:59" ht="15">
      <c r="A43" s="65" t="s">
        <v>229</v>
      </c>
      <c r="B43" s="66" t="s">
        <v>3536</v>
      </c>
      <c r="C43" s="66"/>
      <c r="D43" s="67">
        <v>212.5</v>
      </c>
      <c r="E43" s="69">
        <v>50</v>
      </c>
      <c r="F43" s="96" t="str">
        <f>HYPERLINK("https://i.ytimg.com/vi/DdV_TDF7y0g/default.jpg")</f>
        <v>https://i.ytimg.com/vi/DdV_TDF7y0g/default.jpg</v>
      </c>
      <c r="G43" s="66"/>
      <c r="H43" s="70" t="s">
        <v>634</v>
      </c>
      <c r="I43" s="71"/>
      <c r="J43" s="71" t="s">
        <v>159</v>
      </c>
      <c r="K43" s="70" t="s">
        <v>634</v>
      </c>
      <c r="L43" s="74">
        <v>10.232014445887895</v>
      </c>
      <c r="M43" s="75">
        <v>8297.9921875</v>
      </c>
      <c r="N43" s="75">
        <v>1030.00341796875</v>
      </c>
      <c r="O43" s="76"/>
      <c r="P43" s="77"/>
      <c r="Q43" s="77"/>
      <c r="R43" s="82"/>
      <c r="S43" s="49">
        <v>1</v>
      </c>
      <c r="T43" s="49">
        <v>0</v>
      </c>
      <c r="U43" s="50">
        <v>0</v>
      </c>
      <c r="V43" s="50">
        <v>0.000895</v>
      </c>
      <c r="W43" s="50">
        <v>0.001708</v>
      </c>
      <c r="X43" s="50">
        <v>0.392961</v>
      </c>
      <c r="Y43" s="50">
        <v>0</v>
      </c>
      <c r="Z43" s="50">
        <v>0</v>
      </c>
      <c r="AA43" s="72">
        <v>13</v>
      </c>
      <c r="AB43" s="72"/>
      <c r="AC43" s="73"/>
      <c r="AD43" s="80" t="s">
        <v>634</v>
      </c>
      <c r="AE43" s="80" t="s">
        <v>1032</v>
      </c>
      <c r="AF43" s="80" t="s">
        <v>1400</v>
      </c>
      <c r="AG43" s="80" t="s">
        <v>1684</v>
      </c>
      <c r="AH43" s="80" t="s">
        <v>1925</v>
      </c>
      <c r="AI43" s="80">
        <v>210042</v>
      </c>
      <c r="AJ43" s="80">
        <v>177</v>
      </c>
      <c r="AK43" s="80">
        <v>2976</v>
      </c>
      <c r="AL43" s="80">
        <v>114</v>
      </c>
      <c r="AM43" s="80" t="s">
        <v>2317</v>
      </c>
      <c r="AN43" s="98" t="str">
        <f>HYPERLINK("https://www.youtube.com/watch?v=DdV_TDF7y0g")</f>
        <v>https://www.youtube.com/watch?v=DdV_TDF7y0g</v>
      </c>
      <c r="AO43" s="80" t="str">
        <f>REPLACE(INDEX(GroupVertices[Group],MATCH(Vertices[[#This Row],[Vertex]],GroupVertices[Vertex],0)),1,1,"")</f>
        <v>7</v>
      </c>
      <c r="AP43" s="49">
        <v>0</v>
      </c>
      <c r="AQ43" s="50">
        <v>0</v>
      </c>
      <c r="AR43" s="49">
        <v>0</v>
      </c>
      <c r="AS43" s="50">
        <v>0</v>
      </c>
      <c r="AT43" s="49">
        <v>0</v>
      </c>
      <c r="AU43" s="50">
        <v>0</v>
      </c>
      <c r="AV43" s="49">
        <v>10</v>
      </c>
      <c r="AW43" s="50">
        <v>100</v>
      </c>
      <c r="AX43" s="49">
        <v>10</v>
      </c>
      <c r="AY43" s="49"/>
      <c r="AZ43" s="49"/>
      <c r="BA43" s="49"/>
      <c r="BB43" s="49"/>
      <c r="BC43" s="2"/>
      <c r="BD43" s="3"/>
      <c r="BE43" s="3"/>
      <c r="BF43" s="3"/>
      <c r="BG43" s="3"/>
    </row>
    <row r="44" spans="1:59" ht="15">
      <c r="A44" s="65" t="s">
        <v>230</v>
      </c>
      <c r="B44" s="66" t="s">
        <v>3536</v>
      </c>
      <c r="C44" s="66"/>
      <c r="D44" s="67">
        <v>212.5</v>
      </c>
      <c r="E44" s="69">
        <v>50</v>
      </c>
      <c r="F44" s="96" t="str">
        <f>HYPERLINK("https://i.ytimg.com/vi/1boWH394fVk/default.jpg")</f>
        <v>https://i.ytimg.com/vi/1boWH394fVk/default.jpg</v>
      </c>
      <c r="G44" s="66"/>
      <c r="H44" s="70" t="s">
        <v>635</v>
      </c>
      <c r="I44" s="71"/>
      <c r="J44" s="71" t="s">
        <v>159</v>
      </c>
      <c r="K44" s="70" t="s">
        <v>635</v>
      </c>
      <c r="L44" s="74">
        <v>1.157316680403525</v>
      </c>
      <c r="M44" s="75">
        <v>5916.01123046875</v>
      </c>
      <c r="N44" s="75">
        <v>2127.886474609375</v>
      </c>
      <c r="O44" s="76"/>
      <c r="P44" s="77"/>
      <c r="Q44" s="77"/>
      <c r="R44" s="82"/>
      <c r="S44" s="49">
        <v>1</v>
      </c>
      <c r="T44" s="49">
        <v>0</v>
      </c>
      <c r="U44" s="50">
        <v>0</v>
      </c>
      <c r="V44" s="50">
        <v>0.000895</v>
      </c>
      <c r="W44" s="50">
        <v>0.001708</v>
      </c>
      <c r="X44" s="50">
        <v>0.392961</v>
      </c>
      <c r="Y44" s="50">
        <v>0</v>
      </c>
      <c r="Z44" s="50">
        <v>0</v>
      </c>
      <c r="AA44" s="72">
        <v>14</v>
      </c>
      <c r="AB44" s="72"/>
      <c r="AC44" s="73"/>
      <c r="AD44" s="80" t="s">
        <v>635</v>
      </c>
      <c r="AE44" s="80" t="s">
        <v>1033</v>
      </c>
      <c r="AF44" s="80" t="s">
        <v>1401</v>
      </c>
      <c r="AG44" s="80" t="s">
        <v>1685</v>
      </c>
      <c r="AH44" s="80" t="s">
        <v>1926</v>
      </c>
      <c r="AI44" s="80">
        <v>3590</v>
      </c>
      <c r="AJ44" s="80">
        <v>9</v>
      </c>
      <c r="AK44" s="80">
        <v>208</v>
      </c>
      <c r="AL44" s="80">
        <v>5</v>
      </c>
      <c r="AM44" s="80" t="s">
        <v>2317</v>
      </c>
      <c r="AN44" s="98" t="str">
        <f>HYPERLINK("https://www.youtube.com/watch?v=1boWH394fVk")</f>
        <v>https://www.youtube.com/watch?v=1boWH394fVk</v>
      </c>
      <c r="AO44" s="80" t="str">
        <f>REPLACE(INDEX(GroupVertices[Group],MATCH(Vertices[[#This Row],[Vertex]],GroupVertices[Vertex],0)),1,1,"")</f>
        <v>7</v>
      </c>
      <c r="AP44" s="49">
        <v>5</v>
      </c>
      <c r="AQ44" s="50">
        <v>7.352941176470588</v>
      </c>
      <c r="AR44" s="49">
        <v>0</v>
      </c>
      <c r="AS44" s="50">
        <v>0</v>
      </c>
      <c r="AT44" s="49">
        <v>0</v>
      </c>
      <c r="AU44" s="50">
        <v>0</v>
      </c>
      <c r="AV44" s="49">
        <v>63</v>
      </c>
      <c r="AW44" s="50">
        <v>92.6470588235294</v>
      </c>
      <c r="AX44" s="49">
        <v>68</v>
      </c>
      <c r="AY44" s="49"/>
      <c r="AZ44" s="49"/>
      <c r="BA44" s="49"/>
      <c r="BB44" s="49"/>
      <c r="BC44" s="2"/>
      <c r="BD44" s="3"/>
      <c r="BE44" s="3"/>
      <c r="BF44" s="3"/>
      <c r="BG44" s="3"/>
    </row>
    <row r="45" spans="1:59" ht="15">
      <c r="A45" s="65" t="s">
        <v>231</v>
      </c>
      <c r="B45" s="66" t="s">
        <v>3536</v>
      </c>
      <c r="C45" s="66"/>
      <c r="D45" s="67">
        <v>212.5</v>
      </c>
      <c r="E45" s="69">
        <v>50</v>
      </c>
      <c r="F45" s="96" t="str">
        <f>HYPERLINK("https://i.ytimg.com/vi/iV8halwwa-4/default.jpg")</f>
        <v>https://i.ytimg.com/vi/iV8halwwa-4/default.jpg</v>
      </c>
      <c r="G45" s="66"/>
      <c r="H45" s="70" t="s">
        <v>636</v>
      </c>
      <c r="I45" s="71"/>
      <c r="J45" s="71" t="s">
        <v>159</v>
      </c>
      <c r="K45" s="70" t="s">
        <v>636</v>
      </c>
      <c r="L45" s="74">
        <v>1.6619256468836783</v>
      </c>
      <c r="M45" s="75">
        <v>6710.00537109375</v>
      </c>
      <c r="N45" s="75">
        <v>1578.9444580078125</v>
      </c>
      <c r="O45" s="76"/>
      <c r="P45" s="77"/>
      <c r="Q45" s="77"/>
      <c r="R45" s="82"/>
      <c r="S45" s="49">
        <v>1</v>
      </c>
      <c r="T45" s="49">
        <v>0</v>
      </c>
      <c r="U45" s="50">
        <v>0</v>
      </c>
      <c r="V45" s="50">
        <v>0.000895</v>
      </c>
      <c r="W45" s="50">
        <v>0.001708</v>
      </c>
      <c r="X45" s="50">
        <v>0.392961</v>
      </c>
      <c r="Y45" s="50">
        <v>0</v>
      </c>
      <c r="Z45" s="50">
        <v>0</v>
      </c>
      <c r="AA45" s="72">
        <v>15</v>
      </c>
      <c r="AB45" s="72"/>
      <c r="AC45" s="73"/>
      <c r="AD45" s="80" t="s">
        <v>636</v>
      </c>
      <c r="AE45" s="80" t="s">
        <v>1034</v>
      </c>
      <c r="AF45" s="80" t="s">
        <v>1402</v>
      </c>
      <c r="AG45" s="80" t="s">
        <v>1686</v>
      </c>
      <c r="AH45" s="80" t="s">
        <v>1927</v>
      </c>
      <c r="AI45" s="80">
        <v>15070</v>
      </c>
      <c r="AJ45" s="80">
        <v>26</v>
      </c>
      <c r="AK45" s="80">
        <v>513</v>
      </c>
      <c r="AL45" s="80">
        <v>25</v>
      </c>
      <c r="AM45" s="80" t="s">
        <v>2317</v>
      </c>
      <c r="AN45" s="98" t="str">
        <f>HYPERLINK("https://www.youtube.com/watch?v=iV8halwwa-4")</f>
        <v>https://www.youtube.com/watch?v=iV8halwwa-4</v>
      </c>
      <c r="AO45" s="80" t="str">
        <f>REPLACE(INDEX(GroupVertices[Group],MATCH(Vertices[[#This Row],[Vertex]],GroupVertices[Vertex],0)),1,1,"")</f>
        <v>7</v>
      </c>
      <c r="AP45" s="49">
        <v>0</v>
      </c>
      <c r="AQ45" s="50">
        <v>0</v>
      </c>
      <c r="AR45" s="49">
        <v>0</v>
      </c>
      <c r="AS45" s="50">
        <v>0</v>
      </c>
      <c r="AT45" s="49">
        <v>0</v>
      </c>
      <c r="AU45" s="50">
        <v>0</v>
      </c>
      <c r="AV45" s="49">
        <v>64</v>
      </c>
      <c r="AW45" s="50">
        <v>100</v>
      </c>
      <c r="AX45" s="49">
        <v>64</v>
      </c>
      <c r="AY45" s="49"/>
      <c r="AZ45" s="49"/>
      <c r="BA45" s="49"/>
      <c r="BB45" s="49"/>
      <c r="BC45" s="2"/>
      <c r="BD45" s="3"/>
      <c r="BE45" s="3"/>
      <c r="BF45" s="3"/>
      <c r="BG45" s="3"/>
    </row>
    <row r="46" spans="1:59" ht="15">
      <c r="A46" s="65" t="s">
        <v>232</v>
      </c>
      <c r="B46" s="66" t="s">
        <v>3536</v>
      </c>
      <c r="C46" s="66"/>
      <c r="D46" s="67">
        <v>212.5</v>
      </c>
      <c r="E46" s="69">
        <v>50</v>
      </c>
      <c r="F46" s="96" t="str">
        <f>HYPERLINK("https://i.ytimg.com/vi/UHTDX6EqcFY/default.jpg")</f>
        <v>https://i.ytimg.com/vi/UHTDX6EqcFY/default.jpg</v>
      </c>
      <c r="G46" s="66"/>
      <c r="H46" s="70" t="s">
        <v>637</v>
      </c>
      <c r="I46" s="71"/>
      <c r="J46" s="71" t="s">
        <v>159</v>
      </c>
      <c r="K46" s="70" t="s">
        <v>637</v>
      </c>
      <c r="L46" s="74">
        <v>5.891498224460878</v>
      </c>
      <c r="M46" s="75">
        <v>7900.9951171875</v>
      </c>
      <c r="N46" s="75">
        <v>1030.00341796875</v>
      </c>
      <c r="O46" s="76"/>
      <c r="P46" s="77"/>
      <c r="Q46" s="77"/>
      <c r="R46" s="82"/>
      <c r="S46" s="49">
        <v>1</v>
      </c>
      <c r="T46" s="49">
        <v>0</v>
      </c>
      <c r="U46" s="50">
        <v>0</v>
      </c>
      <c r="V46" s="50">
        <v>0.000895</v>
      </c>
      <c r="W46" s="50">
        <v>0.001708</v>
      </c>
      <c r="X46" s="50">
        <v>0.392961</v>
      </c>
      <c r="Y46" s="50">
        <v>0</v>
      </c>
      <c r="Z46" s="50">
        <v>0</v>
      </c>
      <c r="AA46" s="72">
        <v>16</v>
      </c>
      <c r="AB46" s="72"/>
      <c r="AC46" s="73"/>
      <c r="AD46" s="80" t="s">
        <v>637</v>
      </c>
      <c r="AE46" s="80" t="s">
        <v>1035</v>
      </c>
      <c r="AF46" s="80"/>
      <c r="AG46" s="80" t="s">
        <v>1687</v>
      </c>
      <c r="AH46" s="80" t="s">
        <v>1928</v>
      </c>
      <c r="AI46" s="80">
        <v>111294</v>
      </c>
      <c r="AJ46" s="80">
        <v>256</v>
      </c>
      <c r="AK46" s="80">
        <v>7108</v>
      </c>
      <c r="AL46" s="80">
        <v>156</v>
      </c>
      <c r="AM46" s="80" t="s">
        <v>2317</v>
      </c>
      <c r="AN46" s="98" t="str">
        <f>HYPERLINK("https://www.youtube.com/watch?v=UHTDX6EqcFY")</f>
        <v>https://www.youtube.com/watch?v=UHTDX6EqcFY</v>
      </c>
      <c r="AO46" s="80" t="str">
        <f>REPLACE(INDEX(GroupVertices[Group],MATCH(Vertices[[#This Row],[Vertex]],GroupVertices[Vertex],0)),1,1,"")</f>
        <v>7</v>
      </c>
      <c r="AP46" s="49"/>
      <c r="AQ46" s="50"/>
      <c r="AR46" s="49"/>
      <c r="AS46" s="50"/>
      <c r="AT46" s="49"/>
      <c r="AU46" s="50"/>
      <c r="AV46" s="49"/>
      <c r="AW46" s="50"/>
      <c r="AX46" s="49"/>
      <c r="AY46" s="49"/>
      <c r="AZ46" s="49"/>
      <c r="BA46" s="49"/>
      <c r="BB46" s="49"/>
      <c r="BC46" s="2"/>
      <c r="BD46" s="3"/>
      <c r="BE46" s="3"/>
      <c r="BF46" s="3"/>
      <c r="BG46" s="3"/>
    </row>
    <row r="47" spans="1:59" ht="15">
      <c r="A47" s="65" t="s">
        <v>233</v>
      </c>
      <c r="B47" s="66" t="s">
        <v>3536</v>
      </c>
      <c r="C47" s="66"/>
      <c r="D47" s="67">
        <v>212.5</v>
      </c>
      <c r="E47" s="69">
        <v>50</v>
      </c>
      <c r="F47" s="96" t="str">
        <f>HYPERLINK("https://i.ytimg.com/vi/90M2B6RyHf0/default.jpg")</f>
        <v>https://i.ytimg.com/vi/90M2B6RyHf0/default.jpg</v>
      </c>
      <c r="G47" s="66"/>
      <c r="H47" s="70" t="s">
        <v>638</v>
      </c>
      <c r="I47" s="71"/>
      <c r="J47" s="71" t="s">
        <v>159</v>
      </c>
      <c r="K47" s="70" t="s">
        <v>638</v>
      </c>
      <c r="L47" s="74">
        <v>2.978084730796154</v>
      </c>
      <c r="M47" s="75">
        <v>6710.00537109375</v>
      </c>
      <c r="N47" s="75">
        <v>1030.00341796875</v>
      </c>
      <c r="O47" s="76"/>
      <c r="P47" s="77"/>
      <c r="Q47" s="77"/>
      <c r="R47" s="82"/>
      <c r="S47" s="49">
        <v>1</v>
      </c>
      <c r="T47" s="49">
        <v>0</v>
      </c>
      <c r="U47" s="50">
        <v>0</v>
      </c>
      <c r="V47" s="50">
        <v>0.000895</v>
      </c>
      <c r="W47" s="50">
        <v>0.001708</v>
      </c>
      <c r="X47" s="50">
        <v>0.392961</v>
      </c>
      <c r="Y47" s="50">
        <v>0</v>
      </c>
      <c r="Z47" s="50">
        <v>0</v>
      </c>
      <c r="AA47" s="72">
        <v>17</v>
      </c>
      <c r="AB47" s="72"/>
      <c r="AC47" s="73"/>
      <c r="AD47" s="80" t="s">
        <v>638</v>
      </c>
      <c r="AE47" s="80" t="s">
        <v>1036</v>
      </c>
      <c r="AF47" s="80" t="s">
        <v>1403</v>
      </c>
      <c r="AG47" s="80" t="s">
        <v>1688</v>
      </c>
      <c r="AH47" s="80" t="s">
        <v>1929</v>
      </c>
      <c r="AI47" s="80">
        <v>45013</v>
      </c>
      <c r="AJ47" s="80">
        <v>99</v>
      </c>
      <c r="AK47" s="80">
        <v>1747</v>
      </c>
      <c r="AL47" s="80">
        <v>42</v>
      </c>
      <c r="AM47" s="80" t="s">
        <v>2317</v>
      </c>
      <c r="AN47" s="98" t="str">
        <f>HYPERLINK("https://www.youtube.com/watch?v=90M2B6RyHf0")</f>
        <v>https://www.youtube.com/watch?v=90M2B6RyHf0</v>
      </c>
      <c r="AO47" s="80" t="str">
        <f>REPLACE(INDEX(GroupVertices[Group],MATCH(Vertices[[#This Row],[Vertex]],GroupVertices[Vertex],0)),1,1,"")</f>
        <v>7</v>
      </c>
      <c r="AP47" s="49">
        <v>0</v>
      </c>
      <c r="AQ47" s="50">
        <v>0</v>
      </c>
      <c r="AR47" s="49">
        <v>11</v>
      </c>
      <c r="AS47" s="50">
        <v>17.741935483870968</v>
      </c>
      <c r="AT47" s="49">
        <v>0</v>
      </c>
      <c r="AU47" s="50">
        <v>0</v>
      </c>
      <c r="AV47" s="49">
        <v>51</v>
      </c>
      <c r="AW47" s="50">
        <v>82.25806451612904</v>
      </c>
      <c r="AX47" s="49">
        <v>62</v>
      </c>
      <c r="AY47" s="49"/>
      <c r="AZ47" s="49"/>
      <c r="BA47" s="49"/>
      <c r="BB47" s="49"/>
      <c r="BC47" s="2"/>
      <c r="BD47" s="3"/>
      <c r="BE47" s="3"/>
      <c r="BF47" s="3"/>
      <c r="BG47" s="3"/>
    </row>
    <row r="48" spans="1:59" ht="15">
      <c r="A48" s="65" t="s">
        <v>234</v>
      </c>
      <c r="B48" s="66" t="s">
        <v>3536</v>
      </c>
      <c r="C48" s="66"/>
      <c r="D48" s="67">
        <v>212.5</v>
      </c>
      <c r="E48" s="69">
        <v>50</v>
      </c>
      <c r="F48" s="96" t="str">
        <f>HYPERLINK("https://i.ytimg.com/vi/4hjBIYqiGTw/default.jpg")</f>
        <v>https://i.ytimg.com/vi/4hjBIYqiGTw/default.jpg</v>
      </c>
      <c r="G48" s="66"/>
      <c r="H48" s="70" t="s">
        <v>639</v>
      </c>
      <c r="I48" s="71"/>
      <c r="J48" s="71" t="s">
        <v>159</v>
      </c>
      <c r="K48" s="70" t="s">
        <v>639</v>
      </c>
      <c r="L48" s="74">
        <v>1.5856628806081496</v>
      </c>
      <c r="M48" s="75">
        <v>5916.01123046875</v>
      </c>
      <c r="N48" s="75">
        <v>1578.9444580078125</v>
      </c>
      <c r="O48" s="76"/>
      <c r="P48" s="77"/>
      <c r="Q48" s="77"/>
      <c r="R48" s="82"/>
      <c r="S48" s="49">
        <v>1</v>
      </c>
      <c r="T48" s="49">
        <v>0</v>
      </c>
      <c r="U48" s="50">
        <v>0</v>
      </c>
      <c r="V48" s="50">
        <v>0.000895</v>
      </c>
      <c r="W48" s="50">
        <v>0.001708</v>
      </c>
      <c r="X48" s="50">
        <v>0.392961</v>
      </c>
      <c r="Y48" s="50">
        <v>0</v>
      </c>
      <c r="Z48" s="50">
        <v>0</v>
      </c>
      <c r="AA48" s="72">
        <v>18</v>
      </c>
      <c r="AB48" s="72"/>
      <c r="AC48" s="73"/>
      <c r="AD48" s="80" t="s">
        <v>639</v>
      </c>
      <c r="AE48" s="80" t="s">
        <v>1037</v>
      </c>
      <c r="AF48" s="80" t="s">
        <v>1404</v>
      </c>
      <c r="AG48" s="80" t="s">
        <v>1689</v>
      </c>
      <c r="AH48" s="80" t="s">
        <v>1930</v>
      </c>
      <c r="AI48" s="80">
        <v>13335</v>
      </c>
      <c r="AJ48" s="80">
        <v>11</v>
      </c>
      <c r="AK48" s="80">
        <v>48</v>
      </c>
      <c r="AL48" s="80">
        <v>21</v>
      </c>
      <c r="AM48" s="80" t="s">
        <v>2317</v>
      </c>
      <c r="AN48" s="98" t="str">
        <f>HYPERLINK("https://www.youtube.com/watch?v=4hjBIYqiGTw")</f>
        <v>https://www.youtube.com/watch?v=4hjBIYqiGTw</v>
      </c>
      <c r="AO48" s="80" t="str">
        <f>REPLACE(INDEX(GroupVertices[Group],MATCH(Vertices[[#This Row],[Vertex]],GroupVertices[Vertex],0)),1,1,"")</f>
        <v>7</v>
      </c>
      <c r="AP48" s="49">
        <v>0</v>
      </c>
      <c r="AQ48" s="50">
        <v>0</v>
      </c>
      <c r="AR48" s="49">
        <v>0</v>
      </c>
      <c r="AS48" s="50">
        <v>0</v>
      </c>
      <c r="AT48" s="49">
        <v>0</v>
      </c>
      <c r="AU48" s="50">
        <v>0</v>
      </c>
      <c r="AV48" s="49">
        <v>25</v>
      </c>
      <c r="AW48" s="50">
        <v>100</v>
      </c>
      <c r="AX48" s="49">
        <v>25</v>
      </c>
      <c r="AY48" s="49"/>
      <c r="AZ48" s="49"/>
      <c r="BA48" s="49"/>
      <c r="BB48" s="49"/>
      <c r="BC48" s="2"/>
      <c r="BD48" s="3"/>
      <c r="BE48" s="3"/>
      <c r="BF48" s="3"/>
      <c r="BG48" s="3"/>
    </row>
    <row r="49" spans="1:59" ht="15">
      <c r="A49" s="65" t="s">
        <v>235</v>
      </c>
      <c r="B49" s="66" t="s">
        <v>3536</v>
      </c>
      <c r="C49" s="66"/>
      <c r="D49" s="67">
        <v>212.5</v>
      </c>
      <c r="E49" s="69">
        <v>50</v>
      </c>
      <c r="F49" s="96" t="str">
        <f>HYPERLINK("https://i.ytimg.com/vi/Y-z2kpg7Zxk/default.jpg")</f>
        <v>https://i.ytimg.com/vi/Y-z2kpg7Zxk/default.jpg</v>
      </c>
      <c r="G49" s="66"/>
      <c r="H49" s="70" t="s">
        <v>640</v>
      </c>
      <c r="I49" s="71"/>
      <c r="J49" s="71" t="s">
        <v>159</v>
      </c>
      <c r="K49" s="70" t="s">
        <v>640</v>
      </c>
      <c r="L49" s="74">
        <v>1.161668273407143</v>
      </c>
      <c r="M49" s="75">
        <v>6313.0087890625</v>
      </c>
      <c r="N49" s="75">
        <v>2127.886474609375</v>
      </c>
      <c r="O49" s="76"/>
      <c r="P49" s="77"/>
      <c r="Q49" s="77"/>
      <c r="R49" s="82"/>
      <c r="S49" s="49">
        <v>1</v>
      </c>
      <c r="T49" s="49">
        <v>0</v>
      </c>
      <c r="U49" s="50">
        <v>0</v>
      </c>
      <c r="V49" s="50">
        <v>0.000895</v>
      </c>
      <c r="W49" s="50">
        <v>0.001708</v>
      </c>
      <c r="X49" s="50">
        <v>0.392961</v>
      </c>
      <c r="Y49" s="50">
        <v>0</v>
      </c>
      <c r="Z49" s="50">
        <v>0</v>
      </c>
      <c r="AA49" s="72">
        <v>19</v>
      </c>
      <c r="AB49" s="72"/>
      <c r="AC49" s="73"/>
      <c r="AD49" s="80" t="s">
        <v>640</v>
      </c>
      <c r="AE49" s="80" t="s">
        <v>1038</v>
      </c>
      <c r="AF49" s="80" t="s">
        <v>1405</v>
      </c>
      <c r="AG49" s="80" t="s">
        <v>1690</v>
      </c>
      <c r="AH49" s="80" t="s">
        <v>1931</v>
      </c>
      <c r="AI49" s="80">
        <v>3689</v>
      </c>
      <c r="AJ49" s="80">
        <v>373</v>
      </c>
      <c r="AK49" s="80">
        <v>324</v>
      </c>
      <c r="AL49" s="80">
        <v>1</v>
      </c>
      <c r="AM49" s="80" t="s">
        <v>2317</v>
      </c>
      <c r="AN49" s="98" t="str">
        <f>HYPERLINK("https://www.youtube.com/watch?v=Y-z2kpg7Zxk")</f>
        <v>https://www.youtube.com/watch?v=Y-z2kpg7Zxk</v>
      </c>
      <c r="AO49" s="80" t="str">
        <f>REPLACE(INDEX(GroupVertices[Group],MATCH(Vertices[[#This Row],[Vertex]],GroupVertices[Vertex],0)),1,1,"")</f>
        <v>7</v>
      </c>
      <c r="AP49" s="49">
        <v>0</v>
      </c>
      <c r="AQ49" s="50">
        <v>0</v>
      </c>
      <c r="AR49" s="49">
        <v>0</v>
      </c>
      <c r="AS49" s="50">
        <v>0</v>
      </c>
      <c r="AT49" s="49">
        <v>0</v>
      </c>
      <c r="AU49" s="50">
        <v>0</v>
      </c>
      <c r="AV49" s="49">
        <v>69</v>
      </c>
      <c r="AW49" s="50">
        <v>100</v>
      </c>
      <c r="AX49" s="49">
        <v>69</v>
      </c>
      <c r="AY49" s="49"/>
      <c r="AZ49" s="49"/>
      <c r="BA49" s="49"/>
      <c r="BB49" s="49"/>
      <c r="BC49" s="2"/>
      <c r="BD49" s="3"/>
      <c r="BE49" s="3"/>
      <c r="BF49" s="3"/>
      <c r="BG49" s="3"/>
    </row>
    <row r="50" spans="1:59" ht="15">
      <c r="A50" s="65" t="s">
        <v>236</v>
      </c>
      <c r="B50" s="66" t="s">
        <v>3536</v>
      </c>
      <c r="C50" s="66"/>
      <c r="D50" s="67">
        <v>212.5</v>
      </c>
      <c r="E50" s="69">
        <v>50</v>
      </c>
      <c r="F50" s="96" t="str">
        <f>HYPERLINK("https://i.ytimg.com/vi/98vGVuoWQP4/default.jpg")</f>
        <v>https://i.ytimg.com/vi/98vGVuoWQP4/default.jpg</v>
      </c>
      <c r="G50" s="66"/>
      <c r="H50" s="70" t="s">
        <v>641</v>
      </c>
      <c r="I50" s="71"/>
      <c r="J50" s="71" t="s">
        <v>159</v>
      </c>
      <c r="K50" s="70" t="s">
        <v>641</v>
      </c>
      <c r="L50" s="74">
        <v>1.065757405388006</v>
      </c>
      <c r="M50" s="75">
        <v>7107.001953125</v>
      </c>
      <c r="N50" s="75">
        <v>2676.828369140625</v>
      </c>
      <c r="O50" s="76"/>
      <c r="P50" s="77"/>
      <c r="Q50" s="77"/>
      <c r="R50" s="82"/>
      <c r="S50" s="49">
        <v>1</v>
      </c>
      <c r="T50" s="49">
        <v>0</v>
      </c>
      <c r="U50" s="50">
        <v>0</v>
      </c>
      <c r="V50" s="50">
        <v>0.000895</v>
      </c>
      <c r="W50" s="50">
        <v>0.001708</v>
      </c>
      <c r="X50" s="50">
        <v>0.392961</v>
      </c>
      <c r="Y50" s="50">
        <v>0</v>
      </c>
      <c r="Z50" s="50">
        <v>0</v>
      </c>
      <c r="AA50" s="72">
        <v>20</v>
      </c>
      <c r="AB50" s="72"/>
      <c r="AC50" s="73"/>
      <c r="AD50" s="80" t="s">
        <v>641</v>
      </c>
      <c r="AE50" s="80" t="s">
        <v>641</v>
      </c>
      <c r="AF50" s="80"/>
      <c r="AG50" s="80" t="s">
        <v>1691</v>
      </c>
      <c r="AH50" s="80" t="s">
        <v>1932</v>
      </c>
      <c r="AI50" s="80">
        <v>1507</v>
      </c>
      <c r="AJ50" s="80">
        <v>0</v>
      </c>
      <c r="AK50" s="80">
        <v>18</v>
      </c>
      <c r="AL50" s="80">
        <v>0</v>
      </c>
      <c r="AM50" s="80" t="s">
        <v>2317</v>
      </c>
      <c r="AN50" s="98" t="str">
        <f>HYPERLINK("https://www.youtube.com/watch?v=98vGVuoWQP4")</f>
        <v>https://www.youtube.com/watch?v=98vGVuoWQP4</v>
      </c>
      <c r="AO50" s="80" t="str">
        <f>REPLACE(INDEX(GroupVertices[Group],MATCH(Vertices[[#This Row],[Vertex]],GroupVertices[Vertex],0)),1,1,"")</f>
        <v>7</v>
      </c>
      <c r="AP50" s="49"/>
      <c r="AQ50" s="50"/>
      <c r="AR50" s="49"/>
      <c r="AS50" s="50"/>
      <c r="AT50" s="49"/>
      <c r="AU50" s="50"/>
      <c r="AV50" s="49"/>
      <c r="AW50" s="50"/>
      <c r="AX50" s="49"/>
      <c r="AY50" s="49"/>
      <c r="AZ50" s="49"/>
      <c r="BA50" s="49"/>
      <c r="BB50" s="49"/>
      <c r="BC50" s="2"/>
      <c r="BD50" s="3"/>
      <c r="BE50" s="3"/>
      <c r="BF50" s="3"/>
      <c r="BG50" s="3"/>
    </row>
    <row r="51" spans="1:59" ht="15">
      <c r="A51" s="65" t="s">
        <v>237</v>
      </c>
      <c r="B51" s="66" t="s">
        <v>3536</v>
      </c>
      <c r="C51" s="66"/>
      <c r="D51" s="67">
        <v>212.5</v>
      </c>
      <c r="E51" s="69">
        <v>50</v>
      </c>
      <c r="F51" s="96" t="str">
        <f>HYPERLINK("https://i.ytimg.com/vi/ZmsJGv4bnq0/default.jpg")</f>
        <v>https://i.ytimg.com/vi/ZmsJGv4bnq0/default.jpg</v>
      </c>
      <c r="G51" s="66"/>
      <c r="H51" s="70" t="s">
        <v>642</v>
      </c>
      <c r="I51" s="71"/>
      <c r="J51" s="71" t="s">
        <v>159</v>
      </c>
      <c r="K51" s="70" t="s">
        <v>642</v>
      </c>
      <c r="L51" s="74">
        <v>1.0038680826698827</v>
      </c>
      <c r="M51" s="75">
        <v>6710.00537109375</v>
      </c>
      <c r="N51" s="75">
        <v>3774.711181640625</v>
      </c>
      <c r="O51" s="76"/>
      <c r="P51" s="77"/>
      <c r="Q51" s="77"/>
      <c r="R51" s="82"/>
      <c r="S51" s="49">
        <v>1</v>
      </c>
      <c r="T51" s="49">
        <v>0</v>
      </c>
      <c r="U51" s="50">
        <v>0</v>
      </c>
      <c r="V51" s="50">
        <v>0.000895</v>
      </c>
      <c r="W51" s="50">
        <v>0.001708</v>
      </c>
      <c r="X51" s="50">
        <v>0.392961</v>
      </c>
      <c r="Y51" s="50">
        <v>0</v>
      </c>
      <c r="Z51" s="50">
        <v>0</v>
      </c>
      <c r="AA51" s="72">
        <v>21</v>
      </c>
      <c r="AB51" s="72"/>
      <c r="AC51" s="73"/>
      <c r="AD51" s="80" t="s">
        <v>642</v>
      </c>
      <c r="AE51" s="80" t="s">
        <v>1039</v>
      </c>
      <c r="AF51" s="80" t="s">
        <v>1406</v>
      </c>
      <c r="AG51" s="80" t="s">
        <v>1692</v>
      </c>
      <c r="AH51" s="80" t="s">
        <v>1933</v>
      </c>
      <c r="AI51" s="80">
        <v>99</v>
      </c>
      <c r="AJ51" s="80">
        <v>0</v>
      </c>
      <c r="AK51" s="80">
        <v>0</v>
      </c>
      <c r="AL51" s="80">
        <v>0</v>
      </c>
      <c r="AM51" s="80" t="s">
        <v>2317</v>
      </c>
      <c r="AN51" s="98" t="str">
        <f>HYPERLINK("https://www.youtube.com/watch?v=ZmsJGv4bnq0")</f>
        <v>https://www.youtube.com/watch?v=ZmsJGv4bnq0</v>
      </c>
      <c r="AO51" s="80" t="str">
        <f>REPLACE(INDEX(GroupVertices[Group],MATCH(Vertices[[#This Row],[Vertex]],GroupVertices[Vertex],0)),1,1,"")</f>
        <v>7</v>
      </c>
      <c r="AP51" s="49">
        <v>3</v>
      </c>
      <c r="AQ51" s="50">
        <v>5.769230769230769</v>
      </c>
      <c r="AR51" s="49">
        <v>2</v>
      </c>
      <c r="AS51" s="50">
        <v>3.8461538461538463</v>
      </c>
      <c r="AT51" s="49">
        <v>0</v>
      </c>
      <c r="AU51" s="50">
        <v>0</v>
      </c>
      <c r="AV51" s="49">
        <v>47</v>
      </c>
      <c r="AW51" s="50">
        <v>90.38461538461539</v>
      </c>
      <c r="AX51" s="49">
        <v>52</v>
      </c>
      <c r="AY51" s="49"/>
      <c r="AZ51" s="49"/>
      <c r="BA51" s="49"/>
      <c r="BB51" s="49"/>
      <c r="BC51" s="2"/>
      <c r="BD51" s="3"/>
      <c r="BE51" s="3"/>
      <c r="BF51" s="3"/>
      <c r="BG51" s="3"/>
    </row>
    <row r="52" spans="1:59" ht="15">
      <c r="A52" s="65" t="s">
        <v>238</v>
      </c>
      <c r="B52" s="66" t="s">
        <v>3536</v>
      </c>
      <c r="C52" s="66"/>
      <c r="D52" s="67">
        <v>212.5</v>
      </c>
      <c r="E52" s="69">
        <v>50</v>
      </c>
      <c r="F52" s="96" t="str">
        <f>HYPERLINK("https://i.ytimg.com/vi/P0Q6YV9GmpI/default.jpg")</f>
        <v>https://i.ytimg.com/vi/P0Q6YV9GmpI/default.jpg</v>
      </c>
      <c r="G52" s="66"/>
      <c r="H52" s="70" t="s">
        <v>643</v>
      </c>
      <c r="I52" s="71"/>
      <c r="J52" s="71" t="s">
        <v>159</v>
      </c>
      <c r="K52" s="70" t="s">
        <v>643</v>
      </c>
      <c r="L52" s="74">
        <v>1.0135822448294745</v>
      </c>
      <c r="M52" s="75">
        <v>7107.001953125</v>
      </c>
      <c r="N52" s="75">
        <v>3225.769287109375</v>
      </c>
      <c r="O52" s="76"/>
      <c r="P52" s="77"/>
      <c r="Q52" s="77"/>
      <c r="R52" s="82"/>
      <c r="S52" s="49">
        <v>1</v>
      </c>
      <c r="T52" s="49">
        <v>0</v>
      </c>
      <c r="U52" s="50">
        <v>0</v>
      </c>
      <c r="V52" s="50">
        <v>0.000895</v>
      </c>
      <c r="W52" s="50">
        <v>0.001708</v>
      </c>
      <c r="X52" s="50">
        <v>0.392961</v>
      </c>
      <c r="Y52" s="50">
        <v>0</v>
      </c>
      <c r="Z52" s="50">
        <v>0</v>
      </c>
      <c r="AA52" s="72">
        <v>22</v>
      </c>
      <c r="AB52" s="72"/>
      <c r="AC52" s="73"/>
      <c r="AD52" s="80" t="s">
        <v>643</v>
      </c>
      <c r="AE52" s="80" t="s">
        <v>1040</v>
      </c>
      <c r="AF52" s="80" t="s">
        <v>1407</v>
      </c>
      <c r="AG52" s="80" t="s">
        <v>1693</v>
      </c>
      <c r="AH52" s="80" t="s">
        <v>1934</v>
      </c>
      <c r="AI52" s="80">
        <v>320</v>
      </c>
      <c r="AJ52" s="80">
        <v>0</v>
      </c>
      <c r="AK52" s="80">
        <v>3</v>
      </c>
      <c r="AL52" s="80">
        <v>0</v>
      </c>
      <c r="AM52" s="80" t="s">
        <v>2317</v>
      </c>
      <c r="AN52" s="98" t="str">
        <f>HYPERLINK("https://www.youtube.com/watch?v=P0Q6YV9GmpI")</f>
        <v>https://www.youtube.com/watch?v=P0Q6YV9GmpI</v>
      </c>
      <c r="AO52" s="80" t="str">
        <f>REPLACE(INDEX(GroupVertices[Group],MATCH(Vertices[[#This Row],[Vertex]],GroupVertices[Vertex],0)),1,1,"")</f>
        <v>7</v>
      </c>
      <c r="AP52" s="49">
        <v>0</v>
      </c>
      <c r="AQ52" s="50">
        <v>0</v>
      </c>
      <c r="AR52" s="49">
        <v>0</v>
      </c>
      <c r="AS52" s="50">
        <v>0</v>
      </c>
      <c r="AT52" s="49">
        <v>0</v>
      </c>
      <c r="AU52" s="50">
        <v>0</v>
      </c>
      <c r="AV52" s="49">
        <v>35</v>
      </c>
      <c r="AW52" s="50">
        <v>100</v>
      </c>
      <c r="AX52" s="49">
        <v>35</v>
      </c>
      <c r="AY52" s="49"/>
      <c r="AZ52" s="49"/>
      <c r="BA52" s="49"/>
      <c r="BB52" s="49"/>
      <c r="BC52" s="2"/>
      <c r="BD52" s="3"/>
      <c r="BE52" s="3"/>
      <c r="BF52" s="3"/>
      <c r="BG52" s="3"/>
    </row>
    <row r="53" spans="1:59" ht="15">
      <c r="A53" s="65" t="s">
        <v>239</v>
      </c>
      <c r="B53" s="66" t="s">
        <v>3536</v>
      </c>
      <c r="C53" s="66"/>
      <c r="D53" s="67">
        <v>212.5</v>
      </c>
      <c r="E53" s="69">
        <v>50</v>
      </c>
      <c r="F53" s="96" t="str">
        <f>HYPERLINK("https://i.ytimg.com/vi/8VqF3B9JTxA/default.jpg")</f>
        <v>https://i.ytimg.com/vi/8VqF3B9JTxA/default.jpg</v>
      </c>
      <c r="G53" s="66"/>
      <c r="H53" s="70" t="s">
        <v>644</v>
      </c>
      <c r="I53" s="71"/>
      <c r="J53" s="71" t="s">
        <v>159</v>
      </c>
      <c r="K53" s="70" t="s">
        <v>644</v>
      </c>
      <c r="L53" s="74">
        <v>1.0061537678839043</v>
      </c>
      <c r="M53" s="75">
        <v>8297.9921875</v>
      </c>
      <c r="N53" s="75">
        <v>3774.711181640625</v>
      </c>
      <c r="O53" s="76"/>
      <c r="P53" s="77"/>
      <c r="Q53" s="77"/>
      <c r="R53" s="82"/>
      <c r="S53" s="49">
        <v>1</v>
      </c>
      <c r="T53" s="49">
        <v>0</v>
      </c>
      <c r="U53" s="50">
        <v>0</v>
      </c>
      <c r="V53" s="50">
        <v>0.000895</v>
      </c>
      <c r="W53" s="50">
        <v>0.001708</v>
      </c>
      <c r="X53" s="50">
        <v>0.392961</v>
      </c>
      <c r="Y53" s="50">
        <v>0</v>
      </c>
      <c r="Z53" s="50">
        <v>0</v>
      </c>
      <c r="AA53" s="72">
        <v>23</v>
      </c>
      <c r="AB53" s="72"/>
      <c r="AC53" s="73"/>
      <c r="AD53" s="80" t="s">
        <v>644</v>
      </c>
      <c r="AE53" s="80" t="s">
        <v>1041</v>
      </c>
      <c r="AF53" s="80" t="s">
        <v>1408</v>
      </c>
      <c r="AG53" s="80" t="s">
        <v>1692</v>
      </c>
      <c r="AH53" s="80" t="s">
        <v>1935</v>
      </c>
      <c r="AI53" s="80">
        <v>151</v>
      </c>
      <c r="AJ53" s="80">
        <v>0</v>
      </c>
      <c r="AK53" s="80">
        <v>1</v>
      </c>
      <c r="AL53" s="80">
        <v>0</v>
      </c>
      <c r="AM53" s="80" t="s">
        <v>2317</v>
      </c>
      <c r="AN53" s="98" t="str">
        <f>HYPERLINK("https://www.youtube.com/watch?v=8VqF3B9JTxA")</f>
        <v>https://www.youtube.com/watch?v=8VqF3B9JTxA</v>
      </c>
      <c r="AO53" s="80" t="str">
        <f>REPLACE(INDEX(GroupVertices[Group],MATCH(Vertices[[#This Row],[Vertex]],GroupVertices[Vertex],0)),1,1,"")</f>
        <v>7</v>
      </c>
      <c r="AP53" s="49">
        <v>4</v>
      </c>
      <c r="AQ53" s="50">
        <v>8.695652173913043</v>
      </c>
      <c r="AR53" s="49">
        <v>2</v>
      </c>
      <c r="AS53" s="50">
        <v>4.3478260869565215</v>
      </c>
      <c r="AT53" s="49">
        <v>0</v>
      </c>
      <c r="AU53" s="50">
        <v>0</v>
      </c>
      <c r="AV53" s="49">
        <v>40</v>
      </c>
      <c r="AW53" s="50">
        <v>86.95652173913044</v>
      </c>
      <c r="AX53" s="49">
        <v>46</v>
      </c>
      <c r="AY53" s="49"/>
      <c r="AZ53" s="49"/>
      <c r="BA53" s="49"/>
      <c r="BB53" s="49"/>
      <c r="BC53" s="2"/>
      <c r="BD53" s="3"/>
      <c r="BE53" s="3"/>
      <c r="BF53" s="3"/>
      <c r="BG53" s="3"/>
    </row>
    <row r="54" spans="1:59" ht="15">
      <c r="A54" s="65" t="s">
        <v>240</v>
      </c>
      <c r="B54" s="66" t="s">
        <v>3536</v>
      </c>
      <c r="C54" s="66"/>
      <c r="D54" s="67">
        <v>212.5</v>
      </c>
      <c r="E54" s="69">
        <v>50</v>
      </c>
      <c r="F54" s="96" t="str">
        <f>HYPERLINK("https://i.ytimg.com/vi/ClAx7Sr-8os/default.jpg")</f>
        <v>https://i.ytimg.com/vi/ClAx7Sr-8os/default.jpg</v>
      </c>
      <c r="G54" s="66"/>
      <c r="H54" s="70" t="s">
        <v>645</v>
      </c>
      <c r="I54" s="71"/>
      <c r="J54" s="71" t="s">
        <v>159</v>
      </c>
      <c r="K54" s="70" t="s">
        <v>645</v>
      </c>
      <c r="L54" s="74">
        <v>1.0062856343385593</v>
      </c>
      <c r="M54" s="75">
        <v>5916.01123046875</v>
      </c>
      <c r="N54" s="75">
        <v>3225.769287109375</v>
      </c>
      <c r="O54" s="76"/>
      <c r="P54" s="77"/>
      <c r="Q54" s="77"/>
      <c r="R54" s="82"/>
      <c r="S54" s="49">
        <v>1</v>
      </c>
      <c r="T54" s="49">
        <v>0</v>
      </c>
      <c r="U54" s="50">
        <v>0</v>
      </c>
      <c r="V54" s="50">
        <v>0.000895</v>
      </c>
      <c r="W54" s="50">
        <v>0.001708</v>
      </c>
      <c r="X54" s="50">
        <v>0.392961</v>
      </c>
      <c r="Y54" s="50">
        <v>0</v>
      </c>
      <c r="Z54" s="50">
        <v>0</v>
      </c>
      <c r="AA54" s="72">
        <v>24</v>
      </c>
      <c r="AB54" s="72"/>
      <c r="AC54" s="73"/>
      <c r="AD54" s="80" t="s">
        <v>645</v>
      </c>
      <c r="AE54" s="80" t="s">
        <v>1042</v>
      </c>
      <c r="AF54" s="80" t="s">
        <v>1409</v>
      </c>
      <c r="AG54" s="80" t="s">
        <v>1692</v>
      </c>
      <c r="AH54" s="80" t="s">
        <v>1936</v>
      </c>
      <c r="AI54" s="80">
        <v>154</v>
      </c>
      <c r="AJ54" s="80">
        <v>0</v>
      </c>
      <c r="AK54" s="80">
        <v>2</v>
      </c>
      <c r="AL54" s="80">
        <v>0</v>
      </c>
      <c r="AM54" s="80" t="s">
        <v>2317</v>
      </c>
      <c r="AN54" s="98" t="str">
        <f>HYPERLINK("https://www.youtube.com/watch?v=ClAx7Sr-8os")</f>
        <v>https://www.youtube.com/watch?v=ClAx7Sr-8os</v>
      </c>
      <c r="AO54" s="80" t="str">
        <f>REPLACE(INDEX(GroupVertices[Group],MATCH(Vertices[[#This Row],[Vertex]],GroupVertices[Vertex],0)),1,1,"")</f>
        <v>7</v>
      </c>
      <c r="AP54" s="49">
        <v>3</v>
      </c>
      <c r="AQ54" s="50">
        <v>5.357142857142857</v>
      </c>
      <c r="AR54" s="49">
        <v>8</v>
      </c>
      <c r="AS54" s="50">
        <v>14.285714285714286</v>
      </c>
      <c r="AT54" s="49">
        <v>0</v>
      </c>
      <c r="AU54" s="50">
        <v>0</v>
      </c>
      <c r="AV54" s="49">
        <v>45</v>
      </c>
      <c r="AW54" s="50">
        <v>80.35714285714286</v>
      </c>
      <c r="AX54" s="49">
        <v>56</v>
      </c>
      <c r="AY54" s="49"/>
      <c r="AZ54" s="49"/>
      <c r="BA54" s="49"/>
      <c r="BB54" s="49"/>
      <c r="BC54" s="2"/>
      <c r="BD54" s="3"/>
      <c r="BE54" s="3"/>
      <c r="BF54" s="3"/>
      <c r="BG54" s="3"/>
    </row>
    <row r="55" spans="1:59" ht="15">
      <c r="A55" s="65" t="s">
        <v>241</v>
      </c>
      <c r="B55" s="66" t="s">
        <v>3536</v>
      </c>
      <c r="C55" s="66"/>
      <c r="D55" s="67">
        <v>212.5</v>
      </c>
      <c r="E55" s="69">
        <v>50</v>
      </c>
      <c r="F55" s="96" t="str">
        <f>HYPERLINK("https://i.ytimg.com/vi/kA_I1toW87M/default.jpg")</f>
        <v>https://i.ytimg.com/vi/kA_I1toW87M/default.jpg</v>
      </c>
      <c r="G55" s="66"/>
      <c r="H55" s="70" t="s">
        <v>646</v>
      </c>
      <c r="I55" s="71"/>
      <c r="J55" s="71" t="s">
        <v>159</v>
      </c>
      <c r="K55" s="70" t="s">
        <v>646</v>
      </c>
      <c r="L55" s="74">
        <v>1.004219726548963</v>
      </c>
      <c r="M55" s="75">
        <v>7107.001953125</v>
      </c>
      <c r="N55" s="75">
        <v>3774.711181640625</v>
      </c>
      <c r="O55" s="76"/>
      <c r="P55" s="77"/>
      <c r="Q55" s="77"/>
      <c r="R55" s="82"/>
      <c r="S55" s="49">
        <v>1</v>
      </c>
      <c r="T55" s="49">
        <v>0</v>
      </c>
      <c r="U55" s="50">
        <v>0</v>
      </c>
      <c r="V55" s="50">
        <v>0.000895</v>
      </c>
      <c r="W55" s="50">
        <v>0.001708</v>
      </c>
      <c r="X55" s="50">
        <v>0.392961</v>
      </c>
      <c r="Y55" s="50">
        <v>0</v>
      </c>
      <c r="Z55" s="50">
        <v>0</v>
      </c>
      <c r="AA55" s="72">
        <v>25</v>
      </c>
      <c r="AB55" s="72"/>
      <c r="AC55" s="73"/>
      <c r="AD55" s="80" t="s">
        <v>646</v>
      </c>
      <c r="AE55" s="80"/>
      <c r="AF55" s="80"/>
      <c r="AG55" s="80" t="s">
        <v>1692</v>
      </c>
      <c r="AH55" s="80" t="s">
        <v>1937</v>
      </c>
      <c r="AI55" s="80">
        <v>107</v>
      </c>
      <c r="AJ55" s="80">
        <v>0</v>
      </c>
      <c r="AK55" s="80">
        <v>5</v>
      </c>
      <c r="AL55" s="80">
        <v>0</v>
      </c>
      <c r="AM55" s="80" t="s">
        <v>2317</v>
      </c>
      <c r="AN55" s="98" t="str">
        <f>HYPERLINK("https://www.youtube.com/watch?v=kA_I1toW87M")</f>
        <v>https://www.youtube.com/watch?v=kA_I1toW87M</v>
      </c>
      <c r="AO55" s="80" t="str">
        <f>REPLACE(INDEX(GroupVertices[Group],MATCH(Vertices[[#This Row],[Vertex]],GroupVertices[Vertex],0)),1,1,"")</f>
        <v>7</v>
      </c>
      <c r="AP55" s="49"/>
      <c r="AQ55" s="50"/>
      <c r="AR55" s="49"/>
      <c r="AS55" s="50"/>
      <c r="AT55" s="49"/>
      <c r="AU55" s="50"/>
      <c r="AV55" s="49"/>
      <c r="AW55" s="50"/>
      <c r="AX55" s="49"/>
      <c r="AY55" s="49"/>
      <c r="AZ55" s="49"/>
      <c r="BA55" s="49"/>
      <c r="BB55" s="49"/>
      <c r="BC55" s="2"/>
      <c r="BD55" s="3"/>
      <c r="BE55" s="3"/>
      <c r="BF55" s="3"/>
      <c r="BG55" s="3"/>
    </row>
    <row r="56" spans="1:59" ht="15">
      <c r="A56" s="65" t="s">
        <v>242</v>
      </c>
      <c r="B56" s="66" t="s">
        <v>3536</v>
      </c>
      <c r="C56" s="66"/>
      <c r="D56" s="67">
        <v>212.5</v>
      </c>
      <c r="E56" s="69">
        <v>50</v>
      </c>
      <c r="F56" s="96" t="str">
        <f>HYPERLINK("https://i.ytimg.com/vi/oznOXfualfA/default.jpg")</f>
        <v>https://i.ytimg.com/vi/oznOXfualfA/default.jpg</v>
      </c>
      <c r="G56" s="66"/>
      <c r="H56" s="70" t="s">
        <v>647</v>
      </c>
      <c r="I56" s="71"/>
      <c r="J56" s="71" t="s">
        <v>159</v>
      </c>
      <c r="K56" s="70" t="s">
        <v>647</v>
      </c>
      <c r="L56" s="74">
        <v>1.0045713704280432</v>
      </c>
      <c r="M56" s="75">
        <v>7900.9951171875</v>
      </c>
      <c r="N56" s="75">
        <v>3774.711181640625</v>
      </c>
      <c r="O56" s="76"/>
      <c r="P56" s="77"/>
      <c r="Q56" s="77"/>
      <c r="R56" s="82"/>
      <c r="S56" s="49">
        <v>1</v>
      </c>
      <c r="T56" s="49">
        <v>0</v>
      </c>
      <c r="U56" s="50">
        <v>0</v>
      </c>
      <c r="V56" s="50">
        <v>0.000895</v>
      </c>
      <c r="W56" s="50">
        <v>0.001708</v>
      </c>
      <c r="X56" s="50">
        <v>0.392961</v>
      </c>
      <c r="Y56" s="50">
        <v>0</v>
      </c>
      <c r="Z56" s="50">
        <v>0</v>
      </c>
      <c r="AA56" s="72">
        <v>26</v>
      </c>
      <c r="AB56" s="72"/>
      <c r="AC56" s="73"/>
      <c r="AD56" s="80" t="s">
        <v>647</v>
      </c>
      <c r="AE56" s="80" t="s">
        <v>1043</v>
      </c>
      <c r="AF56" s="80" t="s">
        <v>1410</v>
      </c>
      <c r="AG56" s="80" t="s">
        <v>1692</v>
      </c>
      <c r="AH56" s="80" t="s">
        <v>1938</v>
      </c>
      <c r="AI56" s="80">
        <v>115</v>
      </c>
      <c r="AJ56" s="80">
        <v>0</v>
      </c>
      <c r="AK56" s="80">
        <v>3</v>
      </c>
      <c r="AL56" s="80">
        <v>0</v>
      </c>
      <c r="AM56" s="80" t="s">
        <v>2317</v>
      </c>
      <c r="AN56" s="98" t="str">
        <f>HYPERLINK("https://www.youtube.com/watch?v=oznOXfualfA")</f>
        <v>https://www.youtube.com/watch?v=oznOXfualfA</v>
      </c>
      <c r="AO56" s="80" t="str">
        <f>REPLACE(INDEX(GroupVertices[Group],MATCH(Vertices[[#This Row],[Vertex]],GroupVertices[Vertex],0)),1,1,"")</f>
        <v>7</v>
      </c>
      <c r="AP56" s="49">
        <v>2</v>
      </c>
      <c r="AQ56" s="50">
        <v>4.651162790697675</v>
      </c>
      <c r="AR56" s="49">
        <v>0</v>
      </c>
      <c r="AS56" s="50">
        <v>0</v>
      </c>
      <c r="AT56" s="49">
        <v>0</v>
      </c>
      <c r="AU56" s="50">
        <v>0</v>
      </c>
      <c r="AV56" s="49">
        <v>41</v>
      </c>
      <c r="AW56" s="50">
        <v>95.34883720930233</v>
      </c>
      <c r="AX56" s="49">
        <v>43</v>
      </c>
      <c r="AY56" s="49"/>
      <c r="AZ56" s="49"/>
      <c r="BA56" s="49"/>
      <c r="BB56" s="49"/>
      <c r="BC56" s="2"/>
      <c r="BD56" s="3"/>
      <c r="BE56" s="3"/>
      <c r="BF56" s="3"/>
      <c r="BG56" s="3"/>
    </row>
    <row r="57" spans="1:59" ht="15">
      <c r="A57" s="65" t="s">
        <v>243</v>
      </c>
      <c r="B57" s="66" t="s">
        <v>3536</v>
      </c>
      <c r="C57" s="66"/>
      <c r="D57" s="67">
        <v>212.5</v>
      </c>
      <c r="E57" s="69">
        <v>50</v>
      </c>
      <c r="F57" s="96" t="str">
        <f>HYPERLINK("https://i.ytimg.com/vi/xjZmCZnRmsI/default.jpg")</f>
        <v>https://i.ytimg.com/vi/xjZmCZnRmsI/default.jpg</v>
      </c>
      <c r="G57" s="66"/>
      <c r="H57" s="70" t="s">
        <v>648</v>
      </c>
      <c r="I57" s="71"/>
      <c r="J57" s="71" t="s">
        <v>159</v>
      </c>
      <c r="K57" s="70" t="s">
        <v>648</v>
      </c>
      <c r="L57" s="74">
        <v>1.2104588616295273</v>
      </c>
      <c r="M57" s="75">
        <v>7107.001953125</v>
      </c>
      <c r="N57" s="75">
        <v>2127.886474609375</v>
      </c>
      <c r="O57" s="76"/>
      <c r="P57" s="77"/>
      <c r="Q57" s="77"/>
      <c r="R57" s="82"/>
      <c r="S57" s="49">
        <v>1</v>
      </c>
      <c r="T57" s="49">
        <v>0</v>
      </c>
      <c r="U57" s="50">
        <v>0</v>
      </c>
      <c r="V57" s="50">
        <v>0.000895</v>
      </c>
      <c r="W57" s="50">
        <v>0.001708</v>
      </c>
      <c r="X57" s="50">
        <v>0.392961</v>
      </c>
      <c r="Y57" s="50">
        <v>0</v>
      </c>
      <c r="Z57" s="50">
        <v>0</v>
      </c>
      <c r="AA57" s="72">
        <v>27</v>
      </c>
      <c r="AB57" s="72"/>
      <c r="AC57" s="73"/>
      <c r="AD57" s="80" t="s">
        <v>648</v>
      </c>
      <c r="AE57" s="80" t="s">
        <v>1044</v>
      </c>
      <c r="AF57" s="80" t="s">
        <v>1411</v>
      </c>
      <c r="AG57" s="80" t="s">
        <v>1694</v>
      </c>
      <c r="AH57" s="80" t="s">
        <v>1939</v>
      </c>
      <c r="AI57" s="80">
        <v>4799</v>
      </c>
      <c r="AJ57" s="80">
        <v>0</v>
      </c>
      <c r="AK57" s="80">
        <v>17</v>
      </c>
      <c r="AL57" s="80">
        <v>5</v>
      </c>
      <c r="AM57" s="80" t="s">
        <v>2317</v>
      </c>
      <c r="AN57" s="98" t="str">
        <f>HYPERLINK("https://www.youtube.com/watch?v=xjZmCZnRmsI")</f>
        <v>https://www.youtube.com/watch?v=xjZmCZnRmsI</v>
      </c>
      <c r="AO57" s="80" t="str">
        <f>REPLACE(INDEX(GroupVertices[Group],MATCH(Vertices[[#This Row],[Vertex]],GroupVertices[Vertex],0)),1,1,"")</f>
        <v>7</v>
      </c>
      <c r="AP57" s="49">
        <v>0</v>
      </c>
      <c r="AQ57" s="50">
        <v>0</v>
      </c>
      <c r="AR57" s="49">
        <v>4</v>
      </c>
      <c r="AS57" s="50">
        <v>17.391304347826086</v>
      </c>
      <c r="AT57" s="49">
        <v>0</v>
      </c>
      <c r="AU57" s="50">
        <v>0</v>
      </c>
      <c r="AV57" s="49">
        <v>19</v>
      </c>
      <c r="AW57" s="50">
        <v>82.6086956521739</v>
      </c>
      <c r="AX57" s="49">
        <v>23</v>
      </c>
      <c r="AY57" s="49"/>
      <c r="AZ57" s="49"/>
      <c r="BA57" s="49"/>
      <c r="BB57" s="49"/>
      <c r="BC57" s="2"/>
      <c r="BD57" s="3"/>
      <c r="BE57" s="3"/>
      <c r="BF57" s="3"/>
      <c r="BG57" s="3"/>
    </row>
    <row r="58" spans="1:59" ht="15">
      <c r="A58" s="65" t="s">
        <v>244</v>
      </c>
      <c r="B58" s="66" t="s">
        <v>3536</v>
      </c>
      <c r="C58" s="66"/>
      <c r="D58" s="67">
        <v>212.5</v>
      </c>
      <c r="E58" s="69">
        <v>50</v>
      </c>
      <c r="F58" s="96" t="str">
        <f>HYPERLINK("https://i.ytimg.com/vi/l5eXRUMiNqU/default.jpg")</f>
        <v>https://i.ytimg.com/vi/l5eXRUMiNqU/default.jpg</v>
      </c>
      <c r="G58" s="66"/>
      <c r="H58" s="70" t="s">
        <v>649</v>
      </c>
      <c r="I58" s="71"/>
      <c r="J58" s="71" t="s">
        <v>159</v>
      </c>
      <c r="K58" s="70" t="s">
        <v>649</v>
      </c>
      <c r="L58" s="74">
        <v>1.0515597837701411</v>
      </c>
      <c r="M58" s="75">
        <v>5916.01123046875</v>
      </c>
      <c r="N58" s="75">
        <v>2676.828369140625</v>
      </c>
      <c r="O58" s="76"/>
      <c r="P58" s="77"/>
      <c r="Q58" s="77"/>
      <c r="R58" s="82"/>
      <c r="S58" s="49">
        <v>1</v>
      </c>
      <c r="T58" s="49">
        <v>0</v>
      </c>
      <c r="U58" s="50">
        <v>0</v>
      </c>
      <c r="V58" s="50">
        <v>0.000895</v>
      </c>
      <c r="W58" s="50">
        <v>0.001708</v>
      </c>
      <c r="X58" s="50">
        <v>0.392961</v>
      </c>
      <c r="Y58" s="50">
        <v>0</v>
      </c>
      <c r="Z58" s="50">
        <v>0</v>
      </c>
      <c r="AA58" s="72">
        <v>28</v>
      </c>
      <c r="AB58" s="72"/>
      <c r="AC58" s="73"/>
      <c r="AD58" s="80" t="s">
        <v>649</v>
      </c>
      <c r="AE58" s="80" t="s">
        <v>1045</v>
      </c>
      <c r="AF58" s="80" t="s">
        <v>1412</v>
      </c>
      <c r="AG58" s="80" t="s">
        <v>1692</v>
      </c>
      <c r="AH58" s="80" t="s">
        <v>1940</v>
      </c>
      <c r="AI58" s="80">
        <v>1184</v>
      </c>
      <c r="AJ58" s="80">
        <v>0</v>
      </c>
      <c r="AK58" s="80">
        <v>12</v>
      </c>
      <c r="AL58" s="80">
        <v>0</v>
      </c>
      <c r="AM58" s="80" t="s">
        <v>2317</v>
      </c>
      <c r="AN58" s="98" t="str">
        <f>HYPERLINK("https://www.youtube.com/watch?v=l5eXRUMiNqU")</f>
        <v>https://www.youtube.com/watch?v=l5eXRUMiNqU</v>
      </c>
      <c r="AO58" s="80" t="str">
        <f>REPLACE(INDEX(GroupVertices[Group],MATCH(Vertices[[#This Row],[Vertex]],GroupVertices[Vertex],0)),1,1,"")</f>
        <v>7</v>
      </c>
      <c r="AP58" s="49">
        <v>0</v>
      </c>
      <c r="AQ58" s="50">
        <v>0</v>
      </c>
      <c r="AR58" s="49">
        <v>1</v>
      </c>
      <c r="AS58" s="50">
        <v>1.639344262295082</v>
      </c>
      <c r="AT58" s="49">
        <v>0</v>
      </c>
      <c r="AU58" s="50">
        <v>0</v>
      </c>
      <c r="AV58" s="49">
        <v>60</v>
      </c>
      <c r="AW58" s="50">
        <v>98.36065573770492</v>
      </c>
      <c r="AX58" s="49">
        <v>61</v>
      </c>
      <c r="AY58" s="49"/>
      <c r="AZ58" s="49"/>
      <c r="BA58" s="49"/>
      <c r="BB58" s="49"/>
      <c r="BC58" s="2"/>
      <c r="BD58" s="3"/>
      <c r="BE58" s="3"/>
      <c r="BF58" s="3"/>
      <c r="BG58" s="3"/>
    </row>
    <row r="59" spans="1:59" ht="15">
      <c r="A59" s="65" t="s">
        <v>245</v>
      </c>
      <c r="B59" s="66" t="s">
        <v>3536</v>
      </c>
      <c r="C59" s="66"/>
      <c r="D59" s="67">
        <v>212.5</v>
      </c>
      <c r="E59" s="69">
        <v>50</v>
      </c>
      <c r="F59" s="96" t="str">
        <f>HYPERLINK("https://i.ytimg.com/vi/A8ZK4VWmbGc/default.jpg")</f>
        <v>https://i.ytimg.com/vi/A8ZK4VWmbGc/default.jpg</v>
      </c>
      <c r="G59" s="66"/>
      <c r="H59" s="70" t="s">
        <v>650</v>
      </c>
      <c r="I59" s="71"/>
      <c r="J59" s="71" t="s">
        <v>159</v>
      </c>
      <c r="K59" s="70" t="s">
        <v>650</v>
      </c>
      <c r="L59" s="74">
        <v>11.515646470985448</v>
      </c>
      <c r="M59" s="75">
        <v>6313.0087890625</v>
      </c>
      <c r="N59" s="75">
        <v>481.0614929199219</v>
      </c>
      <c r="O59" s="76"/>
      <c r="P59" s="77"/>
      <c r="Q59" s="77"/>
      <c r="R59" s="82"/>
      <c r="S59" s="49">
        <v>1</v>
      </c>
      <c r="T59" s="49">
        <v>0</v>
      </c>
      <c r="U59" s="50">
        <v>0</v>
      </c>
      <c r="V59" s="50">
        <v>0.000895</v>
      </c>
      <c r="W59" s="50">
        <v>0.001708</v>
      </c>
      <c r="X59" s="50">
        <v>0.392961</v>
      </c>
      <c r="Y59" s="50">
        <v>0</v>
      </c>
      <c r="Z59" s="50">
        <v>0</v>
      </c>
      <c r="AA59" s="72">
        <v>29</v>
      </c>
      <c r="AB59" s="72"/>
      <c r="AC59" s="73"/>
      <c r="AD59" s="80" t="s">
        <v>650</v>
      </c>
      <c r="AE59" s="80" t="s">
        <v>1046</v>
      </c>
      <c r="AF59" s="80" t="s">
        <v>1413</v>
      </c>
      <c r="AG59" s="80" t="s">
        <v>1695</v>
      </c>
      <c r="AH59" s="80" t="s">
        <v>1941</v>
      </c>
      <c r="AI59" s="80">
        <v>239245</v>
      </c>
      <c r="AJ59" s="80">
        <v>156</v>
      </c>
      <c r="AK59" s="80">
        <v>1499</v>
      </c>
      <c r="AL59" s="80">
        <v>46</v>
      </c>
      <c r="AM59" s="80" t="s">
        <v>2317</v>
      </c>
      <c r="AN59" s="98" t="str">
        <f>HYPERLINK("https://www.youtube.com/watch?v=A8ZK4VWmbGc")</f>
        <v>https://www.youtube.com/watch?v=A8ZK4VWmbGc</v>
      </c>
      <c r="AO59" s="80" t="str">
        <f>REPLACE(INDEX(GroupVertices[Group],MATCH(Vertices[[#This Row],[Vertex]],GroupVertices[Vertex],0)),1,1,"")</f>
        <v>7</v>
      </c>
      <c r="AP59" s="49">
        <v>0</v>
      </c>
      <c r="AQ59" s="50">
        <v>0</v>
      </c>
      <c r="AR59" s="49">
        <v>2</v>
      </c>
      <c r="AS59" s="50">
        <v>14.285714285714286</v>
      </c>
      <c r="AT59" s="49">
        <v>0</v>
      </c>
      <c r="AU59" s="50">
        <v>0</v>
      </c>
      <c r="AV59" s="49">
        <v>12</v>
      </c>
      <c r="AW59" s="50">
        <v>85.71428571428571</v>
      </c>
      <c r="AX59" s="49">
        <v>14</v>
      </c>
      <c r="AY59" s="49"/>
      <c r="AZ59" s="49"/>
      <c r="BA59" s="49"/>
      <c r="BB59" s="49"/>
      <c r="BC59" s="2"/>
      <c r="BD59" s="3"/>
      <c r="BE59" s="3"/>
      <c r="BF59" s="3"/>
      <c r="BG59" s="3"/>
    </row>
    <row r="60" spans="1:59" ht="15">
      <c r="A60" s="65" t="s">
        <v>246</v>
      </c>
      <c r="B60" s="66" t="s">
        <v>3536</v>
      </c>
      <c r="C60" s="66"/>
      <c r="D60" s="67">
        <v>212.5</v>
      </c>
      <c r="E60" s="69">
        <v>50</v>
      </c>
      <c r="F60" s="96" t="str">
        <f>HYPERLINK("https://i.ytimg.com/vi/7Pq-S557XQU/default.jpg")</f>
        <v>https://i.ytimg.com/vi/7Pq-S557XQU/default.jpg</v>
      </c>
      <c r="G60" s="66"/>
      <c r="H60" s="70" t="s">
        <v>651</v>
      </c>
      <c r="I60" s="71"/>
      <c r="J60" s="71" t="s">
        <v>159</v>
      </c>
      <c r="K60" s="70" t="s">
        <v>651</v>
      </c>
      <c r="L60" s="74">
        <v>620.4136601222717</v>
      </c>
      <c r="M60" s="75">
        <v>7900.9951171875</v>
      </c>
      <c r="N60" s="75">
        <v>481.0614929199219</v>
      </c>
      <c r="O60" s="76"/>
      <c r="P60" s="77"/>
      <c r="Q60" s="77"/>
      <c r="R60" s="82"/>
      <c r="S60" s="49">
        <v>1</v>
      </c>
      <c r="T60" s="49">
        <v>0</v>
      </c>
      <c r="U60" s="50">
        <v>0</v>
      </c>
      <c r="V60" s="50">
        <v>0.000895</v>
      </c>
      <c r="W60" s="50">
        <v>0.001708</v>
      </c>
      <c r="X60" s="50">
        <v>0.392961</v>
      </c>
      <c r="Y60" s="50">
        <v>0</v>
      </c>
      <c r="Z60" s="50">
        <v>0</v>
      </c>
      <c r="AA60" s="72">
        <v>30</v>
      </c>
      <c r="AB60" s="72"/>
      <c r="AC60" s="73"/>
      <c r="AD60" s="80" t="s">
        <v>651</v>
      </c>
      <c r="AE60" s="80" t="s">
        <v>1047</v>
      </c>
      <c r="AF60" s="80" t="s">
        <v>1414</v>
      </c>
      <c r="AG60" s="80" t="s">
        <v>1696</v>
      </c>
      <c r="AH60" s="80" t="s">
        <v>1942</v>
      </c>
      <c r="AI60" s="80">
        <v>14091851</v>
      </c>
      <c r="AJ60" s="80">
        <v>48306</v>
      </c>
      <c r="AK60" s="80">
        <v>308466</v>
      </c>
      <c r="AL60" s="80">
        <v>6299</v>
      </c>
      <c r="AM60" s="80" t="s">
        <v>2317</v>
      </c>
      <c r="AN60" s="98" t="str">
        <f>HYPERLINK("https://www.youtube.com/watch?v=7Pq-S557XQU")</f>
        <v>https://www.youtube.com/watch?v=7Pq-S557XQU</v>
      </c>
      <c r="AO60" s="80" t="str">
        <f>REPLACE(INDEX(GroupVertices[Group],MATCH(Vertices[[#This Row],[Vertex]],GroupVertices[Vertex],0)),1,1,"")</f>
        <v>7</v>
      </c>
      <c r="AP60" s="49">
        <v>2</v>
      </c>
      <c r="AQ60" s="50">
        <v>7.142857142857143</v>
      </c>
      <c r="AR60" s="49">
        <v>0</v>
      </c>
      <c r="AS60" s="50">
        <v>0</v>
      </c>
      <c r="AT60" s="49">
        <v>0</v>
      </c>
      <c r="AU60" s="50">
        <v>0</v>
      </c>
      <c r="AV60" s="49">
        <v>26</v>
      </c>
      <c r="AW60" s="50">
        <v>92.85714285714286</v>
      </c>
      <c r="AX60" s="49">
        <v>28</v>
      </c>
      <c r="AY60" s="49"/>
      <c r="AZ60" s="49"/>
      <c r="BA60" s="49"/>
      <c r="BB60" s="49"/>
      <c r="BC60" s="2"/>
      <c r="BD60" s="3"/>
      <c r="BE60" s="3"/>
      <c r="BF60" s="3"/>
      <c r="BG60" s="3"/>
    </row>
    <row r="61" spans="1:59" ht="15">
      <c r="A61" s="65" t="s">
        <v>247</v>
      </c>
      <c r="B61" s="66" t="s">
        <v>3536</v>
      </c>
      <c r="C61" s="66"/>
      <c r="D61" s="67">
        <v>212.5</v>
      </c>
      <c r="E61" s="69">
        <v>50</v>
      </c>
      <c r="F61" s="96" t="str">
        <f>HYPERLINK("https://i.ytimg.com/vi/_XRED5LqkL4/default.jpg")</f>
        <v>https://i.ytimg.com/vi/_XRED5LqkL4/default.jpg</v>
      </c>
      <c r="G61" s="66"/>
      <c r="H61" s="70" t="s">
        <v>652</v>
      </c>
      <c r="I61" s="71"/>
      <c r="J61" s="71" t="s">
        <v>159</v>
      </c>
      <c r="K61" s="70" t="s">
        <v>652</v>
      </c>
      <c r="L61" s="74">
        <v>1.0078680317944204</v>
      </c>
      <c r="M61" s="75">
        <v>6710.00537109375</v>
      </c>
      <c r="N61" s="75">
        <v>3225.769287109375</v>
      </c>
      <c r="O61" s="76"/>
      <c r="P61" s="77"/>
      <c r="Q61" s="77"/>
      <c r="R61" s="82"/>
      <c r="S61" s="49">
        <v>1</v>
      </c>
      <c r="T61" s="49">
        <v>0</v>
      </c>
      <c r="U61" s="50">
        <v>0</v>
      </c>
      <c r="V61" s="50">
        <v>0.000895</v>
      </c>
      <c r="W61" s="50">
        <v>0.001708</v>
      </c>
      <c r="X61" s="50">
        <v>0.392961</v>
      </c>
      <c r="Y61" s="50">
        <v>0</v>
      </c>
      <c r="Z61" s="50">
        <v>0</v>
      </c>
      <c r="AA61" s="72">
        <v>31</v>
      </c>
      <c r="AB61" s="72"/>
      <c r="AC61" s="73"/>
      <c r="AD61" s="80" t="s">
        <v>652</v>
      </c>
      <c r="AE61" s="80"/>
      <c r="AF61" s="80"/>
      <c r="AG61" s="80" t="s">
        <v>1697</v>
      </c>
      <c r="AH61" s="80" t="s">
        <v>1943</v>
      </c>
      <c r="AI61" s="80">
        <v>190</v>
      </c>
      <c r="AJ61" s="80">
        <v>0</v>
      </c>
      <c r="AK61" s="80">
        <v>3</v>
      </c>
      <c r="AL61" s="80">
        <v>0</v>
      </c>
      <c r="AM61" s="80" t="s">
        <v>2317</v>
      </c>
      <c r="AN61" s="98" t="str">
        <f>HYPERLINK("https://www.youtube.com/watch?v=_XRED5LqkL4")</f>
        <v>https://www.youtube.com/watch?v=_XRED5LqkL4</v>
      </c>
      <c r="AO61" s="80" t="str">
        <f>REPLACE(INDEX(GroupVertices[Group],MATCH(Vertices[[#This Row],[Vertex]],GroupVertices[Vertex],0)),1,1,"")</f>
        <v>7</v>
      </c>
      <c r="AP61" s="49"/>
      <c r="AQ61" s="50"/>
      <c r="AR61" s="49"/>
      <c r="AS61" s="50"/>
      <c r="AT61" s="49"/>
      <c r="AU61" s="50"/>
      <c r="AV61" s="49"/>
      <c r="AW61" s="50"/>
      <c r="AX61" s="49"/>
      <c r="AY61" s="49"/>
      <c r="AZ61" s="49"/>
      <c r="BA61" s="49"/>
      <c r="BB61" s="49"/>
      <c r="BC61" s="2"/>
      <c r="BD61" s="3"/>
      <c r="BE61" s="3"/>
      <c r="BF61" s="3"/>
      <c r="BG61" s="3"/>
    </row>
    <row r="62" spans="1:59" ht="15">
      <c r="A62" s="65" t="s">
        <v>248</v>
      </c>
      <c r="B62" s="66" t="s">
        <v>3536</v>
      </c>
      <c r="C62" s="66"/>
      <c r="D62" s="67">
        <v>212.5</v>
      </c>
      <c r="E62" s="69">
        <v>50</v>
      </c>
      <c r="F62" s="96" t="str">
        <f>HYPERLINK("https://i.ytimg.com/vi/oLeDTXnaGkw/default.jpg")</f>
        <v>https://i.ytimg.com/vi/oLeDTXnaGkw/default.jpg</v>
      </c>
      <c r="G62" s="66"/>
      <c r="H62" s="70" t="s">
        <v>653</v>
      </c>
      <c r="I62" s="71"/>
      <c r="J62" s="71" t="s">
        <v>159</v>
      </c>
      <c r="K62" s="70" t="s">
        <v>653</v>
      </c>
      <c r="L62" s="74">
        <v>2.649429570310779</v>
      </c>
      <c r="M62" s="75">
        <v>5916.01123046875</v>
      </c>
      <c r="N62" s="75">
        <v>1030.00341796875</v>
      </c>
      <c r="O62" s="76"/>
      <c r="P62" s="77"/>
      <c r="Q62" s="77"/>
      <c r="R62" s="82"/>
      <c r="S62" s="49">
        <v>1</v>
      </c>
      <c r="T62" s="49">
        <v>0</v>
      </c>
      <c r="U62" s="50">
        <v>0</v>
      </c>
      <c r="V62" s="50">
        <v>0.000895</v>
      </c>
      <c r="W62" s="50">
        <v>0.001708</v>
      </c>
      <c r="X62" s="50">
        <v>0.392961</v>
      </c>
      <c r="Y62" s="50">
        <v>0</v>
      </c>
      <c r="Z62" s="50">
        <v>0</v>
      </c>
      <c r="AA62" s="72">
        <v>32</v>
      </c>
      <c r="AB62" s="72"/>
      <c r="AC62" s="73"/>
      <c r="AD62" s="80" t="s">
        <v>653</v>
      </c>
      <c r="AE62" s="80" t="s">
        <v>1048</v>
      </c>
      <c r="AF62" s="80" t="s">
        <v>1415</v>
      </c>
      <c r="AG62" s="80" t="s">
        <v>1698</v>
      </c>
      <c r="AH62" s="80" t="s">
        <v>1944</v>
      </c>
      <c r="AI62" s="80">
        <v>37536</v>
      </c>
      <c r="AJ62" s="80">
        <v>39</v>
      </c>
      <c r="AK62" s="80">
        <v>317</v>
      </c>
      <c r="AL62" s="80">
        <v>16</v>
      </c>
      <c r="AM62" s="80" t="s">
        <v>2317</v>
      </c>
      <c r="AN62" s="98" t="str">
        <f>HYPERLINK("https://www.youtube.com/watch?v=oLeDTXnaGkw")</f>
        <v>https://www.youtube.com/watch?v=oLeDTXnaGkw</v>
      </c>
      <c r="AO62" s="80" t="str">
        <f>REPLACE(INDEX(GroupVertices[Group],MATCH(Vertices[[#This Row],[Vertex]],GroupVertices[Vertex],0)),1,1,"")</f>
        <v>7</v>
      </c>
      <c r="AP62" s="49">
        <v>1</v>
      </c>
      <c r="AQ62" s="50">
        <v>2.7777777777777777</v>
      </c>
      <c r="AR62" s="49">
        <v>3</v>
      </c>
      <c r="AS62" s="50">
        <v>8.333333333333334</v>
      </c>
      <c r="AT62" s="49">
        <v>0</v>
      </c>
      <c r="AU62" s="50">
        <v>0</v>
      </c>
      <c r="AV62" s="49">
        <v>32</v>
      </c>
      <c r="AW62" s="50">
        <v>88.88888888888889</v>
      </c>
      <c r="AX62" s="49">
        <v>36</v>
      </c>
      <c r="AY62" s="49"/>
      <c r="AZ62" s="49"/>
      <c r="BA62" s="49"/>
      <c r="BB62" s="49"/>
      <c r="BC62" s="2"/>
      <c r="BD62" s="3"/>
      <c r="BE62" s="3"/>
      <c r="BF62" s="3"/>
      <c r="BG62" s="3"/>
    </row>
    <row r="63" spans="1:59" ht="15">
      <c r="A63" s="65" t="s">
        <v>249</v>
      </c>
      <c r="B63" s="66" t="s">
        <v>3536</v>
      </c>
      <c r="C63" s="66"/>
      <c r="D63" s="67">
        <v>212.5</v>
      </c>
      <c r="E63" s="69">
        <v>50</v>
      </c>
      <c r="F63" s="96" t="str">
        <f>HYPERLINK("https://i.ytimg.com/vi/MbuT_TY51_E/default.jpg")</f>
        <v>https://i.ytimg.com/vi/MbuT_TY51_E/default.jpg</v>
      </c>
      <c r="G63" s="66"/>
      <c r="H63" s="70" t="s">
        <v>654</v>
      </c>
      <c r="I63" s="71"/>
      <c r="J63" s="71" t="s">
        <v>159</v>
      </c>
      <c r="K63" s="70" t="s">
        <v>654</v>
      </c>
      <c r="L63" s="74">
        <v>216.77901374258695</v>
      </c>
      <c r="M63" s="75">
        <v>7107.001953125</v>
      </c>
      <c r="N63" s="75">
        <v>481.0614929199219</v>
      </c>
      <c r="O63" s="76"/>
      <c r="P63" s="77"/>
      <c r="Q63" s="77"/>
      <c r="R63" s="82"/>
      <c r="S63" s="49">
        <v>1</v>
      </c>
      <c r="T63" s="49">
        <v>0</v>
      </c>
      <c r="U63" s="50">
        <v>0</v>
      </c>
      <c r="V63" s="50">
        <v>0.000895</v>
      </c>
      <c r="W63" s="50">
        <v>0.001708</v>
      </c>
      <c r="X63" s="50">
        <v>0.392961</v>
      </c>
      <c r="Y63" s="50">
        <v>0</v>
      </c>
      <c r="Z63" s="50">
        <v>0</v>
      </c>
      <c r="AA63" s="72">
        <v>33</v>
      </c>
      <c r="AB63" s="72"/>
      <c r="AC63" s="73"/>
      <c r="AD63" s="80" t="s">
        <v>654</v>
      </c>
      <c r="AE63" s="80" t="s">
        <v>1049</v>
      </c>
      <c r="AF63" s="80"/>
      <c r="AG63" s="80" t="s">
        <v>1699</v>
      </c>
      <c r="AH63" s="80" t="s">
        <v>1945</v>
      </c>
      <c r="AI63" s="80">
        <v>4909046</v>
      </c>
      <c r="AJ63" s="80">
        <v>6974</v>
      </c>
      <c r="AK63" s="80">
        <v>94881</v>
      </c>
      <c r="AL63" s="80">
        <v>3020</v>
      </c>
      <c r="AM63" s="80" t="s">
        <v>2317</v>
      </c>
      <c r="AN63" s="98" t="str">
        <f>HYPERLINK("https://www.youtube.com/watch?v=MbuT_TY51_E")</f>
        <v>https://www.youtube.com/watch?v=MbuT_TY51_E</v>
      </c>
      <c r="AO63" s="80" t="str">
        <f>REPLACE(INDEX(GroupVertices[Group],MATCH(Vertices[[#This Row],[Vertex]],GroupVertices[Vertex],0)),1,1,"")</f>
        <v>7</v>
      </c>
      <c r="AP63" s="49"/>
      <c r="AQ63" s="50"/>
      <c r="AR63" s="49"/>
      <c r="AS63" s="50"/>
      <c r="AT63" s="49"/>
      <c r="AU63" s="50"/>
      <c r="AV63" s="49"/>
      <c r="AW63" s="50"/>
      <c r="AX63" s="49"/>
      <c r="AY63" s="49"/>
      <c r="AZ63" s="49"/>
      <c r="BA63" s="49"/>
      <c r="BB63" s="49"/>
      <c r="BC63" s="2"/>
      <c r="BD63" s="3"/>
      <c r="BE63" s="3"/>
      <c r="BF63" s="3"/>
      <c r="BG63" s="3"/>
    </row>
    <row r="64" spans="1:59" ht="15">
      <c r="A64" s="65" t="s">
        <v>250</v>
      </c>
      <c r="B64" s="66" t="s">
        <v>3536</v>
      </c>
      <c r="C64" s="66"/>
      <c r="D64" s="67">
        <v>212.5</v>
      </c>
      <c r="E64" s="69">
        <v>50</v>
      </c>
      <c r="F64" s="96" t="str">
        <f>HYPERLINK("https://i.ytimg.com/vi/d-5553Tzhpg/default.jpg")</f>
        <v>https://i.ytimg.com/vi/d-5553Tzhpg/default.jpg</v>
      </c>
      <c r="G64" s="66"/>
      <c r="H64" s="70" t="s">
        <v>655</v>
      </c>
      <c r="I64" s="71"/>
      <c r="J64" s="71" t="s">
        <v>159</v>
      </c>
      <c r="K64" s="70" t="s">
        <v>655</v>
      </c>
      <c r="L64" s="74">
        <v>1.0044395039733882</v>
      </c>
      <c r="M64" s="75">
        <v>7503.99853515625</v>
      </c>
      <c r="N64" s="75">
        <v>3774.711181640625</v>
      </c>
      <c r="O64" s="76"/>
      <c r="P64" s="77"/>
      <c r="Q64" s="77"/>
      <c r="R64" s="82"/>
      <c r="S64" s="49">
        <v>1</v>
      </c>
      <c r="T64" s="49">
        <v>0</v>
      </c>
      <c r="U64" s="50">
        <v>0</v>
      </c>
      <c r="V64" s="50">
        <v>0.000895</v>
      </c>
      <c r="W64" s="50">
        <v>0.001708</v>
      </c>
      <c r="X64" s="50">
        <v>0.392961</v>
      </c>
      <c r="Y64" s="50">
        <v>0</v>
      </c>
      <c r="Z64" s="50">
        <v>0</v>
      </c>
      <c r="AA64" s="72">
        <v>34</v>
      </c>
      <c r="AB64" s="72"/>
      <c r="AC64" s="73"/>
      <c r="AD64" s="80" t="s">
        <v>655</v>
      </c>
      <c r="AE64" s="80" t="s">
        <v>1050</v>
      </c>
      <c r="AF64" s="80" t="s">
        <v>1416</v>
      </c>
      <c r="AG64" s="80" t="s">
        <v>1692</v>
      </c>
      <c r="AH64" s="80" t="s">
        <v>1946</v>
      </c>
      <c r="AI64" s="80">
        <v>112</v>
      </c>
      <c r="AJ64" s="80">
        <v>1</v>
      </c>
      <c r="AK64" s="80">
        <v>4</v>
      </c>
      <c r="AL64" s="80">
        <v>0</v>
      </c>
      <c r="AM64" s="80" t="s">
        <v>2317</v>
      </c>
      <c r="AN64" s="98" t="str">
        <f>HYPERLINK("https://www.youtube.com/watch?v=d-5553Tzhpg")</f>
        <v>https://www.youtube.com/watch?v=d-5553Tzhpg</v>
      </c>
      <c r="AO64" s="80" t="str">
        <f>REPLACE(INDEX(GroupVertices[Group],MATCH(Vertices[[#This Row],[Vertex]],GroupVertices[Vertex],0)),1,1,"")</f>
        <v>7</v>
      </c>
      <c r="AP64" s="49">
        <v>3</v>
      </c>
      <c r="AQ64" s="50">
        <v>6.976744186046512</v>
      </c>
      <c r="AR64" s="49">
        <v>2</v>
      </c>
      <c r="AS64" s="50">
        <v>4.651162790697675</v>
      </c>
      <c r="AT64" s="49">
        <v>0</v>
      </c>
      <c r="AU64" s="50">
        <v>0</v>
      </c>
      <c r="AV64" s="49">
        <v>38</v>
      </c>
      <c r="AW64" s="50">
        <v>88.37209302325581</v>
      </c>
      <c r="AX64" s="49">
        <v>43</v>
      </c>
      <c r="AY64" s="49"/>
      <c r="AZ64" s="49"/>
      <c r="BA64" s="49"/>
      <c r="BB64" s="49"/>
      <c r="BC64" s="2"/>
      <c r="BD64" s="3"/>
      <c r="BE64" s="3"/>
      <c r="BF64" s="3"/>
      <c r="BG64" s="3"/>
    </row>
    <row r="65" spans="1:59" ht="15">
      <c r="A65" s="65" t="s">
        <v>251</v>
      </c>
      <c r="B65" s="66" t="s">
        <v>3536</v>
      </c>
      <c r="C65" s="66"/>
      <c r="D65" s="67">
        <v>212.5</v>
      </c>
      <c r="E65" s="69">
        <v>50</v>
      </c>
      <c r="F65" s="96" t="str">
        <f>HYPERLINK("https://i.ytimg.com/vi/CR_o8pZNFlY/default.jpg")</f>
        <v>https://i.ytimg.com/vi/CR_o8pZNFlY/default.jpg</v>
      </c>
      <c r="G65" s="66"/>
      <c r="H65" s="70" t="s">
        <v>656</v>
      </c>
      <c r="I65" s="71"/>
      <c r="J65" s="71" t="s">
        <v>159</v>
      </c>
      <c r="K65" s="70" t="s">
        <v>656</v>
      </c>
      <c r="L65" s="74">
        <v>75.39558123309713</v>
      </c>
      <c r="M65" s="75">
        <v>6710.00537109375</v>
      </c>
      <c r="N65" s="75">
        <v>481.0614929199219</v>
      </c>
      <c r="O65" s="76"/>
      <c r="P65" s="77"/>
      <c r="Q65" s="77"/>
      <c r="R65" s="82"/>
      <c r="S65" s="49">
        <v>1</v>
      </c>
      <c r="T65" s="49">
        <v>0</v>
      </c>
      <c r="U65" s="50">
        <v>0</v>
      </c>
      <c r="V65" s="50">
        <v>0.000895</v>
      </c>
      <c r="W65" s="50">
        <v>0.001708</v>
      </c>
      <c r="X65" s="50">
        <v>0.392961</v>
      </c>
      <c r="Y65" s="50">
        <v>0</v>
      </c>
      <c r="Z65" s="50">
        <v>0</v>
      </c>
      <c r="AA65" s="72">
        <v>35</v>
      </c>
      <c r="AB65" s="72"/>
      <c r="AC65" s="73"/>
      <c r="AD65" s="80" t="s">
        <v>656</v>
      </c>
      <c r="AE65" s="80" t="s">
        <v>1051</v>
      </c>
      <c r="AF65" s="80" t="s">
        <v>1417</v>
      </c>
      <c r="AG65" s="80" t="s">
        <v>1700</v>
      </c>
      <c r="AH65" s="80" t="s">
        <v>1947</v>
      </c>
      <c r="AI65" s="80">
        <v>1692532</v>
      </c>
      <c r="AJ65" s="80">
        <v>602</v>
      </c>
      <c r="AK65" s="80">
        <v>30742</v>
      </c>
      <c r="AL65" s="80">
        <v>902</v>
      </c>
      <c r="AM65" s="80" t="s">
        <v>2317</v>
      </c>
      <c r="AN65" s="98" t="str">
        <f>HYPERLINK("https://www.youtube.com/watch?v=CR_o8pZNFlY")</f>
        <v>https://www.youtube.com/watch?v=CR_o8pZNFlY</v>
      </c>
      <c r="AO65" s="80" t="str">
        <f>REPLACE(INDEX(GroupVertices[Group],MATCH(Vertices[[#This Row],[Vertex]],GroupVertices[Vertex],0)),1,1,"")</f>
        <v>7</v>
      </c>
      <c r="AP65" s="49">
        <v>4</v>
      </c>
      <c r="AQ65" s="50">
        <v>7.142857142857143</v>
      </c>
      <c r="AR65" s="49">
        <v>1</v>
      </c>
      <c r="AS65" s="50">
        <v>1.7857142857142858</v>
      </c>
      <c r="AT65" s="49">
        <v>0</v>
      </c>
      <c r="AU65" s="50">
        <v>0</v>
      </c>
      <c r="AV65" s="49">
        <v>51</v>
      </c>
      <c r="AW65" s="50">
        <v>91.07142857142857</v>
      </c>
      <c r="AX65" s="49">
        <v>56</v>
      </c>
      <c r="AY65" s="49"/>
      <c r="AZ65" s="49"/>
      <c r="BA65" s="49"/>
      <c r="BB65" s="49"/>
      <c r="BC65" s="2"/>
      <c r="BD65" s="3"/>
      <c r="BE65" s="3"/>
      <c r="BF65" s="3"/>
      <c r="BG65" s="3"/>
    </row>
    <row r="66" spans="1:59" ht="15">
      <c r="A66" s="65" t="s">
        <v>252</v>
      </c>
      <c r="B66" s="66" t="s">
        <v>3536</v>
      </c>
      <c r="C66" s="66"/>
      <c r="D66" s="67">
        <v>212.5</v>
      </c>
      <c r="E66" s="69">
        <v>50</v>
      </c>
      <c r="F66" s="96" t="str">
        <f>HYPERLINK("https://i.ytimg.com/vi/CWu29PRCUvQ/default.jpg")</f>
        <v>https://i.ytimg.com/vi/CWu29PRCUvQ/default.jpg</v>
      </c>
      <c r="G66" s="66"/>
      <c r="H66" s="70" t="s">
        <v>657</v>
      </c>
      <c r="I66" s="71"/>
      <c r="J66" s="71" t="s">
        <v>159</v>
      </c>
      <c r="K66" s="70" t="s">
        <v>657</v>
      </c>
      <c r="L66" s="74">
        <v>286.6384768465187</v>
      </c>
      <c r="M66" s="75">
        <v>7503.99853515625</v>
      </c>
      <c r="N66" s="75">
        <v>481.0614929199219</v>
      </c>
      <c r="O66" s="76"/>
      <c r="P66" s="77"/>
      <c r="Q66" s="77"/>
      <c r="R66" s="82"/>
      <c r="S66" s="49">
        <v>1</v>
      </c>
      <c r="T66" s="49">
        <v>0</v>
      </c>
      <c r="U66" s="50">
        <v>0</v>
      </c>
      <c r="V66" s="50">
        <v>0.000895</v>
      </c>
      <c r="W66" s="50">
        <v>0.001708</v>
      </c>
      <c r="X66" s="50">
        <v>0.392961</v>
      </c>
      <c r="Y66" s="50">
        <v>0</v>
      </c>
      <c r="Z66" s="50">
        <v>0</v>
      </c>
      <c r="AA66" s="72">
        <v>36</v>
      </c>
      <c r="AB66" s="72"/>
      <c r="AC66" s="73"/>
      <c r="AD66" s="80" t="s">
        <v>657</v>
      </c>
      <c r="AE66" s="80" t="s">
        <v>1052</v>
      </c>
      <c r="AF66" s="80" t="s">
        <v>1418</v>
      </c>
      <c r="AG66" s="80" t="s">
        <v>1701</v>
      </c>
      <c r="AH66" s="80" t="s">
        <v>1948</v>
      </c>
      <c r="AI66" s="80">
        <v>6498369</v>
      </c>
      <c r="AJ66" s="80">
        <v>19254</v>
      </c>
      <c r="AK66" s="80">
        <v>363193</v>
      </c>
      <c r="AL66" s="80">
        <v>3718</v>
      </c>
      <c r="AM66" s="80" t="s">
        <v>2317</v>
      </c>
      <c r="AN66" s="98" t="str">
        <f>HYPERLINK("https://www.youtube.com/watch?v=CWu29PRCUvQ")</f>
        <v>https://www.youtube.com/watch?v=CWu29PRCUvQ</v>
      </c>
      <c r="AO66" s="80" t="str">
        <f>REPLACE(INDEX(GroupVertices[Group],MATCH(Vertices[[#This Row],[Vertex]],GroupVertices[Vertex],0)),1,1,"")</f>
        <v>7</v>
      </c>
      <c r="AP66" s="49">
        <v>1</v>
      </c>
      <c r="AQ66" s="50">
        <v>4</v>
      </c>
      <c r="AR66" s="49">
        <v>0</v>
      </c>
      <c r="AS66" s="50">
        <v>0</v>
      </c>
      <c r="AT66" s="49">
        <v>0</v>
      </c>
      <c r="AU66" s="50">
        <v>0</v>
      </c>
      <c r="AV66" s="49">
        <v>24</v>
      </c>
      <c r="AW66" s="50">
        <v>96</v>
      </c>
      <c r="AX66" s="49">
        <v>25</v>
      </c>
      <c r="AY66" s="49"/>
      <c r="AZ66" s="49"/>
      <c r="BA66" s="49"/>
      <c r="BB66" s="49"/>
      <c r="BC66" s="2"/>
      <c r="BD66" s="3"/>
      <c r="BE66" s="3"/>
      <c r="BF66" s="3"/>
      <c r="BG66" s="3"/>
    </row>
    <row r="67" spans="1:59" ht="15">
      <c r="A67" s="65" t="s">
        <v>253</v>
      </c>
      <c r="B67" s="66" t="s">
        <v>3536</v>
      </c>
      <c r="C67" s="66"/>
      <c r="D67" s="67">
        <v>212.5</v>
      </c>
      <c r="E67" s="69">
        <v>50</v>
      </c>
      <c r="F67" s="96" t="str">
        <f>HYPERLINK("https://i.ytimg.com/vi/NLvTzXu-S0c/default.jpg")</f>
        <v>https://i.ytimg.com/vi/NLvTzXu-S0c/default.jpg</v>
      </c>
      <c r="G67" s="66"/>
      <c r="H67" s="70" t="s">
        <v>659</v>
      </c>
      <c r="I67" s="71"/>
      <c r="J67" s="71" t="s">
        <v>159</v>
      </c>
      <c r="K67" s="70" t="s">
        <v>659</v>
      </c>
      <c r="L67" s="74">
        <v>1.716122759746921</v>
      </c>
      <c r="M67" s="75">
        <v>5404.0947265625</v>
      </c>
      <c r="N67" s="75">
        <v>2798.015380859375</v>
      </c>
      <c r="O67" s="76"/>
      <c r="P67" s="77"/>
      <c r="Q67" s="77"/>
      <c r="R67" s="82"/>
      <c r="S67" s="49">
        <v>1</v>
      </c>
      <c r="T67" s="49">
        <v>0</v>
      </c>
      <c r="U67" s="50">
        <v>0</v>
      </c>
      <c r="V67" s="50">
        <v>0.000912</v>
      </c>
      <c r="W67" s="50">
        <v>0.001702</v>
      </c>
      <c r="X67" s="50">
        <v>0.401055</v>
      </c>
      <c r="Y67" s="50">
        <v>0</v>
      </c>
      <c r="Z67" s="50">
        <v>0</v>
      </c>
      <c r="AA67" s="72">
        <v>38</v>
      </c>
      <c r="AB67" s="72"/>
      <c r="AC67" s="73"/>
      <c r="AD67" s="80" t="s">
        <v>659</v>
      </c>
      <c r="AE67" s="80" t="s">
        <v>1054</v>
      </c>
      <c r="AF67" s="80"/>
      <c r="AG67" s="80" t="s">
        <v>1702</v>
      </c>
      <c r="AH67" s="80" t="s">
        <v>1950</v>
      </c>
      <c r="AI67" s="80">
        <v>16303</v>
      </c>
      <c r="AJ67" s="80">
        <v>95</v>
      </c>
      <c r="AK67" s="80">
        <v>919</v>
      </c>
      <c r="AL67" s="80">
        <v>55</v>
      </c>
      <c r="AM67" s="80" t="s">
        <v>2317</v>
      </c>
      <c r="AN67" s="98" t="str">
        <f>HYPERLINK("https://www.youtube.com/watch?v=NLvTzXu-S0c")</f>
        <v>https://www.youtube.com/watch?v=NLvTzXu-S0c</v>
      </c>
      <c r="AO67" s="80" t="str">
        <f>REPLACE(INDEX(GroupVertices[Group],MATCH(Vertices[[#This Row],[Vertex]],GroupVertices[Vertex],0)),1,1,"")</f>
        <v>4</v>
      </c>
      <c r="AP67" s="49"/>
      <c r="AQ67" s="50"/>
      <c r="AR67" s="49"/>
      <c r="AS67" s="50"/>
      <c r="AT67" s="49"/>
      <c r="AU67" s="50"/>
      <c r="AV67" s="49"/>
      <c r="AW67" s="50"/>
      <c r="AX67" s="49"/>
      <c r="AY67" s="49"/>
      <c r="AZ67" s="49"/>
      <c r="BA67" s="49"/>
      <c r="BB67" s="49"/>
      <c r="BC67" s="2"/>
      <c r="BD67" s="3"/>
      <c r="BE67" s="3"/>
      <c r="BF67" s="3"/>
      <c r="BG67" s="3"/>
    </row>
    <row r="68" spans="1:59" ht="15">
      <c r="A68" s="65" t="s">
        <v>254</v>
      </c>
      <c r="B68" s="66" t="s">
        <v>3536</v>
      </c>
      <c r="C68" s="66"/>
      <c r="D68" s="67">
        <v>212.5</v>
      </c>
      <c r="E68" s="69">
        <v>50</v>
      </c>
      <c r="F68" s="96" t="str">
        <f>HYPERLINK("https://i.ytimg.com/vi/f8zJjX303ow/default.jpg")</f>
        <v>https://i.ytimg.com/vi/f8zJjX303ow/default.jpg</v>
      </c>
      <c r="G68" s="66"/>
      <c r="H68" s="70" t="s">
        <v>660</v>
      </c>
      <c r="I68" s="71"/>
      <c r="J68" s="71" t="s">
        <v>159</v>
      </c>
      <c r="K68" s="70" t="s">
        <v>660</v>
      </c>
      <c r="L68" s="74">
        <v>1.2930512177285</v>
      </c>
      <c r="M68" s="75">
        <v>5404.0947265625</v>
      </c>
      <c r="N68" s="75">
        <v>3373.887939453125</v>
      </c>
      <c r="O68" s="76"/>
      <c r="P68" s="77"/>
      <c r="Q68" s="77"/>
      <c r="R68" s="82"/>
      <c r="S68" s="49">
        <v>1</v>
      </c>
      <c r="T68" s="49">
        <v>0</v>
      </c>
      <c r="U68" s="50">
        <v>0</v>
      </c>
      <c r="V68" s="50">
        <v>0.000912</v>
      </c>
      <c r="W68" s="50">
        <v>0.001702</v>
      </c>
      <c r="X68" s="50">
        <v>0.401055</v>
      </c>
      <c r="Y68" s="50">
        <v>0</v>
      </c>
      <c r="Z68" s="50">
        <v>0</v>
      </c>
      <c r="AA68" s="72">
        <v>39</v>
      </c>
      <c r="AB68" s="72"/>
      <c r="AC68" s="73"/>
      <c r="AD68" s="80" t="s">
        <v>660</v>
      </c>
      <c r="AE68" s="80"/>
      <c r="AF68" s="80"/>
      <c r="AG68" s="80" t="s">
        <v>1694</v>
      </c>
      <c r="AH68" s="80" t="s">
        <v>1951</v>
      </c>
      <c r="AI68" s="80">
        <v>6678</v>
      </c>
      <c r="AJ68" s="80">
        <v>50</v>
      </c>
      <c r="AK68" s="80">
        <v>148</v>
      </c>
      <c r="AL68" s="80">
        <v>88</v>
      </c>
      <c r="AM68" s="80" t="s">
        <v>2317</v>
      </c>
      <c r="AN68" s="98" t="str">
        <f>HYPERLINK("https://www.youtube.com/watch?v=f8zJjX303ow")</f>
        <v>https://www.youtube.com/watch?v=f8zJjX303ow</v>
      </c>
      <c r="AO68" s="80" t="str">
        <f>REPLACE(INDEX(GroupVertices[Group],MATCH(Vertices[[#This Row],[Vertex]],GroupVertices[Vertex],0)),1,1,"")</f>
        <v>4</v>
      </c>
      <c r="AP68" s="49"/>
      <c r="AQ68" s="50"/>
      <c r="AR68" s="49"/>
      <c r="AS68" s="50"/>
      <c r="AT68" s="49"/>
      <c r="AU68" s="50"/>
      <c r="AV68" s="49"/>
      <c r="AW68" s="50"/>
      <c r="AX68" s="49"/>
      <c r="AY68" s="49"/>
      <c r="AZ68" s="49"/>
      <c r="BA68" s="49"/>
      <c r="BB68" s="49"/>
      <c r="BC68" s="2"/>
      <c r="BD68" s="3"/>
      <c r="BE68" s="3"/>
      <c r="BF68" s="3"/>
      <c r="BG68" s="3"/>
    </row>
    <row r="69" spans="1:59" ht="15">
      <c r="A69" s="65" t="s">
        <v>255</v>
      </c>
      <c r="B69" s="66" t="s">
        <v>3536</v>
      </c>
      <c r="C69" s="66"/>
      <c r="D69" s="67">
        <v>212.5</v>
      </c>
      <c r="E69" s="69">
        <v>50</v>
      </c>
      <c r="F69" s="96" t="str">
        <f>HYPERLINK("https://i.ytimg.com/vi/TKd1I7xifig/default.jpg")</f>
        <v>https://i.ytimg.com/vi/TKd1I7xifig/default.jpg</v>
      </c>
      <c r="G69" s="66"/>
      <c r="H69" s="70" t="s">
        <v>661</v>
      </c>
      <c r="I69" s="71"/>
      <c r="J69" s="71" t="s">
        <v>159</v>
      </c>
      <c r="K69" s="70" t="s">
        <v>661</v>
      </c>
      <c r="L69" s="74">
        <v>8.160744087135475</v>
      </c>
      <c r="M69" s="75">
        <v>4321.37646484375</v>
      </c>
      <c r="N69" s="75">
        <v>1646.2713623046875</v>
      </c>
      <c r="O69" s="76"/>
      <c r="P69" s="77"/>
      <c r="Q69" s="77"/>
      <c r="R69" s="82"/>
      <c r="S69" s="49">
        <v>1</v>
      </c>
      <c r="T69" s="49">
        <v>0</v>
      </c>
      <c r="U69" s="50">
        <v>0</v>
      </c>
      <c r="V69" s="50">
        <v>0.000912</v>
      </c>
      <c r="W69" s="50">
        <v>0.001702</v>
      </c>
      <c r="X69" s="50">
        <v>0.401055</v>
      </c>
      <c r="Y69" s="50">
        <v>0</v>
      </c>
      <c r="Z69" s="50">
        <v>0</v>
      </c>
      <c r="AA69" s="72">
        <v>40</v>
      </c>
      <c r="AB69" s="72"/>
      <c r="AC69" s="73"/>
      <c r="AD69" s="80" t="s">
        <v>661</v>
      </c>
      <c r="AE69" s="80" t="s">
        <v>1055</v>
      </c>
      <c r="AF69" s="80" t="s">
        <v>1420</v>
      </c>
      <c r="AG69" s="80" t="s">
        <v>1703</v>
      </c>
      <c r="AH69" s="80" t="s">
        <v>1952</v>
      </c>
      <c r="AI69" s="80">
        <v>162920</v>
      </c>
      <c r="AJ69" s="80">
        <v>207</v>
      </c>
      <c r="AK69" s="80">
        <v>1602</v>
      </c>
      <c r="AL69" s="80">
        <v>188</v>
      </c>
      <c r="AM69" s="80" t="s">
        <v>2317</v>
      </c>
      <c r="AN69" s="98" t="str">
        <f>HYPERLINK("https://www.youtube.com/watch?v=TKd1I7xifig")</f>
        <v>https://www.youtube.com/watch?v=TKd1I7xifig</v>
      </c>
      <c r="AO69" s="80" t="str">
        <f>REPLACE(INDEX(GroupVertices[Group],MATCH(Vertices[[#This Row],[Vertex]],GroupVertices[Vertex],0)),1,1,"")</f>
        <v>4</v>
      </c>
      <c r="AP69" s="49">
        <v>2</v>
      </c>
      <c r="AQ69" s="50">
        <v>5</v>
      </c>
      <c r="AR69" s="49">
        <v>1</v>
      </c>
      <c r="AS69" s="50">
        <v>2.5</v>
      </c>
      <c r="AT69" s="49">
        <v>0</v>
      </c>
      <c r="AU69" s="50">
        <v>0</v>
      </c>
      <c r="AV69" s="49">
        <v>37</v>
      </c>
      <c r="AW69" s="50">
        <v>92.5</v>
      </c>
      <c r="AX69" s="49">
        <v>40</v>
      </c>
      <c r="AY69" s="49"/>
      <c r="AZ69" s="49"/>
      <c r="BA69" s="49"/>
      <c r="BB69" s="49"/>
      <c r="BC69" s="2"/>
      <c r="BD69" s="3"/>
      <c r="BE69" s="3"/>
      <c r="BF69" s="3"/>
      <c r="BG69" s="3"/>
    </row>
    <row r="70" spans="1:59" ht="15">
      <c r="A70" s="65" t="s">
        <v>256</v>
      </c>
      <c r="B70" s="66" t="s">
        <v>3536</v>
      </c>
      <c r="C70" s="66"/>
      <c r="D70" s="67">
        <v>212.5</v>
      </c>
      <c r="E70" s="69">
        <v>50</v>
      </c>
      <c r="F70" s="96" t="str">
        <f>HYPERLINK("https://i.ytimg.com/vi/tE7jBv3z6o0/default.jpg")</f>
        <v>https://i.ytimg.com/vi/tE7jBv3z6o0/default.jpg</v>
      </c>
      <c r="G70" s="66"/>
      <c r="H70" s="70" t="s">
        <v>662</v>
      </c>
      <c r="I70" s="71"/>
      <c r="J70" s="71" t="s">
        <v>159</v>
      </c>
      <c r="K70" s="70" t="s">
        <v>662</v>
      </c>
      <c r="L70" s="74">
        <v>28.51899064454678</v>
      </c>
      <c r="M70" s="75">
        <v>3238.657958984375</v>
      </c>
      <c r="N70" s="75">
        <v>1070.399169921875</v>
      </c>
      <c r="O70" s="76"/>
      <c r="P70" s="77"/>
      <c r="Q70" s="77"/>
      <c r="R70" s="82"/>
      <c r="S70" s="49">
        <v>1</v>
      </c>
      <c r="T70" s="49">
        <v>0</v>
      </c>
      <c r="U70" s="50">
        <v>0</v>
      </c>
      <c r="V70" s="50">
        <v>0.000912</v>
      </c>
      <c r="W70" s="50">
        <v>0.001702</v>
      </c>
      <c r="X70" s="50">
        <v>0.401055</v>
      </c>
      <c r="Y70" s="50">
        <v>0</v>
      </c>
      <c r="Z70" s="50">
        <v>0</v>
      </c>
      <c r="AA70" s="72">
        <v>41</v>
      </c>
      <c r="AB70" s="72"/>
      <c r="AC70" s="73"/>
      <c r="AD70" s="80" t="s">
        <v>662</v>
      </c>
      <c r="AE70" s="80" t="s">
        <v>1056</v>
      </c>
      <c r="AF70" s="80" t="s">
        <v>1421</v>
      </c>
      <c r="AG70" s="80" t="s">
        <v>1704</v>
      </c>
      <c r="AH70" s="80" t="s">
        <v>1953</v>
      </c>
      <c r="AI70" s="80">
        <v>626076</v>
      </c>
      <c r="AJ70" s="80">
        <v>7309</v>
      </c>
      <c r="AK70" s="80">
        <v>12117</v>
      </c>
      <c r="AL70" s="80">
        <v>982</v>
      </c>
      <c r="AM70" s="80" t="s">
        <v>2317</v>
      </c>
      <c r="AN70" s="98" t="str">
        <f>HYPERLINK("https://www.youtube.com/watch?v=tE7jBv3z6o0")</f>
        <v>https://www.youtube.com/watch?v=tE7jBv3z6o0</v>
      </c>
      <c r="AO70" s="80" t="str">
        <f>REPLACE(INDEX(GroupVertices[Group],MATCH(Vertices[[#This Row],[Vertex]],GroupVertices[Vertex],0)),1,1,"")</f>
        <v>4</v>
      </c>
      <c r="AP70" s="49">
        <v>1</v>
      </c>
      <c r="AQ70" s="50">
        <v>1.7241379310344827</v>
      </c>
      <c r="AR70" s="49">
        <v>0</v>
      </c>
      <c r="AS70" s="50">
        <v>0</v>
      </c>
      <c r="AT70" s="49">
        <v>0</v>
      </c>
      <c r="AU70" s="50">
        <v>0</v>
      </c>
      <c r="AV70" s="49">
        <v>57</v>
      </c>
      <c r="AW70" s="50">
        <v>98.27586206896552</v>
      </c>
      <c r="AX70" s="49">
        <v>58</v>
      </c>
      <c r="AY70" s="49"/>
      <c r="AZ70" s="49"/>
      <c r="BA70" s="49"/>
      <c r="BB70" s="49"/>
      <c r="BC70" s="2"/>
      <c r="BD70" s="3"/>
      <c r="BE70" s="3"/>
      <c r="BF70" s="3"/>
      <c r="BG70" s="3"/>
    </row>
    <row r="71" spans="1:59" ht="15">
      <c r="A71" s="65" t="s">
        <v>257</v>
      </c>
      <c r="B71" s="66" t="s">
        <v>3536</v>
      </c>
      <c r="C71" s="66"/>
      <c r="D71" s="67">
        <v>212.5</v>
      </c>
      <c r="E71" s="69">
        <v>50</v>
      </c>
      <c r="F71" s="96" t="str">
        <f>HYPERLINK("https://i.ytimg.com/vi/c9p9NE4Pji0/default.jpg")</f>
        <v>https://i.ytimg.com/vi/c9p9NE4Pji0/default.jpg</v>
      </c>
      <c r="G71" s="66"/>
      <c r="H71" s="70" t="s">
        <v>663</v>
      </c>
      <c r="I71" s="71"/>
      <c r="J71" s="71" t="s">
        <v>159</v>
      </c>
      <c r="K71" s="70" t="s">
        <v>663</v>
      </c>
      <c r="L71" s="74">
        <v>71.83870339620044</v>
      </c>
      <c r="M71" s="75">
        <v>5043.1884765625</v>
      </c>
      <c r="N71" s="75">
        <v>1070.399169921875</v>
      </c>
      <c r="O71" s="76"/>
      <c r="P71" s="77"/>
      <c r="Q71" s="77"/>
      <c r="R71" s="82"/>
      <c r="S71" s="49">
        <v>1</v>
      </c>
      <c r="T71" s="49">
        <v>0</v>
      </c>
      <c r="U71" s="50">
        <v>0</v>
      </c>
      <c r="V71" s="50">
        <v>0.000912</v>
      </c>
      <c r="W71" s="50">
        <v>0.001702</v>
      </c>
      <c r="X71" s="50">
        <v>0.401055</v>
      </c>
      <c r="Y71" s="50">
        <v>0</v>
      </c>
      <c r="Z71" s="50">
        <v>0</v>
      </c>
      <c r="AA71" s="72">
        <v>42</v>
      </c>
      <c r="AB71" s="72"/>
      <c r="AC71" s="73"/>
      <c r="AD71" s="80" t="s">
        <v>663</v>
      </c>
      <c r="AE71" s="80" t="s">
        <v>1057</v>
      </c>
      <c r="AF71" s="80" t="s">
        <v>1422</v>
      </c>
      <c r="AG71" s="80" t="s">
        <v>1705</v>
      </c>
      <c r="AH71" s="80" t="s">
        <v>1954</v>
      </c>
      <c r="AI71" s="80">
        <v>1611612</v>
      </c>
      <c r="AJ71" s="80">
        <v>9496</v>
      </c>
      <c r="AK71" s="80">
        <v>39072</v>
      </c>
      <c r="AL71" s="80">
        <v>1769</v>
      </c>
      <c r="AM71" s="80" t="s">
        <v>2317</v>
      </c>
      <c r="AN71" s="98" t="str">
        <f>HYPERLINK("https://www.youtube.com/watch?v=c9p9NE4Pji0")</f>
        <v>https://www.youtube.com/watch?v=c9p9NE4Pji0</v>
      </c>
      <c r="AO71" s="80" t="str">
        <f>REPLACE(INDEX(GroupVertices[Group],MATCH(Vertices[[#This Row],[Vertex]],GroupVertices[Vertex],0)),1,1,"")</f>
        <v>4</v>
      </c>
      <c r="AP71" s="49">
        <v>0</v>
      </c>
      <c r="AQ71" s="50">
        <v>0</v>
      </c>
      <c r="AR71" s="49">
        <v>0</v>
      </c>
      <c r="AS71" s="50">
        <v>0</v>
      </c>
      <c r="AT71" s="49">
        <v>0</v>
      </c>
      <c r="AU71" s="50">
        <v>0</v>
      </c>
      <c r="AV71" s="49">
        <v>21</v>
      </c>
      <c r="AW71" s="50">
        <v>100</v>
      </c>
      <c r="AX71" s="49">
        <v>21</v>
      </c>
      <c r="AY71" s="49"/>
      <c r="AZ71" s="49"/>
      <c r="BA71" s="49"/>
      <c r="BB71" s="49"/>
      <c r="BC71" s="2"/>
      <c r="BD71" s="3"/>
      <c r="BE71" s="3"/>
      <c r="BF71" s="3"/>
      <c r="BG71" s="3"/>
    </row>
    <row r="72" spans="1:59" ht="15">
      <c r="A72" s="65" t="s">
        <v>258</v>
      </c>
      <c r="B72" s="66" t="s">
        <v>3536</v>
      </c>
      <c r="C72" s="66"/>
      <c r="D72" s="67">
        <v>212.5</v>
      </c>
      <c r="E72" s="69">
        <v>50</v>
      </c>
      <c r="F72" s="96" t="str">
        <f>HYPERLINK("https://i.ytimg.com/vi/P7_aKYU95jk/default.jpg")</f>
        <v>https://i.ytimg.com/vi/P7_aKYU95jk/default.jpg</v>
      </c>
      <c r="G72" s="66"/>
      <c r="H72" s="70" t="s">
        <v>664</v>
      </c>
      <c r="I72" s="71"/>
      <c r="J72" s="71" t="s">
        <v>159</v>
      </c>
      <c r="K72" s="70" t="s">
        <v>664</v>
      </c>
      <c r="L72" s="74">
        <v>98.88860110605418</v>
      </c>
      <c r="M72" s="75">
        <v>5404.0947265625</v>
      </c>
      <c r="N72" s="75">
        <v>1070.399169921875</v>
      </c>
      <c r="O72" s="76"/>
      <c r="P72" s="77"/>
      <c r="Q72" s="77"/>
      <c r="R72" s="82"/>
      <c r="S72" s="49">
        <v>1</v>
      </c>
      <c r="T72" s="49">
        <v>0</v>
      </c>
      <c r="U72" s="50">
        <v>0</v>
      </c>
      <c r="V72" s="50">
        <v>0.000912</v>
      </c>
      <c r="W72" s="50">
        <v>0.001702</v>
      </c>
      <c r="X72" s="50">
        <v>0.401055</v>
      </c>
      <c r="Y72" s="50">
        <v>0</v>
      </c>
      <c r="Z72" s="50">
        <v>0</v>
      </c>
      <c r="AA72" s="72">
        <v>43</v>
      </c>
      <c r="AB72" s="72"/>
      <c r="AC72" s="73"/>
      <c r="AD72" s="80" t="s">
        <v>664</v>
      </c>
      <c r="AE72" s="80" t="s">
        <v>1058</v>
      </c>
      <c r="AF72" s="80" t="s">
        <v>1423</v>
      </c>
      <c r="AG72" s="80" t="s">
        <v>1704</v>
      </c>
      <c r="AH72" s="80" t="s">
        <v>1955</v>
      </c>
      <c r="AI72" s="80">
        <v>2227005</v>
      </c>
      <c r="AJ72" s="80">
        <v>17023</v>
      </c>
      <c r="AK72" s="80">
        <v>41215</v>
      </c>
      <c r="AL72" s="80">
        <v>3393</v>
      </c>
      <c r="AM72" s="80" t="s">
        <v>2317</v>
      </c>
      <c r="AN72" s="98" t="str">
        <f>HYPERLINK("https://www.youtube.com/watch?v=P7_aKYU95jk")</f>
        <v>https://www.youtube.com/watch?v=P7_aKYU95jk</v>
      </c>
      <c r="AO72" s="80" t="str">
        <f>REPLACE(INDEX(GroupVertices[Group],MATCH(Vertices[[#This Row],[Vertex]],GroupVertices[Vertex],0)),1,1,"")</f>
        <v>4</v>
      </c>
      <c r="AP72" s="49">
        <v>3</v>
      </c>
      <c r="AQ72" s="50">
        <v>5.454545454545454</v>
      </c>
      <c r="AR72" s="49">
        <v>0</v>
      </c>
      <c r="AS72" s="50">
        <v>0</v>
      </c>
      <c r="AT72" s="49">
        <v>0</v>
      </c>
      <c r="AU72" s="50">
        <v>0</v>
      </c>
      <c r="AV72" s="49">
        <v>52</v>
      </c>
      <c r="AW72" s="50">
        <v>94.54545454545455</v>
      </c>
      <c r="AX72" s="49">
        <v>55</v>
      </c>
      <c r="AY72" s="49"/>
      <c r="AZ72" s="49"/>
      <c r="BA72" s="49"/>
      <c r="BB72" s="49"/>
      <c r="BC72" s="2"/>
      <c r="BD72" s="3"/>
      <c r="BE72" s="3"/>
      <c r="BF72" s="3"/>
      <c r="BG72" s="3"/>
    </row>
    <row r="73" spans="1:59" ht="15">
      <c r="A73" s="65" t="s">
        <v>259</v>
      </c>
      <c r="B73" s="66" t="s">
        <v>3536</v>
      </c>
      <c r="C73" s="66"/>
      <c r="D73" s="67">
        <v>212.5</v>
      </c>
      <c r="E73" s="69">
        <v>50</v>
      </c>
      <c r="F73" s="96" t="str">
        <f>HYPERLINK("https://i.ytimg.com/vi/c47KVyz0Gsg/default.jpg")</f>
        <v>https://i.ytimg.com/vi/c47KVyz0Gsg/default.jpg</v>
      </c>
      <c r="G73" s="66"/>
      <c r="H73" s="70" t="s">
        <v>665</v>
      </c>
      <c r="I73" s="71"/>
      <c r="J73" s="71" t="s">
        <v>159</v>
      </c>
      <c r="K73" s="70" t="s">
        <v>665</v>
      </c>
      <c r="L73" s="74">
        <v>43.72130278042886</v>
      </c>
      <c r="M73" s="75">
        <v>3960.469970703125</v>
      </c>
      <c r="N73" s="75">
        <v>1070.399169921875</v>
      </c>
      <c r="O73" s="76"/>
      <c r="P73" s="77"/>
      <c r="Q73" s="77"/>
      <c r="R73" s="82"/>
      <c r="S73" s="49">
        <v>1</v>
      </c>
      <c r="T73" s="49">
        <v>0</v>
      </c>
      <c r="U73" s="50">
        <v>0</v>
      </c>
      <c r="V73" s="50">
        <v>0.000912</v>
      </c>
      <c r="W73" s="50">
        <v>0.001702</v>
      </c>
      <c r="X73" s="50">
        <v>0.401055</v>
      </c>
      <c r="Y73" s="50">
        <v>0</v>
      </c>
      <c r="Z73" s="50">
        <v>0</v>
      </c>
      <c r="AA73" s="72">
        <v>44</v>
      </c>
      <c r="AB73" s="72"/>
      <c r="AC73" s="73"/>
      <c r="AD73" s="80" t="s">
        <v>665</v>
      </c>
      <c r="AE73" s="80" t="s">
        <v>1059</v>
      </c>
      <c r="AF73" s="80" t="s">
        <v>1424</v>
      </c>
      <c r="AG73" s="80" t="s">
        <v>1706</v>
      </c>
      <c r="AH73" s="80" t="s">
        <v>1956</v>
      </c>
      <c r="AI73" s="80">
        <v>971933</v>
      </c>
      <c r="AJ73" s="80">
        <v>4510</v>
      </c>
      <c r="AK73" s="80">
        <v>25698</v>
      </c>
      <c r="AL73" s="80">
        <v>1156</v>
      </c>
      <c r="AM73" s="80" t="s">
        <v>2317</v>
      </c>
      <c r="AN73" s="98" t="str">
        <f>HYPERLINK("https://www.youtube.com/watch?v=c47KVyz0Gsg")</f>
        <v>https://www.youtube.com/watch?v=c47KVyz0Gsg</v>
      </c>
      <c r="AO73" s="80" t="str">
        <f>REPLACE(INDEX(GroupVertices[Group],MATCH(Vertices[[#This Row],[Vertex]],GroupVertices[Vertex],0)),1,1,"")</f>
        <v>4</v>
      </c>
      <c r="AP73" s="49">
        <v>0</v>
      </c>
      <c r="AQ73" s="50">
        <v>0</v>
      </c>
      <c r="AR73" s="49">
        <v>0</v>
      </c>
      <c r="AS73" s="50">
        <v>0</v>
      </c>
      <c r="AT73" s="49">
        <v>0</v>
      </c>
      <c r="AU73" s="50">
        <v>0</v>
      </c>
      <c r="AV73" s="49">
        <v>54</v>
      </c>
      <c r="AW73" s="50">
        <v>100</v>
      </c>
      <c r="AX73" s="49">
        <v>54</v>
      </c>
      <c r="AY73" s="49"/>
      <c r="AZ73" s="49"/>
      <c r="BA73" s="49"/>
      <c r="BB73" s="49"/>
      <c r="BC73" s="2"/>
      <c r="BD73" s="3"/>
      <c r="BE73" s="3"/>
      <c r="BF73" s="3"/>
      <c r="BG73" s="3"/>
    </row>
    <row r="74" spans="1:59" ht="15">
      <c r="A74" s="65" t="s">
        <v>260</v>
      </c>
      <c r="B74" s="66" t="s">
        <v>3536</v>
      </c>
      <c r="C74" s="66"/>
      <c r="D74" s="67">
        <v>212.5</v>
      </c>
      <c r="E74" s="69">
        <v>50</v>
      </c>
      <c r="F74" s="96" t="str">
        <f>HYPERLINK("https://i.ytimg.com/vi/ty6MKNLnqAo/default.jpg")</f>
        <v>https://i.ytimg.com/vi/ty6MKNLnqAo/default.jpg</v>
      </c>
      <c r="G74" s="66"/>
      <c r="H74" s="70" t="s">
        <v>666</v>
      </c>
      <c r="I74" s="71"/>
      <c r="J74" s="71" t="s">
        <v>159</v>
      </c>
      <c r="K74" s="70" t="s">
        <v>666</v>
      </c>
      <c r="L74" s="74">
        <v>511.7484048759848</v>
      </c>
      <c r="M74" s="75">
        <v>4321.37646484375</v>
      </c>
      <c r="N74" s="75">
        <v>494.5269775390625</v>
      </c>
      <c r="O74" s="76"/>
      <c r="P74" s="77"/>
      <c r="Q74" s="77"/>
      <c r="R74" s="82"/>
      <c r="S74" s="49">
        <v>1</v>
      </c>
      <c r="T74" s="49">
        <v>0</v>
      </c>
      <c r="U74" s="50">
        <v>0</v>
      </c>
      <c r="V74" s="50">
        <v>0.000912</v>
      </c>
      <c r="W74" s="50">
        <v>0.001702</v>
      </c>
      <c r="X74" s="50">
        <v>0.401055</v>
      </c>
      <c r="Y74" s="50">
        <v>0</v>
      </c>
      <c r="Z74" s="50">
        <v>0</v>
      </c>
      <c r="AA74" s="72">
        <v>45</v>
      </c>
      <c r="AB74" s="72"/>
      <c r="AC74" s="73"/>
      <c r="AD74" s="80" t="s">
        <v>666</v>
      </c>
      <c r="AE74" s="80" t="s">
        <v>1060</v>
      </c>
      <c r="AF74" s="80" t="s">
        <v>1425</v>
      </c>
      <c r="AG74" s="80" t="s">
        <v>1707</v>
      </c>
      <c r="AH74" s="80" t="s">
        <v>1957</v>
      </c>
      <c r="AI74" s="80">
        <v>11619685</v>
      </c>
      <c r="AJ74" s="80">
        <v>4227</v>
      </c>
      <c r="AK74" s="80">
        <v>71045</v>
      </c>
      <c r="AL74" s="80">
        <v>10841</v>
      </c>
      <c r="AM74" s="80" t="s">
        <v>2317</v>
      </c>
      <c r="AN74" s="98" t="str">
        <f>HYPERLINK("https://www.youtube.com/watch?v=ty6MKNLnqAo")</f>
        <v>https://www.youtube.com/watch?v=ty6MKNLnqAo</v>
      </c>
      <c r="AO74" s="80" t="str">
        <f>REPLACE(INDEX(GroupVertices[Group],MATCH(Vertices[[#This Row],[Vertex]],GroupVertices[Vertex],0)),1,1,"")</f>
        <v>4</v>
      </c>
      <c r="AP74" s="49">
        <v>2</v>
      </c>
      <c r="AQ74" s="50">
        <v>6.451612903225806</v>
      </c>
      <c r="AR74" s="49">
        <v>0</v>
      </c>
      <c r="AS74" s="50">
        <v>0</v>
      </c>
      <c r="AT74" s="49">
        <v>0</v>
      </c>
      <c r="AU74" s="50">
        <v>0</v>
      </c>
      <c r="AV74" s="49">
        <v>29</v>
      </c>
      <c r="AW74" s="50">
        <v>93.54838709677419</v>
      </c>
      <c r="AX74" s="49">
        <v>31</v>
      </c>
      <c r="AY74" s="49"/>
      <c r="AZ74" s="49"/>
      <c r="BA74" s="49"/>
      <c r="BB74" s="49"/>
      <c r="BC74" s="2"/>
      <c r="BD74" s="3"/>
      <c r="BE74" s="3"/>
      <c r="BF74" s="3"/>
      <c r="BG74" s="3"/>
    </row>
    <row r="75" spans="1:59" ht="15">
      <c r="A75" s="65" t="s">
        <v>261</v>
      </c>
      <c r="B75" s="66" t="s">
        <v>3536</v>
      </c>
      <c r="C75" s="66"/>
      <c r="D75" s="67">
        <v>212.5</v>
      </c>
      <c r="E75" s="69">
        <v>50</v>
      </c>
      <c r="F75" s="96" t="str">
        <f>HYPERLINK("https://i.ytimg.com/vi/5xZuIh89_BI/default.jpg")</f>
        <v>https://i.ytimg.com/vi/5xZuIh89_BI/default.jpg</v>
      </c>
      <c r="G75" s="66"/>
      <c r="H75" s="70" t="s">
        <v>667</v>
      </c>
      <c r="I75" s="71"/>
      <c r="J75" s="71" t="s">
        <v>159</v>
      </c>
      <c r="K75" s="70" t="s">
        <v>667</v>
      </c>
      <c r="L75" s="74">
        <v>2.0914146896953136</v>
      </c>
      <c r="M75" s="75">
        <v>4321.37646484375</v>
      </c>
      <c r="N75" s="75">
        <v>2222.1435546875</v>
      </c>
      <c r="O75" s="76"/>
      <c r="P75" s="77"/>
      <c r="Q75" s="77"/>
      <c r="R75" s="82"/>
      <c r="S75" s="49">
        <v>1</v>
      </c>
      <c r="T75" s="49">
        <v>0</v>
      </c>
      <c r="U75" s="50">
        <v>0</v>
      </c>
      <c r="V75" s="50">
        <v>0.000912</v>
      </c>
      <c r="W75" s="50">
        <v>0.001702</v>
      </c>
      <c r="X75" s="50">
        <v>0.401055</v>
      </c>
      <c r="Y75" s="50">
        <v>0</v>
      </c>
      <c r="Z75" s="50">
        <v>0</v>
      </c>
      <c r="AA75" s="72">
        <v>46</v>
      </c>
      <c r="AB75" s="72"/>
      <c r="AC75" s="73"/>
      <c r="AD75" s="80" t="s">
        <v>667</v>
      </c>
      <c r="AE75" s="80" t="s">
        <v>1061</v>
      </c>
      <c r="AF75" s="80" t="s">
        <v>1426</v>
      </c>
      <c r="AG75" s="80" t="s">
        <v>1708</v>
      </c>
      <c r="AH75" s="80" t="s">
        <v>1958</v>
      </c>
      <c r="AI75" s="80">
        <v>24841</v>
      </c>
      <c r="AJ75" s="80">
        <v>235</v>
      </c>
      <c r="AK75" s="80">
        <v>1432</v>
      </c>
      <c r="AL75" s="80">
        <v>20</v>
      </c>
      <c r="AM75" s="80" t="s">
        <v>2317</v>
      </c>
      <c r="AN75" s="98" t="str">
        <f>HYPERLINK("https://www.youtube.com/watch?v=5xZuIh89_BI")</f>
        <v>https://www.youtube.com/watch?v=5xZuIh89_BI</v>
      </c>
      <c r="AO75" s="80" t="str">
        <f>REPLACE(INDEX(GroupVertices[Group],MATCH(Vertices[[#This Row],[Vertex]],GroupVertices[Vertex],0)),1,1,"")</f>
        <v>4</v>
      </c>
      <c r="AP75" s="49">
        <v>0</v>
      </c>
      <c r="AQ75" s="50">
        <v>0</v>
      </c>
      <c r="AR75" s="49">
        <v>1</v>
      </c>
      <c r="AS75" s="50">
        <v>1.9607843137254901</v>
      </c>
      <c r="AT75" s="49">
        <v>0</v>
      </c>
      <c r="AU75" s="50">
        <v>0</v>
      </c>
      <c r="AV75" s="49">
        <v>50</v>
      </c>
      <c r="AW75" s="50">
        <v>98.03921568627452</v>
      </c>
      <c r="AX75" s="49">
        <v>51</v>
      </c>
      <c r="AY75" s="49"/>
      <c r="AZ75" s="49"/>
      <c r="BA75" s="49"/>
      <c r="BB75" s="49"/>
      <c r="BC75" s="2"/>
      <c r="BD75" s="3"/>
      <c r="BE75" s="3"/>
      <c r="BF75" s="3"/>
      <c r="BG75" s="3"/>
    </row>
    <row r="76" spans="1:59" ht="15">
      <c r="A76" s="65" t="s">
        <v>262</v>
      </c>
      <c r="B76" s="66" t="s">
        <v>3536</v>
      </c>
      <c r="C76" s="66"/>
      <c r="D76" s="67">
        <v>212.5</v>
      </c>
      <c r="E76" s="69">
        <v>50</v>
      </c>
      <c r="F76" s="96" t="str">
        <f>HYPERLINK("https://i.ytimg.com/vi/8YTlxhdEA70/default.jpg")</f>
        <v>https://i.ytimg.com/vi/8YTlxhdEA70/default.jpg</v>
      </c>
      <c r="G76" s="66"/>
      <c r="H76" s="70" t="s">
        <v>668</v>
      </c>
      <c r="I76" s="71"/>
      <c r="J76" s="71" t="s">
        <v>159</v>
      </c>
      <c r="K76" s="70" t="s">
        <v>668</v>
      </c>
      <c r="L76" s="74">
        <v>42.997268033402634</v>
      </c>
      <c r="M76" s="75">
        <v>3599.564208984375</v>
      </c>
      <c r="N76" s="75">
        <v>1070.399169921875</v>
      </c>
      <c r="O76" s="76"/>
      <c r="P76" s="77"/>
      <c r="Q76" s="77"/>
      <c r="R76" s="82"/>
      <c r="S76" s="49">
        <v>1</v>
      </c>
      <c r="T76" s="49">
        <v>0</v>
      </c>
      <c r="U76" s="50">
        <v>0</v>
      </c>
      <c r="V76" s="50">
        <v>0.000912</v>
      </c>
      <c r="W76" s="50">
        <v>0.001702</v>
      </c>
      <c r="X76" s="50">
        <v>0.401055</v>
      </c>
      <c r="Y76" s="50">
        <v>0</v>
      </c>
      <c r="Z76" s="50">
        <v>0</v>
      </c>
      <c r="AA76" s="72">
        <v>47</v>
      </c>
      <c r="AB76" s="72"/>
      <c r="AC76" s="73"/>
      <c r="AD76" s="80" t="s">
        <v>668</v>
      </c>
      <c r="AE76" s="80" t="s">
        <v>1062</v>
      </c>
      <c r="AF76" s="80"/>
      <c r="AG76" s="80" t="s">
        <v>1709</v>
      </c>
      <c r="AH76" s="80" t="s">
        <v>1959</v>
      </c>
      <c r="AI76" s="80">
        <v>955461</v>
      </c>
      <c r="AJ76" s="80">
        <v>168</v>
      </c>
      <c r="AK76" s="80">
        <v>5997</v>
      </c>
      <c r="AL76" s="80">
        <v>865</v>
      </c>
      <c r="AM76" s="80" t="s">
        <v>2317</v>
      </c>
      <c r="AN76" s="98" t="str">
        <f>HYPERLINK("https://www.youtube.com/watch?v=8YTlxhdEA70")</f>
        <v>https://www.youtube.com/watch?v=8YTlxhdEA70</v>
      </c>
      <c r="AO76" s="80" t="str">
        <f>REPLACE(INDEX(GroupVertices[Group],MATCH(Vertices[[#This Row],[Vertex]],GroupVertices[Vertex],0)),1,1,"")</f>
        <v>4</v>
      </c>
      <c r="AP76" s="49"/>
      <c r="AQ76" s="50"/>
      <c r="AR76" s="49"/>
      <c r="AS76" s="50"/>
      <c r="AT76" s="49"/>
      <c r="AU76" s="50"/>
      <c r="AV76" s="49"/>
      <c r="AW76" s="50"/>
      <c r="AX76" s="49"/>
      <c r="AY76" s="49"/>
      <c r="AZ76" s="49"/>
      <c r="BA76" s="49"/>
      <c r="BB76" s="49"/>
      <c r="BC76" s="2"/>
      <c r="BD76" s="3"/>
      <c r="BE76" s="3"/>
      <c r="BF76" s="3"/>
      <c r="BG76" s="3"/>
    </row>
    <row r="77" spans="1:59" ht="15">
      <c r="A77" s="65" t="s">
        <v>263</v>
      </c>
      <c r="B77" s="66" t="s">
        <v>3536</v>
      </c>
      <c r="C77" s="66"/>
      <c r="D77" s="67">
        <v>212.5</v>
      </c>
      <c r="E77" s="69">
        <v>50</v>
      </c>
      <c r="F77" s="96" t="str">
        <f>HYPERLINK("https://i.ytimg.com/vi/JjoeCkgxfFU/default.jpg")</f>
        <v>https://i.ytimg.com/vi/JjoeCkgxfFU/default.jpg</v>
      </c>
      <c r="G77" s="66"/>
      <c r="H77" s="70" t="s">
        <v>669</v>
      </c>
      <c r="I77" s="71"/>
      <c r="J77" s="71" t="s">
        <v>159</v>
      </c>
      <c r="K77" s="70" t="s">
        <v>669</v>
      </c>
      <c r="L77" s="74">
        <v>1.1653605341374857</v>
      </c>
      <c r="M77" s="75">
        <v>4682.28271484375</v>
      </c>
      <c r="N77" s="75">
        <v>3373.887939453125</v>
      </c>
      <c r="O77" s="76"/>
      <c r="P77" s="77"/>
      <c r="Q77" s="77"/>
      <c r="R77" s="82"/>
      <c r="S77" s="49">
        <v>1</v>
      </c>
      <c r="T77" s="49">
        <v>0</v>
      </c>
      <c r="U77" s="50">
        <v>0</v>
      </c>
      <c r="V77" s="50">
        <v>0.000912</v>
      </c>
      <c r="W77" s="50">
        <v>0.001702</v>
      </c>
      <c r="X77" s="50">
        <v>0.401055</v>
      </c>
      <c r="Y77" s="50">
        <v>0</v>
      </c>
      <c r="Z77" s="50">
        <v>0</v>
      </c>
      <c r="AA77" s="72">
        <v>48</v>
      </c>
      <c r="AB77" s="72"/>
      <c r="AC77" s="73"/>
      <c r="AD77" s="80" t="s">
        <v>669</v>
      </c>
      <c r="AE77" s="80" t="s">
        <v>1063</v>
      </c>
      <c r="AF77" s="80" t="s">
        <v>1427</v>
      </c>
      <c r="AG77" s="80" t="s">
        <v>1708</v>
      </c>
      <c r="AH77" s="80" t="s">
        <v>1960</v>
      </c>
      <c r="AI77" s="80">
        <v>3773</v>
      </c>
      <c r="AJ77" s="80">
        <v>32</v>
      </c>
      <c r="AK77" s="80">
        <v>191</v>
      </c>
      <c r="AL77" s="80">
        <v>6</v>
      </c>
      <c r="AM77" s="80" t="s">
        <v>2317</v>
      </c>
      <c r="AN77" s="98" t="str">
        <f>HYPERLINK("https://www.youtube.com/watch?v=JjoeCkgxfFU")</f>
        <v>https://www.youtube.com/watch?v=JjoeCkgxfFU</v>
      </c>
      <c r="AO77" s="80" t="str">
        <f>REPLACE(INDEX(GroupVertices[Group],MATCH(Vertices[[#This Row],[Vertex]],GroupVertices[Vertex],0)),1,1,"")</f>
        <v>4</v>
      </c>
      <c r="AP77" s="49">
        <v>0</v>
      </c>
      <c r="AQ77" s="50">
        <v>0</v>
      </c>
      <c r="AR77" s="49">
        <v>0</v>
      </c>
      <c r="AS77" s="50">
        <v>0</v>
      </c>
      <c r="AT77" s="49">
        <v>0</v>
      </c>
      <c r="AU77" s="50">
        <v>0</v>
      </c>
      <c r="AV77" s="49">
        <v>25</v>
      </c>
      <c r="AW77" s="50">
        <v>100</v>
      </c>
      <c r="AX77" s="49">
        <v>25</v>
      </c>
      <c r="AY77" s="49"/>
      <c r="AZ77" s="49"/>
      <c r="BA77" s="49"/>
      <c r="BB77" s="49"/>
      <c r="BC77" s="2"/>
      <c r="BD77" s="3"/>
      <c r="BE77" s="3"/>
      <c r="BF77" s="3"/>
      <c r="BG77" s="3"/>
    </row>
    <row r="78" spans="1:59" ht="15">
      <c r="A78" s="65" t="s">
        <v>264</v>
      </c>
      <c r="B78" s="66" t="s">
        <v>3536</v>
      </c>
      <c r="C78" s="66"/>
      <c r="D78" s="67">
        <v>212.5</v>
      </c>
      <c r="E78" s="69">
        <v>50</v>
      </c>
      <c r="F78" s="96" t="str">
        <f>HYPERLINK("https://i.ytimg.com/vi/0loyJ70xnBU/default.jpg")</f>
        <v>https://i.ytimg.com/vi/0loyJ70xnBU/default.jpg</v>
      </c>
      <c r="G78" s="66"/>
      <c r="H78" s="70" t="s">
        <v>670</v>
      </c>
      <c r="I78" s="71"/>
      <c r="J78" s="71" t="s">
        <v>159</v>
      </c>
      <c r="K78" s="70" t="s">
        <v>670</v>
      </c>
      <c r="L78" s="74">
        <v>1.2680405468289175</v>
      </c>
      <c r="M78" s="75">
        <v>5043.1884765625</v>
      </c>
      <c r="N78" s="75">
        <v>3373.887939453125</v>
      </c>
      <c r="O78" s="76"/>
      <c r="P78" s="77"/>
      <c r="Q78" s="77"/>
      <c r="R78" s="82"/>
      <c r="S78" s="49">
        <v>1</v>
      </c>
      <c r="T78" s="49">
        <v>0</v>
      </c>
      <c r="U78" s="50">
        <v>0</v>
      </c>
      <c r="V78" s="50">
        <v>0.000912</v>
      </c>
      <c r="W78" s="50">
        <v>0.001702</v>
      </c>
      <c r="X78" s="50">
        <v>0.401055</v>
      </c>
      <c r="Y78" s="50">
        <v>0</v>
      </c>
      <c r="Z78" s="50">
        <v>0</v>
      </c>
      <c r="AA78" s="72">
        <v>49</v>
      </c>
      <c r="AB78" s="72"/>
      <c r="AC78" s="73"/>
      <c r="AD78" s="80" t="s">
        <v>670</v>
      </c>
      <c r="AE78" s="80" t="s">
        <v>1064</v>
      </c>
      <c r="AF78" s="80" t="s">
        <v>1428</v>
      </c>
      <c r="AG78" s="80" t="s">
        <v>1708</v>
      </c>
      <c r="AH78" s="80" t="s">
        <v>1961</v>
      </c>
      <c r="AI78" s="80">
        <v>6109</v>
      </c>
      <c r="AJ78" s="80">
        <v>37</v>
      </c>
      <c r="AK78" s="80">
        <v>261</v>
      </c>
      <c r="AL78" s="80">
        <v>4</v>
      </c>
      <c r="AM78" s="80" t="s">
        <v>2317</v>
      </c>
      <c r="AN78" s="98" t="str">
        <f>HYPERLINK("https://www.youtube.com/watch?v=0loyJ70xnBU")</f>
        <v>https://www.youtube.com/watch?v=0loyJ70xnBU</v>
      </c>
      <c r="AO78" s="80" t="str">
        <f>REPLACE(INDEX(GroupVertices[Group],MATCH(Vertices[[#This Row],[Vertex]],GroupVertices[Vertex],0)),1,1,"")</f>
        <v>4</v>
      </c>
      <c r="AP78" s="49">
        <v>0</v>
      </c>
      <c r="AQ78" s="50">
        <v>0</v>
      </c>
      <c r="AR78" s="49">
        <v>0</v>
      </c>
      <c r="AS78" s="50">
        <v>0</v>
      </c>
      <c r="AT78" s="49">
        <v>0</v>
      </c>
      <c r="AU78" s="50">
        <v>0</v>
      </c>
      <c r="AV78" s="49">
        <v>61</v>
      </c>
      <c r="AW78" s="50">
        <v>100</v>
      </c>
      <c r="AX78" s="49">
        <v>61</v>
      </c>
      <c r="AY78" s="49"/>
      <c r="AZ78" s="49"/>
      <c r="BA78" s="49"/>
      <c r="BB78" s="49"/>
      <c r="BC78" s="2"/>
      <c r="BD78" s="3"/>
      <c r="BE78" s="3"/>
      <c r="BF78" s="3"/>
      <c r="BG78" s="3"/>
    </row>
    <row r="79" spans="1:59" ht="15">
      <c r="A79" s="65" t="s">
        <v>265</v>
      </c>
      <c r="B79" s="66" t="s">
        <v>3536</v>
      </c>
      <c r="C79" s="66"/>
      <c r="D79" s="67">
        <v>212.5</v>
      </c>
      <c r="E79" s="69">
        <v>50</v>
      </c>
      <c r="F79" s="96" t="str">
        <f>HYPERLINK("https://i.ytimg.com/vi/XFbbPB6Q-gk/default.jpg")</f>
        <v>https://i.ytimg.com/vi/XFbbPB6Q-gk/default.jpg</v>
      </c>
      <c r="G79" s="66"/>
      <c r="H79" s="70" t="s">
        <v>671</v>
      </c>
      <c r="I79" s="71"/>
      <c r="J79" s="71" t="s">
        <v>159</v>
      </c>
      <c r="K79" s="70" t="s">
        <v>671</v>
      </c>
      <c r="L79" s="74">
        <v>1.3119081207441783</v>
      </c>
      <c r="M79" s="75">
        <v>3238.657958984375</v>
      </c>
      <c r="N79" s="75">
        <v>2798.015380859375</v>
      </c>
      <c r="O79" s="76"/>
      <c r="P79" s="77"/>
      <c r="Q79" s="77"/>
      <c r="R79" s="82"/>
      <c r="S79" s="49">
        <v>1</v>
      </c>
      <c r="T79" s="49">
        <v>0</v>
      </c>
      <c r="U79" s="50">
        <v>0</v>
      </c>
      <c r="V79" s="50">
        <v>0.000912</v>
      </c>
      <c r="W79" s="50">
        <v>0.001702</v>
      </c>
      <c r="X79" s="50">
        <v>0.401055</v>
      </c>
      <c r="Y79" s="50">
        <v>0</v>
      </c>
      <c r="Z79" s="50">
        <v>0</v>
      </c>
      <c r="AA79" s="72">
        <v>50</v>
      </c>
      <c r="AB79" s="72"/>
      <c r="AC79" s="73"/>
      <c r="AD79" s="80" t="s">
        <v>671</v>
      </c>
      <c r="AE79" s="80" t="s">
        <v>1065</v>
      </c>
      <c r="AF79" s="80" t="s">
        <v>1429</v>
      </c>
      <c r="AG79" s="80" t="s">
        <v>1708</v>
      </c>
      <c r="AH79" s="80" t="s">
        <v>1962</v>
      </c>
      <c r="AI79" s="80">
        <v>7107</v>
      </c>
      <c r="AJ79" s="80">
        <v>66</v>
      </c>
      <c r="AK79" s="80">
        <v>377</v>
      </c>
      <c r="AL79" s="80">
        <v>7</v>
      </c>
      <c r="AM79" s="80" t="s">
        <v>2317</v>
      </c>
      <c r="AN79" s="98" t="str">
        <f>HYPERLINK("https://www.youtube.com/watch?v=XFbbPB6Q-gk")</f>
        <v>https://www.youtube.com/watch?v=XFbbPB6Q-gk</v>
      </c>
      <c r="AO79" s="80" t="str">
        <f>REPLACE(INDEX(GroupVertices[Group],MATCH(Vertices[[#This Row],[Vertex]],GroupVertices[Vertex],0)),1,1,"")</f>
        <v>4</v>
      </c>
      <c r="AP79" s="49">
        <v>1</v>
      </c>
      <c r="AQ79" s="50">
        <v>1.7857142857142858</v>
      </c>
      <c r="AR79" s="49">
        <v>0</v>
      </c>
      <c r="AS79" s="50">
        <v>0</v>
      </c>
      <c r="AT79" s="49">
        <v>0</v>
      </c>
      <c r="AU79" s="50">
        <v>0</v>
      </c>
      <c r="AV79" s="49">
        <v>55</v>
      </c>
      <c r="AW79" s="50">
        <v>98.21428571428571</v>
      </c>
      <c r="AX79" s="49">
        <v>56</v>
      </c>
      <c r="AY79" s="49"/>
      <c r="AZ79" s="49"/>
      <c r="BA79" s="49"/>
      <c r="BB79" s="49"/>
      <c r="BC79" s="2"/>
      <c r="BD79" s="3"/>
      <c r="BE79" s="3"/>
      <c r="BF79" s="3"/>
      <c r="BG79" s="3"/>
    </row>
    <row r="80" spans="1:59" ht="15">
      <c r="A80" s="65" t="s">
        <v>266</v>
      </c>
      <c r="B80" s="66" t="s">
        <v>3536</v>
      </c>
      <c r="C80" s="66"/>
      <c r="D80" s="67">
        <v>212.5</v>
      </c>
      <c r="E80" s="69">
        <v>50</v>
      </c>
      <c r="F80" s="96" t="str">
        <f>HYPERLINK("https://i.ytimg.com/vi/LGQ7A7z22yw/default.jpg")</f>
        <v>https://i.ytimg.com/vi/LGQ7A7z22yw/default.jpg</v>
      </c>
      <c r="G80" s="66"/>
      <c r="H80" s="70" t="s">
        <v>672</v>
      </c>
      <c r="I80" s="71"/>
      <c r="J80" s="71" t="s">
        <v>159</v>
      </c>
      <c r="K80" s="70" t="s">
        <v>672</v>
      </c>
      <c r="L80" s="74">
        <v>1.567377398895977</v>
      </c>
      <c r="M80" s="75">
        <v>4682.28271484375</v>
      </c>
      <c r="N80" s="75">
        <v>2798.015380859375</v>
      </c>
      <c r="O80" s="76"/>
      <c r="P80" s="77"/>
      <c r="Q80" s="77"/>
      <c r="R80" s="82"/>
      <c r="S80" s="49">
        <v>1</v>
      </c>
      <c r="T80" s="49">
        <v>0</v>
      </c>
      <c r="U80" s="50">
        <v>0</v>
      </c>
      <c r="V80" s="50">
        <v>0.000912</v>
      </c>
      <c r="W80" s="50">
        <v>0.001702</v>
      </c>
      <c r="X80" s="50">
        <v>0.401055</v>
      </c>
      <c r="Y80" s="50">
        <v>0</v>
      </c>
      <c r="Z80" s="50">
        <v>0</v>
      </c>
      <c r="AA80" s="72">
        <v>51</v>
      </c>
      <c r="AB80" s="72"/>
      <c r="AC80" s="73"/>
      <c r="AD80" s="80" t="s">
        <v>672</v>
      </c>
      <c r="AE80" s="80" t="s">
        <v>1066</v>
      </c>
      <c r="AF80" s="80" t="s">
        <v>1430</v>
      </c>
      <c r="AG80" s="80" t="s">
        <v>1708</v>
      </c>
      <c r="AH80" s="80" t="s">
        <v>1963</v>
      </c>
      <c r="AI80" s="80">
        <v>12919</v>
      </c>
      <c r="AJ80" s="80">
        <v>173</v>
      </c>
      <c r="AK80" s="80">
        <v>831</v>
      </c>
      <c r="AL80" s="80">
        <v>4</v>
      </c>
      <c r="AM80" s="80" t="s">
        <v>2317</v>
      </c>
      <c r="AN80" s="98" t="str">
        <f>HYPERLINK("https://www.youtube.com/watch?v=LGQ7A7z22yw")</f>
        <v>https://www.youtube.com/watch?v=LGQ7A7z22yw</v>
      </c>
      <c r="AO80" s="80" t="str">
        <f>REPLACE(INDEX(GroupVertices[Group],MATCH(Vertices[[#This Row],[Vertex]],GroupVertices[Vertex],0)),1,1,"")</f>
        <v>4</v>
      </c>
      <c r="AP80" s="49">
        <v>0</v>
      </c>
      <c r="AQ80" s="50">
        <v>0</v>
      </c>
      <c r="AR80" s="49">
        <v>0</v>
      </c>
      <c r="AS80" s="50">
        <v>0</v>
      </c>
      <c r="AT80" s="49">
        <v>0</v>
      </c>
      <c r="AU80" s="50">
        <v>0</v>
      </c>
      <c r="AV80" s="49">
        <v>33</v>
      </c>
      <c r="AW80" s="50">
        <v>100</v>
      </c>
      <c r="AX80" s="49">
        <v>33</v>
      </c>
      <c r="AY80" s="49"/>
      <c r="AZ80" s="49"/>
      <c r="BA80" s="49"/>
      <c r="BB80" s="49"/>
      <c r="BC80" s="2"/>
      <c r="BD80" s="3"/>
      <c r="BE80" s="3"/>
      <c r="BF80" s="3"/>
      <c r="BG80" s="3"/>
    </row>
    <row r="81" spans="1:59" ht="15">
      <c r="A81" s="65" t="s">
        <v>267</v>
      </c>
      <c r="B81" s="66" t="s">
        <v>3536</v>
      </c>
      <c r="C81" s="66"/>
      <c r="D81" s="67">
        <v>212.5</v>
      </c>
      <c r="E81" s="69">
        <v>50</v>
      </c>
      <c r="F81" s="96" t="str">
        <f>HYPERLINK("https://i.ytimg.com/vi/3VVZBzSNivU/default.jpg")</f>
        <v>https://i.ytimg.com/vi/3VVZBzSNivU/default.jpg</v>
      </c>
      <c r="G81" s="66"/>
      <c r="H81" s="70" t="s">
        <v>673</v>
      </c>
      <c r="I81" s="71"/>
      <c r="J81" s="71" t="s">
        <v>159</v>
      </c>
      <c r="K81" s="70" t="s">
        <v>673</v>
      </c>
      <c r="L81" s="74">
        <v>1.9995916817704844</v>
      </c>
      <c r="M81" s="75">
        <v>3960.469970703125</v>
      </c>
      <c r="N81" s="75">
        <v>2222.1435546875</v>
      </c>
      <c r="O81" s="76"/>
      <c r="P81" s="77"/>
      <c r="Q81" s="77"/>
      <c r="R81" s="82"/>
      <c r="S81" s="49">
        <v>1</v>
      </c>
      <c r="T81" s="49">
        <v>0</v>
      </c>
      <c r="U81" s="50">
        <v>0</v>
      </c>
      <c r="V81" s="50">
        <v>0.000912</v>
      </c>
      <c r="W81" s="50">
        <v>0.001702</v>
      </c>
      <c r="X81" s="50">
        <v>0.401055</v>
      </c>
      <c r="Y81" s="50">
        <v>0</v>
      </c>
      <c r="Z81" s="50">
        <v>0</v>
      </c>
      <c r="AA81" s="72">
        <v>52</v>
      </c>
      <c r="AB81" s="72"/>
      <c r="AC81" s="73"/>
      <c r="AD81" s="80" t="s">
        <v>673</v>
      </c>
      <c r="AE81" s="80" t="s">
        <v>1067</v>
      </c>
      <c r="AF81" s="80" t="s">
        <v>1431</v>
      </c>
      <c r="AG81" s="80" t="s">
        <v>1685</v>
      </c>
      <c r="AH81" s="80" t="s">
        <v>1964</v>
      </c>
      <c r="AI81" s="80">
        <v>22752</v>
      </c>
      <c r="AJ81" s="80">
        <v>192</v>
      </c>
      <c r="AK81" s="80">
        <v>1924</v>
      </c>
      <c r="AL81" s="80">
        <v>39</v>
      </c>
      <c r="AM81" s="80" t="s">
        <v>2317</v>
      </c>
      <c r="AN81" s="98" t="str">
        <f>HYPERLINK("https://www.youtube.com/watch?v=3VVZBzSNivU")</f>
        <v>https://www.youtube.com/watch?v=3VVZBzSNivU</v>
      </c>
      <c r="AO81" s="80" t="str">
        <f>REPLACE(INDEX(GroupVertices[Group],MATCH(Vertices[[#This Row],[Vertex]],GroupVertices[Vertex],0)),1,1,"")</f>
        <v>4</v>
      </c>
      <c r="AP81" s="49">
        <v>0</v>
      </c>
      <c r="AQ81" s="50">
        <v>0</v>
      </c>
      <c r="AR81" s="49">
        <v>0</v>
      </c>
      <c r="AS81" s="50">
        <v>0</v>
      </c>
      <c r="AT81" s="49">
        <v>0</v>
      </c>
      <c r="AU81" s="50">
        <v>0</v>
      </c>
      <c r="AV81" s="49">
        <v>8</v>
      </c>
      <c r="AW81" s="50">
        <v>100</v>
      </c>
      <c r="AX81" s="49">
        <v>8</v>
      </c>
      <c r="AY81" s="49"/>
      <c r="AZ81" s="49"/>
      <c r="BA81" s="49"/>
      <c r="BB81" s="49"/>
      <c r="BC81" s="2"/>
      <c r="BD81" s="3"/>
      <c r="BE81" s="3"/>
      <c r="BF81" s="3"/>
      <c r="BG81" s="3"/>
    </row>
    <row r="82" spans="1:59" ht="15">
      <c r="A82" s="65" t="s">
        <v>268</v>
      </c>
      <c r="B82" s="66" t="s">
        <v>3536</v>
      </c>
      <c r="C82" s="66"/>
      <c r="D82" s="67">
        <v>212.5</v>
      </c>
      <c r="E82" s="69">
        <v>50</v>
      </c>
      <c r="F82" s="96" t="str">
        <f>HYPERLINK("https://i.ytimg.com/vi/0WoVowkmnHo/default.jpg")</f>
        <v>https://i.ytimg.com/vi/0WoVowkmnHo/default.jpg</v>
      </c>
      <c r="G82" s="66"/>
      <c r="H82" s="70" t="s">
        <v>674</v>
      </c>
      <c r="I82" s="71"/>
      <c r="J82" s="71" t="s">
        <v>159</v>
      </c>
      <c r="K82" s="70" t="s">
        <v>674</v>
      </c>
      <c r="L82" s="74">
        <v>1.025845825112398</v>
      </c>
      <c r="M82" s="75">
        <v>5043.1884765625</v>
      </c>
      <c r="N82" s="75">
        <v>4525.63232421875</v>
      </c>
      <c r="O82" s="76"/>
      <c r="P82" s="77"/>
      <c r="Q82" s="77"/>
      <c r="R82" s="82"/>
      <c r="S82" s="49">
        <v>1</v>
      </c>
      <c r="T82" s="49">
        <v>0</v>
      </c>
      <c r="U82" s="50">
        <v>0</v>
      </c>
      <c r="V82" s="50">
        <v>0.000912</v>
      </c>
      <c r="W82" s="50">
        <v>0.001702</v>
      </c>
      <c r="X82" s="50">
        <v>0.401055</v>
      </c>
      <c r="Y82" s="50">
        <v>0</v>
      </c>
      <c r="Z82" s="50">
        <v>0</v>
      </c>
      <c r="AA82" s="72">
        <v>53</v>
      </c>
      <c r="AB82" s="72"/>
      <c r="AC82" s="73"/>
      <c r="AD82" s="80" t="s">
        <v>674</v>
      </c>
      <c r="AE82" s="80"/>
      <c r="AF82" s="80"/>
      <c r="AG82" s="80" t="s">
        <v>1710</v>
      </c>
      <c r="AH82" s="80" t="s">
        <v>1965</v>
      </c>
      <c r="AI82" s="80">
        <v>599</v>
      </c>
      <c r="AJ82" s="80">
        <v>0</v>
      </c>
      <c r="AK82" s="80">
        <v>7</v>
      </c>
      <c r="AL82" s="80">
        <v>0</v>
      </c>
      <c r="AM82" s="80" t="s">
        <v>2317</v>
      </c>
      <c r="AN82" s="98" t="str">
        <f>HYPERLINK("https://www.youtube.com/watch?v=0WoVowkmnHo")</f>
        <v>https://www.youtube.com/watch?v=0WoVowkmnHo</v>
      </c>
      <c r="AO82" s="80" t="str">
        <f>REPLACE(INDEX(GroupVertices[Group],MATCH(Vertices[[#This Row],[Vertex]],GroupVertices[Vertex],0)),1,1,"")</f>
        <v>4</v>
      </c>
      <c r="AP82" s="49"/>
      <c r="AQ82" s="50"/>
      <c r="AR82" s="49"/>
      <c r="AS82" s="50"/>
      <c r="AT82" s="49"/>
      <c r="AU82" s="50"/>
      <c r="AV82" s="49"/>
      <c r="AW82" s="50"/>
      <c r="AX82" s="49"/>
      <c r="AY82" s="49"/>
      <c r="AZ82" s="49"/>
      <c r="BA82" s="49"/>
      <c r="BB82" s="49"/>
      <c r="BC82" s="2"/>
      <c r="BD82" s="3"/>
      <c r="BE82" s="3"/>
      <c r="BF82" s="3"/>
      <c r="BG82" s="3"/>
    </row>
    <row r="83" spans="1:59" ht="15">
      <c r="A83" s="65" t="s">
        <v>269</v>
      </c>
      <c r="B83" s="66" t="s">
        <v>3536</v>
      </c>
      <c r="C83" s="66"/>
      <c r="D83" s="67">
        <v>212.5</v>
      </c>
      <c r="E83" s="69">
        <v>50</v>
      </c>
      <c r="F83" s="96" t="str">
        <f>HYPERLINK("https://i.ytimg.com/vi/flsjYjcoEUk/default.jpg")</f>
        <v>https://i.ytimg.com/vi/flsjYjcoEUk/default.jpg</v>
      </c>
      <c r="G83" s="66"/>
      <c r="H83" s="70" t="s">
        <v>675</v>
      </c>
      <c r="I83" s="71"/>
      <c r="J83" s="71" t="s">
        <v>159</v>
      </c>
      <c r="K83" s="70" t="s">
        <v>675</v>
      </c>
      <c r="L83" s="74">
        <v>9.724020907071594</v>
      </c>
      <c r="M83" s="75">
        <v>5043.1884765625</v>
      </c>
      <c r="N83" s="75">
        <v>1646.2713623046875</v>
      </c>
      <c r="O83" s="76"/>
      <c r="P83" s="77"/>
      <c r="Q83" s="77"/>
      <c r="R83" s="82"/>
      <c r="S83" s="49">
        <v>1</v>
      </c>
      <c r="T83" s="49">
        <v>0</v>
      </c>
      <c r="U83" s="50">
        <v>0</v>
      </c>
      <c r="V83" s="50">
        <v>0.000912</v>
      </c>
      <c r="W83" s="50">
        <v>0.001702</v>
      </c>
      <c r="X83" s="50">
        <v>0.401055</v>
      </c>
      <c r="Y83" s="50">
        <v>0</v>
      </c>
      <c r="Z83" s="50">
        <v>0</v>
      </c>
      <c r="AA83" s="72">
        <v>54</v>
      </c>
      <c r="AB83" s="72"/>
      <c r="AC83" s="73"/>
      <c r="AD83" s="80" t="s">
        <v>675</v>
      </c>
      <c r="AE83" s="80" t="s">
        <v>675</v>
      </c>
      <c r="AF83" s="80"/>
      <c r="AG83" s="80" t="s">
        <v>1711</v>
      </c>
      <c r="AH83" s="80" t="s">
        <v>1966</v>
      </c>
      <c r="AI83" s="80">
        <v>198485</v>
      </c>
      <c r="AJ83" s="80">
        <v>29</v>
      </c>
      <c r="AK83" s="80">
        <v>1322</v>
      </c>
      <c r="AL83" s="80">
        <v>100</v>
      </c>
      <c r="AM83" s="80" t="s">
        <v>2317</v>
      </c>
      <c r="AN83" s="98" t="str">
        <f>HYPERLINK("https://www.youtube.com/watch?v=flsjYjcoEUk")</f>
        <v>https://www.youtube.com/watch?v=flsjYjcoEUk</v>
      </c>
      <c r="AO83" s="80" t="str">
        <f>REPLACE(INDEX(GroupVertices[Group],MATCH(Vertices[[#This Row],[Vertex]],GroupVertices[Vertex],0)),1,1,"")</f>
        <v>4</v>
      </c>
      <c r="AP83" s="49"/>
      <c r="AQ83" s="50"/>
      <c r="AR83" s="49"/>
      <c r="AS83" s="50"/>
      <c r="AT83" s="49"/>
      <c r="AU83" s="50"/>
      <c r="AV83" s="49"/>
      <c r="AW83" s="50"/>
      <c r="AX83" s="49"/>
      <c r="AY83" s="49"/>
      <c r="AZ83" s="49"/>
      <c r="BA83" s="49"/>
      <c r="BB83" s="49"/>
      <c r="BC83" s="2"/>
      <c r="BD83" s="3"/>
      <c r="BE83" s="3"/>
      <c r="BF83" s="3"/>
      <c r="BG83" s="3"/>
    </row>
    <row r="84" spans="1:59" ht="15">
      <c r="A84" s="65" t="s">
        <v>270</v>
      </c>
      <c r="B84" s="66" t="s">
        <v>3536</v>
      </c>
      <c r="C84" s="66"/>
      <c r="D84" s="67">
        <v>212.5</v>
      </c>
      <c r="E84" s="69">
        <v>50</v>
      </c>
      <c r="F84" s="96" t="str">
        <f>HYPERLINK("https://i.ytimg.com/vi/R7oyZGW99os/default.jpg")</f>
        <v>https://i.ytimg.com/vi/R7oyZGW99os/default.jpg</v>
      </c>
      <c r="G84" s="66"/>
      <c r="H84" s="70" t="s">
        <v>676</v>
      </c>
      <c r="I84" s="71"/>
      <c r="J84" s="71" t="s">
        <v>159</v>
      </c>
      <c r="K84" s="70" t="s">
        <v>676</v>
      </c>
      <c r="L84" s="74">
        <v>71.59286036923847</v>
      </c>
      <c r="M84" s="75">
        <v>4682.28271484375</v>
      </c>
      <c r="N84" s="75">
        <v>1070.399169921875</v>
      </c>
      <c r="O84" s="76"/>
      <c r="P84" s="77"/>
      <c r="Q84" s="77"/>
      <c r="R84" s="82"/>
      <c r="S84" s="49">
        <v>1</v>
      </c>
      <c r="T84" s="49">
        <v>0</v>
      </c>
      <c r="U84" s="50">
        <v>0</v>
      </c>
      <c r="V84" s="50">
        <v>0.000912</v>
      </c>
      <c r="W84" s="50">
        <v>0.001702</v>
      </c>
      <c r="X84" s="50">
        <v>0.401055</v>
      </c>
      <c r="Y84" s="50">
        <v>0</v>
      </c>
      <c r="Z84" s="50">
        <v>0</v>
      </c>
      <c r="AA84" s="72">
        <v>55</v>
      </c>
      <c r="AB84" s="72"/>
      <c r="AC84" s="73"/>
      <c r="AD84" s="80" t="s">
        <v>676</v>
      </c>
      <c r="AE84" s="80" t="s">
        <v>1068</v>
      </c>
      <c r="AF84" s="80" t="s">
        <v>1432</v>
      </c>
      <c r="AG84" s="80" t="s">
        <v>1712</v>
      </c>
      <c r="AH84" s="80" t="s">
        <v>1967</v>
      </c>
      <c r="AI84" s="80">
        <v>1606019</v>
      </c>
      <c r="AJ84" s="80">
        <v>5355</v>
      </c>
      <c r="AK84" s="80">
        <v>52072</v>
      </c>
      <c r="AL84" s="80">
        <v>1550</v>
      </c>
      <c r="AM84" s="80" t="s">
        <v>2317</v>
      </c>
      <c r="AN84" s="98" t="str">
        <f>HYPERLINK("https://www.youtube.com/watch?v=R7oyZGW99os")</f>
        <v>https://www.youtube.com/watch?v=R7oyZGW99os</v>
      </c>
      <c r="AO84" s="80" t="str">
        <f>REPLACE(INDEX(GroupVertices[Group],MATCH(Vertices[[#This Row],[Vertex]],GroupVertices[Vertex],0)),1,1,"")</f>
        <v>4</v>
      </c>
      <c r="AP84" s="49">
        <v>1</v>
      </c>
      <c r="AQ84" s="50">
        <v>5.2631578947368425</v>
      </c>
      <c r="AR84" s="49">
        <v>1</v>
      </c>
      <c r="AS84" s="50">
        <v>5.2631578947368425</v>
      </c>
      <c r="AT84" s="49">
        <v>0</v>
      </c>
      <c r="AU84" s="50">
        <v>0</v>
      </c>
      <c r="AV84" s="49">
        <v>17</v>
      </c>
      <c r="AW84" s="50">
        <v>89.47368421052632</v>
      </c>
      <c r="AX84" s="49">
        <v>19</v>
      </c>
      <c r="AY84" s="49"/>
      <c r="AZ84" s="49"/>
      <c r="BA84" s="49"/>
      <c r="BB84" s="49"/>
      <c r="BC84" s="2"/>
      <c r="BD84" s="3"/>
      <c r="BE84" s="3"/>
      <c r="BF84" s="3"/>
      <c r="BG84" s="3"/>
    </row>
    <row r="85" spans="1:59" ht="15">
      <c r="A85" s="65" t="s">
        <v>271</v>
      </c>
      <c r="B85" s="66" t="s">
        <v>3536</v>
      </c>
      <c r="C85" s="66"/>
      <c r="D85" s="67">
        <v>212.5</v>
      </c>
      <c r="E85" s="69">
        <v>50</v>
      </c>
      <c r="F85" s="96" t="str">
        <f>HYPERLINK("https://i.ytimg.com/vi/BmPjQCQ47PM/default.jpg")</f>
        <v>https://i.ytimg.com/vi/BmPjQCQ47PM/default.jpg</v>
      </c>
      <c r="G85" s="66"/>
      <c r="H85" s="70" t="s">
        <v>677</v>
      </c>
      <c r="I85" s="71"/>
      <c r="J85" s="71" t="s">
        <v>159</v>
      </c>
      <c r="K85" s="70" t="s">
        <v>677</v>
      </c>
      <c r="L85" s="74">
        <v>1.0264612019007886</v>
      </c>
      <c r="M85" s="75">
        <v>3238.657958984375</v>
      </c>
      <c r="N85" s="75">
        <v>3949.759765625</v>
      </c>
      <c r="O85" s="76"/>
      <c r="P85" s="77"/>
      <c r="Q85" s="77"/>
      <c r="R85" s="82"/>
      <c r="S85" s="49">
        <v>1</v>
      </c>
      <c r="T85" s="49">
        <v>0</v>
      </c>
      <c r="U85" s="50">
        <v>0</v>
      </c>
      <c r="V85" s="50">
        <v>0.000912</v>
      </c>
      <c r="W85" s="50">
        <v>0.001702</v>
      </c>
      <c r="X85" s="50">
        <v>0.401055</v>
      </c>
      <c r="Y85" s="50">
        <v>0</v>
      </c>
      <c r="Z85" s="50">
        <v>0</v>
      </c>
      <c r="AA85" s="72">
        <v>56</v>
      </c>
      <c r="AB85" s="72"/>
      <c r="AC85" s="73"/>
      <c r="AD85" s="80" t="s">
        <v>677</v>
      </c>
      <c r="AE85" s="80" t="s">
        <v>1069</v>
      </c>
      <c r="AF85" s="80"/>
      <c r="AG85" s="80" t="s">
        <v>1713</v>
      </c>
      <c r="AH85" s="80" t="s">
        <v>1968</v>
      </c>
      <c r="AI85" s="80">
        <v>613</v>
      </c>
      <c r="AJ85" s="80">
        <v>0</v>
      </c>
      <c r="AK85" s="80">
        <v>1</v>
      </c>
      <c r="AL85" s="80">
        <v>0</v>
      </c>
      <c r="AM85" s="80" t="s">
        <v>2317</v>
      </c>
      <c r="AN85" s="98" t="str">
        <f>HYPERLINK("https://www.youtube.com/watch?v=BmPjQCQ47PM")</f>
        <v>https://www.youtube.com/watch?v=BmPjQCQ47PM</v>
      </c>
      <c r="AO85" s="80" t="str">
        <f>REPLACE(INDEX(GroupVertices[Group],MATCH(Vertices[[#This Row],[Vertex]],GroupVertices[Vertex],0)),1,1,"")</f>
        <v>4</v>
      </c>
      <c r="AP85" s="49"/>
      <c r="AQ85" s="50"/>
      <c r="AR85" s="49"/>
      <c r="AS85" s="50"/>
      <c r="AT85" s="49"/>
      <c r="AU85" s="50"/>
      <c r="AV85" s="49"/>
      <c r="AW85" s="50"/>
      <c r="AX85" s="49"/>
      <c r="AY85" s="49"/>
      <c r="AZ85" s="49"/>
      <c r="BA85" s="49"/>
      <c r="BB85" s="49"/>
      <c r="BC85" s="2"/>
      <c r="BD85" s="3"/>
      <c r="BE85" s="3"/>
      <c r="BF85" s="3"/>
      <c r="BG85" s="3"/>
    </row>
    <row r="86" spans="1:59" ht="15">
      <c r="A86" s="65" t="s">
        <v>272</v>
      </c>
      <c r="B86" s="66" t="s">
        <v>3536</v>
      </c>
      <c r="C86" s="66"/>
      <c r="D86" s="67">
        <v>212.5</v>
      </c>
      <c r="E86" s="69">
        <v>50</v>
      </c>
      <c r="F86" s="96" t="str">
        <f>HYPERLINK("https://i.ytimg.com/vi/A0rvRF8BKGo/default.jpg")</f>
        <v>https://i.ytimg.com/vi/A0rvRF8BKGo/default.jpg</v>
      </c>
      <c r="G86" s="66"/>
      <c r="H86" s="70" t="s">
        <v>678</v>
      </c>
      <c r="I86" s="71"/>
      <c r="J86" s="71" t="s">
        <v>159</v>
      </c>
      <c r="K86" s="70" t="s">
        <v>678</v>
      </c>
      <c r="L86" s="74">
        <v>351.05409710292423</v>
      </c>
      <c r="M86" s="75">
        <v>3599.564208984375</v>
      </c>
      <c r="N86" s="75">
        <v>494.5269775390625</v>
      </c>
      <c r="O86" s="76"/>
      <c r="P86" s="77"/>
      <c r="Q86" s="77"/>
      <c r="R86" s="82"/>
      <c r="S86" s="49">
        <v>1</v>
      </c>
      <c r="T86" s="49">
        <v>0</v>
      </c>
      <c r="U86" s="50">
        <v>0</v>
      </c>
      <c r="V86" s="50">
        <v>0.000912</v>
      </c>
      <c r="W86" s="50">
        <v>0.001702</v>
      </c>
      <c r="X86" s="50">
        <v>0.401055</v>
      </c>
      <c r="Y86" s="50">
        <v>0</v>
      </c>
      <c r="Z86" s="50">
        <v>0</v>
      </c>
      <c r="AA86" s="72">
        <v>57</v>
      </c>
      <c r="AB86" s="72"/>
      <c r="AC86" s="73"/>
      <c r="AD86" s="80" t="s">
        <v>678</v>
      </c>
      <c r="AE86" s="80" t="s">
        <v>1070</v>
      </c>
      <c r="AF86" s="80" t="s">
        <v>1433</v>
      </c>
      <c r="AG86" s="80" t="s">
        <v>1714</v>
      </c>
      <c r="AH86" s="80" t="s">
        <v>1969</v>
      </c>
      <c r="AI86" s="80">
        <v>7963843</v>
      </c>
      <c r="AJ86" s="80">
        <v>2419</v>
      </c>
      <c r="AK86" s="80">
        <v>95513</v>
      </c>
      <c r="AL86" s="80">
        <v>5198</v>
      </c>
      <c r="AM86" s="80" t="s">
        <v>2317</v>
      </c>
      <c r="AN86" s="98" t="str">
        <f>HYPERLINK("https://www.youtube.com/watch?v=A0rvRF8BKGo")</f>
        <v>https://www.youtube.com/watch?v=A0rvRF8BKGo</v>
      </c>
      <c r="AO86" s="80" t="str">
        <f>REPLACE(INDEX(GroupVertices[Group],MATCH(Vertices[[#This Row],[Vertex]],GroupVertices[Vertex],0)),1,1,"")</f>
        <v>4</v>
      </c>
      <c r="AP86" s="49">
        <v>7</v>
      </c>
      <c r="AQ86" s="50">
        <v>10.606060606060606</v>
      </c>
      <c r="AR86" s="49">
        <v>0</v>
      </c>
      <c r="AS86" s="50">
        <v>0</v>
      </c>
      <c r="AT86" s="49">
        <v>0</v>
      </c>
      <c r="AU86" s="50">
        <v>0</v>
      </c>
      <c r="AV86" s="49">
        <v>59</v>
      </c>
      <c r="AW86" s="50">
        <v>89.39393939393939</v>
      </c>
      <c r="AX86" s="49">
        <v>66</v>
      </c>
      <c r="AY86" s="49"/>
      <c r="AZ86" s="49"/>
      <c r="BA86" s="49"/>
      <c r="BB86" s="49"/>
      <c r="BC86" s="2"/>
      <c r="BD86" s="3"/>
      <c r="BE86" s="3"/>
      <c r="BF86" s="3"/>
      <c r="BG86" s="3"/>
    </row>
    <row r="87" spans="1:59" ht="15">
      <c r="A87" s="65" t="s">
        <v>273</v>
      </c>
      <c r="B87" s="66" t="s">
        <v>3536</v>
      </c>
      <c r="C87" s="66"/>
      <c r="D87" s="67">
        <v>212.5</v>
      </c>
      <c r="E87" s="69">
        <v>50</v>
      </c>
      <c r="F87" s="96" t="str">
        <f>HYPERLINK("https://i.ytimg.com/vi/FYeYIoWViNQ/default.jpg")</f>
        <v>https://i.ytimg.com/vi/FYeYIoWViNQ/default.jpg</v>
      </c>
      <c r="G87" s="66"/>
      <c r="H87" s="70" t="s">
        <v>679</v>
      </c>
      <c r="I87" s="71"/>
      <c r="J87" s="71" t="s">
        <v>159</v>
      </c>
      <c r="K87" s="70" t="s">
        <v>679</v>
      </c>
      <c r="L87" s="74">
        <v>1.0082196756735007</v>
      </c>
      <c r="M87" s="75">
        <v>3960.469970703125</v>
      </c>
      <c r="N87" s="75">
        <v>4525.63232421875</v>
      </c>
      <c r="O87" s="76"/>
      <c r="P87" s="77"/>
      <c r="Q87" s="77"/>
      <c r="R87" s="82"/>
      <c r="S87" s="49">
        <v>1</v>
      </c>
      <c r="T87" s="49">
        <v>0</v>
      </c>
      <c r="U87" s="50">
        <v>0</v>
      </c>
      <c r="V87" s="50">
        <v>0.000912</v>
      </c>
      <c r="W87" s="50">
        <v>0.001702</v>
      </c>
      <c r="X87" s="50">
        <v>0.401055</v>
      </c>
      <c r="Y87" s="50">
        <v>0</v>
      </c>
      <c r="Z87" s="50">
        <v>0</v>
      </c>
      <c r="AA87" s="72">
        <v>58</v>
      </c>
      <c r="AB87" s="72"/>
      <c r="AC87" s="73"/>
      <c r="AD87" s="80" t="s">
        <v>679</v>
      </c>
      <c r="AE87" s="80" t="s">
        <v>1071</v>
      </c>
      <c r="AF87" s="80"/>
      <c r="AG87" s="80" t="s">
        <v>1694</v>
      </c>
      <c r="AH87" s="80" t="s">
        <v>1970</v>
      </c>
      <c r="AI87" s="80">
        <v>198</v>
      </c>
      <c r="AJ87" s="80">
        <v>1</v>
      </c>
      <c r="AK87" s="80">
        <v>18</v>
      </c>
      <c r="AL87" s="80">
        <v>4</v>
      </c>
      <c r="AM87" s="80" t="s">
        <v>2317</v>
      </c>
      <c r="AN87" s="98" t="str">
        <f>HYPERLINK("https://www.youtube.com/watch?v=FYeYIoWViNQ")</f>
        <v>https://www.youtube.com/watch?v=FYeYIoWViNQ</v>
      </c>
      <c r="AO87" s="80" t="str">
        <f>REPLACE(INDEX(GroupVertices[Group],MATCH(Vertices[[#This Row],[Vertex]],GroupVertices[Vertex],0)),1,1,"")</f>
        <v>4</v>
      </c>
      <c r="AP87" s="49"/>
      <c r="AQ87" s="50"/>
      <c r="AR87" s="49"/>
      <c r="AS87" s="50"/>
      <c r="AT87" s="49"/>
      <c r="AU87" s="50"/>
      <c r="AV87" s="49"/>
      <c r="AW87" s="50"/>
      <c r="AX87" s="49"/>
      <c r="AY87" s="49"/>
      <c r="AZ87" s="49"/>
      <c r="BA87" s="49"/>
      <c r="BB87" s="49"/>
      <c r="BC87" s="2"/>
      <c r="BD87" s="3"/>
      <c r="BE87" s="3"/>
      <c r="BF87" s="3"/>
      <c r="BG87" s="3"/>
    </row>
    <row r="88" spans="1:59" ht="15">
      <c r="A88" s="65" t="s">
        <v>274</v>
      </c>
      <c r="B88" s="66" t="s">
        <v>3536</v>
      </c>
      <c r="C88" s="66"/>
      <c r="D88" s="67">
        <v>212.5</v>
      </c>
      <c r="E88" s="69">
        <v>50</v>
      </c>
      <c r="F88" s="96" t="str">
        <f>HYPERLINK("https://i.ytimg.com/vi/qzcE1yh4jeo/default.jpg")</f>
        <v>https://i.ytimg.com/vi/qzcE1yh4jeo/default.jpg</v>
      </c>
      <c r="G88" s="66"/>
      <c r="H88" s="70" t="s">
        <v>680</v>
      </c>
      <c r="I88" s="71"/>
      <c r="J88" s="71" t="s">
        <v>159</v>
      </c>
      <c r="K88" s="70" t="s">
        <v>680</v>
      </c>
      <c r="L88" s="74">
        <v>1.841923357487879</v>
      </c>
      <c r="M88" s="75">
        <v>3599.564208984375</v>
      </c>
      <c r="N88" s="75">
        <v>2222.1435546875</v>
      </c>
      <c r="O88" s="76"/>
      <c r="P88" s="77"/>
      <c r="Q88" s="77"/>
      <c r="R88" s="82"/>
      <c r="S88" s="49">
        <v>1</v>
      </c>
      <c r="T88" s="49">
        <v>0</v>
      </c>
      <c r="U88" s="50">
        <v>0</v>
      </c>
      <c r="V88" s="50">
        <v>0.000912</v>
      </c>
      <c r="W88" s="50">
        <v>0.001702</v>
      </c>
      <c r="X88" s="50">
        <v>0.401055</v>
      </c>
      <c r="Y88" s="50">
        <v>0</v>
      </c>
      <c r="Z88" s="50">
        <v>0</v>
      </c>
      <c r="AA88" s="72">
        <v>59</v>
      </c>
      <c r="AB88" s="72"/>
      <c r="AC88" s="73"/>
      <c r="AD88" s="80" t="s">
        <v>680</v>
      </c>
      <c r="AE88" s="80" t="s">
        <v>1072</v>
      </c>
      <c r="AF88" s="80" t="s">
        <v>1434</v>
      </c>
      <c r="AG88" s="80" t="s">
        <v>1715</v>
      </c>
      <c r="AH88" s="80" t="s">
        <v>1971</v>
      </c>
      <c r="AI88" s="80">
        <v>19165</v>
      </c>
      <c r="AJ88" s="80">
        <v>42</v>
      </c>
      <c r="AK88" s="80">
        <v>1045</v>
      </c>
      <c r="AL88" s="80">
        <v>16</v>
      </c>
      <c r="AM88" s="80" t="s">
        <v>2317</v>
      </c>
      <c r="AN88" s="98" t="str">
        <f>HYPERLINK("https://www.youtube.com/watch?v=qzcE1yh4jeo")</f>
        <v>https://www.youtube.com/watch?v=qzcE1yh4jeo</v>
      </c>
      <c r="AO88" s="80" t="str">
        <f>REPLACE(INDEX(GroupVertices[Group],MATCH(Vertices[[#This Row],[Vertex]],GroupVertices[Vertex],0)),1,1,"")</f>
        <v>4</v>
      </c>
      <c r="AP88" s="49">
        <v>2</v>
      </c>
      <c r="AQ88" s="50">
        <v>3.3333333333333335</v>
      </c>
      <c r="AR88" s="49">
        <v>1</v>
      </c>
      <c r="AS88" s="50">
        <v>1.6666666666666667</v>
      </c>
      <c r="AT88" s="49">
        <v>0</v>
      </c>
      <c r="AU88" s="50">
        <v>0</v>
      </c>
      <c r="AV88" s="49">
        <v>57</v>
      </c>
      <c r="AW88" s="50">
        <v>95</v>
      </c>
      <c r="AX88" s="49">
        <v>60</v>
      </c>
      <c r="AY88" s="49"/>
      <c r="AZ88" s="49"/>
      <c r="BA88" s="49"/>
      <c r="BB88" s="49"/>
      <c r="BC88" s="2"/>
      <c r="BD88" s="3"/>
      <c r="BE88" s="3"/>
      <c r="BF88" s="3"/>
      <c r="BG88" s="3"/>
    </row>
    <row r="89" spans="1:59" ht="15">
      <c r="A89" s="65" t="s">
        <v>275</v>
      </c>
      <c r="B89" s="66" t="s">
        <v>3536</v>
      </c>
      <c r="C89" s="66"/>
      <c r="D89" s="67">
        <v>212.5</v>
      </c>
      <c r="E89" s="69">
        <v>50</v>
      </c>
      <c r="F89" s="96" t="str">
        <f>HYPERLINK("https://i.ytimg.com/vi/WYEyFMaef4M/default.jpg")</f>
        <v>https://i.ytimg.com/vi/WYEyFMaef4M/default.jpg</v>
      </c>
      <c r="G89" s="66"/>
      <c r="H89" s="70" t="s">
        <v>681</v>
      </c>
      <c r="I89" s="71"/>
      <c r="J89" s="71" t="s">
        <v>159</v>
      </c>
      <c r="K89" s="70" t="s">
        <v>681</v>
      </c>
      <c r="L89" s="74">
        <v>205.0597342289947</v>
      </c>
      <c r="M89" s="75">
        <v>3238.657958984375</v>
      </c>
      <c r="N89" s="75">
        <v>494.5269775390625</v>
      </c>
      <c r="O89" s="76"/>
      <c r="P89" s="77"/>
      <c r="Q89" s="77"/>
      <c r="R89" s="82"/>
      <c r="S89" s="49">
        <v>1</v>
      </c>
      <c r="T89" s="49">
        <v>0</v>
      </c>
      <c r="U89" s="50">
        <v>0</v>
      </c>
      <c r="V89" s="50">
        <v>0.000912</v>
      </c>
      <c r="W89" s="50">
        <v>0.001702</v>
      </c>
      <c r="X89" s="50">
        <v>0.401055</v>
      </c>
      <c r="Y89" s="50">
        <v>0</v>
      </c>
      <c r="Z89" s="50">
        <v>0</v>
      </c>
      <c r="AA89" s="72">
        <v>60</v>
      </c>
      <c r="AB89" s="72"/>
      <c r="AC89" s="73"/>
      <c r="AD89" s="80" t="s">
        <v>681</v>
      </c>
      <c r="AE89" s="80" t="s">
        <v>1073</v>
      </c>
      <c r="AF89" s="80" t="s">
        <v>1435</v>
      </c>
      <c r="AG89" s="80" t="s">
        <v>1716</v>
      </c>
      <c r="AH89" s="80" t="s">
        <v>1972</v>
      </c>
      <c r="AI89" s="80">
        <v>4642429</v>
      </c>
      <c r="AJ89" s="80">
        <v>3007</v>
      </c>
      <c r="AK89" s="80">
        <v>28790</v>
      </c>
      <c r="AL89" s="80">
        <v>10241</v>
      </c>
      <c r="AM89" s="80" t="s">
        <v>2317</v>
      </c>
      <c r="AN89" s="98" t="str">
        <f>HYPERLINK("https://www.youtube.com/watch?v=WYEyFMaef4M")</f>
        <v>https://www.youtube.com/watch?v=WYEyFMaef4M</v>
      </c>
      <c r="AO89" s="80" t="str">
        <f>REPLACE(INDEX(GroupVertices[Group],MATCH(Vertices[[#This Row],[Vertex]],GroupVertices[Vertex],0)),1,1,"")</f>
        <v>4</v>
      </c>
      <c r="AP89" s="49">
        <v>1</v>
      </c>
      <c r="AQ89" s="50">
        <v>2</v>
      </c>
      <c r="AR89" s="49">
        <v>0</v>
      </c>
      <c r="AS89" s="50">
        <v>0</v>
      </c>
      <c r="AT89" s="49">
        <v>0</v>
      </c>
      <c r="AU89" s="50">
        <v>0</v>
      </c>
      <c r="AV89" s="49">
        <v>49</v>
      </c>
      <c r="AW89" s="50">
        <v>98</v>
      </c>
      <c r="AX89" s="49">
        <v>50</v>
      </c>
      <c r="AY89" s="49"/>
      <c r="AZ89" s="49"/>
      <c r="BA89" s="49"/>
      <c r="BB89" s="49"/>
      <c r="BC89" s="2"/>
      <c r="BD89" s="3"/>
      <c r="BE89" s="3"/>
      <c r="BF89" s="3"/>
      <c r="BG89" s="3"/>
    </row>
    <row r="90" spans="1:59" ht="15">
      <c r="A90" s="65" t="s">
        <v>276</v>
      </c>
      <c r="B90" s="66" t="s">
        <v>3536</v>
      </c>
      <c r="C90" s="66"/>
      <c r="D90" s="67">
        <v>212.5</v>
      </c>
      <c r="E90" s="69">
        <v>50</v>
      </c>
      <c r="F90" s="96" t="str">
        <f>HYPERLINK("https://i.ytimg.com/vi/tvYp5Tzx0DU/default.jpg")</f>
        <v>https://i.ytimg.com/vi/tvYp5Tzx0DU/default.jpg</v>
      </c>
      <c r="G90" s="66"/>
      <c r="H90" s="70" t="s">
        <v>682</v>
      </c>
      <c r="I90" s="71"/>
      <c r="J90" s="71" t="s">
        <v>159</v>
      </c>
      <c r="K90" s="70" t="s">
        <v>682</v>
      </c>
      <c r="L90" s="74">
        <v>1.0123514912526936</v>
      </c>
      <c r="M90" s="75">
        <v>4321.37646484375</v>
      </c>
      <c r="N90" s="75">
        <v>4525.63232421875</v>
      </c>
      <c r="O90" s="76"/>
      <c r="P90" s="77"/>
      <c r="Q90" s="77"/>
      <c r="R90" s="82"/>
      <c r="S90" s="49">
        <v>1</v>
      </c>
      <c r="T90" s="49">
        <v>0</v>
      </c>
      <c r="U90" s="50">
        <v>0</v>
      </c>
      <c r="V90" s="50">
        <v>0.000912</v>
      </c>
      <c r="W90" s="50">
        <v>0.001702</v>
      </c>
      <c r="X90" s="50">
        <v>0.401055</v>
      </c>
      <c r="Y90" s="50">
        <v>0</v>
      </c>
      <c r="Z90" s="50">
        <v>0</v>
      </c>
      <c r="AA90" s="72">
        <v>61</v>
      </c>
      <c r="AB90" s="72"/>
      <c r="AC90" s="73"/>
      <c r="AD90" s="80" t="s">
        <v>682</v>
      </c>
      <c r="AE90" s="80" t="s">
        <v>1074</v>
      </c>
      <c r="AF90" s="80" t="s">
        <v>1436</v>
      </c>
      <c r="AG90" s="80" t="s">
        <v>1717</v>
      </c>
      <c r="AH90" s="80" t="s">
        <v>1973</v>
      </c>
      <c r="AI90" s="80">
        <v>292</v>
      </c>
      <c r="AJ90" s="80">
        <v>0</v>
      </c>
      <c r="AK90" s="80">
        <v>6</v>
      </c>
      <c r="AL90" s="80">
        <v>0</v>
      </c>
      <c r="AM90" s="80" t="s">
        <v>2317</v>
      </c>
      <c r="AN90" s="98" t="str">
        <f>HYPERLINK("https://www.youtube.com/watch?v=tvYp5Tzx0DU")</f>
        <v>https://www.youtube.com/watch?v=tvYp5Tzx0DU</v>
      </c>
      <c r="AO90" s="80" t="str">
        <f>REPLACE(INDEX(GroupVertices[Group],MATCH(Vertices[[#This Row],[Vertex]],GroupVertices[Vertex],0)),1,1,"")</f>
        <v>4</v>
      </c>
      <c r="AP90" s="49">
        <v>2</v>
      </c>
      <c r="AQ90" s="50">
        <v>18.181818181818183</v>
      </c>
      <c r="AR90" s="49">
        <v>0</v>
      </c>
      <c r="AS90" s="50">
        <v>0</v>
      </c>
      <c r="AT90" s="49">
        <v>0</v>
      </c>
      <c r="AU90" s="50">
        <v>0</v>
      </c>
      <c r="AV90" s="49">
        <v>9</v>
      </c>
      <c r="AW90" s="50">
        <v>81.81818181818181</v>
      </c>
      <c r="AX90" s="49">
        <v>11</v>
      </c>
      <c r="AY90" s="49"/>
      <c r="AZ90" s="49"/>
      <c r="BA90" s="49"/>
      <c r="BB90" s="49"/>
      <c r="BC90" s="2"/>
      <c r="BD90" s="3"/>
      <c r="BE90" s="3"/>
      <c r="BF90" s="3"/>
      <c r="BG90" s="3"/>
    </row>
    <row r="91" spans="1:59" ht="15">
      <c r="A91" s="65" t="s">
        <v>277</v>
      </c>
      <c r="B91" s="66" t="s">
        <v>3536</v>
      </c>
      <c r="C91" s="66"/>
      <c r="D91" s="67">
        <v>212.5</v>
      </c>
      <c r="E91" s="69">
        <v>50</v>
      </c>
      <c r="F91" s="96" t="str">
        <f>HYPERLINK("https://i.ytimg.com/vi/AJDAy_D9jrA/default.jpg")</f>
        <v>https://i.ytimg.com/vi/AJDAy_D9jrA/default.jpg</v>
      </c>
      <c r="G91" s="66"/>
      <c r="H91" s="70" t="s">
        <v>683</v>
      </c>
      <c r="I91" s="71"/>
      <c r="J91" s="71" t="s">
        <v>159</v>
      </c>
      <c r="K91" s="70" t="s">
        <v>683</v>
      </c>
      <c r="L91" s="74">
        <v>2.7561095321267484</v>
      </c>
      <c r="M91" s="75">
        <v>5043.1884765625</v>
      </c>
      <c r="N91" s="75">
        <v>2222.1435546875</v>
      </c>
      <c r="O91" s="76"/>
      <c r="P91" s="77"/>
      <c r="Q91" s="77"/>
      <c r="R91" s="82"/>
      <c r="S91" s="49">
        <v>1</v>
      </c>
      <c r="T91" s="49">
        <v>0</v>
      </c>
      <c r="U91" s="50">
        <v>0</v>
      </c>
      <c r="V91" s="50">
        <v>0.000912</v>
      </c>
      <c r="W91" s="50">
        <v>0.001702</v>
      </c>
      <c r="X91" s="50">
        <v>0.401055</v>
      </c>
      <c r="Y91" s="50">
        <v>0</v>
      </c>
      <c r="Z91" s="50">
        <v>0</v>
      </c>
      <c r="AA91" s="72">
        <v>62</v>
      </c>
      <c r="AB91" s="72"/>
      <c r="AC91" s="73"/>
      <c r="AD91" s="80" t="s">
        <v>683</v>
      </c>
      <c r="AE91" s="80" t="s">
        <v>1075</v>
      </c>
      <c r="AF91" s="80"/>
      <c r="AG91" s="80" t="s">
        <v>1687</v>
      </c>
      <c r="AH91" s="80" t="s">
        <v>1974</v>
      </c>
      <c r="AI91" s="80">
        <v>39963</v>
      </c>
      <c r="AJ91" s="80">
        <v>108</v>
      </c>
      <c r="AK91" s="80">
        <v>4794</v>
      </c>
      <c r="AL91" s="80">
        <v>60</v>
      </c>
      <c r="AM91" s="80" t="s">
        <v>2317</v>
      </c>
      <c r="AN91" s="98" t="str">
        <f>HYPERLINK("https://www.youtube.com/watch?v=AJDAy_D9jrA")</f>
        <v>https://www.youtube.com/watch?v=AJDAy_D9jrA</v>
      </c>
      <c r="AO91" s="80" t="str">
        <f>REPLACE(INDEX(GroupVertices[Group],MATCH(Vertices[[#This Row],[Vertex]],GroupVertices[Vertex],0)),1,1,"")</f>
        <v>4</v>
      </c>
      <c r="AP91" s="49"/>
      <c r="AQ91" s="50"/>
      <c r="AR91" s="49"/>
      <c r="AS91" s="50"/>
      <c r="AT91" s="49"/>
      <c r="AU91" s="50"/>
      <c r="AV91" s="49"/>
      <c r="AW91" s="50"/>
      <c r="AX91" s="49"/>
      <c r="AY91" s="49"/>
      <c r="AZ91" s="49"/>
      <c r="BA91" s="49"/>
      <c r="BB91" s="49"/>
      <c r="BC91" s="2"/>
      <c r="BD91" s="3"/>
      <c r="BE91" s="3"/>
      <c r="BF91" s="3"/>
      <c r="BG91" s="3"/>
    </row>
    <row r="92" spans="1:59" ht="15">
      <c r="A92" s="65" t="s">
        <v>278</v>
      </c>
      <c r="B92" s="66" t="s">
        <v>3536</v>
      </c>
      <c r="C92" s="66"/>
      <c r="D92" s="67">
        <v>212.5</v>
      </c>
      <c r="E92" s="69">
        <v>50</v>
      </c>
      <c r="F92" s="96" t="str">
        <f>HYPERLINK("https://i.ytimg.com/vi/prAwHCtl0YE/default.jpg")</f>
        <v>https://i.ytimg.com/vi/prAwHCtl0YE/default.jpg</v>
      </c>
      <c r="G92" s="66"/>
      <c r="H92" s="70" t="s">
        <v>684</v>
      </c>
      <c r="I92" s="71"/>
      <c r="J92" s="71" t="s">
        <v>159</v>
      </c>
      <c r="K92" s="70" t="s">
        <v>684</v>
      </c>
      <c r="L92" s="74">
        <v>1.055735554834219</v>
      </c>
      <c r="M92" s="75">
        <v>3960.469970703125</v>
      </c>
      <c r="N92" s="75">
        <v>3949.759765625</v>
      </c>
      <c r="O92" s="76"/>
      <c r="P92" s="77"/>
      <c r="Q92" s="77"/>
      <c r="R92" s="82"/>
      <c r="S92" s="49">
        <v>1</v>
      </c>
      <c r="T92" s="49">
        <v>0</v>
      </c>
      <c r="U92" s="50">
        <v>0</v>
      </c>
      <c r="V92" s="50">
        <v>0.000912</v>
      </c>
      <c r="W92" s="50">
        <v>0.001702</v>
      </c>
      <c r="X92" s="50">
        <v>0.401055</v>
      </c>
      <c r="Y92" s="50">
        <v>0</v>
      </c>
      <c r="Z92" s="50">
        <v>0</v>
      </c>
      <c r="AA92" s="72">
        <v>63</v>
      </c>
      <c r="AB92" s="72"/>
      <c r="AC92" s="73"/>
      <c r="AD92" s="80" t="s">
        <v>684</v>
      </c>
      <c r="AE92" s="80" t="s">
        <v>1076</v>
      </c>
      <c r="AF92" s="80" t="s">
        <v>1437</v>
      </c>
      <c r="AG92" s="80" t="s">
        <v>1718</v>
      </c>
      <c r="AH92" s="80" t="s">
        <v>1975</v>
      </c>
      <c r="AI92" s="80">
        <v>1279</v>
      </c>
      <c r="AJ92" s="80">
        <v>0</v>
      </c>
      <c r="AK92" s="80">
        <v>15</v>
      </c>
      <c r="AL92" s="80">
        <v>4</v>
      </c>
      <c r="AM92" s="80" t="s">
        <v>2317</v>
      </c>
      <c r="AN92" s="98" t="str">
        <f>HYPERLINK("https://www.youtube.com/watch?v=prAwHCtl0YE")</f>
        <v>https://www.youtube.com/watch?v=prAwHCtl0YE</v>
      </c>
      <c r="AO92" s="80" t="str">
        <f>REPLACE(INDEX(GroupVertices[Group],MATCH(Vertices[[#This Row],[Vertex]],GroupVertices[Vertex],0)),1,1,"")</f>
        <v>4</v>
      </c>
      <c r="AP92" s="49">
        <v>0</v>
      </c>
      <c r="AQ92" s="50">
        <v>0</v>
      </c>
      <c r="AR92" s="49">
        <v>0</v>
      </c>
      <c r="AS92" s="50">
        <v>0</v>
      </c>
      <c r="AT92" s="49">
        <v>0</v>
      </c>
      <c r="AU92" s="50">
        <v>0</v>
      </c>
      <c r="AV92" s="49">
        <v>1</v>
      </c>
      <c r="AW92" s="50">
        <v>100</v>
      </c>
      <c r="AX92" s="49">
        <v>1</v>
      </c>
      <c r="AY92" s="49"/>
      <c r="AZ92" s="49"/>
      <c r="BA92" s="49"/>
      <c r="BB92" s="49"/>
      <c r="BC92" s="2"/>
      <c r="BD92" s="3"/>
      <c r="BE92" s="3"/>
      <c r="BF92" s="3"/>
      <c r="BG92" s="3"/>
    </row>
    <row r="93" spans="1:59" ht="15">
      <c r="A93" s="65" t="s">
        <v>279</v>
      </c>
      <c r="B93" s="66" t="s">
        <v>3536</v>
      </c>
      <c r="C93" s="66"/>
      <c r="D93" s="67">
        <v>212.5</v>
      </c>
      <c r="E93" s="69">
        <v>50</v>
      </c>
      <c r="F93" s="96" t="str">
        <f>HYPERLINK("https://i.ytimg.com/vi/umjxrA-yXg4/default.jpg")</f>
        <v>https://i.ytimg.com/vi/umjxrA-yXg4/default.jpg</v>
      </c>
      <c r="G93" s="66"/>
      <c r="H93" s="70" t="s">
        <v>685</v>
      </c>
      <c r="I93" s="71"/>
      <c r="J93" s="71" t="s">
        <v>159</v>
      </c>
      <c r="K93" s="70" t="s">
        <v>685</v>
      </c>
      <c r="L93" s="74">
        <v>1.109976623182347</v>
      </c>
      <c r="M93" s="75">
        <v>5404.0947265625</v>
      </c>
      <c r="N93" s="75">
        <v>3949.759765625</v>
      </c>
      <c r="O93" s="76"/>
      <c r="P93" s="77"/>
      <c r="Q93" s="77"/>
      <c r="R93" s="82"/>
      <c r="S93" s="49">
        <v>1</v>
      </c>
      <c r="T93" s="49">
        <v>0</v>
      </c>
      <c r="U93" s="50">
        <v>0</v>
      </c>
      <c r="V93" s="50">
        <v>0.000912</v>
      </c>
      <c r="W93" s="50">
        <v>0.001702</v>
      </c>
      <c r="X93" s="50">
        <v>0.401055</v>
      </c>
      <c r="Y93" s="50">
        <v>0</v>
      </c>
      <c r="Z93" s="50">
        <v>0</v>
      </c>
      <c r="AA93" s="72">
        <v>64</v>
      </c>
      <c r="AB93" s="72"/>
      <c r="AC93" s="73"/>
      <c r="AD93" s="80" t="s">
        <v>685</v>
      </c>
      <c r="AE93" s="80" t="s">
        <v>1077</v>
      </c>
      <c r="AF93" s="80" t="s">
        <v>1438</v>
      </c>
      <c r="AG93" s="80" t="s">
        <v>1719</v>
      </c>
      <c r="AH93" s="80" t="s">
        <v>1976</v>
      </c>
      <c r="AI93" s="80">
        <v>2513</v>
      </c>
      <c r="AJ93" s="80">
        <v>5</v>
      </c>
      <c r="AK93" s="80">
        <v>106</v>
      </c>
      <c r="AL93" s="80">
        <v>1</v>
      </c>
      <c r="AM93" s="80" t="s">
        <v>2317</v>
      </c>
      <c r="AN93" s="98" t="str">
        <f>HYPERLINK("https://www.youtube.com/watch?v=umjxrA-yXg4")</f>
        <v>https://www.youtube.com/watch?v=umjxrA-yXg4</v>
      </c>
      <c r="AO93" s="80" t="str">
        <f>REPLACE(INDEX(GroupVertices[Group],MATCH(Vertices[[#This Row],[Vertex]],GroupVertices[Vertex],0)),1,1,"")</f>
        <v>4</v>
      </c>
      <c r="AP93" s="49">
        <v>0</v>
      </c>
      <c r="AQ93" s="50">
        <v>0</v>
      </c>
      <c r="AR93" s="49">
        <v>0</v>
      </c>
      <c r="AS93" s="50">
        <v>0</v>
      </c>
      <c r="AT93" s="49">
        <v>0</v>
      </c>
      <c r="AU93" s="50">
        <v>0</v>
      </c>
      <c r="AV93" s="49">
        <v>11</v>
      </c>
      <c r="AW93" s="50">
        <v>100</v>
      </c>
      <c r="AX93" s="49">
        <v>11</v>
      </c>
      <c r="AY93" s="49"/>
      <c r="AZ93" s="49"/>
      <c r="BA93" s="49"/>
      <c r="BB93" s="49"/>
      <c r="BC93" s="2"/>
      <c r="BD93" s="3"/>
      <c r="BE93" s="3"/>
      <c r="BF93" s="3"/>
      <c r="BG93" s="3"/>
    </row>
    <row r="94" spans="1:59" ht="15">
      <c r="A94" s="65" t="s">
        <v>280</v>
      </c>
      <c r="B94" s="66" t="s">
        <v>3536</v>
      </c>
      <c r="C94" s="66"/>
      <c r="D94" s="67">
        <v>212.5</v>
      </c>
      <c r="E94" s="69">
        <v>50</v>
      </c>
      <c r="F94" s="96" t="str">
        <f>HYPERLINK("https://i.ytimg.com/vi/LCbx9qUigPM/default.jpg")</f>
        <v>https://i.ytimg.com/vi/LCbx9qUigPM/default.jpg</v>
      </c>
      <c r="G94" s="66"/>
      <c r="H94" s="70" t="s">
        <v>686</v>
      </c>
      <c r="I94" s="71"/>
      <c r="J94" s="71" t="s">
        <v>159</v>
      </c>
      <c r="K94" s="70" t="s">
        <v>686</v>
      </c>
      <c r="L94" s="74">
        <v>2.2402919170009126</v>
      </c>
      <c r="M94" s="75">
        <v>4682.28271484375</v>
      </c>
      <c r="N94" s="75">
        <v>2222.1435546875</v>
      </c>
      <c r="O94" s="76"/>
      <c r="P94" s="77"/>
      <c r="Q94" s="77"/>
      <c r="R94" s="82"/>
      <c r="S94" s="49">
        <v>1</v>
      </c>
      <c r="T94" s="49">
        <v>0</v>
      </c>
      <c r="U94" s="50">
        <v>0</v>
      </c>
      <c r="V94" s="50">
        <v>0.000912</v>
      </c>
      <c r="W94" s="50">
        <v>0.001702</v>
      </c>
      <c r="X94" s="50">
        <v>0.401055</v>
      </c>
      <c r="Y94" s="50">
        <v>0</v>
      </c>
      <c r="Z94" s="50">
        <v>0</v>
      </c>
      <c r="AA94" s="72">
        <v>65</v>
      </c>
      <c r="AB94" s="72"/>
      <c r="AC94" s="73"/>
      <c r="AD94" s="80" t="s">
        <v>686</v>
      </c>
      <c r="AE94" s="80" t="s">
        <v>1078</v>
      </c>
      <c r="AF94" s="80"/>
      <c r="AG94" s="80" t="s">
        <v>1687</v>
      </c>
      <c r="AH94" s="80" t="s">
        <v>1977</v>
      </c>
      <c r="AI94" s="80">
        <v>28228</v>
      </c>
      <c r="AJ94" s="80">
        <v>138</v>
      </c>
      <c r="AK94" s="80">
        <v>3367</v>
      </c>
      <c r="AL94" s="80">
        <v>40</v>
      </c>
      <c r="AM94" s="80" t="s">
        <v>2317</v>
      </c>
      <c r="AN94" s="98" t="str">
        <f>HYPERLINK("https://www.youtube.com/watch?v=LCbx9qUigPM")</f>
        <v>https://www.youtube.com/watch?v=LCbx9qUigPM</v>
      </c>
      <c r="AO94" s="80" t="str">
        <f>REPLACE(INDEX(GroupVertices[Group],MATCH(Vertices[[#This Row],[Vertex]],GroupVertices[Vertex],0)),1,1,"")</f>
        <v>4</v>
      </c>
      <c r="AP94" s="49"/>
      <c r="AQ94" s="50"/>
      <c r="AR94" s="49"/>
      <c r="AS94" s="50"/>
      <c r="AT94" s="49"/>
      <c r="AU94" s="50"/>
      <c r="AV94" s="49"/>
      <c r="AW94" s="50"/>
      <c r="AX94" s="49"/>
      <c r="AY94" s="49"/>
      <c r="AZ94" s="49"/>
      <c r="BA94" s="49"/>
      <c r="BB94" s="49"/>
      <c r="BC94" s="2"/>
      <c r="BD94" s="3"/>
      <c r="BE94" s="3"/>
      <c r="BF94" s="3"/>
      <c r="BG94" s="3"/>
    </row>
    <row r="95" spans="1:59" ht="15">
      <c r="A95" s="65" t="s">
        <v>281</v>
      </c>
      <c r="B95" s="66" t="s">
        <v>3536</v>
      </c>
      <c r="C95" s="66"/>
      <c r="D95" s="67">
        <v>212.5</v>
      </c>
      <c r="E95" s="69">
        <v>50</v>
      </c>
      <c r="F95" s="96" t="str">
        <f>HYPERLINK("https://i.ytimg.com/vi/wdcQOU71mAA/default.jpg")</f>
        <v>https://i.ytimg.com/vi/wdcQOU71mAA/default.jpg</v>
      </c>
      <c r="G95" s="66"/>
      <c r="H95" s="70" t="s">
        <v>687</v>
      </c>
      <c r="I95" s="71"/>
      <c r="J95" s="71" t="s">
        <v>159</v>
      </c>
      <c r="K95" s="70" t="s">
        <v>687</v>
      </c>
      <c r="L95" s="74">
        <v>1.0896252336805776</v>
      </c>
      <c r="M95" s="75">
        <v>4682.28271484375</v>
      </c>
      <c r="N95" s="75">
        <v>3949.759765625</v>
      </c>
      <c r="O95" s="76"/>
      <c r="P95" s="77"/>
      <c r="Q95" s="77"/>
      <c r="R95" s="82"/>
      <c r="S95" s="49">
        <v>1</v>
      </c>
      <c r="T95" s="49">
        <v>0</v>
      </c>
      <c r="U95" s="50">
        <v>0</v>
      </c>
      <c r="V95" s="50">
        <v>0.000912</v>
      </c>
      <c r="W95" s="50">
        <v>0.001702</v>
      </c>
      <c r="X95" s="50">
        <v>0.401055</v>
      </c>
      <c r="Y95" s="50">
        <v>0</v>
      </c>
      <c r="Z95" s="50">
        <v>0</v>
      </c>
      <c r="AA95" s="72">
        <v>66</v>
      </c>
      <c r="AB95" s="72"/>
      <c r="AC95" s="73"/>
      <c r="AD95" s="80" t="s">
        <v>687</v>
      </c>
      <c r="AE95" s="80" t="s">
        <v>1079</v>
      </c>
      <c r="AF95" s="80" t="s">
        <v>1439</v>
      </c>
      <c r="AG95" s="80" t="s">
        <v>1720</v>
      </c>
      <c r="AH95" s="80" t="s">
        <v>1978</v>
      </c>
      <c r="AI95" s="80">
        <v>2050</v>
      </c>
      <c r="AJ95" s="80">
        <v>5</v>
      </c>
      <c r="AK95" s="80">
        <v>48</v>
      </c>
      <c r="AL95" s="80">
        <v>0</v>
      </c>
      <c r="AM95" s="80" t="s">
        <v>2317</v>
      </c>
      <c r="AN95" s="98" t="str">
        <f>HYPERLINK("https://www.youtube.com/watch?v=wdcQOU71mAA")</f>
        <v>https://www.youtube.com/watch?v=wdcQOU71mAA</v>
      </c>
      <c r="AO95" s="80" t="str">
        <f>REPLACE(INDEX(GroupVertices[Group],MATCH(Vertices[[#This Row],[Vertex]],GroupVertices[Vertex],0)),1,1,"")</f>
        <v>4</v>
      </c>
      <c r="AP95" s="49">
        <v>0</v>
      </c>
      <c r="AQ95" s="50">
        <v>0</v>
      </c>
      <c r="AR95" s="49">
        <v>0</v>
      </c>
      <c r="AS95" s="50">
        <v>0</v>
      </c>
      <c r="AT95" s="49">
        <v>0</v>
      </c>
      <c r="AU95" s="50">
        <v>0</v>
      </c>
      <c r="AV95" s="49">
        <v>9</v>
      </c>
      <c r="AW95" s="50">
        <v>100</v>
      </c>
      <c r="AX95" s="49">
        <v>9</v>
      </c>
      <c r="AY95" s="49"/>
      <c r="AZ95" s="49"/>
      <c r="BA95" s="49"/>
      <c r="BB95" s="49"/>
      <c r="BC95" s="2"/>
      <c r="BD95" s="3"/>
      <c r="BE95" s="3"/>
      <c r="BF95" s="3"/>
      <c r="BG95" s="3"/>
    </row>
    <row r="96" spans="1:59" ht="15">
      <c r="A96" s="65" t="s">
        <v>282</v>
      </c>
      <c r="B96" s="66" t="s">
        <v>3536</v>
      </c>
      <c r="C96" s="66"/>
      <c r="D96" s="67">
        <v>212.5</v>
      </c>
      <c r="E96" s="69">
        <v>50</v>
      </c>
      <c r="F96" s="96" t="str">
        <f>HYPERLINK("https://i.ytimg.com/vi/Lqd1bY-p7iU/default.jpg")</f>
        <v>https://i.ytimg.com/vi/Lqd1bY-p7iU/default.jpg</v>
      </c>
      <c r="G96" s="66"/>
      <c r="H96" s="70" t="s">
        <v>688</v>
      </c>
      <c r="I96" s="71"/>
      <c r="J96" s="71" t="s">
        <v>159</v>
      </c>
      <c r="K96" s="70" t="s">
        <v>688</v>
      </c>
      <c r="L96" s="74">
        <v>1.132921386292333</v>
      </c>
      <c r="M96" s="75">
        <v>3599.564208984375</v>
      </c>
      <c r="N96" s="75">
        <v>3373.887939453125</v>
      </c>
      <c r="O96" s="76"/>
      <c r="P96" s="77"/>
      <c r="Q96" s="77"/>
      <c r="R96" s="82"/>
      <c r="S96" s="49">
        <v>1</v>
      </c>
      <c r="T96" s="49">
        <v>0</v>
      </c>
      <c r="U96" s="50">
        <v>0</v>
      </c>
      <c r="V96" s="50">
        <v>0.000912</v>
      </c>
      <c r="W96" s="50">
        <v>0.001702</v>
      </c>
      <c r="X96" s="50">
        <v>0.401055</v>
      </c>
      <c r="Y96" s="50">
        <v>0</v>
      </c>
      <c r="Z96" s="50">
        <v>0</v>
      </c>
      <c r="AA96" s="72">
        <v>67</v>
      </c>
      <c r="AB96" s="72"/>
      <c r="AC96" s="73"/>
      <c r="AD96" s="80" t="s">
        <v>688</v>
      </c>
      <c r="AE96" s="80"/>
      <c r="AF96" s="80"/>
      <c r="AG96" s="80" t="s">
        <v>1721</v>
      </c>
      <c r="AH96" s="80" t="s">
        <v>1979</v>
      </c>
      <c r="AI96" s="80">
        <v>3035</v>
      </c>
      <c r="AJ96" s="80">
        <v>17</v>
      </c>
      <c r="AK96" s="80">
        <v>83</v>
      </c>
      <c r="AL96" s="80">
        <v>0</v>
      </c>
      <c r="AM96" s="80" t="s">
        <v>2317</v>
      </c>
      <c r="AN96" s="98" t="str">
        <f>HYPERLINK("https://www.youtube.com/watch?v=Lqd1bY-p7iU")</f>
        <v>https://www.youtube.com/watch?v=Lqd1bY-p7iU</v>
      </c>
      <c r="AO96" s="80" t="str">
        <f>REPLACE(INDEX(GroupVertices[Group],MATCH(Vertices[[#This Row],[Vertex]],GroupVertices[Vertex],0)),1,1,"")</f>
        <v>4</v>
      </c>
      <c r="AP96" s="49"/>
      <c r="AQ96" s="50"/>
      <c r="AR96" s="49"/>
      <c r="AS96" s="50"/>
      <c r="AT96" s="49"/>
      <c r="AU96" s="50"/>
      <c r="AV96" s="49"/>
      <c r="AW96" s="50"/>
      <c r="AX96" s="49"/>
      <c r="AY96" s="49"/>
      <c r="AZ96" s="49"/>
      <c r="BA96" s="49"/>
      <c r="BB96" s="49"/>
      <c r="BC96" s="2"/>
      <c r="BD96" s="3"/>
      <c r="BE96" s="3"/>
      <c r="BF96" s="3"/>
      <c r="BG96" s="3"/>
    </row>
    <row r="97" spans="1:59" ht="15">
      <c r="A97" s="65" t="s">
        <v>283</v>
      </c>
      <c r="B97" s="66" t="s">
        <v>3536</v>
      </c>
      <c r="C97" s="66"/>
      <c r="D97" s="67">
        <v>212.5</v>
      </c>
      <c r="E97" s="69">
        <v>50</v>
      </c>
      <c r="F97" s="96" t="str">
        <f>HYPERLINK("https://i.ytimg.com/vi/nrwoaAkLVxo/default.jpg")</f>
        <v>https://i.ytimg.com/vi/nrwoaAkLVxo/default.jpg</v>
      </c>
      <c r="G97" s="66"/>
      <c r="H97" s="70" t="s">
        <v>689</v>
      </c>
      <c r="I97" s="71"/>
      <c r="J97" s="71" t="s">
        <v>159</v>
      </c>
      <c r="K97" s="70" t="s">
        <v>689</v>
      </c>
      <c r="L97" s="74">
        <v>1.134196095353999</v>
      </c>
      <c r="M97" s="75">
        <v>3960.469970703125</v>
      </c>
      <c r="N97" s="75">
        <v>3373.887939453125</v>
      </c>
      <c r="O97" s="76"/>
      <c r="P97" s="77"/>
      <c r="Q97" s="77"/>
      <c r="R97" s="82"/>
      <c r="S97" s="49">
        <v>1</v>
      </c>
      <c r="T97" s="49">
        <v>0</v>
      </c>
      <c r="U97" s="50">
        <v>0</v>
      </c>
      <c r="V97" s="50">
        <v>0.000912</v>
      </c>
      <c r="W97" s="50">
        <v>0.001702</v>
      </c>
      <c r="X97" s="50">
        <v>0.401055</v>
      </c>
      <c r="Y97" s="50">
        <v>0</v>
      </c>
      <c r="Z97" s="50">
        <v>0</v>
      </c>
      <c r="AA97" s="72">
        <v>68</v>
      </c>
      <c r="AB97" s="72"/>
      <c r="AC97" s="73"/>
      <c r="AD97" s="80" t="s">
        <v>689</v>
      </c>
      <c r="AE97" s="80" t="s">
        <v>1080</v>
      </c>
      <c r="AF97" s="80"/>
      <c r="AG97" s="80" t="s">
        <v>1694</v>
      </c>
      <c r="AH97" s="80" t="s">
        <v>1980</v>
      </c>
      <c r="AI97" s="80">
        <v>3064</v>
      </c>
      <c r="AJ97" s="80">
        <v>11</v>
      </c>
      <c r="AK97" s="80">
        <v>82</v>
      </c>
      <c r="AL97" s="80">
        <v>15</v>
      </c>
      <c r="AM97" s="80" t="s">
        <v>2317</v>
      </c>
      <c r="AN97" s="98" t="str">
        <f>HYPERLINK("https://www.youtube.com/watch?v=nrwoaAkLVxo")</f>
        <v>https://www.youtube.com/watch?v=nrwoaAkLVxo</v>
      </c>
      <c r="AO97" s="80" t="str">
        <f>REPLACE(INDEX(GroupVertices[Group],MATCH(Vertices[[#This Row],[Vertex]],GroupVertices[Vertex],0)),1,1,"")</f>
        <v>4</v>
      </c>
      <c r="AP97" s="49"/>
      <c r="AQ97" s="50"/>
      <c r="AR97" s="49"/>
      <c r="AS97" s="50"/>
      <c r="AT97" s="49"/>
      <c r="AU97" s="50"/>
      <c r="AV97" s="49"/>
      <c r="AW97" s="50"/>
      <c r="AX97" s="49"/>
      <c r="AY97" s="49"/>
      <c r="AZ97" s="49"/>
      <c r="BA97" s="49"/>
      <c r="BB97" s="49"/>
      <c r="BC97" s="2"/>
      <c r="BD97" s="3"/>
      <c r="BE97" s="3"/>
      <c r="BF97" s="3"/>
      <c r="BG97" s="3"/>
    </row>
    <row r="98" spans="1:59" ht="15">
      <c r="A98" s="65" t="s">
        <v>284</v>
      </c>
      <c r="B98" s="66" t="s">
        <v>3536</v>
      </c>
      <c r="C98" s="66"/>
      <c r="D98" s="67">
        <v>325</v>
      </c>
      <c r="E98" s="69">
        <v>100</v>
      </c>
      <c r="F98" s="96" t="str">
        <f>HYPERLINK("https://i.ytimg.com/vi/C0o9Qr6HoxE/default.jpg")</f>
        <v>https://i.ytimg.com/vi/C0o9Qr6HoxE/default.jpg</v>
      </c>
      <c r="G98" s="66"/>
      <c r="H98" s="70" t="s">
        <v>690</v>
      </c>
      <c r="I98" s="71"/>
      <c r="J98" s="71" t="s">
        <v>75</v>
      </c>
      <c r="K98" s="70" t="s">
        <v>690</v>
      </c>
      <c r="L98" s="74">
        <v>1.0078680317944204</v>
      </c>
      <c r="M98" s="75">
        <v>3599.564208984375</v>
      </c>
      <c r="N98" s="75">
        <v>4525.63232421875</v>
      </c>
      <c r="O98" s="76"/>
      <c r="P98" s="77"/>
      <c r="Q98" s="77"/>
      <c r="R98" s="82"/>
      <c r="S98" s="49">
        <v>2</v>
      </c>
      <c r="T98" s="49">
        <v>0</v>
      </c>
      <c r="U98" s="50">
        <v>0</v>
      </c>
      <c r="V98" s="50">
        <v>0.00096</v>
      </c>
      <c r="W98" s="50">
        <v>0.00341</v>
      </c>
      <c r="X98" s="50">
        <v>0.644016</v>
      </c>
      <c r="Y98" s="50">
        <v>1</v>
      </c>
      <c r="Z98" s="50">
        <v>0</v>
      </c>
      <c r="AA98" s="72">
        <v>69</v>
      </c>
      <c r="AB98" s="72"/>
      <c r="AC98" s="73"/>
      <c r="AD98" s="80" t="s">
        <v>690</v>
      </c>
      <c r="AE98" s="80" t="s">
        <v>1081</v>
      </c>
      <c r="AF98" s="80" t="s">
        <v>1440</v>
      </c>
      <c r="AG98" s="80" t="s">
        <v>1722</v>
      </c>
      <c r="AH98" s="80" t="s">
        <v>1981</v>
      </c>
      <c r="AI98" s="80">
        <v>190</v>
      </c>
      <c r="AJ98" s="80">
        <v>0</v>
      </c>
      <c r="AK98" s="80">
        <v>7</v>
      </c>
      <c r="AL98" s="80">
        <v>0</v>
      </c>
      <c r="AM98" s="80" t="s">
        <v>2317</v>
      </c>
      <c r="AN98" s="98" t="str">
        <f>HYPERLINK("https://www.youtube.com/watch?v=C0o9Qr6HoxE")</f>
        <v>https://www.youtube.com/watch?v=C0o9Qr6HoxE</v>
      </c>
      <c r="AO98" s="80" t="str">
        <f>REPLACE(INDEX(GroupVertices[Group],MATCH(Vertices[[#This Row],[Vertex]],GroupVertices[Vertex],0)),1,1,"")</f>
        <v>4</v>
      </c>
      <c r="AP98" s="49">
        <v>1</v>
      </c>
      <c r="AQ98" s="50">
        <v>6.25</v>
      </c>
      <c r="AR98" s="49">
        <v>0</v>
      </c>
      <c r="AS98" s="50">
        <v>0</v>
      </c>
      <c r="AT98" s="49">
        <v>0</v>
      </c>
      <c r="AU98" s="50">
        <v>0</v>
      </c>
      <c r="AV98" s="49">
        <v>15</v>
      </c>
      <c r="AW98" s="50">
        <v>93.75</v>
      </c>
      <c r="AX98" s="49">
        <v>16</v>
      </c>
      <c r="AY98" s="49"/>
      <c r="AZ98" s="49"/>
      <c r="BA98" s="49"/>
      <c r="BB98" s="49"/>
      <c r="BC98" s="2"/>
      <c r="BD98" s="3"/>
      <c r="BE98" s="3"/>
      <c r="BF98" s="3"/>
      <c r="BG98" s="3"/>
    </row>
    <row r="99" spans="1:59" ht="15">
      <c r="A99" s="65" t="s">
        <v>285</v>
      </c>
      <c r="B99" s="66" t="s">
        <v>3536</v>
      </c>
      <c r="C99" s="66"/>
      <c r="D99" s="67">
        <v>212.5</v>
      </c>
      <c r="E99" s="69">
        <v>50</v>
      </c>
      <c r="F99" s="96" t="str">
        <f>HYPERLINK("https://i.ytimg.com/vi/sTe-pCJA7QI/default.jpg")</f>
        <v>https://i.ytimg.com/vi/sTe-pCJA7QI/default.jpg</v>
      </c>
      <c r="G99" s="66"/>
      <c r="H99" s="70" t="s">
        <v>691</v>
      </c>
      <c r="I99" s="71"/>
      <c r="J99" s="71" t="s">
        <v>159</v>
      </c>
      <c r="K99" s="70" t="s">
        <v>691</v>
      </c>
      <c r="L99" s="74">
        <v>1.0366588743941156</v>
      </c>
      <c r="M99" s="75">
        <v>3599.564208984375</v>
      </c>
      <c r="N99" s="75">
        <v>3949.759765625</v>
      </c>
      <c r="O99" s="76"/>
      <c r="P99" s="77"/>
      <c r="Q99" s="77"/>
      <c r="R99" s="82"/>
      <c r="S99" s="49">
        <v>1</v>
      </c>
      <c r="T99" s="49">
        <v>0</v>
      </c>
      <c r="U99" s="50">
        <v>0</v>
      </c>
      <c r="V99" s="50">
        <v>0.000912</v>
      </c>
      <c r="W99" s="50">
        <v>0.001702</v>
      </c>
      <c r="X99" s="50">
        <v>0.401055</v>
      </c>
      <c r="Y99" s="50">
        <v>0</v>
      </c>
      <c r="Z99" s="50">
        <v>0</v>
      </c>
      <c r="AA99" s="72">
        <v>70</v>
      </c>
      <c r="AB99" s="72"/>
      <c r="AC99" s="73"/>
      <c r="AD99" s="80" t="s">
        <v>691</v>
      </c>
      <c r="AE99" s="80" t="s">
        <v>1082</v>
      </c>
      <c r="AF99" s="80" t="s">
        <v>1441</v>
      </c>
      <c r="AG99" s="80" t="s">
        <v>1723</v>
      </c>
      <c r="AH99" s="80" t="s">
        <v>1982</v>
      </c>
      <c r="AI99" s="80">
        <v>845</v>
      </c>
      <c r="AJ99" s="80">
        <v>0</v>
      </c>
      <c r="AK99" s="80">
        <v>10</v>
      </c>
      <c r="AL99" s="80">
        <v>0</v>
      </c>
      <c r="AM99" s="80" t="s">
        <v>2317</v>
      </c>
      <c r="AN99" s="98" t="str">
        <f>HYPERLINK("https://www.youtube.com/watch?v=sTe-pCJA7QI")</f>
        <v>https://www.youtube.com/watch?v=sTe-pCJA7QI</v>
      </c>
      <c r="AO99" s="80" t="str">
        <f>REPLACE(INDEX(GroupVertices[Group],MATCH(Vertices[[#This Row],[Vertex]],GroupVertices[Vertex],0)),1,1,"")</f>
        <v>4</v>
      </c>
      <c r="AP99" s="49">
        <v>0</v>
      </c>
      <c r="AQ99" s="50">
        <v>0</v>
      </c>
      <c r="AR99" s="49">
        <v>0</v>
      </c>
      <c r="AS99" s="50">
        <v>0</v>
      </c>
      <c r="AT99" s="49">
        <v>0</v>
      </c>
      <c r="AU99" s="50">
        <v>0</v>
      </c>
      <c r="AV99" s="49">
        <v>2</v>
      </c>
      <c r="AW99" s="50">
        <v>100</v>
      </c>
      <c r="AX99" s="49">
        <v>2</v>
      </c>
      <c r="AY99" s="49"/>
      <c r="AZ99" s="49"/>
      <c r="BA99" s="49"/>
      <c r="BB99" s="49"/>
      <c r="BC99" s="2"/>
      <c r="BD99" s="3"/>
      <c r="BE99" s="3"/>
      <c r="BF99" s="3"/>
      <c r="BG99" s="3"/>
    </row>
    <row r="100" spans="1:59" ht="15">
      <c r="A100" s="65" t="s">
        <v>286</v>
      </c>
      <c r="B100" s="66" t="s">
        <v>3536</v>
      </c>
      <c r="C100" s="66"/>
      <c r="D100" s="67">
        <v>212.5</v>
      </c>
      <c r="E100" s="69">
        <v>50</v>
      </c>
      <c r="F100" s="96" t="str">
        <f>HYPERLINK("https://i.ytimg.com/vi/CKvGKTsAoO4/default.jpg")</f>
        <v>https://i.ytimg.com/vi/CKvGKTsAoO4/default.jpg</v>
      </c>
      <c r="G100" s="66"/>
      <c r="H100" s="70" t="s">
        <v>692</v>
      </c>
      <c r="I100" s="71"/>
      <c r="J100" s="71" t="s">
        <v>159</v>
      </c>
      <c r="K100" s="70" t="s">
        <v>692</v>
      </c>
      <c r="L100" s="74">
        <v>57.399150789528306</v>
      </c>
      <c r="M100" s="75">
        <v>4321.37646484375</v>
      </c>
      <c r="N100" s="75">
        <v>1070.399169921875</v>
      </c>
      <c r="O100" s="76"/>
      <c r="P100" s="77"/>
      <c r="Q100" s="77"/>
      <c r="R100" s="82"/>
      <c r="S100" s="49">
        <v>1</v>
      </c>
      <c r="T100" s="49">
        <v>0</v>
      </c>
      <c r="U100" s="50">
        <v>0</v>
      </c>
      <c r="V100" s="50">
        <v>0.000912</v>
      </c>
      <c r="W100" s="50">
        <v>0.001702</v>
      </c>
      <c r="X100" s="50">
        <v>0.401055</v>
      </c>
      <c r="Y100" s="50">
        <v>0</v>
      </c>
      <c r="Z100" s="50">
        <v>0</v>
      </c>
      <c r="AA100" s="72">
        <v>71</v>
      </c>
      <c r="AB100" s="72"/>
      <c r="AC100" s="73"/>
      <c r="AD100" s="80" t="s">
        <v>692</v>
      </c>
      <c r="AE100" s="80" t="s">
        <v>1083</v>
      </c>
      <c r="AF100" s="80" t="s">
        <v>1442</v>
      </c>
      <c r="AG100" s="80" t="s">
        <v>1442</v>
      </c>
      <c r="AH100" s="80" t="s">
        <v>1983</v>
      </c>
      <c r="AI100" s="80">
        <v>1283108</v>
      </c>
      <c r="AJ100" s="80">
        <v>3473</v>
      </c>
      <c r="AK100" s="80">
        <v>8813</v>
      </c>
      <c r="AL100" s="80">
        <v>530</v>
      </c>
      <c r="AM100" s="80" t="s">
        <v>2317</v>
      </c>
      <c r="AN100" s="98" t="str">
        <f>HYPERLINK("https://www.youtube.com/watch?v=CKvGKTsAoO4")</f>
        <v>https://www.youtube.com/watch?v=CKvGKTsAoO4</v>
      </c>
      <c r="AO100" s="80" t="str">
        <f>REPLACE(INDEX(GroupVertices[Group],MATCH(Vertices[[#This Row],[Vertex]],GroupVertices[Vertex],0)),1,1,"")</f>
        <v>4</v>
      </c>
      <c r="AP100" s="49">
        <v>0</v>
      </c>
      <c r="AQ100" s="50">
        <v>0</v>
      </c>
      <c r="AR100" s="49">
        <v>0</v>
      </c>
      <c r="AS100" s="50">
        <v>0</v>
      </c>
      <c r="AT100" s="49">
        <v>0</v>
      </c>
      <c r="AU100" s="50">
        <v>0</v>
      </c>
      <c r="AV100" s="49">
        <v>2</v>
      </c>
      <c r="AW100" s="50">
        <v>100</v>
      </c>
      <c r="AX100" s="49">
        <v>2</v>
      </c>
      <c r="AY100" s="49"/>
      <c r="AZ100" s="49"/>
      <c r="BA100" s="49"/>
      <c r="BB100" s="49"/>
      <c r="BC100" s="2"/>
      <c r="BD100" s="3"/>
      <c r="BE100" s="3"/>
      <c r="BF100" s="3"/>
      <c r="BG100" s="3"/>
    </row>
    <row r="101" spans="1:59" ht="15">
      <c r="A101" s="65" t="s">
        <v>287</v>
      </c>
      <c r="B101" s="66" t="s">
        <v>3536</v>
      </c>
      <c r="C101" s="66"/>
      <c r="D101" s="67">
        <v>212.5</v>
      </c>
      <c r="E101" s="69">
        <v>50</v>
      </c>
      <c r="F101" s="96" t="str">
        <f>HYPERLINK("https://i.ytimg.com/vi/rO1tde7PP18/default.jpg")</f>
        <v>https://i.ytimg.com/vi/rO1tde7PP18/default.jpg</v>
      </c>
      <c r="G101" s="66"/>
      <c r="H101" s="70" t="s">
        <v>693</v>
      </c>
      <c r="I101" s="71"/>
      <c r="J101" s="71" t="s">
        <v>159</v>
      </c>
      <c r="K101" s="70" t="s">
        <v>693</v>
      </c>
      <c r="L101" s="74">
        <v>1.1593386327082364</v>
      </c>
      <c r="M101" s="75">
        <v>4321.37646484375</v>
      </c>
      <c r="N101" s="75">
        <v>3373.887939453125</v>
      </c>
      <c r="O101" s="76"/>
      <c r="P101" s="77"/>
      <c r="Q101" s="77"/>
      <c r="R101" s="82"/>
      <c r="S101" s="49">
        <v>1</v>
      </c>
      <c r="T101" s="49">
        <v>0</v>
      </c>
      <c r="U101" s="50">
        <v>0</v>
      </c>
      <c r="V101" s="50">
        <v>0.000912</v>
      </c>
      <c r="W101" s="50">
        <v>0.001702</v>
      </c>
      <c r="X101" s="50">
        <v>0.401055</v>
      </c>
      <c r="Y101" s="50">
        <v>0</v>
      </c>
      <c r="Z101" s="50">
        <v>0</v>
      </c>
      <c r="AA101" s="72">
        <v>72</v>
      </c>
      <c r="AB101" s="72"/>
      <c r="AC101" s="73"/>
      <c r="AD101" s="80" t="s">
        <v>693</v>
      </c>
      <c r="AE101" s="80" t="s">
        <v>1084</v>
      </c>
      <c r="AF101" s="80"/>
      <c r="AG101" s="80" t="s">
        <v>1694</v>
      </c>
      <c r="AH101" s="80" t="s">
        <v>1984</v>
      </c>
      <c r="AI101" s="80">
        <v>3636</v>
      </c>
      <c r="AJ101" s="80">
        <v>8</v>
      </c>
      <c r="AK101" s="80">
        <v>115</v>
      </c>
      <c r="AL101" s="80">
        <v>9</v>
      </c>
      <c r="AM101" s="80" t="s">
        <v>2317</v>
      </c>
      <c r="AN101" s="98" t="str">
        <f>HYPERLINK("https://www.youtube.com/watch?v=rO1tde7PP18")</f>
        <v>https://www.youtube.com/watch?v=rO1tde7PP18</v>
      </c>
      <c r="AO101" s="80" t="str">
        <f>REPLACE(INDEX(GroupVertices[Group],MATCH(Vertices[[#This Row],[Vertex]],GroupVertices[Vertex],0)),1,1,"")</f>
        <v>4</v>
      </c>
      <c r="AP101" s="49"/>
      <c r="AQ101" s="50"/>
      <c r="AR101" s="49"/>
      <c r="AS101" s="50"/>
      <c r="AT101" s="49"/>
      <c r="AU101" s="50"/>
      <c r="AV101" s="49"/>
      <c r="AW101" s="50"/>
      <c r="AX101" s="49"/>
      <c r="AY101" s="49"/>
      <c r="AZ101" s="49"/>
      <c r="BA101" s="49"/>
      <c r="BB101" s="49"/>
      <c r="BC101" s="2"/>
      <c r="BD101" s="3"/>
      <c r="BE101" s="3"/>
      <c r="BF101" s="3"/>
      <c r="BG101" s="3"/>
    </row>
    <row r="102" spans="1:59" ht="15">
      <c r="A102" s="65" t="s">
        <v>288</v>
      </c>
      <c r="B102" s="66" t="s">
        <v>3536</v>
      </c>
      <c r="C102" s="66"/>
      <c r="D102" s="67">
        <v>212.5</v>
      </c>
      <c r="E102" s="69">
        <v>50</v>
      </c>
      <c r="F102" s="96" t="str">
        <f>HYPERLINK("https://i.ytimg.com/vi/Ix41BHcjZjs/default.jpg")</f>
        <v>https://i.ytimg.com/vi/Ix41BHcjZjs/default.jpg</v>
      </c>
      <c r="G102" s="66"/>
      <c r="H102" s="70" t="s">
        <v>694</v>
      </c>
      <c r="I102" s="71"/>
      <c r="J102" s="71" t="s">
        <v>159</v>
      </c>
      <c r="K102" s="70" t="s">
        <v>694</v>
      </c>
      <c r="L102" s="74">
        <v>1.0024615071535616</v>
      </c>
      <c r="M102" s="75">
        <v>3238.657958984375</v>
      </c>
      <c r="N102" s="75">
        <v>4525.63232421875</v>
      </c>
      <c r="O102" s="76"/>
      <c r="P102" s="77"/>
      <c r="Q102" s="77"/>
      <c r="R102" s="82"/>
      <c r="S102" s="49">
        <v>1</v>
      </c>
      <c r="T102" s="49">
        <v>0</v>
      </c>
      <c r="U102" s="50">
        <v>0</v>
      </c>
      <c r="V102" s="50">
        <v>0.000912</v>
      </c>
      <c r="W102" s="50">
        <v>0.001702</v>
      </c>
      <c r="X102" s="50">
        <v>0.401055</v>
      </c>
      <c r="Y102" s="50">
        <v>0</v>
      </c>
      <c r="Z102" s="50">
        <v>0</v>
      </c>
      <c r="AA102" s="72">
        <v>73</v>
      </c>
      <c r="AB102" s="72"/>
      <c r="AC102" s="73"/>
      <c r="AD102" s="80" t="s">
        <v>694</v>
      </c>
      <c r="AE102" s="80" t="s">
        <v>1085</v>
      </c>
      <c r="AF102" s="80" t="s">
        <v>1443</v>
      </c>
      <c r="AG102" s="80" t="s">
        <v>1724</v>
      </c>
      <c r="AH102" s="80" t="s">
        <v>1985</v>
      </c>
      <c r="AI102" s="80">
        <v>67</v>
      </c>
      <c r="AJ102" s="80">
        <v>0</v>
      </c>
      <c r="AK102" s="80">
        <v>2</v>
      </c>
      <c r="AL102" s="80">
        <v>0</v>
      </c>
      <c r="AM102" s="80" t="s">
        <v>2317</v>
      </c>
      <c r="AN102" s="98" t="str">
        <f>HYPERLINK("https://www.youtube.com/watch?v=Ix41BHcjZjs")</f>
        <v>https://www.youtube.com/watch?v=Ix41BHcjZjs</v>
      </c>
      <c r="AO102" s="80" t="str">
        <f>REPLACE(INDEX(GroupVertices[Group],MATCH(Vertices[[#This Row],[Vertex]],GroupVertices[Vertex],0)),1,1,"")</f>
        <v>4</v>
      </c>
      <c r="AP102" s="49">
        <v>0</v>
      </c>
      <c r="AQ102" s="50">
        <v>0</v>
      </c>
      <c r="AR102" s="49">
        <v>0</v>
      </c>
      <c r="AS102" s="50">
        <v>0</v>
      </c>
      <c r="AT102" s="49">
        <v>0</v>
      </c>
      <c r="AU102" s="50">
        <v>0</v>
      </c>
      <c r="AV102" s="49">
        <v>10</v>
      </c>
      <c r="AW102" s="50">
        <v>100</v>
      </c>
      <c r="AX102" s="49">
        <v>10</v>
      </c>
      <c r="AY102" s="49"/>
      <c r="AZ102" s="49"/>
      <c r="BA102" s="49"/>
      <c r="BB102" s="49"/>
      <c r="BC102" s="2"/>
      <c r="BD102" s="3"/>
      <c r="BE102" s="3"/>
      <c r="BF102" s="3"/>
      <c r="BG102" s="3"/>
    </row>
    <row r="103" spans="1:59" ht="15">
      <c r="A103" s="65" t="s">
        <v>289</v>
      </c>
      <c r="B103" s="66" t="s">
        <v>3536</v>
      </c>
      <c r="C103" s="66"/>
      <c r="D103" s="67">
        <v>212.5</v>
      </c>
      <c r="E103" s="69">
        <v>50</v>
      </c>
      <c r="F103" s="96" t="str">
        <f>HYPERLINK("https://i.ytimg.com/vi/MWSr6TvHtDQ/default.jpg")</f>
        <v>https://i.ytimg.com/vi/MWSr6TvHtDQ/default.jpg</v>
      </c>
      <c r="G103" s="66"/>
      <c r="H103" s="70" t="s">
        <v>695</v>
      </c>
      <c r="I103" s="71"/>
      <c r="J103" s="71" t="s">
        <v>159</v>
      </c>
      <c r="K103" s="70" t="s">
        <v>695</v>
      </c>
      <c r="L103" s="74">
        <v>1.5657950014401159</v>
      </c>
      <c r="M103" s="75">
        <v>4321.37646484375</v>
      </c>
      <c r="N103" s="75">
        <v>2798.015380859375</v>
      </c>
      <c r="O103" s="76"/>
      <c r="P103" s="77"/>
      <c r="Q103" s="77"/>
      <c r="R103" s="82"/>
      <c r="S103" s="49">
        <v>1</v>
      </c>
      <c r="T103" s="49">
        <v>0</v>
      </c>
      <c r="U103" s="50">
        <v>0</v>
      </c>
      <c r="V103" s="50">
        <v>0.000912</v>
      </c>
      <c r="W103" s="50">
        <v>0.001702</v>
      </c>
      <c r="X103" s="50">
        <v>0.401055</v>
      </c>
      <c r="Y103" s="50">
        <v>0</v>
      </c>
      <c r="Z103" s="50">
        <v>0</v>
      </c>
      <c r="AA103" s="72">
        <v>74</v>
      </c>
      <c r="AB103" s="72"/>
      <c r="AC103" s="73"/>
      <c r="AD103" s="80" t="s">
        <v>695</v>
      </c>
      <c r="AE103" s="80" t="s">
        <v>1086</v>
      </c>
      <c r="AF103" s="80"/>
      <c r="AG103" s="80" t="s">
        <v>1694</v>
      </c>
      <c r="AH103" s="80" t="s">
        <v>1986</v>
      </c>
      <c r="AI103" s="80">
        <v>12883</v>
      </c>
      <c r="AJ103" s="80">
        <v>13</v>
      </c>
      <c r="AK103" s="80">
        <v>144</v>
      </c>
      <c r="AL103" s="80">
        <v>11</v>
      </c>
      <c r="AM103" s="80" t="s">
        <v>2317</v>
      </c>
      <c r="AN103" s="98" t="str">
        <f>HYPERLINK("https://www.youtube.com/watch?v=MWSr6TvHtDQ")</f>
        <v>https://www.youtube.com/watch?v=MWSr6TvHtDQ</v>
      </c>
      <c r="AO103" s="80" t="str">
        <f>REPLACE(INDEX(GroupVertices[Group],MATCH(Vertices[[#This Row],[Vertex]],GroupVertices[Vertex],0)),1,1,"")</f>
        <v>4</v>
      </c>
      <c r="AP103" s="49"/>
      <c r="AQ103" s="50"/>
      <c r="AR103" s="49"/>
      <c r="AS103" s="50"/>
      <c r="AT103" s="49"/>
      <c r="AU103" s="50"/>
      <c r="AV103" s="49"/>
      <c r="AW103" s="50"/>
      <c r="AX103" s="49"/>
      <c r="AY103" s="49"/>
      <c r="AZ103" s="49"/>
      <c r="BA103" s="49"/>
      <c r="BB103" s="49"/>
      <c r="BC103" s="2"/>
      <c r="BD103" s="3"/>
      <c r="BE103" s="3"/>
      <c r="BF103" s="3"/>
      <c r="BG103" s="3"/>
    </row>
    <row r="104" spans="1:59" ht="15">
      <c r="A104" s="65" t="s">
        <v>290</v>
      </c>
      <c r="B104" s="66" t="s">
        <v>3536</v>
      </c>
      <c r="C104" s="66"/>
      <c r="D104" s="67">
        <v>212.5</v>
      </c>
      <c r="E104" s="69">
        <v>50</v>
      </c>
      <c r="F104" s="96" t="str">
        <f>HYPERLINK("https://i.ytimg.com/vi/RrXJsf9x_sY/default.jpg")</f>
        <v>https://i.ytimg.com/vi/RrXJsf9x_sY/default.jpg</v>
      </c>
      <c r="G104" s="66"/>
      <c r="H104" s="70" t="s">
        <v>696</v>
      </c>
      <c r="I104" s="71"/>
      <c r="J104" s="71" t="s">
        <v>159</v>
      </c>
      <c r="K104" s="70" t="s">
        <v>696</v>
      </c>
      <c r="L104" s="74">
        <v>8.757088150570688</v>
      </c>
      <c r="M104" s="75">
        <v>4682.28271484375</v>
      </c>
      <c r="N104" s="75">
        <v>1646.2713623046875</v>
      </c>
      <c r="O104" s="76"/>
      <c r="P104" s="77"/>
      <c r="Q104" s="77"/>
      <c r="R104" s="82"/>
      <c r="S104" s="49">
        <v>1</v>
      </c>
      <c r="T104" s="49">
        <v>0</v>
      </c>
      <c r="U104" s="50">
        <v>0</v>
      </c>
      <c r="V104" s="50">
        <v>0.000912</v>
      </c>
      <c r="W104" s="50">
        <v>0.001702</v>
      </c>
      <c r="X104" s="50">
        <v>0.401055</v>
      </c>
      <c r="Y104" s="50">
        <v>0</v>
      </c>
      <c r="Z104" s="50">
        <v>0</v>
      </c>
      <c r="AA104" s="72">
        <v>75</v>
      </c>
      <c r="AB104" s="72"/>
      <c r="AC104" s="73"/>
      <c r="AD104" s="80" t="s">
        <v>696</v>
      </c>
      <c r="AE104" s="80" t="s">
        <v>1087</v>
      </c>
      <c r="AF104" s="80" t="s">
        <v>1444</v>
      </c>
      <c r="AG104" s="80" t="s">
        <v>1695</v>
      </c>
      <c r="AH104" s="80" t="s">
        <v>1987</v>
      </c>
      <c r="AI104" s="80">
        <v>176487</v>
      </c>
      <c r="AJ104" s="80">
        <v>63</v>
      </c>
      <c r="AK104" s="80">
        <v>878</v>
      </c>
      <c r="AL104" s="80">
        <v>19</v>
      </c>
      <c r="AM104" s="80" t="s">
        <v>2317</v>
      </c>
      <c r="AN104" s="98" t="str">
        <f>HYPERLINK("https://www.youtube.com/watch?v=RrXJsf9x_sY")</f>
        <v>https://www.youtube.com/watch?v=RrXJsf9x_sY</v>
      </c>
      <c r="AO104" s="80" t="str">
        <f>REPLACE(INDEX(GroupVertices[Group],MATCH(Vertices[[#This Row],[Vertex]],GroupVertices[Vertex],0)),1,1,"")</f>
        <v>4</v>
      </c>
      <c r="AP104" s="49">
        <v>0</v>
      </c>
      <c r="AQ104" s="50">
        <v>0</v>
      </c>
      <c r="AR104" s="49">
        <v>2</v>
      </c>
      <c r="AS104" s="50">
        <v>8.333333333333334</v>
      </c>
      <c r="AT104" s="49">
        <v>0</v>
      </c>
      <c r="AU104" s="50">
        <v>0</v>
      </c>
      <c r="AV104" s="49">
        <v>22</v>
      </c>
      <c r="AW104" s="50">
        <v>91.66666666666667</v>
      </c>
      <c r="AX104" s="49">
        <v>24</v>
      </c>
      <c r="AY104" s="49"/>
      <c r="AZ104" s="49"/>
      <c r="BA104" s="49"/>
      <c r="BB104" s="49"/>
      <c r="BC104" s="2"/>
      <c r="BD104" s="3"/>
      <c r="BE104" s="3"/>
      <c r="BF104" s="3"/>
      <c r="BG104" s="3"/>
    </row>
    <row r="105" spans="1:59" ht="15">
      <c r="A105" s="65" t="s">
        <v>291</v>
      </c>
      <c r="B105" s="66" t="s">
        <v>3536</v>
      </c>
      <c r="C105" s="66"/>
      <c r="D105" s="67">
        <v>212.5</v>
      </c>
      <c r="E105" s="69">
        <v>50</v>
      </c>
      <c r="F105" s="96" t="str">
        <f>HYPERLINK("https://i.ytimg.com/vi/4zyGFWXPG6g/default.jpg")</f>
        <v>https://i.ytimg.com/vi/4zyGFWXPG6g/default.jpg</v>
      </c>
      <c r="G105" s="66"/>
      <c r="H105" s="70" t="s">
        <v>697</v>
      </c>
      <c r="I105" s="71"/>
      <c r="J105" s="71" t="s">
        <v>159</v>
      </c>
      <c r="K105" s="70" t="s">
        <v>697</v>
      </c>
      <c r="L105" s="74">
        <v>1.0197799681982638</v>
      </c>
      <c r="M105" s="75">
        <v>4682.28271484375</v>
      </c>
      <c r="N105" s="75">
        <v>4525.63232421875</v>
      </c>
      <c r="O105" s="76"/>
      <c r="P105" s="77"/>
      <c r="Q105" s="77"/>
      <c r="R105" s="82"/>
      <c r="S105" s="49">
        <v>1</v>
      </c>
      <c r="T105" s="49">
        <v>0</v>
      </c>
      <c r="U105" s="50">
        <v>0</v>
      </c>
      <c r="V105" s="50">
        <v>0.000912</v>
      </c>
      <c r="W105" s="50">
        <v>0.001702</v>
      </c>
      <c r="X105" s="50">
        <v>0.401055</v>
      </c>
      <c r="Y105" s="50">
        <v>0</v>
      </c>
      <c r="Z105" s="50">
        <v>0</v>
      </c>
      <c r="AA105" s="72">
        <v>76</v>
      </c>
      <c r="AB105" s="72"/>
      <c r="AC105" s="73"/>
      <c r="AD105" s="80" t="s">
        <v>697</v>
      </c>
      <c r="AE105" s="80" t="s">
        <v>1088</v>
      </c>
      <c r="AF105" s="80" t="s">
        <v>1445</v>
      </c>
      <c r="AG105" s="80" t="s">
        <v>1445</v>
      </c>
      <c r="AH105" s="80" t="s">
        <v>1988</v>
      </c>
      <c r="AI105" s="80">
        <v>461</v>
      </c>
      <c r="AJ105" s="80">
        <v>1</v>
      </c>
      <c r="AK105" s="80">
        <v>13</v>
      </c>
      <c r="AL105" s="80">
        <v>0</v>
      </c>
      <c r="AM105" s="80" t="s">
        <v>2317</v>
      </c>
      <c r="AN105" s="98" t="str">
        <f>HYPERLINK("https://www.youtube.com/watch?v=4zyGFWXPG6g")</f>
        <v>https://www.youtube.com/watch?v=4zyGFWXPG6g</v>
      </c>
      <c r="AO105" s="80" t="str">
        <f>REPLACE(INDEX(GroupVertices[Group],MATCH(Vertices[[#This Row],[Vertex]],GroupVertices[Vertex],0)),1,1,"")</f>
        <v>4</v>
      </c>
      <c r="AP105" s="49">
        <v>0</v>
      </c>
      <c r="AQ105" s="50">
        <v>0</v>
      </c>
      <c r="AR105" s="49">
        <v>0</v>
      </c>
      <c r="AS105" s="50">
        <v>0</v>
      </c>
      <c r="AT105" s="49">
        <v>0</v>
      </c>
      <c r="AU105" s="50">
        <v>0</v>
      </c>
      <c r="AV105" s="49">
        <v>2</v>
      </c>
      <c r="AW105" s="50">
        <v>100</v>
      </c>
      <c r="AX105" s="49">
        <v>2</v>
      </c>
      <c r="AY105" s="49"/>
      <c r="AZ105" s="49"/>
      <c r="BA105" s="49"/>
      <c r="BB105" s="49"/>
      <c r="BC105" s="2"/>
      <c r="BD105" s="3"/>
      <c r="BE105" s="3"/>
      <c r="BF105" s="3"/>
      <c r="BG105" s="3"/>
    </row>
    <row r="106" spans="1:59" ht="15">
      <c r="A106" s="65" t="s">
        <v>292</v>
      </c>
      <c r="B106" s="66" t="s">
        <v>3536</v>
      </c>
      <c r="C106" s="66"/>
      <c r="D106" s="67">
        <v>212.5</v>
      </c>
      <c r="E106" s="69">
        <v>50</v>
      </c>
      <c r="F106" s="96" t="str">
        <f>HYPERLINK("https://i.ytimg.com/vi/rGrk-0ikl-Y/default.jpg")</f>
        <v>https://i.ytimg.com/vi/rGrk-0ikl-Y/default.jpg</v>
      </c>
      <c r="G106" s="66"/>
      <c r="H106" s="70" t="s">
        <v>698</v>
      </c>
      <c r="I106" s="71"/>
      <c r="J106" s="71" t="s">
        <v>159</v>
      </c>
      <c r="K106" s="70" t="s">
        <v>698</v>
      </c>
      <c r="L106" s="74">
        <v>1.087119771042131</v>
      </c>
      <c r="M106" s="75">
        <v>4321.37646484375</v>
      </c>
      <c r="N106" s="75">
        <v>3949.759765625</v>
      </c>
      <c r="O106" s="76"/>
      <c r="P106" s="77"/>
      <c r="Q106" s="77"/>
      <c r="R106" s="82"/>
      <c r="S106" s="49">
        <v>1</v>
      </c>
      <c r="T106" s="49">
        <v>0</v>
      </c>
      <c r="U106" s="50">
        <v>0</v>
      </c>
      <c r="V106" s="50">
        <v>0.000912</v>
      </c>
      <c r="W106" s="50">
        <v>0.001702</v>
      </c>
      <c r="X106" s="50">
        <v>0.401055</v>
      </c>
      <c r="Y106" s="50">
        <v>0</v>
      </c>
      <c r="Z106" s="50">
        <v>0</v>
      </c>
      <c r="AA106" s="72">
        <v>77</v>
      </c>
      <c r="AB106" s="72"/>
      <c r="AC106" s="73"/>
      <c r="AD106" s="80" t="s">
        <v>698</v>
      </c>
      <c r="AE106" s="80" t="s">
        <v>698</v>
      </c>
      <c r="AF106" s="80" t="s">
        <v>1446</v>
      </c>
      <c r="AG106" s="80" t="s">
        <v>1725</v>
      </c>
      <c r="AH106" s="80" t="s">
        <v>1989</v>
      </c>
      <c r="AI106" s="80">
        <v>1993</v>
      </c>
      <c r="AJ106" s="80">
        <v>0</v>
      </c>
      <c r="AK106" s="80">
        <v>23</v>
      </c>
      <c r="AL106" s="80">
        <v>0</v>
      </c>
      <c r="AM106" s="80" t="s">
        <v>2317</v>
      </c>
      <c r="AN106" s="98" t="str">
        <f>HYPERLINK("https://www.youtube.com/watch?v=rGrk-0ikl-Y")</f>
        <v>https://www.youtube.com/watch?v=rGrk-0ikl-Y</v>
      </c>
      <c r="AO106" s="80" t="str">
        <f>REPLACE(INDEX(GroupVertices[Group],MATCH(Vertices[[#This Row],[Vertex]],GroupVertices[Vertex],0)),1,1,"")</f>
        <v>4</v>
      </c>
      <c r="AP106" s="49">
        <v>0</v>
      </c>
      <c r="AQ106" s="50">
        <v>0</v>
      </c>
      <c r="AR106" s="49">
        <v>0</v>
      </c>
      <c r="AS106" s="50">
        <v>0</v>
      </c>
      <c r="AT106" s="49">
        <v>0</v>
      </c>
      <c r="AU106" s="50">
        <v>0</v>
      </c>
      <c r="AV106" s="49">
        <v>6</v>
      </c>
      <c r="AW106" s="50">
        <v>100</v>
      </c>
      <c r="AX106" s="49">
        <v>6</v>
      </c>
      <c r="AY106" s="49"/>
      <c r="AZ106" s="49"/>
      <c r="BA106" s="49"/>
      <c r="BB106" s="49"/>
      <c r="BC106" s="2"/>
      <c r="BD106" s="3"/>
      <c r="BE106" s="3"/>
      <c r="BF106" s="3"/>
      <c r="BG106" s="3"/>
    </row>
    <row r="107" spans="1:59" ht="15">
      <c r="A107" s="65" t="s">
        <v>293</v>
      </c>
      <c r="B107" s="66" t="s">
        <v>3536</v>
      </c>
      <c r="C107" s="66"/>
      <c r="D107" s="67">
        <v>212.5</v>
      </c>
      <c r="E107" s="69">
        <v>50</v>
      </c>
      <c r="F107" s="96" t="str">
        <f>HYPERLINK("https://i.ytimg.com/vi/9iMGFqMmUFs/default.jpg")</f>
        <v>https://i.ytimg.com/vi/9iMGFqMmUFs/default.jpg</v>
      </c>
      <c r="G107" s="66"/>
      <c r="H107" s="70" t="s">
        <v>699</v>
      </c>
      <c r="I107" s="71"/>
      <c r="J107" s="71" t="s">
        <v>159</v>
      </c>
      <c r="K107" s="70" t="s">
        <v>699</v>
      </c>
      <c r="L107" s="74">
        <v>465.2764684812861</v>
      </c>
      <c r="M107" s="75">
        <v>3960.469970703125</v>
      </c>
      <c r="N107" s="75">
        <v>494.5269775390625</v>
      </c>
      <c r="O107" s="76"/>
      <c r="P107" s="77"/>
      <c r="Q107" s="77"/>
      <c r="R107" s="82"/>
      <c r="S107" s="49">
        <v>1</v>
      </c>
      <c r="T107" s="49">
        <v>0</v>
      </c>
      <c r="U107" s="50">
        <v>0</v>
      </c>
      <c r="V107" s="50">
        <v>0.000912</v>
      </c>
      <c r="W107" s="50">
        <v>0.001702</v>
      </c>
      <c r="X107" s="50">
        <v>0.401055</v>
      </c>
      <c r="Y107" s="50">
        <v>0</v>
      </c>
      <c r="Z107" s="50">
        <v>0</v>
      </c>
      <c r="AA107" s="72">
        <v>78</v>
      </c>
      <c r="AB107" s="72"/>
      <c r="AC107" s="73"/>
      <c r="AD107" s="80" t="s">
        <v>699</v>
      </c>
      <c r="AE107" s="80" t="s">
        <v>1089</v>
      </c>
      <c r="AF107" s="80" t="s">
        <v>1447</v>
      </c>
      <c r="AG107" s="80" t="s">
        <v>1726</v>
      </c>
      <c r="AH107" s="80" t="s">
        <v>1990</v>
      </c>
      <c r="AI107" s="80">
        <v>10562435</v>
      </c>
      <c r="AJ107" s="80">
        <v>6389</v>
      </c>
      <c r="AK107" s="80">
        <v>121296</v>
      </c>
      <c r="AL107" s="80">
        <v>2450</v>
      </c>
      <c r="AM107" s="80" t="s">
        <v>2317</v>
      </c>
      <c r="AN107" s="98" t="str">
        <f>HYPERLINK("https://www.youtube.com/watch?v=9iMGFqMmUFs")</f>
        <v>https://www.youtube.com/watch?v=9iMGFqMmUFs</v>
      </c>
      <c r="AO107" s="80" t="str">
        <f>REPLACE(INDEX(GroupVertices[Group],MATCH(Vertices[[#This Row],[Vertex]],GroupVertices[Vertex],0)),1,1,"")</f>
        <v>4</v>
      </c>
      <c r="AP107" s="49">
        <v>1</v>
      </c>
      <c r="AQ107" s="50">
        <v>3.225806451612903</v>
      </c>
      <c r="AR107" s="49">
        <v>0</v>
      </c>
      <c r="AS107" s="50">
        <v>0</v>
      </c>
      <c r="AT107" s="49">
        <v>0</v>
      </c>
      <c r="AU107" s="50">
        <v>0</v>
      </c>
      <c r="AV107" s="49">
        <v>30</v>
      </c>
      <c r="AW107" s="50">
        <v>96.7741935483871</v>
      </c>
      <c r="AX107" s="49">
        <v>31</v>
      </c>
      <c r="AY107" s="49"/>
      <c r="AZ107" s="49"/>
      <c r="BA107" s="49"/>
      <c r="BB107" s="49"/>
      <c r="BC107" s="2"/>
      <c r="BD107" s="3"/>
      <c r="BE107" s="3"/>
      <c r="BF107" s="3"/>
      <c r="BG107" s="3"/>
    </row>
    <row r="108" spans="1:59" ht="15">
      <c r="A108" s="65" t="s">
        <v>294</v>
      </c>
      <c r="B108" s="66" t="s">
        <v>3536</v>
      </c>
      <c r="C108" s="66"/>
      <c r="D108" s="67">
        <v>212.5</v>
      </c>
      <c r="E108" s="69">
        <v>50</v>
      </c>
      <c r="F108" s="96" t="str">
        <f>HYPERLINK("https://i.ytimg.com/vi/ReCvreRPdeY/default.jpg")</f>
        <v>https://i.ytimg.com/vi/ReCvreRPdeY/default.jpg</v>
      </c>
      <c r="G108" s="66"/>
      <c r="H108" s="70" t="s">
        <v>700</v>
      </c>
      <c r="I108" s="71"/>
      <c r="J108" s="71" t="s">
        <v>159</v>
      </c>
      <c r="K108" s="70" t="s">
        <v>700</v>
      </c>
      <c r="L108" s="74">
        <v>23.748194181580196</v>
      </c>
      <c r="M108" s="75">
        <v>5404.0947265625</v>
      </c>
      <c r="N108" s="75">
        <v>1646.2713623046875</v>
      </c>
      <c r="O108" s="76"/>
      <c r="P108" s="77"/>
      <c r="Q108" s="77"/>
      <c r="R108" s="82"/>
      <c r="S108" s="49">
        <v>1</v>
      </c>
      <c r="T108" s="49">
        <v>0</v>
      </c>
      <c r="U108" s="50">
        <v>0</v>
      </c>
      <c r="V108" s="50">
        <v>0.000912</v>
      </c>
      <c r="W108" s="50">
        <v>0.001702</v>
      </c>
      <c r="X108" s="50">
        <v>0.401055</v>
      </c>
      <c r="Y108" s="50">
        <v>0</v>
      </c>
      <c r="Z108" s="50">
        <v>0</v>
      </c>
      <c r="AA108" s="72">
        <v>79</v>
      </c>
      <c r="AB108" s="72"/>
      <c r="AC108" s="73"/>
      <c r="AD108" s="80" t="s">
        <v>700</v>
      </c>
      <c r="AE108" s="80" t="s">
        <v>1090</v>
      </c>
      <c r="AF108" s="80" t="s">
        <v>1448</v>
      </c>
      <c r="AG108" s="80" t="s">
        <v>1698</v>
      </c>
      <c r="AH108" s="80" t="s">
        <v>1991</v>
      </c>
      <c r="AI108" s="80">
        <v>517539</v>
      </c>
      <c r="AJ108" s="80">
        <v>540</v>
      </c>
      <c r="AK108" s="80">
        <v>6194</v>
      </c>
      <c r="AL108" s="80">
        <v>317</v>
      </c>
      <c r="AM108" s="80" t="s">
        <v>2317</v>
      </c>
      <c r="AN108" s="98" t="str">
        <f>HYPERLINK("https://www.youtube.com/watch?v=ReCvreRPdeY")</f>
        <v>https://www.youtube.com/watch?v=ReCvreRPdeY</v>
      </c>
      <c r="AO108" s="80" t="str">
        <f>REPLACE(INDEX(GroupVertices[Group],MATCH(Vertices[[#This Row],[Vertex]],GroupVertices[Vertex],0)),1,1,"")</f>
        <v>4</v>
      </c>
      <c r="AP108" s="49">
        <v>1</v>
      </c>
      <c r="AQ108" s="50">
        <v>5.2631578947368425</v>
      </c>
      <c r="AR108" s="49">
        <v>1</v>
      </c>
      <c r="AS108" s="50">
        <v>5.2631578947368425</v>
      </c>
      <c r="AT108" s="49">
        <v>0</v>
      </c>
      <c r="AU108" s="50">
        <v>0</v>
      </c>
      <c r="AV108" s="49">
        <v>17</v>
      </c>
      <c r="AW108" s="50">
        <v>89.47368421052632</v>
      </c>
      <c r="AX108" s="49">
        <v>19</v>
      </c>
      <c r="AY108" s="49"/>
      <c r="AZ108" s="49"/>
      <c r="BA108" s="49"/>
      <c r="BB108" s="49"/>
      <c r="BC108" s="2"/>
      <c r="BD108" s="3"/>
      <c r="BE108" s="3"/>
      <c r="BF108" s="3"/>
      <c r="BG108" s="3"/>
    </row>
    <row r="109" spans="1:59" ht="15">
      <c r="A109" s="65" t="s">
        <v>295</v>
      </c>
      <c r="B109" s="66" t="s">
        <v>3536</v>
      </c>
      <c r="C109" s="66"/>
      <c r="D109" s="67">
        <v>212.5</v>
      </c>
      <c r="E109" s="69">
        <v>50</v>
      </c>
      <c r="F109" s="96" t="str">
        <f>HYPERLINK("https://i.ytimg.com/vi/xlaStrxzW_U/default.jpg")</f>
        <v>https://i.ytimg.com/vi/xlaStrxzW_U/default.jpg</v>
      </c>
      <c r="G109" s="66"/>
      <c r="H109" s="70" t="s">
        <v>702</v>
      </c>
      <c r="I109" s="71"/>
      <c r="J109" s="71" t="s">
        <v>159</v>
      </c>
      <c r="K109" s="70" t="s">
        <v>702</v>
      </c>
      <c r="L109" s="74">
        <v>4371.796715409466</v>
      </c>
      <c r="M109" s="75">
        <v>6219.45751953125</v>
      </c>
      <c r="N109" s="75">
        <v>4563.36376953125</v>
      </c>
      <c r="O109" s="76"/>
      <c r="P109" s="77"/>
      <c r="Q109" s="77"/>
      <c r="R109" s="82"/>
      <c r="S109" s="49">
        <v>1</v>
      </c>
      <c r="T109" s="49">
        <v>0</v>
      </c>
      <c r="U109" s="50">
        <v>0</v>
      </c>
      <c r="V109" s="50">
        <v>0.000921</v>
      </c>
      <c r="W109" s="50">
        <v>0.001855</v>
      </c>
      <c r="X109" s="50">
        <v>0.399466</v>
      </c>
      <c r="Y109" s="50">
        <v>0</v>
      </c>
      <c r="Z109" s="50">
        <v>0</v>
      </c>
      <c r="AA109" s="72">
        <v>81</v>
      </c>
      <c r="AB109" s="72"/>
      <c r="AC109" s="73"/>
      <c r="AD109" s="80" t="s">
        <v>702</v>
      </c>
      <c r="AE109" s="80" t="s">
        <v>1092</v>
      </c>
      <c r="AF109" s="80" t="s">
        <v>1450</v>
      </c>
      <c r="AG109" s="80" t="s">
        <v>1728</v>
      </c>
      <c r="AH109" s="80" t="s">
        <v>1993</v>
      </c>
      <c r="AI109" s="80">
        <v>99436901</v>
      </c>
      <c r="AJ109" s="80">
        <v>23932</v>
      </c>
      <c r="AK109" s="80">
        <v>841701</v>
      </c>
      <c r="AL109" s="80">
        <v>76199</v>
      </c>
      <c r="AM109" s="80" t="s">
        <v>2317</v>
      </c>
      <c r="AN109" s="98" t="str">
        <f>HYPERLINK("https://www.youtube.com/watch?v=xlaStrxzW_U")</f>
        <v>https://www.youtube.com/watch?v=xlaStrxzW_U</v>
      </c>
      <c r="AO109" s="80" t="str">
        <f>REPLACE(INDEX(GroupVertices[Group],MATCH(Vertices[[#This Row],[Vertex]],GroupVertices[Vertex],0)),1,1,"")</f>
        <v>6</v>
      </c>
      <c r="AP109" s="49">
        <v>0</v>
      </c>
      <c r="AQ109" s="50">
        <v>0</v>
      </c>
      <c r="AR109" s="49">
        <v>0</v>
      </c>
      <c r="AS109" s="50">
        <v>0</v>
      </c>
      <c r="AT109" s="49">
        <v>0</v>
      </c>
      <c r="AU109" s="50">
        <v>0</v>
      </c>
      <c r="AV109" s="49">
        <v>71</v>
      </c>
      <c r="AW109" s="50">
        <v>100</v>
      </c>
      <c r="AX109" s="49">
        <v>71</v>
      </c>
      <c r="AY109" s="49"/>
      <c r="AZ109" s="49"/>
      <c r="BA109" s="49"/>
      <c r="BB109" s="49"/>
      <c r="BC109" s="2"/>
      <c r="BD109" s="3"/>
      <c r="BE109" s="3"/>
      <c r="BF109" s="3"/>
      <c r="BG109" s="3"/>
    </row>
    <row r="110" spans="1:59" ht="15">
      <c r="A110" s="65" t="s">
        <v>296</v>
      </c>
      <c r="B110" s="66" t="s">
        <v>3536</v>
      </c>
      <c r="C110" s="66"/>
      <c r="D110" s="67">
        <v>212.5</v>
      </c>
      <c r="E110" s="69">
        <v>50</v>
      </c>
      <c r="F110" s="96" t="str">
        <f>HYPERLINK("https://i.ytimg.com/vi/vwbv1mnBt1Q/default.jpg")</f>
        <v>https://i.ytimg.com/vi/vwbv1mnBt1Q/default.jpg</v>
      </c>
      <c r="G110" s="66"/>
      <c r="H110" s="70" t="s">
        <v>703</v>
      </c>
      <c r="I110" s="71"/>
      <c r="J110" s="71" t="s">
        <v>159</v>
      </c>
      <c r="K110" s="70" t="s">
        <v>703</v>
      </c>
      <c r="L110" s="74">
        <v>1.267205392616102</v>
      </c>
      <c r="M110" s="75">
        <v>7557.9765625</v>
      </c>
      <c r="N110" s="75">
        <v>8869.63671875</v>
      </c>
      <c r="O110" s="76"/>
      <c r="P110" s="77"/>
      <c r="Q110" s="77"/>
      <c r="R110" s="82"/>
      <c r="S110" s="49">
        <v>1</v>
      </c>
      <c r="T110" s="49">
        <v>0</v>
      </c>
      <c r="U110" s="50">
        <v>0</v>
      </c>
      <c r="V110" s="50">
        <v>0.000921</v>
      </c>
      <c r="W110" s="50">
        <v>0.001855</v>
      </c>
      <c r="X110" s="50">
        <v>0.399466</v>
      </c>
      <c r="Y110" s="50">
        <v>0</v>
      </c>
      <c r="Z110" s="50">
        <v>0</v>
      </c>
      <c r="AA110" s="72">
        <v>82</v>
      </c>
      <c r="AB110" s="72"/>
      <c r="AC110" s="73"/>
      <c r="AD110" s="80" t="s">
        <v>703</v>
      </c>
      <c r="AE110" s="80" t="s">
        <v>1093</v>
      </c>
      <c r="AF110" s="80" t="s">
        <v>1451</v>
      </c>
      <c r="AG110" s="80" t="s">
        <v>1729</v>
      </c>
      <c r="AH110" s="80" t="s">
        <v>1994</v>
      </c>
      <c r="AI110" s="80">
        <v>6090</v>
      </c>
      <c r="AJ110" s="80">
        <v>70</v>
      </c>
      <c r="AK110" s="80">
        <v>381</v>
      </c>
      <c r="AL110" s="80">
        <v>6</v>
      </c>
      <c r="AM110" s="80" t="s">
        <v>2317</v>
      </c>
      <c r="AN110" s="98" t="str">
        <f>HYPERLINK("https://www.youtube.com/watch?v=vwbv1mnBt1Q")</f>
        <v>https://www.youtube.com/watch?v=vwbv1mnBt1Q</v>
      </c>
      <c r="AO110" s="80" t="str">
        <f>REPLACE(INDEX(GroupVertices[Group],MATCH(Vertices[[#This Row],[Vertex]],GroupVertices[Vertex],0)),1,1,"")</f>
        <v>6</v>
      </c>
      <c r="AP110" s="49">
        <v>0</v>
      </c>
      <c r="AQ110" s="50">
        <v>0</v>
      </c>
      <c r="AR110" s="49">
        <v>0</v>
      </c>
      <c r="AS110" s="50">
        <v>0</v>
      </c>
      <c r="AT110" s="49">
        <v>0</v>
      </c>
      <c r="AU110" s="50">
        <v>0</v>
      </c>
      <c r="AV110" s="49">
        <v>62</v>
      </c>
      <c r="AW110" s="50">
        <v>100</v>
      </c>
      <c r="AX110" s="49">
        <v>62</v>
      </c>
      <c r="AY110" s="49"/>
      <c r="AZ110" s="49"/>
      <c r="BA110" s="49"/>
      <c r="BB110" s="49"/>
      <c r="BC110" s="2"/>
      <c r="BD110" s="3"/>
      <c r="BE110" s="3"/>
      <c r="BF110" s="3"/>
      <c r="BG110" s="3"/>
    </row>
    <row r="111" spans="1:59" ht="15">
      <c r="A111" s="65" t="s">
        <v>297</v>
      </c>
      <c r="B111" s="66" t="s">
        <v>3536</v>
      </c>
      <c r="C111" s="66"/>
      <c r="D111" s="67">
        <v>212.5</v>
      </c>
      <c r="E111" s="69">
        <v>50</v>
      </c>
      <c r="F111" s="96" t="str">
        <f>HYPERLINK("https://i.ytimg.com/vi/x1MPkV9EFGM/default.jpg")</f>
        <v>https://i.ytimg.com/vi/x1MPkV9EFGM/default.jpg</v>
      </c>
      <c r="G111" s="66"/>
      <c r="H111" s="70" t="s">
        <v>704</v>
      </c>
      <c r="I111" s="71"/>
      <c r="J111" s="71" t="s">
        <v>159</v>
      </c>
      <c r="K111" s="70" t="s">
        <v>704</v>
      </c>
      <c r="L111" s="74">
        <v>247.5609958520891</v>
      </c>
      <c r="M111" s="75">
        <v>7557.9765625</v>
      </c>
      <c r="N111" s="75">
        <v>5178.54541015625</v>
      </c>
      <c r="O111" s="76"/>
      <c r="P111" s="77"/>
      <c r="Q111" s="77"/>
      <c r="R111" s="82"/>
      <c r="S111" s="49">
        <v>1</v>
      </c>
      <c r="T111" s="49">
        <v>0</v>
      </c>
      <c r="U111" s="50">
        <v>0</v>
      </c>
      <c r="V111" s="50">
        <v>0.000921</v>
      </c>
      <c r="W111" s="50">
        <v>0.001855</v>
      </c>
      <c r="X111" s="50">
        <v>0.399466</v>
      </c>
      <c r="Y111" s="50">
        <v>0</v>
      </c>
      <c r="Z111" s="50">
        <v>0</v>
      </c>
      <c r="AA111" s="72">
        <v>83</v>
      </c>
      <c r="AB111" s="72"/>
      <c r="AC111" s="73"/>
      <c r="AD111" s="80" t="s">
        <v>704</v>
      </c>
      <c r="AE111" s="80" t="s">
        <v>1094</v>
      </c>
      <c r="AF111" s="80" t="s">
        <v>1452</v>
      </c>
      <c r="AG111" s="80" t="s">
        <v>1730</v>
      </c>
      <c r="AH111" s="80" t="s">
        <v>1995</v>
      </c>
      <c r="AI111" s="80">
        <v>5609345</v>
      </c>
      <c r="AJ111" s="80">
        <v>3787</v>
      </c>
      <c r="AK111" s="80">
        <v>48016</v>
      </c>
      <c r="AL111" s="80">
        <v>4282</v>
      </c>
      <c r="AM111" s="80" t="s">
        <v>2317</v>
      </c>
      <c r="AN111" s="98" t="str">
        <f>HYPERLINK("https://www.youtube.com/watch?v=x1MPkV9EFGM")</f>
        <v>https://www.youtube.com/watch?v=x1MPkV9EFGM</v>
      </c>
      <c r="AO111" s="80" t="str">
        <f>REPLACE(INDEX(GroupVertices[Group],MATCH(Vertices[[#This Row],[Vertex]],GroupVertices[Vertex],0)),1,1,"")</f>
        <v>6</v>
      </c>
      <c r="AP111" s="49">
        <v>5</v>
      </c>
      <c r="AQ111" s="50">
        <v>15.151515151515152</v>
      </c>
      <c r="AR111" s="49">
        <v>3</v>
      </c>
      <c r="AS111" s="50">
        <v>9.090909090909092</v>
      </c>
      <c r="AT111" s="49">
        <v>0</v>
      </c>
      <c r="AU111" s="50">
        <v>0</v>
      </c>
      <c r="AV111" s="49">
        <v>25</v>
      </c>
      <c r="AW111" s="50">
        <v>75.75757575757575</v>
      </c>
      <c r="AX111" s="49">
        <v>33</v>
      </c>
      <c r="AY111" s="49"/>
      <c r="AZ111" s="49"/>
      <c r="BA111" s="49"/>
      <c r="BB111" s="49"/>
      <c r="BC111" s="2"/>
      <c r="BD111" s="3"/>
      <c r="BE111" s="3"/>
      <c r="BF111" s="3"/>
      <c r="BG111" s="3"/>
    </row>
    <row r="112" spans="1:59" ht="15">
      <c r="A112" s="65" t="s">
        <v>298</v>
      </c>
      <c r="B112" s="66" t="s">
        <v>3536</v>
      </c>
      <c r="C112" s="66"/>
      <c r="D112" s="67">
        <v>212.5</v>
      </c>
      <c r="E112" s="69">
        <v>50</v>
      </c>
      <c r="F112" s="96" t="str">
        <f>HYPERLINK("https://i.ytimg.com/vi/pfwSSR9jHKI/default.jpg")</f>
        <v>https://i.ytimg.com/vi/pfwSSR9jHKI/default.jpg</v>
      </c>
      <c r="G112" s="66"/>
      <c r="H112" s="70" t="s">
        <v>705</v>
      </c>
      <c r="I112" s="71"/>
      <c r="J112" s="71" t="s">
        <v>159</v>
      </c>
      <c r="K112" s="70" t="s">
        <v>705</v>
      </c>
      <c r="L112" s="74">
        <v>5.562667242035962</v>
      </c>
      <c r="M112" s="75">
        <v>5884.82861328125</v>
      </c>
      <c r="N112" s="75">
        <v>5793.72802734375</v>
      </c>
      <c r="O112" s="76"/>
      <c r="P112" s="77"/>
      <c r="Q112" s="77"/>
      <c r="R112" s="82"/>
      <c r="S112" s="49">
        <v>1</v>
      </c>
      <c r="T112" s="49">
        <v>0</v>
      </c>
      <c r="U112" s="50">
        <v>0</v>
      </c>
      <c r="V112" s="50">
        <v>0.000921</v>
      </c>
      <c r="W112" s="50">
        <v>0.001855</v>
      </c>
      <c r="X112" s="50">
        <v>0.399466</v>
      </c>
      <c r="Y112" s="50">
        <v>0</v>
      </c>
      <c r="Z112" s="50">
        <v>0</v>
      </c>
      <c r="AA112" s="72">
        <v>84</v>
      </c>
      <c r="AB112" s="72"/>
      <c r="AC112" s="73"/>
      <c r="AD112" s="80" t="s">
        <v>705</v>
      </c>
      <c r="AE112" s="80" t="s">
        <v>1072</v>
      </c>
      <c r="AF112" s="80" t="s">
        <v>1453</v>
      </c>
      <c r="AG112" s="80" t="s">
        <v>1715</v>
      </c>
      <c r="AH112" s="80" t="s">
        <v>1996</v>
      </c>
      <c r="AI112" s="80">
        <v>103813</v>
      </c>
      <c r="AJ112" s="80">
        <v>226</v>
      </c>
      <c r="AK112" s="80">
        <v>4029</v>
      </c>
      <c r="AL112" s="80">
        <v>139</v>
      </c>
      <c r="AM112" s="80" t="s">
        <v>2317</v>
      </c>
      <c r="AN112" s="98" t="str">
        <f>HYPERLINK("https://www.youtube.com/watch?v=pfwSSR9jHKI")</f>
        <v>https://www.youtube.com/watch?v=pfwSSR9jHKI</v>
      </c>
      <c r="AO112" s="80" t="str">
        <f>REPLACE(INDEX(GroupVertices[Group],MATCH(Vertices[[#This Row],[Vertex]],GroupVertices[Vertex],0)),1,1,"")</f>
        <v>6</v>
      </c>
      <c r="AP112" s="49">
        <v>2</v>
      </c>
      <c r="AQ112" s="50">
        <v>3.278688524590164</v>
      </c>
      <c r="AR112" s="49">
        <v>1</v>
      </c>
      <c r="AS112" s="50">
        <v>1.639344262295082</v>
      </c>
      <c r="AT112" s="49">
        <v>0</v>
      </c>
      <c r="AU112" s="50">
        <v>0</v>
      </c>
      <c r="AV112" s="49">
        <v>58</v>
      </c>
      <c r="AW112" s="50">
        <v>95.08196721311475</v>
      </c>
      <c r="AX112" s="49">
        <v>61</v>
      </c>
      <c r="AY112" s="49"/>
      <c r="AZ112" s="49"/>
      <c r="BA112" s="49"/>
      <c r="BB112" s="49"/>
      <c r="BC112" s="2"/>
      <c r="BD112" s="3"/>
      <c r="BE112" s="3"/>
      <c r="BF112" s="3"/>
      <c r="BG112" s="3"/>
    </row>
    <row r="113" spans="1:59" ht="15">
      <c r="A113" s="65" t="s">
        <v>299</v>
      </c>
      <c r="B113" s="66" t="s">
        <v>3536</v>
      </c>
      <c r="C113" s="66"/>
      <c r="D113" s="67">
        <v>212.5</v>
      </c>
      <c r="E113" s="69">
        <v>50</v>
      </c>
      <c r="F113" s="96" t="str">
        <f>HYPERLINK("https://i.ytimg.com/vi/5BAKzzV8Pw4/default.jpg")</f>
        <v>https://i.ytimg.com/vi/5BAKzzV8Pw4/default.jpg</v>
      </c>
      <c r="G113" s="66"/>
      <c r="H113" s="70" t="s">
        <v>706</v>
      </c>
      <c r="I113" s="71"/>
      <c r="J113" s="71" t="s">
        <v>159</v>
      </c>
      <c r="K113" s="70" t="s">
        <v>706</v>
      </c>
      <c r="L113" s="74">
        <v>54.8788751526753</v>
      </c>
      <c r="M113" s="75">
        <v>6219.45751953125</v>
      </c>
      <c r="N113" s="75">
        <v>5178.54541015625</v>
      </c>
      <c r="O113" s="76"/>
      <c r="P113" s="77"/>
      <c r="Q113" s="77"/>
      <c r="R113" s="82"/>
      <c r="S113" s="49">
        <v>1</v>
      </c>
      <c r="T113" s="49">
        <v>0</v>
      </c>
      <c r="U113" s="50">
        <v>0</v>
      </c>
      <c r="V113" s="50">
        <v>0.000921</v>
      </c>
      <c r="W113" s="50">
        <v>0.001855</v>
      </c>
      <c r="X113" s="50">
        <v>0.399466</v>
      </c>
      <c r="Y113" s="50">
        <v>0</v>
      </c>
      <c r="Z113" s="50">
        <v>0</v>
      </c>
      <c r="AA113" s="72">
        <v>85</v>
      </c>
      <c r="AB113" s="72"/>
      <c r="AC113" s="73"/>
      <c r="AD113" s="80" t="s">
        <v>706</v>
      </c>
      <c r="AE113" s="80" t="s">
        <v>1095</v>
      </c>
      <c r="AF113" s="80" t="s">
        <v>1454</v>
      </c>
      <c r="AG113" s="80" t="s">
        <v>1731</v>
      </c>
      <c r="AH113" s="80" t="s">
        <v>1997</v>
      </c>
      <c r="AI113" s="80">
        <v>1225771</v>
      </c>
      <c r="AJ113" s="80">
        <v>2600</v>
      </c>
      <c r="AK113" s="80">
        <v>29513</v>
      </c>
      <c r="AL113" s="80">
        <v>926</v>
      </c>
      <c r="AM113" s="80" t="s">
        <v>2317</v>
      </c>
      <c r="AN113" s="98" t="str">
        <f>HYPERLINK("https://www.youtube.com/watch?v=5BAKzzV8Pw4")</f>
        <v>https://www.youtube.com/watch?v=5BAKzzV8Pw4</v>
      </c>
      <c r="AO113" s="80" t="str">
        <f>REPLACE(INDEX(GroupVertices[Group],MATCH(Vertices[[#This Row],[Vertex]],GroupVertices[Vertex],0)),1,1,"")</f>
        <v>6</v>
      </c>
      <c r="AP113" s="49">
        <v>0</v>
      </c>
      <c r="AQ113" s="50">
        <v>0</v>
      </c>
      <c r="AR113" s="49">
        <v>6</v>
      </c>
      <c r="AS113" s="50">
        <v>17.647058823529413</v>
      </c>
      <c r="AT113" s="49">
        <v>0</v>
      </c>
      <c r="AU113" s="50">
        <v>0</v>
      </c>
      <c r="AV113" s="49">
        <v>28</v>
      </c>
      <c r="AW113" s="50">
        <v>82.3529411764706</v>
      </c>
      <c r="AX113" s="49">
        <v>34</v>
      </c>
      <c r="AY113" s="49"/>
      <c r="AZ113" s="49"/>
      <c r="BA113" s="49"/>
      <c r="BB113" s="49"/>
      <c r="BC113" s="2"/>
      <c r="BD113" s="3"/>
      <c r="BE113" s="3"/>
      <c r="BF113" s="3"/>
      <c r="BG113" s="3"/>
    </row>
    <row r="114" spans="1:59" ht="15">
      <c r="A114" s="65" t="s">
        <v>300</v>
      </c>
      <c r="B114" s="66" t="s">
        <v>3536</v>
      </c>
      <c r="C114" s="66"/>
      <c r="D114" s="67">
        <v>212.5</v>
      </c>
      <c r="E114" s="69">
        <v>50</v>
      </c>
      <c r="F114" s="96" t="str">
        <f>HYPERLINK("https://i.ytimg.com/vi/Rlth9TUWaQg/default.jpg")</f>
        <v>https://i.ytimg.com/vi/Rlth9TUWaQg/default.jpg</v>
      </c>
      <c r="G114" s="66"/>
      <c r="H114" s="70" t="s">
        <v>707</v>
      </c>
      <c r="I114" s="71"/>
      <c r="J114" s="71" t="s">
        <v>159</v>
      </c>
      <c r="K114" s="70" t="s">
        <v>707</v>
      </c>
      <c r="L114" s="74">
        <v>547.7774411271829</v>
      </c>
      <c r="M114" s="75">
        <v>5884.82861328125</v>
      </c>
      <c r="N114" s="75">
        <v>4563.36376953125</v>
      </c>
      <c r="O114" s="76"/>
      <c r="P114" s="77"/>
      <c r="Q114" s="77"/>
      <c r="R114" s="82"/>
      <c r="S114" s="49">
        <v>1</v>
      </c>
      <c r="T114" s="49">
        <v>0</v>
      </c>
      <c r="U114" s="50">
        <v>0</v>
      </c>
      <c r="V114" s="50">
        <v>0.000921</v>
      </c>
      <c r="W114" s="50">
        <v>0.001855</v>
      </c>
      <c r="X114" s="50">
        <v>0.399466</v>
      </c>
      <c r="Y114" s="50">
        <v>0</v>
      </c>
      <c r="Z114" s="50">
        <v>0</v>
      </c>
      <c r="AA114" s="72">
        <v>86</v>
      </c>
      <c r="AB114" s="72"/>
      <c r="AC114" s="73"/>
      <c r="AD114" s="80" t="s">
        <v>707</v>
      </c>
      <c r="AE114" s="80" t="s">
        <v>1096</v>
      </c>
      <c r="AF114" s="80" t="s">
        <v>1455</v>
      </c>
      <c r="AG114" s="80" t="s">
        <v>1732</v>
      </c>
      <c r="AH114" s="80" t="s">
        <v>1998</v>
      </c>
      <c r="AI114" s="80">
        <v>12439356</v>
      </c>
      <c r="AJ114" s="80">
        <v>27682</v>
      </c>
      <c r="AK114" s="80">
        <v>219900</v>
      </c>
      <c r="AL114" s="80">
        <v>13536</v>
      </c>
      <c r="AM114" s="80" t="s">
        <v>2317</v>
      </c>
      <c r="AN114" s="98" t="str">
        <f>HYPERLINK("https://www.youtube.com/watch?v=Rlth9TUWaQg")</f>
        <v>https://www.youtube.com/watch?v=Rlth9TUWaQg</v>
      </c>
      <c r="AO114" s="80" t="str">
        <f>REPLACE(INDEX(GroupVertices[Group],MATCH(Vertices[[#This Row],[Vertex]],GroupVertices[Vertex],0)),1,1,"")</f>
        <v>6</v>
      </c>
      <c r="AP114" s="49">
        <v>5</v>
      </c>
      <c r="AQ114" s="50">
        <v>7.462686567164179</v>
      </c>
      <c r="AR114" s="49">
        <v>5</v>
      </c>
      <c r="AS114" s="50">
        <v>7.462686567164179</v>
      </c>
      <c r="AT114" s="49">
        <v>0</v>
      </c>
      <c r="AU114" s="50">
        <v>0</v>
      </c>
      <c r="AV114" s="49">
        <v>57</v>
      </c>
      <c r="AW114" s="50">
        <v>85.07462686567165</v>
      </c>
      <c r="AX114" s="49">
        <v>67</v>
      </c>
      <c r="AY114" s="49"/>
      <c r="AZ114" s="49"/>
      <c r="BA114" s="49"/>
      <c r="BB114" s="49"/>
      <c r="BC114" s="2"/>
      <c r="BD114" s="3"/>
      <c r="BE114" s="3"/>
      <c r="BF114" s="3"/>
      <c r="BG114" s="3"/>
    </row>
    <row r="115" spans="1:59" ht="15">
      <c r="A115" s="65" t="s">
        <v>301</v>
      </c>
      <c r="B115" s="66" t="s">
        <v>3536</v>
      </c>
      <c r="C115" s="66"/>
      <c r="D115" s="67">
        <v>212.5</v>
      </c>
      <c r="E115" s="69">
        <v>50</v>
      </c>
      <c r="F115" s="96" t="str">
        <f>HYPERLINK("https://i.ytimg.com/vi/it5rQb8nWNc/default.jpg")</f>
        <v>https://i.ytimg.com/vi/it5rQb8nWNc/default.jpg</v>
      </c>
      <c r="G115" s="66"/>
      <c r="H115" s="70" t="s">
        <v>708</v>
      </c>
      <c r="I115" s="71"/>
      <c r="J115" s="71" t="s">
        <v>159</v>
      </c>
      <c r="K115" s="70" t="s">
        <v>708</v>
      </c>
      <c r="L115" s="74">
        <v>1.2490957328434693</v>
      </c>
      <c r="M115" s="75">
        <v>7223.34716796875</v>
      </c>
      <c r="N115" s="75">
        <v>8869.63671875</v>
      </c>
      <c r="O115" s="76"/>
      <c r="P115" s="77"/>
      <c r="Q115" s="77"/>
      <c r="R115" s="82"/>
      <c r="S115" s="49">
        <v>1</v>
      </c>
      <c r="T115" s="49">
        <v>0</v>
      </c>
      <c r="U115" s="50">
        <v>0</v>
      </c>
      <c r="V115" s="50">
        <v>0.000921</v>
      </c>
      <c r="W115" s="50">
        <v>0.001855</v>
      </c>
      <c r="X115" s="50">
        <v>0.399466</v>
      </c>
      <c r="Y115" s="50">
        <v>0</v>
      </c>
      <c r="Z115" s="50">
        <v>0</v>
      </c>
      <c r="AA115" s="72">
        <v>87</v>
      </c>
      <c r="AB115" s="72"/>
      <c r="AC115" s="73"/>
      <c r="AD115" s="80" t="s">
        <v>708</v>
      </c>
      <c r="AE115" s="80" t="s">
        <v>1097</v>
      </c>
      <c r="AF115" s="80" t="s">
        <v>1456</v>
      </c>
      <c r="AG115" s="80" t="s">
        <v>1708</v>
      </c>
      <c r="AH115" s="80" t="s">
        <v>1999</v>
      </c>
      <c r="AI115" s="80">
        <v>5678</v>
      </c>
      <c r="AJ115" s="80">
        <v>69</v>
      </c>
      <c r="AK115" s="80">
        <v>262</v>
      </c>
      <c r="AL115" s="80">
        <v>4</v>
      </c>
      <c r="AM115" s="80" t="s">
        <v>2317</v>
      </c>
      <c r="AN115" s="98" t="str">
        <f>HYPERLINK("https://www.youtube.com/watch?v=it5rQb8nWNc")</f>
        <v>https://www.youtube.com/watch?v=it5rQb8nWNc</v>
      </c>
      <c r="AO115" s="80" t="str">
        <f>REPLACE(INDEX(GroupVertices[Group],MATCH(Vertices[[#This Row],[Vertex]],GroupVertices[Vertex],0)),1,1,"")</f>
        <v>6</v>
      </c>
      <c r="AP115" s="49">
        <v>0</v>
      </c>
      <c r="AQ115" s="50">
        <v>0</v>
      </c>
      <c r="AR115" s="49">
        <v>0</v>
      </c>
      <c r="AS115" s="50">
        <v>0</v>
      </c>
      <c r="AT115" s="49">
        <v>0</v>
      </c>
      <c r="AU115" s="50">
        <v>0</v>
      </c>
      <c r="AV115" s="49">
        <v>61</v>
      </c>
      <c r="AW115" s="50">
        <v>100</v>
      </c>
      <c r="AX115" s="49">
        <v>61</v>
      </c>
      <c r="AY115" s="49"/>
      <c r="AZ115" s="49"/>
      <c r="BA115" s="49"/>
      <c r="BB115" s="49"/>
      <c r="BC115" s="2"/>
      <c r="BD115" s="3"/>
      <c r="BE115" s="3"/>
      <c r="BF115" s="3"/>
      <c r="BG115" s="3"/>
    </row>
    <row r="116" spans="1:59" ht="15">
      <c r="A116" s="65" t="s">
        <v>302</v>
      </c>
      <c r="B116" s="66" t="s">
        <v>3536</v>
      </c>
      <c r="C116" s="66"/>
      <c r="D116" s="67">
        <v>212.5</v>
      </c>
      <c r="E116" s="69">
        <v>50</v>
      </c>
      <c r="F116" s="96" t="str">
        <f>HYPERLINK("https://i.ytimg.com/vi/hMWyT0soCK8/default.jpg")</f>
        <v>https://i.ytimg.com/vi/hMWyT0soCK8/default.jpg</v>
      </c>
      <c r="G116" s="66"/>
      <c r="H116" s="70" t="s">
        <v>709</v>
      </c>
      <c r="I116" s="71"/>
      <c r="J116" s="71" t="s">
        <v>159</v>
      </c>
      <c r="K116" s="70" t="s">
        <v>709</v>
      </c>
      <c r="L116" s="74">
        <v>93.48392259556057</v>
      </c>
      <c r="M116" s="75">
        <v>6888.716796875</v>
      </c>
      <c r="N116" s="75">
        <v>5178.54541015625</v>
      </c>
      <c r="O116" s="76"/>
      <c r="P116" s="77"/>
      <c r="Q116" s="77"/>
      <c r="R116" s="82"/>
      <c r="S116" s="49">
        <v>1</v>
      </c>
      <c r="T116" s="49">
        <v>0</v>
      </c>
      <c r="U116" s="50">
        <v>0</v>
      </c>
      <c r="V116" s="50">
        <v>0.000921</v>
      </c>
      <c r="W116" s="50">
        <v>0.001855</v>
      </c>
      <c r="X116" s="50">
        <v>0.399466</v>
      </c>
      <c r="Y116" s="50">
        <v>0</v>
      </c>
      <c r="Z116" s="50">
        <v>0</v>
      </c>
      <c r="AA116" s="72">
        <v>88</v>
      </c>
      <c r="AB116" s="72"/>
      <c r="AC116" s="73"/>
      <c r="AD116" s="80" t="s">
        <v>709</v>
      </c>
      <c r="AE116" s="80" t="s">
        <v>1098</v>
      </c>
      <c r="AF116" s="80" t="s">
        <v>1457</v>
      </c>
      <c r="AG116" s="80" t="s">
        <v>1733</v>
      </c>
      <c r="AH116" s="80" t="s">
        <v>2000</v>
      </c>
      <c r="AI116" s="80">
        <v>2104047</v>
      </c>
      <c r="AJ116" s="80">
        <v>18253</v>
      </c>
      <c r="AK116" s="80">
        <v>55237</v>
      </c>
      <c r="AL116" s="80">
        <v>1747</v>
      </c>
      <c r="AM116" s="80" t="s">
        <v>2317</v>
      </c>
      <c r="AN116" s="98" t="str">
        <f>HYPERLINK("https://www.youtube.com/watch?v=hMWyT0soCK8")</f>
        <v>https://www.youtube.com/watch?v=hMWyT0soCK8</v>
      </c>
      <c r="AO116" s="80" t="str">
        <f>REPLACE(INDEX(GroupVertices[Group],MATCH(Vertices[[#This Row],[Vertex]],GroupVertices[Vertex],0)),1,1,"")</f>
        <v>6</v>
      </c>
      <c r="AP116" s="49">
        <v>1</v>
      </c>
      <c r="AQ116" s="50">
        <v>1.5873015873015872</v>
      </c>
      <c r="AR116" s="49">
        <v>0</v>
      </c>
      <c r="AS116" s="50">
        <v>0</v>
      </c>
      <c r="AT116" s="49">
        <v>0</v>
      </c>
      <c r="AU116" s="50">
        <v>0</v>
      </c>
      <c r="AV116" s="49">
        <v>62</v>
      </c>
      <c r="AW116" s="50">
        <v>98.41269841269842</v>
      </c>
      <c r="AX116" s="49">
        <v>63</v>
      </c>
      <c r="AY116" s="49"/>
      <c r="AZ116" s="49"/>
      <c r="BA116" s="49"/>
      <c r="BB116" s="49"/>
      <c r="BC116" s="2"/>
      <c r="BD116" s="3"/>
      <c r="BE116" s="3"/>
      <c r="BF116" s="3"/>
      <c r="BG116" s="3"/>
    </row>
    <row r="117" spans="1:59" ht="15">
      <c r="A117" s="65" t="s">
        <v>303</v>
      </c>
      <c r="B117" s="66" t="s">
        <v>3536</v>
      </c>
      <c r="C117" s="66"/>
      <c r="D117" s="67">
        <v>212.5</v>
      </c>
      <c r="E117" s="69">
        <v>50</v>
      </c>
      <c r="F117" s="96" t="str">
        <f>HYPERLINK("https://i.ytimg.com/vi/tMkWdGX1Res/default.jpg")</f>
        <v>https://i.ytimg.com/vi/tMkWdGX1Res/default.jpg</v>
      </c>
      <c r="G117" s="66"/>
      <c r="H117" s="70" t="s">
        <v>710</v>
      </c>
      <c r="I117" s="71"/>
      <c r="J117" s="71" t="s">
        <v>159</v>
      </c>
      <c r="K117" s="70" t="s">
        <v>710</v>
      </c>
      <c r="L117" s="74">
        <v>56.746455794470485</v>
      </c>
      <c r="M117" s="75">
        <v>6554.0869140625</v>
      </c>
      <c r="N117" s="75">
        <v>5178.54541015625</v>
      </c>
      <c r="O117" s="76"/>
      <c r="P117" s="77"/>
      <c r="Q117" s="77"/>
      <c r="R117" s="82"/>
      <c r="S117" s="49">
        <v>1</v>
      </c>
      <c r="T117" s="49">
        <v>0</v>
      </c>
      <c r="U117" s="50">
        <v>0</v>
      </c>
      <c r="V117" s="50">
        <v>0.000921</v>
      </c>
      <c r="W117" s="50">
        <v>0.001855</v>
      </c>
      <c r="X117" s="50">
        <v>0.399466</v>
      </c>
      <c r="Y117" s="50">
        <v>0</v>
      </c>
      <c r="Z117" s="50">
        <v>0</v>
      </c>
      <c r="AA117" s="72">
        <v>89</v>
      </c>
      <c r="AB117" s="72"/>
      <c r="AC117" s="73"/>
      <c r="AD117" s="80" t="s">
        <v>710</v>
      </c>
      <c r="AE117" s="80" t="s">
        <v>1099</v>
      </c>
      <c r="AF117" s="80" t="s">
        <v>1458</v>
      </c>
      <c r="AG117" s="80" t="s">
        <v>1734</v>
      </c>
      <c r="AH117" s="80" t="s">
        <v>2001</v>
      </c>
      <c r="AI117" s="80">
        <v>1268259</v>
      </c>
      <c r="AJ117" s="80">
        <v>364</v>
      </c>
      <c r="AK117" s="80">
        <v>20755</v>
      </c>
      <c r="AL117" s="80">
        <v>876</v>
      </c>
      <c r="AM117" s="80" t="s">
        <v>2317</v>
      </c>
      <c r="AN117" s="98" t="str">
        <f>HYPERLINK("https://www.youtube.com/watch?v=tMkWdGX1Res")</f>
        <v>https://www.youtube.com/watch?v=tMkWdGX1Res</v>
      </c>
      <c r="AO117" s="80" t="str">
        <f>REPLACE(INDEX(GroupVertices[Group],MATCH(Vertices[[#This Row],[Vertex]],GroupVertices[Vertex],0)),1,1,"")</f>
        <v>6</v>
      </c>
      <c r="AP117" s="49">
        <v>3</v>
      </c>
      <c r="AQ117" s="50">
        <v>4.3478260869565215</v>
      </c>
      <c r="AR117" s="49">
        <v>0</v>
      </c>
      <c r="AS117" s="50">
        <v>0</v>
      </c>
      <c r="AT117" s="49">
        <v>0</v>
      </c>
      <c r="AU117" s="50">
        <v>0</v>
      </c>
      <c r="AV117" s="49">
        <v>66</v>
      </c>
      <c r="AW117" s="50">
        <v>95.65217391304348</v>
      </c>
      <c r="AX117" s="49">
        <v>69</v>
      </c>
      <c r="AY117" s="49"/>
      <c r="AZ117" s="49"/>
      <c r="BA117" s="49"/>
      <c r="BB117" s="49"/>
      <c r="BC117" s="2"/>
      <c r="BD117" s="3"/>
      <c r="BE117" s="3"/>
      <c r="BF117" s="3"/>
      <c r="BG117" s="3"/>
    </row>
    <row r="118" spans="1:59" ht="15">
      <c r="A118" s="65" t="s">
        <v>304</v>
      </c>
      <c r="B118" s="66" t="s">
        <v>3536</v>
      </c>
      <c r="C118" s="66"/>
      <c r="D118" s="67">
        <v>212.5</v>
      </c>
      <c r="E118" s="69">
        <v>50</v>
      </c>
      <c r="F118" s="96" t="str">
        <f>HYPERLINK("https://i.ytimg.com/vi/Q68w1Lh1FZk/default.jpg")</f>
        <v>https://i.ytimg.com/vi/Q68w1Lh1FZk/default.jpg</v>
      </c>
      <c r="G118" s="66"/>
      <c r="H118" s="70" t="s">
        <v>711</v>
      </c>
      <c r="I118" s="71"/>
      <c r="J118" s="71" t="s">
        <v>159</v>
      </c>
      <c r="K118" s="70" t="s">
        <v>711</v>
      </c>
      <c r="L118" s="74">
        <v>1.19999745622689</v>
      </c>
      <c r="M118" s="75">
        <v>6554.0869140625</v>
      </c>
      <c r="N118" s="75">
        <v>8869.63671875</v>
      </c>
      <c r="O118" s="76"/>
      <c r="P118" s="77"/>
      <c r="Q118" s="77"/>
      <c r="R118" s="82"/>
      <c r="S118" s="49">
        <v>1</v>
      </c>
      <c r="T118" s="49">
        <v>0</v>
      </c>
      <c r="U118" s="50">
        <v>0</v>
      </c>
      <c r="V118" s="50">
        <v>0.000921</v>
      </c>
      <c r="W118" s="50">
        <v>0.001855</v>
      </c>
      <c r="X118" s="50">
        <v>0.399466</v>
      </c>
      <c r="Y118" s="50">
        <v>0</v>
      </c>
      <c r="Z118" s="50">
        <v>0</v>
      </c>
      <c r="AA118" s="72">
        <v>90</v>
      </c>
      <c r="AB118" s="72"/>
      <c r="AC118" s="73"/>
      <c r="AD118" s="80" t="s">
        <v>711</v>
      </c>
      <c r="AE118" s="80" t="s">
        <v>1100</v>
      </c>
      <c r="AF118" s="80" t="s">
        <v>1459</v>
      </c>
      <c r="AG118" s="80" t="s">
        <v>1708</v>
      </c>
      <c r="AH118" s="80" t="s">
        <v>2002</v>
      </c>
      <c r="AI118" s="80">
        <v>4561</v>
      </c>
      <c r="AJ118" s="80">
        <v>38</v>
      </c>
      <c r="AK118" s="80">
        <v>273</v>
      </c>
      <c r="AL118" s="80">
        <v>3</v>
      </c>
      <c r="AM118" s="80" t="s">
        <v>2317</v>
      </c>
      <c r="AN118" s="98" t="str">
        <f>HYPERLINK("https://www.youtube.com/watch?v=Q68w1Lh1FZk")</f>
        <v>https://www.youtube.com/watch?v=Q68w1Lh1FZk</v>
      </c>
      <c r="AO118" s="80" t="str">
        <f>REPLACE(INDEX(GroupVertices[Group],MATCH(Vertices[[#This Row],[Vertex]],GroupVertices[Vertex],0)),1,1,"")</f>
        <v>6</v>
      </c>
      <c r="AP118" s="49">
        <v>0</v>
      </c>
      <c r="AQ118" s="50">
        <v>0</v>
      </c>
      <c r="AR118" s="49">
        <v>0</v>
      </c>
      <c r="AS118" s="50">
        <v>0</v>
      </c>
      <c r="AT118" s="49">
        <v>0</v>
      </c>
      <c r="AU118" s="50">
        <v>0</v>
      </c>
      <c r="AV118" s="49">
        <v>59</v>
      </c>
      <c r="AW118" s="50">
        <v>100</v>
      </c>
      <c r="AX118" s="49">
        <v>59</v>
      </c>
      <c r="AY118" s="49"/>
      <c r="AZ118" s="49"/>
      <c r="BA118" s="49"/>
      <c r="BB118" s="49"/>
      <c r="BC118" s="2"/>
      <c r="BD118" s="3"/>
      <c r="BE118" s="3"/>
      <c r="BF118" s="3"/>
      <c r="BG118" s="3"/>
    </row>
    <row r="119" spans="1:59" ht="15">
      <c r="A119" s="65" t="s">
        <v>305</v>
      </c>
      <c r="B119" s="66" t="s">
        <v>3536</v>
      </c>
      <c r="C119" s="66"/>
      <c r="D119" s="67">
        <v>212.5</v>
      </c>
      <c r="E119" s="69">
        <v>50</v>
      </c>
      <c r="F119" s="96" t="str">
        <f>HYPERLINK("https://i.ytimg.com/vi/muO8Mj_PogQ/default.jpg")</f>
        <v>https://i.ytimg.com/vi/muO8Mj_PogQ/default.jpg</v>
      </c>
      <c r="G119" s="66"/>
      <c r="H119" s="70" t="s">
        <v>712</v>
      </c>
      <c r="I119" s="71"/>
      <c r="J119" s="71" t="s">
        <v>159</v>
      </c>
      <c r="K119" s="70" t="s">
        <v>712</v>
      </c>
      <c r="L119" s="74">
        <v>4.8021494425551605</v>
      </c>
      <c r="M119" s="75">
        <v>6888.716796875</v>
      </c>
      <c r="N119" s="75">
        <v>6408.9091796875</v>
      </c>
      <c r="O119" s="76"/>
      <c r="P119" s="77"/>
      <c r="Q119" s="77"/>
      <c r="R119" s="82"/>
      <c r="S119" s="49">
        <v>1</v>
      </c>
      <c r="T119" s="49">
        <v>0</v>
      </c>
      <c r="U119" s="50">
        <v>0</v>
      </c>
      <c r="V119" s="50">
        <v>0.000921</v>
      </c>
      <c r="W119" s="50">
        <v>0.001855</v>
      </c>
      <c r="X119" s="50">
        <v>0.399466</v>
      </c>
      <c r="Y119" s="50">
        <v>0</v>
      </c>
      <c r="Z119" s="50">
        <v>0</v>
      </c>
      <c r="AA119" s="72">
        <v>91</v>
      </c>
      <c r="AB119" s="72"/>
      <c r="AC119" s="73"/>
      <c r="AD119" s="80" t="s">
        <v>712</v>
      </c>
      <c r="AE119" s="80" t="s">
        <v>1101</v>
      </c>
      <c r="AF119" s="80" t="s">
        <v>1460</v>
      </c>
      <c r="AG119" s="80" t="s">
        <v>1735</v>
      </c>
      <c r="AH119" s="80" t="s">
        <v>2003</v>
      </c>
      <c r="AI119" s="80">
        <v>86511</v>
      </c>
      <c r="AJ119" s="80">
        <v>168</v>
      </c>
      <c r="AK119" s="80">
        <v>3033</v>
      </c>
      <c r="AL119" s="80">
        <v>103</v>
      </c>
      <c r="AM119" s="80" t="s">
        <v>2317</v>
      </c>
      <c r="AN119" s="98" t="str">
        <f>HYPERLINK("https://www.youtube.com/watch?v=muO8Mj_PogQ")</f>
        <v>https://www.youtube.com/watch?v=muO8Mj_PogQ</v>
      </c>
      <c r="AO119" s="80" t="str">
        <f>REPLACE(INDEX(GroupVertices[Group],MATCH(Vertices[[#This Row],[Vertex]],GroupVertices[Vertex],0)),1,1,"")</f>
        <v>6</v>
      </c>
      <c r="AP119" s="49">
        <v>2</v>
      </c>
      <c r="AQ119" s="50">
        <v>3.4482758620689653</v>
      </c>
      <c r="AR119" s="49">
        <v>2</v>
      </c>
      <c r="AS119" s="50">
        <v>3.4482758620689653</v>
      </c>
      <c r="AT119" s="49">
        <v>0</v>
      </c>
      <c r="AU119" s="50">
        <v>0</v>
      </c>
      <c r="AV119" s="49">
        <v>54</v>
      </c>
      <c r="AW119" s="50">
        <v>93.10344827586206</v>
      </c>
      <c r="AX119" s="49">
        <v>58</v>
      </c>
      <c r="AY119" s="49"/>
      <c r="AZ119" s="49"/>
      <c r="BA119" s="49"/>
      <c r="BB119" s="49"/>
      <c r="BC119" s="2"/>
      <c r="BD119" s="3"/>
      <c r="BE119" s="3"/>
      <c r="BF119" s="3"/>
      <c r="BG119" s="3"/>
    </row>
    <row r="120" spans="1:59" ht="15">
      <c r="A120" s="65" t="s">
        <v>306</v>
      </c>
      <c r="B120" s="66" t="s">
        <v>3536</v>
      </c>
      <c r="C120" s="66"/>
      <c r="D120" s="67">
        <v>212.5</v>
      </c>
      <c r="E120" s="69">
        <v>50</v>
      </c>
      <c r="F120" s="96" t="str">
        <f>HYPERLINK("https://i.ytimg.com/vi/gWsPVvcw6fg/default.jpg")</f>
        <v>https://i.ytimg.com/vi/gWsPVvcw6fg/default.jpg</v>
      </c>
      <c r="G120" s="66"/>
      <c r="H120" s="70" t="s">
        <v>713</v>
      </c>
      <c r="I120" s="71"/>
      <c r="J120" s="71" t="s">
        <v>159</v>
      </c>
      <c r="K120" s="70" t="s">
        <v>713</v>
      </c>
      <c r="L120" s="74">
        <v>2.0222727119711603</v>
      </c>
      <c r="M120" s="75">
        <v>7223.34716796875</v>
      </c>
      <c r="N120" s="75">
        <v>7639.27294921875</v>
      </c>
      <c r="O120" s="76"/>
      <c r="P120" s="77"/>
      <c r="Q120" s="77"/>
      <c r="R120" s="82"/>
      <c r="S120" s="49">
        <v>1</v>
      </c>
      <c r="T120" s="49">
        <v>0</v>
      </c>
      <c r="U120" s="50">
        <v>0</v>
      </c>
      <c r="V120" s="50">
        <v>0.000921</v>
      </c>
      <c r="W120" s="50">
        <v>0.001855</v>
      </c>
      <c r="X120" s="50">
        <v>0.399466</v>
      </c>
      <c r="Y120" s="50">
        <v>0</v>
      </c>
      <c r="Z120" s="50">
        <v>0</v>
      </c>
      <c r="AA120" s="72">
        <v>92</v>
      </c>
      <c r="AB120" s="72"/>
      <c r="AC120" s="73"/>
      <c r="AD120" s="80" t="s">
        <v>713</v>
      </c>
      <c r="AE120" s="80" t="s">
        <v>1102</v>
      </c>
      <c r="AF120" s="80" t="s">
        <v>1461</v>
      </c>
      <c r="AG120" s="80" t="s">
        <v>1735</v>
      </c>
      <c r="AH120" s="80" t="s">
        <v>2004</v>
      </c>
      <c r="AI120" s="80">
        <v>23268</v>
      </c>
      <c r="AJ120" s="80">
        <v>80</v>
      </c>
      <c r="AK120" s="80">
        <v>1314</v>
      </c>
      <c r="AL120" s="80">
        <v>42</v>
      </c>
      <c r="AM120" s="80" t="s">
        <v>2317</v>
      </c>
      <c r="AN120" s="98" t="str">
        <f>HYPERLINK("https://www.youtube.com/watch?v=gWsPVvcw6fg")</f>
        <v>https://www.youtube.com/watch?v=gWsPVvcw6fg</v>
      </c>
      <c r="AO120" s="80" t="str">
        <f>REPLACE(INDEX(GroupVertices[Group],MATCH(Vertices[[#This Row],[Vertex]],GroupVertices[Vertex],0)),1,1,"")</f>
        <v>6</v>
      </c>
      <c r="AP120" s="49">
        <v>0</v>
      </c>
      <c r="AQ120" s="50">
        <v>0</v>
      </c>
      <c r="AR120" s="49">
        <v>0</v>
      </c>
      <c r="AS120" s="50">
        <v>0</v>
      </c>
      <c r="AT120" s="49">
        <v>0</v>
      </c>
      <c r="AU120" s="50">
        <v>0</v>
      </c>
      <c r="AV120" s="49">
        <v>67</v>
      </c>
      <c r="AW120" s="50">
        <v>100</v>
      </c>
      <c r="AX120" s="49">
        <v>67</v>
      </c>
      <c r="AY120" s="49"/>
      <c r="AZ120" s="49"/>
      <c r="BA120" s="49"/>
      <c r="BB120" s="49"/>
      <c r="BC120" s="2"/>
      <c r="BD120" s="3"/>
      <c r="BE120" s="3"/>
      <c r="BF120" s="3"/>
      <c r="BG120" s="3"/>
    </row>
    <row r="121" spans="1:59" ht="15">
      <c r="A121" s="65" t="s">
        <v>307</v>
      </c>
      <c r="B121" s="66" t="s">
        <v>3536</v>
      </c>
      <c r="C121" s="66"/>
      <c r="D121" s="67">
        <v>212.5</v>
      </c>
      <c r="E121" s="69">
        <v>50</v>
      </c>
      <c r="F121" s="96" t="str">
        <f>HYPERLINK("https://i.ytimg.com/vi/6lulV8sw-HY/default.jpg")</f>
        <v>https://i.ytimg.com/vi/6lulV8sw-HY/default.jpg</v>
      </c>
      <c r="G121" s="66"/>
      <c r="H121" s="70" t="s">
        <v>714</v>
      </c>
      <c r="I121" s="71"/>
      <c r="J121" s="71" t="s">
        <v>159</v>
      </c>
      <c r="K121" s="70" t="s">
        <v>714</v>
      </c>
      <c r="L121" s="74">
        <v>1.337446257462381</v>
      </c>
      <c r="M121" s="75">
        <v>5884.82861328125</v>
      </c>
      <c r="N121" s="75">
        <v>8254.4541015625</v>
      </c>
      <c r="O121" s="76"/>
      <c r="P121" s="77"/>
      <c r="Q121" s="77"/>
      <c r="R121" s="82"/>
      <c r="S121" s="49">
        <v>1</v>
      </c>
      <c r="T121" s="49">
        <v>0</v>
      </c>
      <c r="U121" s="50">
        <v>0</v>
      </c>
      <c r="V121" s="50">
        <v>0.000921</v>
      </c>
      <c r="W121" s="50">
        <v>0.001855</v>
      </c>
      <c r="X121" s="50">
        <v>0.399466</v>
      </c>
      <c r="Y121" s="50">
        <v>0</v>
      </c>
      <c r="Z121" s="50">
        <v>0</v>
      </c>
      <c r="AA121" s="72">
        <v>93</v>
      </c>
      <c r="AB121" s="72"/>
      <c r="AC121" s="73"/>
      <c r="AD121" s="80" t="s">
        <v>714</v>
      </c>
      <c r="AE121" s="80" t="s">
        <v>1103</v>
      </c>
      <c r="AF121" s="80" t="s">
        <v>1462</v>
      </c>
      <c r="AG121" s="80" t="s">
        <v>1736</v>
      </c>
      <c r="AH121" s="80" t="s">
        <v>2005</v>
      </c>
      <c r="AI121" s="80">
        <v>7688</v>
      </c>
      <c r="AJ121" s="80">
        <v>39</v>
      </c>
      <c r="AK121" s="80">
        <v>438</v>
      </c>
      <c r="AL121" s="80">
        <v>11</v>
      </c>
      <c r="AM121" s="80" t="s">
        <v>2317</v>
      </c>
      <c r="AN121" s="98" t="str">
        <f>HYPERLINK("https://www.youtube.com/watch?v=6lulV8sw-HY")</f>
        <v>https://www.youtube.com/watch?v=6lulV8sw-HY</v>
      </c>
      <c r="AO121" s="80" t="str">
        <f>REPLACE(INDEX(GroupVertices[Group],MATCH(Vertices[[#This Row],[Vertex]],GroupVertices[Vertex],0)),1,1,"")</f>
        <v>6</v>
      </c>
      <c r="AP121" s="49">
        <v>0</v>
      </c>
      <c r="AQ121" s="50">
        <v>0</v>
      </c>
      <c r="AR121" s="49">
        <v>3</v>
      </c>
      <c r="AS121" s="50">
        <v>11.11111111111111</v>
      </c>
      <c r="AT121" s="49">
        <v>0</v>
      </c>
      <c r="AU121" s="50">
        <v>0</v>
      </c>
      <c r="AV121" s="49">
        <v>24</v>
      </c>
      <c r="AW121" s="50">
        <v>88.88888888888889</v>
      </c>
      <c r="AX121" s="49">
        <v>27</v>
      </c>
      <c r="AY121" s="49"/>
      <c r="AZ121" s="49"/>
      <c r="BA121" s="49"/>
      <c r="BB121" s="49"/>
      <c r="BC121" s="2"/>
      <c r="BD121" s="3"/>
      <c r="BE121" s="3"/>
      <c r="BF121" s="3"/>
      <c r="BG121" s="3"/>
    </row>
    <row r="122" spans="1:59" ht="15">
      <c r="A122" s="65" t="s">
        <v>308</v>
      </c>
      <c r="B122" s="66" t="s">
        <v>3536</v>
      </c>
      <c r="C122" s="66"/>
      <c r="D122" s="67">
        <v>212.5</v>
      </c>
      <c r="E122" s="69">
        <v>50</v>
      </c>
      <c r="F122" s="96" t="str">
        <f>HYPERLINK("https://i.ytimg.com/vi/Za2S4ZWhoT8/default.jpg")</f>
        <v>https://i.ytimg.com/vi/Za2S4ZWhoT8/default.jpg</v>
      </c>
      <c r="G122" s="66"/>
      <c r="H122" s="70" t="s">
        <v>715</v>
      </c>
      <c r="I122" s="71"/>
      <c r="J122" s="71" t="s">
        <v>159</v>
      </c>
      <c r="K122" s="70" t="s">
        <v>715</v>
      </c>
      <c r="L122" s="74">
        <v>1.0340655007858988</v>
      </c>
      <c r="M122" s="75">
        <v>7223.34716796875</v>
      </c>
      <c r="N122" s="75">
        <v>9484.818359375</v>
      </c>
      <c r="O122" s="76"/>
      <c r="P122" s="77"/>
      <c r="Q122" s="77"/>
      <c r="R122" s="82"/>
      <c r="S122" s="49">
        <v>1</v>
      </c>
      <c r="T122" s="49">
        <v>0</v>
      </c>
      <c r="U122" s="50">
        <v>0</v>
      </c>
      <c r="V122" s="50">
        <v>0.000921</v>
      </c>
      <c r="W122" s="50">
        <v>0.001855</v>
      </c>
      <c r="X122" s="50">
        <v>0.399466</v>
      </c>
      <c r="Y122" s="50">
        <v>0</v>
      </c>
      <c r="Z122" s="50">
        <v>0</v>
      </c>
      <c r="AA122" s="72">
        <v>94</v>
      </c>
      <c r="AB122" s="72"/>
      <c r="AC122" s="73"/>
      <c r="AD122" s="80" t="s">
        <v>715</v>
      </c>
      <c r="AE122" s="80" t="s">
        <v>1104</v>
      </c>
      <c r="AF122" s="80" t="s">
        <v>1463</v>
      </c>
      <c r="AG122" s="80" t="s">
        <v>1727</v>
      </c>
      <c r="AH122" s="80" t="s">
        <v>2006</v>
      </c>
      <c r="AI122" s="80">
        <v>786</v>
      </c>
      <c r="AJ122" s="80">
        <v>2</v>
      </c>
      <c r="AK122" s="80">
        <v>8</v>
      </c>
      <c r="AL122" s="80">
        <v>1</v>
      </c>
      <c r="AM122" s="80" t="s">
        <v>2317</v>
      </c>
      <c r="AN122" s="98" t="str">
        <f>HYPERLINK("https://www.youtube.com/watch?v=Za2S4ZWhoT8")</f>
        <v>https://www.youtube.com/watch?v=Za2S4ZWhoT8</v>
      </c>
      <c r="AO122" s="80" t="str">
        <f>REPLACE(INDEX(GroupVertices[Group],MATCH(Vertices[[#This Row],[Vertex]],GroupVertices[Vertex],0)),1,1,"")</f>
        <v>6</v>
      </c>
      <c r="AP122" s="49">
        <v>0</v>
      </c>
      <c r="AQ122" s="50">
        <v>0</v>
      </c>
      <c r="AR122" s="49">
        <v>0</v>
      </c>
      <c r="AS122" s="50">
        <v>0</v>
      </c>
      <c r="AT122" s="49">
        <v>0</v>
      </c>
      <c r="AU122" s="50">
        <v>0</v>
      </c>
      <c r="AV122" s="49">
        <v>10</v>
      </c>
      <c r="AW122" s="50">
        <v>100</v>
      </c>
      <c r="AX122" s="49">
        <v>10</v>
      </c>
      <c r="AY122" s="49"/>
      <c r="AZ122" s="49"/>
      <c r="BA122" s="49"/>
      <c r="BB122" s="49"/>
      <c r="BC122" s="2"/>
      <c r="BD122" s="3"/>
      <c r="BE122" s="3"/>
      <c r="BF122" s="3"/>
      <c r="BG122" s="3"/>
    </row>
    <row r="123" spans="1:59" ht="15">
      <c r="A123" s="65" t="s">
        <v>309</v>
      </c>
      <c r="B123" s="66" t="s">
        <v>3536</v>
      </c>
      <c r="C123" s="66"/>
      <c r="D123" s="67">
        <v>212.5</v>
      </c>
      <c r="E123" s="69">
        <v>50</v>
      </c>
      <c r="F123" s="96" t="str">
        <f>HYPERLINK("https://i.ytimg.com/vi/sRsPG1VjNfw/default.jpg")</f>
        <v>https://i.ytimg.com/vi/sRsPG1VjNfw/default.jpg</v>
      </c>
      <c r="G123" s="66"/>
      <c r="H123" s="70" t="s">
        <v>716</v>
      </c>
      <c r="I123" s="71"/>
      <c r="J123" s="71" t="s">
        <v>159</v>
      </c>
      <c r="K123" s="70" t="s">
        <v>716</v>
      </c>
      <c r="L123" s="74">
        <v>1.004263682033848</v>
      </c>
      <c r="M123" s="75">
        <v>6219.45751953125</v>
      </c>
      <c r="N123" s="75">
        <v>9484.818359375</v>
      </c>
      <c r="O123" s="76"/>
      <c r="P123" s="77"/>
      <c r="Q123" s="77"/>
      <c r="R123" s="82"/>
      <c r="S123" s="49">
        <v>1</v>
      </c>
      <c r="T123" s="49">
        <v>0</v>
      </c>
      <c r="U123" s="50">
        <v>0</v>
      </c>
      <c r="V123" s="50">
        <v>0.000921</v>
      </c>
      <c r="W123" s="50">
        <v>0.001855</v>
      </c>
      <c r="X123" s="50">
        <v>0.399466</v>
      </c>
      <c r="Y123" s="50">
        <v>0</v>
      </c>
      <c r="Z123" s="50">
        <v>0</v>
      </c>
      <c r="AA123" s="72">
        <v>95</v>
      </c>
      <c r="AB123" s="72"/>
      <c r="AC123" s="73"/>
      <c r="AD123" s="80" t="s">
        <v>716</v>
      </c>
      <c r="AE123" s="80" t="s">
        <v>1105</v>
      </c>
      <c r="AF123" s="80" t="s">
        <v>1464</v>
      </c>
      <c r="AG123" s="80" t="s">
        <v>1727</v>
      </c>
      <c r="AH123" s="80" t="s">
        <v>2007</v>
      </c>
      <c r="AI123" s="80">
        <v>108</v>
      </c>
      <c r="AJ123" s="80">
        <v>0</v>
      </c>
      <c r="AK123" s="80">
        <v>1</v>
      </c>
      <c r="AL123" s="80">
        <v>2</v>
      </c>
      <c r="AM123" s="80" t="s">
        <v>2317</v>
      </c>
      <c r="AN123" s="98" t="str">
        <f>HYPERLINK("https://www.youtube.com/watch?v=sRsPG1VjNfw")</f>
        <v>https://www.youtube.com/watch?v=sRsPG1VjNfw</v>
      </c>
      <c r="AO123" s="80" t="str">
        <f>REPLACE(INDEX(GroupVertices[Group],MATCH(Vertices[[#This Row],[Vertex]],GroupVertices[Vertex],0)),1,1,"")</f>
        <v>6</v>
      </c>
      <c r="AP123" s="49">
        <v>0</v>
      </c>
      <c r="AQ123" s="50">
        <v>0</v>
      </c>
      <c r="AR123" s="49">
        <v>0</v>
      </c>
      <c r="AS123" s="50">
        <v>0</v>
      </c>
      <c r="AT123" s="49">
        <v>0</v>
      </c>
      <c r="AU123" s="50">
        <v>0</v>
      </c>
      <c r="AV123" s="49">
        <v>9</v>
      </c>
      <c r="AW123" s="50">
        <v>100</v>
      </c>
      <c r="AX123" s="49">
        <v>9</v>
      </c>
      <c r="AY123" s="49"/>
      <c r="AZ123" s="49"/>
      <c r="BA123" s="49"/>
      <c r="BB123" s="49"/>
      <c r="BC123" s="2"/>
      <c r="BD123" s="3"/>
      <c r="BE123" s="3"/>
      <c r="BF123" s="3"/>
      <c r="BG123" s="3"/>
    </row>
    <row r="124" spans="1:59" ht="15">
      <c r="A124" s="65" t="s">
        <v>310</v>
      </c>
      <c r="B124" s="66" t="s">
        <v>3536</v>
      </c>
      <c r="C124" s="66"/>
      <c r="D124" s="67">
        <v>212.5</v>
      </c>
      <c r="E124" s="69">
        <v>50</v>
      </c>
      <c r="F124" s="96" t="str">
        <f>HYPERLINK("https://i.ytimg.com/vi/fxDQML4kfOU/default.jpg")</f>
        <v>https://i.ytimg.com/vi/fxDQML4kfOU/default.jpg</v>
      </c>
      <c r="G124" s="66"/>
      <c r="H124" s="70" t="s">
        <v>717</v>
      </c>
      <c r="I124" s="71"/>
      <c r="J124" s="71" t="s">
        <v>159</v>
      </c>
      <c r="K124" s="70" t="s">
        <v>717</v>
      </c>
      <c r="L124" s="74">
        <v>1.0261095580217083</v>
      </c>
      <c r="M124" s="75">
        <v>6888.716796875</v>
      </c>
      <c r="N124" s="75">
        <v>9484.818359375</v>
      </c>
      <c r="O124" s="76"/>
      <c r="P124" s="77"/>
      <c r="Q124" s="77"/>
      <c r="R124" s="82"/>
      <c r="S124" s="49">
        <v>1</v>
      </c>
      <c r="T124" s="49">
        <v>0</v>
      </c>
      <c r="U124" s="50">
        <v>0</v>
      </c>
      <c r="V124" s="50">
        <v>0.000921</v>
      </c>
      <c r="W124" s="50">
        <v>0.001855</v>
      </c>
      <c r="X124" s="50">
        <v>0.399466</v>
      </c>
      <c r="Y124" s="50">
        <v>0</v>
      </c>
      <c r="Z124" s="50">
        <v>0</v>
      </c>
      <c r="AA124" s="72">
        <v>96</v>
      </c>
      <c r="AB124" s="72"/>
      <c r="AC124" s="73"/>
      <c r="AD124" s="80" t="s">
        <v>717</v>
      </c>
      <c r="AE124" s="80" t="s">
        <v>1106</v>
      </c>
      <c r="AF124" s="80" t="s">
        <v>1465</v>
      </c>
      <c r="AG124" s="80" t="s">
        <v>1737</v>
      </c>
      <c r="AH124" s="80" t="s">
        <v>2008</v>
      </c>
      <c r="AI124" s="80">
        <v>605</v>
      </c>
      <c r="AJ124" s="80">
        <v>1</v>
      </c>
      <c r="AK124" s="80">
        <v>35</v>
      </c>
      <c r="AL124" s="80">
        <v>2</v>
      </c>
      <c r="AM124" s="80" t="s">
        <v>2317</v>
      </c>
      <c r="AN124" s="98" t="str">
        <f>HYPERLINK("https://www.youtube.com/watch?v=fxDQML4kfOU")</f>
        <v>https://www.youtube.com/watch?v=fxDQML4kfOU</v>
      </c>
      <c r="AO124" s="80" t="str">
        <f>REPLACE(INDEX(GroupVertices[Group],MATCH(Vertices[[#This Row],[Vertex]],GroupVertices[Vertex],0)),1,1,"")</f>
        <v>6</v>
      </c>
      <c r="AP124" s="49">
        <v>0</v>
      </c>
      <c r="AQ124" s="50">
        <v>0</v>
      </c>
      <c r="AR124" s="49">
        <v>2</v>
      </c>
      <c r="AS124" s="50">
        <v>9.090909090909092</v>
      </c>
      <c r="AT124" s="49">
        <v>0</v>
      </c>
      <c r="AU124" s="50">
        <v>0</v>
      </c>
      <c r="AV124" s="49">
        <v>20</v>
      </c>
      <c r="AW124" s="50">
        <v>90.9090909090909</v>
      </c>
      <c r="AX124" s="49">
        <v>22</v>
      </c>
      <c r="AY124" s="49"/>
      <c r="AZ124" s="49"/>
      <c r="BA124" s="49"/>
      <c r="BB124" s="49"/>
      <c r="BC124" s="2"/>
      <c r="BD124" s="3"/>
      <c r="BE124" s="3"/>
      <c r="BF124" s="3"/>
      <c r="BG124" s="3"/>
    </row>
    <row r="125" spans="1:59" ht="15">
      <c r="A125" s="65" t="s">
        <v>311</v>
      </c>
      <c r="B125" s="66" t="s">
        <v>3536</v>
      </c>
      <c r="C125" s="66"/>
      <c r="D125" s="67">
        <v>325</v>
      </c>
      <c r="E125" s="69">
        <v>100</v>
      </c>
      <c r="F125" s="96" t="str">
        <f>HYPERLINK("https://i.ytimg.com/vi/MaOJAJLyes0/default.jpg")</f>
        <v>https://i.ytimg.com/vi/MaOJAJLyes0/default.jpg</v>
      </c>
      <c r="G125" s="66"/>
      <c r="H125" s="70" t="s">
        <v>718</v>
      </c>
      <c r="I125" s="71"/>
      <c r="J125" s="71" t="s">
        <v>75</v>
      </c>
      <c r="K125" s="70" t="s">
        <v>718</v>
      </c>
      <c r="L125" s="74">
        <v>1.8570879997732148</v>
      </c>
      <c r="M125" s="75">
        <v>7503.99853515625</v>
      </c>
      <c r="N125" s="75">
        <v>1578.9444580078125</v>
      </c>
      <c r="O125" s="76"/>
      <c r="P125" s="77"/>
      <c r="Q125" s="77"/>
      <c r="R125" s="82"/>
      <c r="S125" s="49">
        <v>2</v>
      </c>
      <c r="T125" s="49">
        <v>0</v>
      </c>
      <c r="U125" s="50">
        <v>0</v>
      </c>
      <c r="V125" s="50">
        <v>0.000968</v>
      </c>
      <c r="W125" s="50">
        <v>0.003564</v>
      </c>
      <c r="X125" s="50">
        <v>0.642427</v>
      </c>
      <c r="Y125" s="50">
        <v>1</v>
      </c>
      <c r="Z125" s="50">
        <v>0</v>
      </c>
      <c r="AA125" s="72">
        <v>97</v>
      </c>
      <c r="AB125" s="72"/>
      <c r="AC125" s="73"/>
      <c r="AD125" s="80" t="s">
        <v>718</v>
      </c>
      <c r="AE125" s="80" t="s">
        <v>1107</v>
      </c>
      <c r="AF125" s="80" t="s">
        <v>1402</v>
      </c>
      <c r="AG125" s="80" t="s">
        <v>1686</v>
      </c>
      <c r="AH125" s="80" t="s">
        <v>2009</v>
      </c>
      <c r="AI125" s="80">
        <v>19510</v>
      </c>
      <c r="AJ125" s="80">
        <v>69</v>
      </c>
      <c r="AK125" s="80">
        <v>1136</v>
      </c>
      <c r="AL125" s="80">
        <v>36</v>
      </c>
      <c r="AM125" s="80" t="s">
        <v>2317</v>
      </c>
      <c r="AN125" s="98" t="str">
        <f>HYPERLINK("https://www.youtube.com/watch?v=MaOJAJLyes0")</f>
        <v>https://www.youtube.com/watch?v=MaOJAJLyes0</v>
      </c>
      <c r="AO125" s="80" t="str">
        <f>REPLACE(INDEX(GroupVertices[Group],MATCH(Vertices[[#This Row],[Vertex]],GroupVertices[Vertex],0)),1,1,"")</f>
        <v>7</v>
      </c>
      <c r="AP125" s="49">
        <v>0</v>
      </c>
      <c r="AQ125" s="50">
        <v>0</v>
      </c>
      <c r="AR125" s="49">
        <v>0</v>
      </c>
      <c r="AS125" s="50">
        <v>0</v>
      </c>
      <c r="AT125" s="49">
        <v>0</v>
      </c>
      <c r="AU125" s="50">
        <v>0</v>
      </c>
      <c r="AV125" s="49">
        <v>64</v>
      </c>
      <c r="AW125" s="50">
        <v>100</v>
      </c>
      <c r="AX125" s="49">
        <v>64</v>
      </c>
      <c r="AY125" s="49"/>
      <c r="AZ125" s="49"/>
      <c r="BA125" s="49"/>
      <c r="BB125" s="49"/>
      <c r="BC125" s="2"/>
      <c r="BD125" s="3"/>
      <c r="BE125" s="3"/>
      <c r="BF125" s="3"/>
      <c r="BG125" s="3"/>
    </row>
    <row r="126" spans="1:59" ht="15">
      <c r="A126" s="65" t="s">
        <v>312</v>
      </c>
      <c r="B126" s="66" t="s">
        <v>3536</v>
      </c>
      <c r="C126" s="66"/>
      <c r="D126" s="67">
        <v>212.5</v>
      </c>
      <c r="E126" s="69">
        <v>50</v>
      </c>
      <c r="F126" s="96" t="str">
        <f>HYPERLINK("https://i.ytimg.com/vi/h5F8OVh-d0s/default.jpg")</f>
        <v>https://i.ytimg.com/vi/h5F8OVh-d0s/default.jpg</v>
      </c>
      <c r="G126" s="66"/>
      <c r="H126" s="70" t="s">
        <v>719</v>
      </c>
      <c r="I126" s="71"/>
      <c r="J126" s="71" t="s">
        <v>159</v>
      </c>
      <c r="K126" s="70" t="s">
        <v>719</v>
      </c>
      <c r="L126" s="74">
        <v>1.2419749442920942</v>
      </c>
      <c r="M126" s="75">
        <v>6888.716796875</v>
      </c>
      <c r="N126" s="75">
        <v>8869.63671875</v>
      </c>
      <c r="O126" s="76"/>
      <c r="P126" s="77"/>
      <c r="Q126" s="77"/>
      <c r="R126" s="82"/>
      <c r="S126" s="49">
        <v>1</v>
      </c>
      <c r="T126" s="49">
        <v>0</v>
      </c>
      <c r="U126" s="50">
        <v>0</v>
      </c>
      <c r="V126" s="50">
        <v>0.000921</v>
      </c>
      <c r="W126" s="50">
        <v>0.001855</v>
      </c>
      <c r="X126" s="50">
        <v>0.399466</v>
      </c>
      <c r="Y126" s="50">
        <v>0</v>
      </c>
      <c r="Z126" s="50">
        <v>0</v>
      </c>
      <c r="AA126" s="72">
        <v>98</v>
      </c>
      <c r="AB126" s="72"/>
      <c r="AC126" s="73"/>
      <c r="AD126" s="80" t="s">
        <v>719</v>
      </c>
      <c r="AE126" s="80" t="s">
        <v>1108</v>
      </c>
      <c r="AF126" s="80" t="s">
        <v>1466</v>
      </c>
      <c r="AG126" s="80" t="s">
        <v>1738</v>
      </c>
      <c r="AH126" s="80" t="s">
        <v>2010</v>
      </c>
      <c r="AI126" s="80">
        <v>5516</v>
      </c>
      <c r="AJ126" s="80">
        <v>0</v>
      </c>
      <c r="AK126" s="80">
        <v>0</v>
      </c>
      <c r="AL126" s="80">
        <v>0</v>
      </c>
      <c r="AM126" s="80" t="s">
        <v>2317</v>
      </c>
      <c r="AN126" s="98" t="str">
        <f>HYPERLINK("https://www.youtube.com/watch?v=h5F8OVh-d0s")</f>
        <v>https://www.youtube.com/watch?v=h5F8OVh-d0s</v>
      </c>
      <c r="AO126" s="80" t="str">
        <f>REPLACE(INDEX(GroupVertices[Group],MATCH(Vertices[[#This Row],[Vertex]],GroupVertices[Vertex],0)),1,1,"")</f>
        <v>6</v>
      </c>
      <c r="AP126" s="49">
        <v>0</v>
      </c>
      <c r="AQ126" s="50">
        <v>0</v>
      </c>
      <c r="AR126" s="49">
        <v>0</v>
      </c>
      <c r="AS126" s="50">
        <v>0</v>
      </c>
      <c r="AT126" s="49">
        <v>0</v>
      </c>
      <c r="AU126" s="50">
        <v>0</v>
      </c>
      <c r="AV126" s="49">
        <v>5</v>
      </c>
      <c r="AW126" s="50">
        <v>100</v>
      </c>
      <c r="AX126" s="49">
        <v>5</v>
      </c>
      <c r="AY126" s="49"/>
      <c r="AZ126" s="49"/>
      <c r="BA126" s="49"/>
      <c r="BB126" s="49"/>
      <c r="BC126" s="2"/>
      <c r="BD126" s="3"/>
      <c r="BE126" s="3"/>
      <c r="BF126" s="3"/>
      <c r="BG126" s="3"/>
    </row>
    <row r="127" spans="1:59" ht="15">
      <c r="A127" s="65" t="s">
        <v>313</v>
      </c>
      <c r="B127" s="66" t="s">
        <v>3536</v>
      </c>
      <c r="C127" s="66"/>
      <c r="D127" s="67">
        <v>212.5</v>
      </c>
      <c r="E127" s="69">
        <v>50</v>
      </c>
      <c r="F127" s="96" t="str">
        <f>HYPERLINK("https://i.ytimg.com/vi/8-y8i-zwIhE/default.jpg")</f>
        <v>https://i.ytimg.com/vi/8-y8i-zwIhE/default.jpg</v>
      </c>
      <c r="G127" s="66"/>
      <c r="H127" s="70" t="s">
        <v>720</v>
      </c>
      <c r="I127" s="71"/>
      <c r="J127" s="71" t="s">
        <v>159</v>
      </c>
      <c r="K127" s="70" t="s">
        <v>720</v>
      </c>
      <c r="L127" s="74">
        <v>2.0498767564789597</v>
      </c>
      <c r="M127" s="75">
        <v>5884.82861328125</v>
      </c>
      <c r="N127" s="75">
        <v>7024.0908203125</v>
      </c>
      <c r="O127" s="76"/>
      <c r="P127" s="77"/>
      <c r="Q127" s="77"/>
      <c r="R127" s="82"/>
      <c r="S127" s="49">
        <v>1</v>
      </c>
      <c r="T127" s="49">
        <v>0</v>
      </c>
      <c r="U127" s="50">
        <v>0</v>
      </c>
      <c r="V127" s="50">
        <v>0.000921</v>
      </c>
      <c r="W127" s="50">
        <v>0.001855</v>
      </c>
      <c r="X127" s="50">
        <v>0.399466</v>
      </c>
      <c r="Y127" s="50">
        <v>0</v>
      </c>
      <c r="Z127" s="50">
        <v>0</v>
      </c>
      <c r="AA127" s="72">
        <v>99</v>
      </c>
      <c r="AB127" s="72"/>
      <c r="AC127" s="73"/>
      <c r="AD127" s="80" t="s">
        <v>720</v>
      </c>
      <c r="AE127" s="80" t="s">
        <v>1109</v>
      </c>
      <c r="AF127" s="80"/>
      <c r="AG127" s="80" t="s">
        <v>1739</v>
      </c>
      <c r="AH127" s="80" t="s">
        <v>2011</v>
      </c>
      <c r="AI127" s="80">
        <v>23896</v>
      </c>
      <c r="AJ127" s="80">
        <v>30</v>
      </c>
      <c r="AK127" s="80">
        <v>703</v>
      </c>
      <c r="AL127" s="80">
        <v>24</v>
      </c>
      <c r="AM127" s="80" t="s">
        <v>2317</v>
      </c>
      <c r="AN127" s="98" t="str">
        <f>HYPERLINK("https://www.youtube.com/watch?v=8-y8i-zwIhE")</f>
        <v>https://www.youtube.com/watch?v=8-y8i-zwIhE</v>
      </c>
      <c r="AO127" s="80" t="str">
        <f>REPLACE(INDEX(GroupVertices[Group],MATCH(Vertices[[#This Row],[Vertex]],GroupVertices[Vertex],0)),1,1,"")</f>
        <v>6</v>
      </c>
      <c r="AP127" s="49"/>
      <c r="AQ127" s="50"/>
      <c r="AR127" s="49"/>
      <c r="AS127" s="50"/>
      <c r="AT127" s="49"/>
      <c r="AU127" s="50"/>
      <c r="AV127" s="49"/>
      <c r="AW127" s="50"/>
      <c r="AX127" s="49"/>
      <c r="AY127" s="49"/>
      <c r="AZ127" s="49"/>
      <c r="BA127" s="49"/>
      <c r="BB127" s="49"/>
      <c r="BC127" s="2"/>
      <c r="BD127" s="3"/>
      <c r="BE127" s="3"/>
      <c r="BF127" s="3"/>
      <c r="BG127" s="3"/>
    </row>
    <row r="128" spans="1:59" ht="15">
      <c r="A128" s="65" t="s">
        <v>314</v>
      </c>
      <c r="B128" s="66" t="s">
        <v>3536</v>
      </c>
      <c r="C128" s="66"/>
      <c r="D128" s="67">
        <v>212.5</v>
      </c>
      <c r="E128" s="69">
        <v>50</v>
      </c>
      <c r="F128" s="96" t="str">
        <f>HYPERLINK("https://i.ytimg.com/vi/TWxFPKNXDJY/default.jpg")</f>
        <v>https://i.ytimg.com/vi/TWxFPKNXDJY/default.jpg</v>
      </c>
      <c r="G128" s="66"/>
      <c r="H128" s="70" t="s">
        <v>721</v>
      </c>
      <c r="I128" s="71"/>
      <c r="J128" s="71" t="s">
        <v>159</v>
      </c>
      <c r="K128" s="70" t="s">
        <v>721</v>
      </c>
      <c r="L128" s="74">
        <v>1.961921831224013</v>
      </c>
      <c r="M128" s="75">
        <v>6888.716796875</v>
      </c>
      <c r="N128" s="75">
        <v>7639.27294921875</v>
      </c>
      <c r="O128" s="76"/>
      <c r="P128" s="77"/>
      <c r="Q128" s="77"/>
      <c r="R128" s="82"/>
      <c r="S128" s="49">
        <v>1</v>
      </c>
      <c r="T128" s="49">
        <v>0</v>
      </c>
      <c r="U128" s="50">
        <v>0</v>
      </c>
      <c r="V128" s="50">
        <v>0.000921</v>
      </c>
      <c r="W128" s="50">
        <v>0.001855</v>
      </c>
      <c r="X128" s="50">
        <v>0.399466</v>
      </c>
      <c r="Y128" s="50">
        <v>0</v>
      </c>
      <c r="Z128" s="50">
        <v>0</v>
      </c>
      <c r="AA128" s="72">
        <v>100</v>
      </c>
      <c r="AB128" s="72"/>
      <c r="AC128" s="73"/>
      <c r="AD128" s="80" t="s">
        <v>721</v>
      </c>
      <c r="AE128" s="80" t="s">
        <v>1110</v>
      </c>
      <c r="AF128" s="80" t="s">
        <v>1467</v>
      </c>
      <c r="AG128" s="80" t="s">
        <v>1740</v>
      </c>
      <c r="AH128" s="80" t="s">
        <v>2012</v>
      </c>
      <c r="AI128" s="80">
        <v>21895</v>
      </c>
      <c r="AJ128" s="80">
        <v>66</v>
      </c>
      <c r="AK128" s="80">
        <v>1302</v>
      </c>
      <c r="AL128" s="80">
        <v>29</v>
      </c>
      <c r="AM128" s="80" t="s">
        <v>2317</v>
      </c>
      <c r="AN128" s="98" t="str">
        <f>HYPERLINK("https://www.youtube.com/watch?v=TWxFPKNXDJY")</f>
        <v>https://www.youtube.com/watch?v=TWxFPKNXDJY</v>
      </c>
      <c r="AO128" s="80" t="str">
        <f>REPLACE(INDEX(GroupVertices[Group],MATCH(Vertices[[#This Row],[Vertex]],GroupVertices[Vertex],0)),1,1,"")</f>
        <v>6</v>
      </c>
      <c r="AP128" s="49">
        <v>0</v>
      </c>
      <c r="AQ128" s="50">
        <v>0</v>
      </c>
      <c r="AR128" s="49">
        <v>0</v>
      </c>
      <c r="AS128" s="50">
        <v>0</v>
      </c>
      <c r="AT128" s="49">
        <v>0</v>
      </c>
      <c r="AU128" s="50">
        <v>0</v>
      </c>
      <c r="AV128" s="49">
        <v>43</v>
      </c>
      <c r="AW128" s="50">
        <v>100</v>
      </c>
      <c r="AX128" s="49">
        <v>43</v>
      </c>
      <c r="AY128" s="49"/>
      <c r="AZ128" s="49"/>
      <c r="BA128" s="49"/>
      <c r="BB128" s="49"/>
      <c r="BC128" s="2"/>
      <c r="BD128" s="3"/>
      <c r="BE128" s="3"/>
      <c r="BF128" s="3"/>
      <c r="BG128" s="3"/>
    </row>
    <row r="129" spans="1:59" ht="15">
      <c r="A129" s="65" t="s">
        <v>315</v>
      </c>
      <c r="B129" s="66" t="s">
        <v>3536</v>
      </c>
      <c r="C129" s="66"/>
      <c r="D129" s="67">
        <v>212.5</v>
      </c>
      <c r="E129" s="69">
        <v>50</v>
      </c>
      <c r="F129" s="96" t="str">
        <f>HYPERLINK("https://i.ytimg.com/vi/ggCWteBANjE/default.jpg")</f>
        <v>https://i.ytimg.com/vi/ggCWteBANjE/default.jpg</v>
      </c>
      <c r="G129" s="66"/>
      <c r="H129" s="70" t="s">
        <v>722</v>
      </c>
      <c r="I129" s="71"/>
      <c r="J129" s="71" t="s">
        <v>159</v>
      </c>
      <c r="K129" s="70" t="s">
        <v>722</v>
      </c>
      <c r="L129" s="74">
        <v>1.631904050707202</v>
      </c>
      <c r="M129" s="75">
        <v>7557.9765625</v>
      </c>
      <c r="N129" s="75">
        <v>8254.4541015625</v>
      </c>
      <c r="O129" s="76"/>
      <c r="P129" s="77"/>
      <c r="Q129" s="77"/>
      <c r="R129" s="82"/>
      <c r="S129" s="49">
        <v>1</v>
      </c>
      <c r="T129" s="49">
        <v>0</v>
      </c>
      <c r="U129" s="50">
        <v>0</v>
      </c>
      <c r="V129" s="50">
        <v>0.000921</v>
      </c>
      <c r="W129" s="50">
        <v>0.001855</v>
      </c>
      <c r="X129" s="50">
        <v>0.399466</v>
      </c>
      <c r="Y129" s="50">
        <v>0</v>
      </c>
      <c r="Z129" s="50">
        <v>0</v>
      </c>
      <c r="AA129" s="72">
        <v>101</v>
      </c>
      <c r="AB129" s="72"/>
      <c r="AC129" s="73"/>
      <c r="AD129" s="80" t="s">
        <v>722</v>
      </c>
      <c r="AE129" s="80" t="s">
        <v>1111</v>
      </c>
      <c r="AF129" s="80" t="s">
        <v>1461</v>
      </c>
      <c r="AG129" s="80" t="s">
        <v>1735</v>
      </c>
      <c r="AH129" s="80" t="s">
        <v>2013</v>
      </c>
      <c r="AI129" s="80">
        <v>14387</v>
      </c>
      <c r="AJ129" s="80">
        <v>39</v>
      </c>
      <c r="AK129" s="80">
        <v>736</v>
      </c>
      <c r="AL129" s="80">
        <v>16</v>
      </c>
      <c r="AM129" s="80" t="s">
        <v>2317</v>
      </c>
      <c r="AN129" s="98" t="str">
        <f>HYPERLINK("https://www.youtube.com/watch?v=ggCWteBANjE")</f>
        <v>https://www.youtube.com/watch?v=ggCWteBANjE</v>
      </c>
      <c r="AO129" s="80" t="str">
        <f>REPLACE(INDEX(GroupVertices[Group],MATCH(Vertices[[#This Row],[Vertex]],GroupVertices[Vertex],0)),1,1,"")</f>
        <v>6</v>
      </c>
      <c r="AP129" s="49">
        <v>0</v>
      </c>
      <c r="AQ129" s="50">
        <v>0</v>
      </c>
      <c r="AR129" s="49">
        <v>0</v>
      </c>
      <c r="AS129" s="50">
        <v>0</v>
      </c>
      <c r="AT129" s="49">
        <v>0</v>
      </c>
      <c r="AU129" s="50">
        <v>0</v>
      </c>
      <c r="AV129" s="49">
        <v>67</v>
      </c>
      <c r="AW129" s="50">
        <v>100</v>
      </c>
      <c r="AX129" s="49">
        <v>67</v>
      </c>
      <c r="AY129" s="49"/>
      <c r="AZ129" s="49"/>
      <c r="BA129" s="49"/>
      <c r="BB129" s="49"/>
      <c r="BC129" s="2"/>
      <c r="BD129" s="3"/>
      <c r="BE129" s="3"/>
      <c r="BF129" s="3"/>
      <c r="BG129" s="3"/>
    </row>
    <row r="130" spans="1:59" ht="15">
      <c r="A130" s="65" t="s">
        <v>316</v>
      </c>
      <c r="B130" s="66" t="s">
        <v>3536</v>
      </c>
      <c r="C130" s="66"/>
      <c r="D130" s="67">
        <v>212.5</v>
      </c>
      <c r="E130" s="69">
        <v>50</v>
      </c>
      <c r="F130" s="96" t="str">
        <f>HYPERLINK("https://i.ytimg.com/vi/wSuS9p8zJis/default.jpg")</f>
        <v>https://i.ytimg.com/vi/wSuS9p8zJis/default.jpg</v>
      </c>
      <c r="G130" s="66"/>
      <c r="H130" s="70" t="s">
        <v>723</v>
      </c>
      <c r="I130" s="71"/>
      <c r="J130" s="71" t="s">
        <v>159</v>
      </c>
      <c r="K130" s="70" t="s">
        <v>723</v>
      </c>
      <c r="L130" s="74">
        <v>4.329364247131769</v>
      </c>
      <c r="M130" s="75">
        <v>6554.0869140625</v>
      </c>
      <c r="N130" s="75">
        <v>6408.9091796875</v>
      </c>
      <c r="O130" s="76"/>
      <c r="P130" s="77"/>
      <c r="Q130" s="77"/>
      <c r="R130" s="82"/>
      <c r="S130" s="49">
        <v>1</v>
      </c>
      <c r="T130" s="49">
        <v>0</v>
      </c>
      <c r="U130" s="50">
        <v>0</v>
      </c>
      <c r="V130" s="50">
        <v>0.000921</v>
      </c>
      <c r="W130" s="50">
        <v>0.001855</v>
      </c>
      <c r="X130" s="50">
        <v>0.399466</v>
      </c>
      <c r="Y130" s="50">
        <v>0</v>
      </c>
      <c r="Z130" s="50">
        <v>0</v>
      </c>
      <c r="AA130" s="72">
        <v>102</v>
      </c>
      <c r="AB130" s="72"/>
      <c r="AC130" s="73"/>
      <c r="AD130" s="80" t="s">
        <v>723</v>
      </c>
      <c r="AE130" s="80" t="s">
        <v>1112</v>
      </c>
      <c r="AF130" s="80" t="s">
        <v>1468</v>
      </c>
      <c r="AG130" s="80" t="s">
        <v>1741</v>
      </c>
      <c r="AH130" s="80" t="s">
        <v>2014</v>
      </c>
      <c r="AI130" s="80">
        <v>75755</v>
      </c>
      <c r="AJ130" s="80">
        <v>182</v>
      </c>
      <c r="AK130" s="80">
        <v>1759</v>
      </c>
      <c r="AL130" s="80">
        <v>63</v>
      </c>
      <c r="AM130" s="80" t="s">
        <v>2317</v>
      </c>
      <c r="AN130" s="98" t="str">
        <f>HYPERLINK("https://www.youtube.com/watch?v=wSuS9p8zJis")</f>
        <v>https://www.youtube.com/watch?v=wSuS9p8zJis</v>
      </c>
      <c r="AO130" s="80" t="str">
        <f>REPLACE(INDEX(GroupVertices[Group],MATCH(Vertices[[#This Row],[Vertex]],GroupVertices[Vertex],0)),1,1,"")</f>
        <v>6</v>
      </c>
      <c r="AP130" s="49">
        <v>1</v>
      </c>
      <c r="AQ130" s="50">
        <v>2.380952380952381</v>
      </c>
      <c r="AR130" s="49">
        <v>4</v>
      </c>
      <c r="AS130" s="50">
        <v>9.523809523809524</v>
      </c>
      <c r="AT130" s="49">
        <v>0</v>
      </c>
      <c r="AU130" s="50">
        <v>0</v>
      </c>
      <c r="AV130" s="49">
        <v>37</v>
      </c>
      <c r="AW130" s="50">
        <v>88.0952380952381</v>
      </c>
      <c r="AX130" s="49">
        <v>42</v>
      </c>
      <c r="AY130" s="49"/>
      <c r="AZ130" s="49"/>
      <c r="BA130" s="49"/>
      <c r="BB130" s="49"/>
      <c r="BC130" s="2"/>
      <c r="BD130" s="3"/>
      <c r="BE130" s="3"/>
      <c r="BF130" s="3"/>
      <c r="BG130" s="3"/>
    </row>
    <row r="131" spans="1:59" ht="15">
      <c r="A131" s="65" t="s">
        <v>317</v>
      </c>
      <c r="B131" s="66" t="s">
        <v>3536</v>
      </c>
      <c r="C131" s="66"/>
      <c r="D131" s="67">
        <v>212.5</v>
      </c>
      <c r="E131" s="69">
        <v>50</v>
      </c>
      <c r="F131" s="96" t="str">
        <f>HYPERLINK("https://i.ytimg.com/vi/HR0FYAIIr0Y/default.jpg")</f>
        <v>https://i.ytimg.com/vi/HR0FYAIIr0Y/default.jpg</v>
      </c>
      <c r="G131" s="66"/>
      <c r="H131" s="70" t="s">
        <v>724</v>
      </c>
      <c r="I131" s="71"/>
      <c r="J131" s="71" t="s">
        <v>159</v>
      </c>
      <c r="K131" s="70" t="s">
        <v>724</v>
      </c>
      <c r="L131" s="74">
        <v>1.66456297597678</v>
      </c>
      <c r="M131" s="75">
        <v>6219.45751953125</v>
      </c>
      <c r="N131" s="75">
        <v>7639.27294921875</v>
      </c>
      <c r="O131" s="76"/>
      <c r="P131" s="77"/>
      <c r="Q131" s="77"/>
      <c r="R131" s="82"/>
      <c r="S131" s="49">
        <v>1</v>
      </c>
      <c r="T131" s="49">
        <v>0</v>
      </c>
      <c r="U131" s="50">
        <v>0</v>
      </c>
      <c r="V131" s="50">
        <v>0.000921</v>
      </c>
      <c r="W131" s="50">
        <v>0.001855</v>
      </c>
      <c r="X131" s="50">
        <v>0.399466</v>
      </c>
      <c r="Y131" s="50">
        <v>0</v>
      </c>
      <c r="Z131" s="50">
        <v>0</v>
      </c>
      <c r="AA131" s="72">
        <v>103</v>
      </c>
      <c r="AB131" s="72"/>
      <c r="AC131" s="73"/>
      <c r="AD131" s="80" t="s">
        <v>724</v>
      </c>
      <c r="AE131" s="80" t="s">
        <v>1113</v>
      </c>
      <c r="AF131" s="80" t="s">
        <v>1469</v>
      </c>
      <c r="AG131" s="80" t="s">
        <v>1742</v>
      </c>
      <c r="AH131" s="80" t="s">
        <v>2015</v>
      </c>
      <c r="AI131" s="80">
        <v>15130</v>
      </c>
      <c r="AJ131" s="80">
        <v>40</v>
      </c>
      <c r="AK131" s="80">
        <v>1072</v>
      </c>
      <c r="AL131" s="80">
        <v>25</v>
      </c>
      <c r="AM131" s="80" t="s">
        <v>2317</v>
      </c>
      <c r="AN131" s="98" t="str">
        <f>HYPERLINK("https://www.youtube.com/watch?v=HR0FYAIIr0Y")</f>
        <v>https://www.youtube.com/watch?v=HR0FYAIIr0Y</v>
      </c>
      <c r="AO131" s="80" t="str">
        <f>REPLACE(INDEX(GroupVertices[Group],MATCH(Vertices[[#This Row],[Vertex]],GroupVertices[Vertex],0)),1,1,"")</f>
        <v>6</v>
      </c>
      <c r="AP131" s="49">
        <v>2</v>
      </c>
      <c r="AQ131" s="50">
        <v>3.1746031746031744</v>
      </c>
      <c r="AR131" s="49">
        <v>0</v>
      </c>
      <c r="AS131" s="50">
        <v>0</v>
      </c>
      <c r="AT131" s="49">
        <v>0</v>
      </c>
      <c r="AU131" s="50">
        <v>0</v>
      </c>
      <c r="AV131" s="49">
        <v>61</v>
      </c>
      <c r="AW131" s="50">
        <v>96.82539682539682</v>
      </c>
      <c r="AX131" s="49">
        <v>63</v>
      </c>
      <c r="AY131" s="49"/>
      <c r="AZ131" s="49"/>
      <c r="BA131" s="49"/>
      <c r="BB131" s="49"/>
      <c r="BC131" s="2"/>
      <c r="BD131" s="3"/>
      <c r="BE131" s="3"/>
      <c r="BF131" s="3"/>
      <c r="BG131" s="3"/>
    </row>
    <row r="132" spans="1:59" ht="15">
      <c r="A132" s="65" t="s">
        <v>318</v>
      </c>
      <c r="B132" s="66" t="s">
        <v>3536</v>
      </c>
      <c r="C132" s="66"/>
      <c r="D132" s="67">
        <v>212.5</v>
      </c>
      <c r="E132" s="69">
        <v>50</v>
      </c>
      <c r="F132" s="96" t="str">
        <f>HYPERLINK("https://i.ytimg.com/vi/5FLzaLmzm7A/default.jpg")</f>
        <v>https://i.ytimg.com/vi/5FLzaLmzm7A/default.jpg</v>
      </c>
      <c r="G132" s="66"/>
      <c r="H132" s="70" t="s">
        <v>725</v>
      </c>
      <c r="I132" s="71"/>
      <c r="J132" s="71" t="s">
        <v>159</v>
      </c>
      <c r="K132" s="70" t="s">
        <v>725</v>
      </c>
      <c r="L132" s="74">
        <v>3.3742555160649363</v>
      </c>
      <c r="M132" s="75">
        <v>7557.9765625</v>
      </c>
      <c r="N132" s="75">
        <v>7024.0908203125</v>
      </c>
      <c r="O132" s="76"/>
      <c r="P132" s="77"/>
      <c r="Q132" s="77"/>
      <c r="R132" s="82"/>
      <c r="S132" s="49">
        <v>1</v>
      </c>
      <c r="T132" s="49">
        <v>0</v>
      </c>
      <c r="U132" s="50">
        <v>0</v>
      </c>
      <c r="V132" s="50">
        <v>0.000921</v>
      </c>
      <c r="W132" s="50">
        <v>0.001855</v>
      </c>
      <c r="X132" s="50">
        <v>0.399466</v>
      </c>
      <c r="Y132" s="50">
        <v>0</v>
      </c>
      <c r="Z132" s="50">
        <v>0</v>
      </c>
      <c r="AA132" s="72">
        <v>104</v>
      </c>
      <c r="AB132" s="72"/>
      <c r="AC132" s="73"/>
      <c r="AD132" s="80" t="s">
        <v>725</v>
      </c>
      <c r="AE132" s="80" t="s">
        <v>1072</v>
      </c>
      <c r="AF132" s="80" t="s">
        <v>1470</v>
      </c>
      <c r="AG132" s="80" t="s">
        <v>1715</v>
      </c>
      <c r="AH132" s="80" t="s">
        <v>2016</v>
      </c>
      <c r="AI132" s="80">
        <v>54026</v>
      </c>
      <c r="AJ132" s="80">
        <v>139</v>
      </c>
      <c r="AK132" s="80">
        <v>2320</v>
      </c>
      <c r="AL132" s="80">
        <v>71</v>
      </c>
      <c r="AM132" s="80" t="s">
        <v>2317</v>
      </c>
      <c r="AN132" s="98" t="str">
        <f>HYPERLINK("https://www.youtube.com/watch?v=5FLzaLmzm7A")</f>
        <v>https://www.youtube.com/watch?v=5FLzaLmzm7A</v>
      </c>
      <c r="AO132" s="80" t="str">
        <f>REPLACE(INDEX(GroupVertices[Group],MATCH(Vertices[[#This Row],[Vertex]],GroupVertices[Vertex],0)),1,1,"")</f>
        <v>6</v>
      </c>
      <c r="AP132" s="49">
        <v>2</v>
      </c>
      <c r="AQ132" s="50">
        <v>3.3333333333333335</v>
      </c>
      <c r="AR132" s="49">
        <v>1</v>
      </c>
      <c r="AS132" s="50">
        <v>1.6666666666666667</v>
      </c>
      <c r="AT132" s="49">
        <v>0</v>
      </c>
      <c r="AU132" s="50">
        <v>0</v>
      </c>
      <c r="AV132" s="49">
        <v>57</v>
      </c>
      <c r="AW132" s="50">
        <v>95</v>
      </c>
      <c r="AX132" s="49">
        <v>60</v>
      </c>
      <c r="AY132" s="49"/>
      <c r="AZ132" s="49"/>
      <c r="BA132" s="49"/>
      <c r="BB132" s="49"/>
      <c r="BC132" s="2"/>
      <c r="BD132" s="3"/>
      <c r="BE132" s="3"/>
      <c r="BF132" s="3"/>
      <c r="BG132" s="3"/>
    </row>
    <row r="133" spans="1:59" ht="15">
      <c r="A133" s="65" t="s">
        <v>319</v>
      </c>
      <c r="B133" s="66" t="s">
        <v>3536</v>
      </c>
      <c r="C133" s="66"/>
      <c r="D133" s="67">
        <v>212.5</v>
      </c>
      <c r="E133" s="69">
        <v>50</v>
      </c>
      <c r="F133" s="96" t="str">
        <f>HYPERLINK("https://i.ytimg.com/vi/BcgWnwTVAGg/default.jpg")</f>
        <v>https://i.ytimg.com/vi/BcgWnwTVAGg/default.jpg</v>
      </c>
      <c r="G133" s="66"/>
      <c r="H133" s="70" t="s">
        <v>726</v>
      </c>
      <c r="I133" s="71"/>
      <c r="J133" s="71" t="s">
        <v>159</v>
      </c>
      <c r="K133" s="70" t="s">
        <v>726</v>
      </c>
      <c r="L133" s="74">
        <v>1.0034724833059174</v>
      </c>
      <c r="M133" s="75">
        <v>5884.82861328125</v>
      </c>
      <c r="N133" s="75">
        <v>9484.818359375</v>
      </c>
      <c r="O133" s="76"/>
      <c r="P133" s="77"/>
      <c r="Q133" s="77"/>
      <c r="R133" s="82"/>
      <c r="S133" s="49">
        <v>1</v>
      </c>
      <c r="T133" s="49">
        <v>0</v>
      </c>
      <c r="U133" s="50">
        <v>0</v>
      </c>
      <c r="V133" s="50">
        <v>0.000921</v>
      </c>
      <c r="W133" s="50">
        <v>0.001855</v>
      </c>
      <c r="X133" s="50">
        <v>0.399466</v>
      </c>
      <c r="Y133" s="50">
        <v>0</v>
      </c>
      <c r="Z133" s="50">
        <v>0</v>
      </c>
      <c r="AA133" s="72">
        <v>105</v>
      </c>
      <c r="AB133" s="72"/>
      <c r="AC133" s="73"/>
      <c r="AD133" s="80" t="s">
        <v>726</v>
      </c>
      <c r="AE133" s="80" t="s">
        <v>1114</v>
      </c>
      <c r="AF133" s="80" t="s">
        <v>1471</v>
      </c>
      <c r="AG133" s="80" t="s">
        <v>1727</v>
      </c>
      <c r="AH133" s="80" t="s">
        <v>2017</v>
      </c>
      <c r="AI133" s="80">
        <v>90</v>
      </c>
      <c r="AJ133" s="80">
        <v>1</v>
      </c>
      <c r="AK133" s="80">
        <v>3</v>
      </c>
      <c r="AL133" s="80">
        <v>0</v>
      </c>
      <c r="AM133" s="80" t="s">
        <v>2317</v>
      </c>
      <c r="AN133" s="98" t="str">
        <f>HYPERLINK("https://www.youtube.com/watch?v=BcgWnwTVAGg")</f>
        <v>https://www.youtube.com/watch?v=BcgWnwTVAGg</v>
      </c>
      <c r="AO133" s="80" t="str">
        <f>REPLACE(INDEX(GroupVertices[Group],MATCH(Vertices[[#This Row],[Vertex]],GroupVertices[Vertex],0)),1,1,"")</f>
        <v>6</v>
      </c>
      <c r="AP133" s="49">
        <v>2</v>
      </c>
      <c r="AQ133" s="50">
        <v>6.896551724137931</v>
      </c>
      <c r="AR133" s="49">
        <v>9</v>
      </c>
      <c r="AS133" s="50">
        <v>31.03448275862069</v>
      </c>
      <c r="AT133" s="49">
        <v>0</v>
      </c>
      <c r="AU133" s="50">
        <v>0</v>
      </c>
      <c r="AV133" s="49">
        <v>18</v>
      </c>
      <c r="AW133" s="50">
        <v>62.06896551724138</v>
      </c>
      <c r="AX133" s="49">
        <v>29</v>
      </c>
      <c r="AY133" s="49"/>
      <c r="AZ133" s="49"/>
      <c r="BA133" s="49"/>
      <c r="BB133" s="49"/>
      <c r="BC133" s="2"/>
      <c r="BD133" s="3"/>
      <c r="BE133" s="3"/>
      <c r="BF133" s="3"/>
      <c r="BG133" s="3"/>
    </row>
    <row r="134" spans="1:59" ht="15">
      <c r="A134" s="65" t="s">
        <v>320</v>
      </c>
      <c r="B134" s="66" t="s">
        <v>3536</v>
      </c>
      <c r="C134" s="66"/>
      <c r="D134" s="67">
        <v>212.5</v>
      </c>
      <c r="E134" s="69">
        <v>50</v>
      </c>
      <c r="F134" s="96" t="str">
        <f>HYPERLINK("https://i.ytimg.com/vi/KtuIY0OCw3Y/default.jpg")</f>
        <v>https://i.ytimg.com/vi/KtuIY0OCw3Y/default.jpg</v>
      </c>
      <c r="G134" s="66"/>
      <c r="H134" s="70" t="s">
        <v>727</v>
      </c>
      <c r="I134" s="71"/>
      <c r="J134" s="71" t="s">
        <v>159</v>
      </c>
      <c r="K134" s="70" t="s">
        <v>727</v>
      </c>
      <c r="L134" s="74">
        <v>3.34423391988846</v>
      </c>
      <c r="M134" s="75">
        <v>7223.34716796875</v>
      </c>
      <c r="N134" s="75">
        <v>7024.0908203125</v>
      </c>
      <c r="O134" s="76"/>
      <c r="P134" s="77"/>
      <c r="Q134" s="77"/>
      <c r="R134" s="82"/>
      <c r="S134" s="49">
        <v>1</v>
      </c>
      <c r="T134" s="49">
        <v>0</v>
      </c>
      <c r="U134" s="50">
        <v>0</v>
      </c>
      <c r="V134" s="50">
        <v>0.000921</v>
      </c>
      <c r="W134" s="50">
        <v>0.001855</v>
      </c>
      <c r="X134" s="50">
        <v>0.399466</v>
      </c>
      <c r="Y134" s="50">
        <v>0</v>
      </c>
      <c r="Z134" s="50">
        <v>0</v>
      </c>
      <c r="AA134" s="72">
        <v>106</v>
      </c>
      <c r="AB134" s="72"/>
      <c r="AC134" s="73"/>
      <c r="AD134" s="80" t="s">
        <v>727</v>
      </c>
      <c r="AE134" s="80" t="s">
        <v>1115</v>
      </c>
      <c r="AF134" s="80" t="s">
        <v>1472</v>
      </c>
      <c r="AG134" s="80" t="s">
        <v>1743</v>
      </c>
      <c r="AH134" s="80" t="s">
        <v>2018</v>
      </c>
      <c r="AI134" s="80">
        <v>53343</v>
      </c>
      <c r="AJ134" s="80">
        <v>34</v>
      </c>
      <c r="AK134" s="80">
        <v>832</v>
      </c>
      <c r="AL134" s="80">
        <v>82</v>
      </c>
      <c r="AM134" s="80" t="s">
        <v>2317</v>
      </c>
      <c r="AN134" s="98" t="str">
        <f>HYPERLINK("https://www.youtube.com/watch?v=KtuIY0OCw3Y")</f>
        <v>https://www.youtube.com/watch?v=KtuIY0OCw3Y</v>
      </c>
      <c r="AO134" s="80" t="str">
        <f>REPLACE(INDEX(GroupVertices[Group],MATCH(Vertices[[#This Row],[Vertex]],GroupVertices[Vertex],0)),1,1,"")</f>
        <v>6</v>
      </c>
      <c r="AP134" s="49">
        <v>0</v>
      </c>
      <c r="AQ134" s="50">
        <v>0</v>
      </c>
      <c r="AR134" s="49">
        <v>2</v>
      </c>
      <c r="AS134" s="50">
        <v>16.666666666666668</v>
      </c>
      <c r="AT134" s="49">
        <v>0</v>
      </c>
      <c r="AU134" s="50">
        <v>0</v>
      </c>
      <c r="AV134" s="49">
        <v>10</v>
      </c>
      <c r="AW134" s="50">
        <v>83.33333333333333</v>
      </c>
      <c r="AX134" s="49">
        <v>12</v>
      </c>
      <c r="AY134" s="49"/>
      <c r="AZ134" s="49"/>
      <c r="BA134" s="49"/>
      <c r="BB134" s="49"/>
      <c r="BC134" s="2"/>
      <c r="BD134" s="3"/>
      <c r="BE134" s="3"/>
      <c r="BF134" s="3"/>
      <c r="BG134" s="3"/>
    </row>
    <row r="135" spans="1:59" ht="15">
      <c r="A135" s="65" t="s">
        <v>321</v>
      </c>
      <c r="B135" s="66" t="s">
        <v>3536</v>
      </c>
      <c r="C135" s="66"/>
      <c r="D135" s="67">
        <v>212.5</v>
      </c>
      <c r="E135" s="69">
        <v>50</v>
      </c>
      <c r="F135" s="96" t="str">
        <f>HYPERLINK("https://i.ytimg.com/vi/IpdCgsTo1bw/default.jpg")</f>
        <v>https://i.ytimg.com/vi/IpdCgsTo1bw/default.jpg</v>
      </c>
      <c r="G135" s="66"/>
      <c r="H135" s="70" t="s">
        <v>728</v>
      </c>
      <c r="I135" s="71"/>
      <c r="J135" s="71" t="s">
        <v>159</v>
      </c>
      <c r="K135" s="70" t="s">
        <v>728</v>
      </c>
      <c r="L135" s="74">
        <v>1.3865005785940754</v>
      </c>
      <c r="M135" s="75">
        <v>6554.0869140625</v>
      </c>
      <c r="N135" s="75">
        <v>8254.4541015625</v>
      </c>
      <c r="O135" s="76"/>
      <c r="P135" s="77"/>
      <c r="Q135" s="77"/>
      <c r="R135" s="82"/>
      <c r="S135" s="49">
        <v>1</v>
      </c>
      <c r="T135" s="49">
        <v>0</v>
      </c>
      <c r="U135" s="50">
        <v>0</v>
      </c>
      <c r="V135" s="50">
        <v>0.000921</v>
      </c>
      <c r="W135" s="50">
        <v>0.001855</v>
      </c>
      <c r="X135" s="50">
        <v>0.399466</v>
      </c>
      <c r="Y135" s="50">
        <v>0</v>
      </c>
      <c r="Z135" s="50">
        <v>0</v>
      </c>
      <c r="AA135" s="72">
        <v>107</v>
      </c>
      <c r="AB135" s="72"/>
      <c r="AC135" s="73"/>
      <c r="AD135" s="80" t="s">
        <v>728</v>
      </c>
      <c r="AE135" s="80" t="s">
        <v>1116</v>
      </c>
      <c r="AF135" s="80" t="s">
        <v>1473</v>
      </c>
      <c r="AG135" s="80" t="s">
        <v>1744</v>
      </c>
      <c r="AH135" s="80" t="s">
        <v>2019</v>
      </c>
      <c r="AI135" s="80">
        <v>8804</v>
      </c>
      <c r="AJ135" s="80">
        <v>68</v>
      </c>
      <c r="AK135" s="80">
        <v>459</v>
      </c>
      <c r="AL135" s="80">
        <v>5</v>
      </c>
      <c r="AM135" s="80" t="s">
        <v>2317</v>
      </c>
      <c r="AN135" s="98" t="str">
        <f>HYPERLINK("https://www.youtube.com/watch?v=IpdCgsTo1bw")</f>
        <v>https://www.youtube.com/watch?v=IpdCgsTo1bw</v>
      </c>
      <c r="AO135" s="80" t="str">
        <f>REPLACE(INDEX(GroupVertices[Group],MATCH(Vertices[[#This Row],[Vertex]],GroupVertices[Vertex],0)),1,1,"")</f>
        <v>6</v>
      </c>
      <c r="AP135" s="49">
        <v>2</v>
      </c>
      <c r="AQ135" s="50">
        <v>3.1746031746031744</v>
      </c>
      <c r="AR135" s="49">
        <v>0</v>
      </c>
      <c r="AS135" s="50">
        <v>0</v>
      </c>
      <c r="AT135" s="49">
        <v>0</v>
      </c>
      <c r="AU135" s="50">
        <v>0</v>
      </c>
      <c r="AV135" s="49">
        <v>61</v>
      </c>
      <c r="AW135" s="50">
        <v>96.82539682539682</v>
      </c>
      <c r="AX135" s="49">
        <v>63</v>
      </c>
      <c r="AY135" s="49"/>
      <c r="AZ135" s="49"/>
      <c r="BA135" s="49"/>
      <c r="BB135" s="49"/>
      <c r="BC135" s="2"/>
      <c r="BD135" s="3"/>
      <c r="BE135" s="3"/>
      <c r="BF135" s="3"/>
      <c r="BG135" s="3"/>
    </row>
    <row r="136" spans="1:59" ht="15">
      <c r="A136" s="65" t="s">
        <v>322</v>
      </c>
      <c r="B136" s="66" t="s">
        <v>3536</v>
      </c>
      <c r="C136" s="66"/>
      <c r="D136" s="67">
        <v>212.5</v>
      </c>
      <c r="E136" s="69">
        <v>50</v>
      </c>
      <c r="F136" s="96" t="str">
        <f>HYPERLINK("https://i.ytimg.com/vi/yaa0HJf8n18/default.jpg")</f>
        <v>https://i.ytimg.com/vi/yaa0HJf8n18/default.jpg</v>
      </c>
      <c r="G136" s="66"/>
      <c r="H136" s="70" t="s">
        <v>729</v>
      </c>
      <c r="I136" s="71"/>
      <c r="J136" s="71" t="s">
        <v>159</v>
      </c>
      <c r="K136" s="70" t="s">
        <v>729</v>
      </c>
      <c r="L136" s="74">
        <v>54.14130211630448</v>
      </c>
      <c r="M136" s="75">
        <v>5884.82861328125</v>
      </c>
      <c r="N136" s="75">
        <v>5178.54541015625</v>
      </c>
      <c r="O136" s="76"/>
      <c r="P136" s="77"/>
      <c r="Q136" s="77"/>
      <c r="R136" s="82"/>
      <c r="S136" s="49">
        <v>1</v>
      </c>
      <c r="T136" s="49">
        <v>0</v>
      </c>
      <c r="U136" s="50">
        <v>0</v>
      </c>
      <c r="V136" s="50">
        <v>0.000921</v>
      </c>
      <c r="W136" s="50">
        <v>0.001855</v>
      </c>
      <c r="X136" s="50">
        <v>0.399466</v>
      </c>
      <c r="Y136" s="50">
        <v>0</v>
      </c>
      <c r="Z136" s="50">
        <v>0</v>
      </c>
      <c r="AA136" s="72">
        <v>108</v>
      </c>
      <c r="AB136" s="72"/>
      <c r="AC136" s="73"/>
      <c r="AD136" s="80" t="s">
        <v>729</v>
      </c>
      <c r="AE136" s="80" t="s">
        <v>1117</v>
      </c>
      <c r="AF136" s="80" t="s">
        <v>1474</v>
      </c>
      <c r="AG136" s="80" t="s">
        <v>1745</v>
      </c>
      <c r="AH136" s="80" t="s">
        <v>2020</v>
      </c>
      <c r="AI136" s="80">
        <v>1208991</v>
      </c>
      <c r="AJ136" s="80">
        <v>1822</v>
      </c>
      <c r="AK136" s="80">
        <v>10394</v>
      </c>
      <c r="AL136" s="80">
        <v>253</v>
      </c>
      <c r="AM136" s="80" t="s">
        <v>2317</v>
      </c>
      <c r="AN136" s="98" t="str">
        <f>HYPERLINK("https://www.youtube.com/watch?v=yaa0HJf8n18")</f>
        <v>https://www.youtube.com/watch?v=yaa0HJf8n18</v>
      </c>
      <c r="AO136" s="80" t="str">
        <f>REPLACE(INDEX(GroupVertices[Group],MATCH(Vertices[[#This Row],[Vertex]],GroupVertices[Vertex],0)),1,1,"")</f>
        <v>6</v>
      </c>
      <c r="AP136" s="49">
        <v>6</v>
      </c>
      <c r="AQ136" s="50">
        <v>15.789473684210526</v>
      </c>
      <c r="AR136" s="49">
        <v>3</v>
      </c>
      <c r="AS136" s="50">
        <v>7.894736842105263</v>
      </c>
      <c r="AT136" s="49">
        <v>0</v>
      </c>
      <c r="AU136" s="50">
        <v>0</v>
      </c>
      <c r="AV136" s="49">
        <v>29</v>
      </c>
      <c r="AW136" s="50">
        <v>76.3157894736842</v>
      </c>
      <c r="AX136" s="49">
        <v>38</v>
      </c>
      <c r="AY136" s="49"/>
      <c r="AZ136" s="49"/>
      <c r="BA136" s="49"/>
      <c r="BB136" s="49"/>
      <c r="BC136" s="2"/>
      <c r="BD136" s="3"/>
      <c r="BE136" s="3"/>
      <c r="BF136" s="3"/>
      <c r="BG136" s="3"/>
    </row>
    <row r="137" spans="1:59" ht="15">
      <c r="A137" s="65" t="s">
        <v>323</v>
      </c>
      <c r="B137" s="66" t="s">
        <v>3536</v>
      </c>
      <c r="C137" s="66"/>
      <c r="D137" s="67">
        <v>212.5</v>
      </c>
      <c r="E137" s="69">
        <v>50</v>
      </c>
      <c r="F137" s="96" t="str">
        <f>HYPERLINK("https://i.ytimg.com/vi/z2OUh3Dv9sE/default.jpg")</f>
        <v>https://i.ytimg.com/vi/z2OUh3Dv9sE/default.jpg</v>
      </c>
      <c r="G137" s="66"/>
      <c r="H137" s="70" t="s">
        <v>730</v>
      </c>
      <c r="I137" s="71"/>
      <c r="J137" s="71" t="s">
        <v>159</v>
      </c>
      <c r="K137" s="70" t="s">
        <v>730</v>
      </c>
      <c r="L137" s="74">
        <v>1.1307236120480815</v>
      </c>
      <c r="M137" s="75">
        <v>6219.45751953125</v>
      </c>
      <c r="N137" s="75">
        <v>8869.63671875</v>
      </c>
      <c r="O137" s="76"/>
      <c r="P137" s="77"/>
      <c r="Q137" s="77"/>
      <c r="R137" s="82"/>
      <c r="S137" s="49">
        <v>1</v>
      </c>
      <c r="T137" s="49">
        <v>0</v>
      </c>
      <c r="U137" s="50">
        <v>0</v>
      </c>
      <c r="V137" s="50">
        <v>0.000921</v>
      </c>
      <c r="W137" s="50">
        <v>0.001855</v>
      </c>
      <c r="X137" s="50">
        <v>0.399466</v>
      </c>
      <c r="Y137" s="50">
        <v>0</v>
      </c>
      <c r="Z137" s="50">
        <v>0</v>
      </c>
      <c r="AA137" s="72">
        <v>109</v>
      </c>
      <c r="AB137" s="72"/>
      <c r="AC137" s="73"/>
      <c r="AD137" s="80" t="s">
        <v>730</v>
      </c>
      <c r="AE137" s="80" t="s">
        <v>1118</v>
      </c>
      <c r="AF137" s="80" t="s">
        <v>1475</v>
      </c>
      <c r="AG137" s="80" t="s">
        <v>1744</v>
      </c>
      <c r="AH137" s="80" t="s">
        <v>2021</v>
      </c>
      <c r="AI137" s="80">
        <v>2985</v>
      </c>
      <c r="AJ137" s="80">
        <v>20</v>
      </c>
      <c r="AK137" s="80">
        <v>174</v>
      </c>
      <c r="AL137" s="80">
        <v>2</v>
      </c>
      <c r="AM137" s="80" t="s">
        <v>2317</v>
      </c>
      <c r="AN137" s="98" t="str">
        <f>HYPERLINK("https://www.youtube.com/watch?v=z2OUh3Dv9sE")</f>
        <v>https://www.youtube.com/watch?v=z2OUh3Dv9sE</v>
      </c>
      <c r="AO137" s="80" t="str">
        <f>REPLACE(INDEX(GroupVertices[Group],MATCH(Vertices[[#This Row],[Vertex]],GroupVertices[Vertex],0)),1,1,"")</f>
        <v>6</v>
      </c>
      <c r="AP137" s="49">
        <v>0</v>
      </c>
      <c r="AQ137" s="50">
        <v>0</v>
      </c>
      <c r="AR137" s="49">
        <v>0</v>
      </c>
      <c r="AS137" s="50">
        <v>0</v>
      </c>
      <c r="AT137" s="49">
        <v>0</v>
      </c>
      <c r="AU137" s="50">
        <v>0</v>
      </c>
      <c r="AV137" s="49">
        <v>33</v>
      </c>
      <c r="AW137" s="50">
        <v>100</v>
      </c>
      <c r="AX137" s="49">
        <v>33</v>
      </c>
      <c r="AY137" s="49"/>
      <c r="AZ137" s="49"/>
      <c r="BA137" s="49"/>
      <c r="BB137" s="49"/>
      <c r="BC137" s="2"/>
      <c r="BD137" s="3"/>
      <c r="BE137" s="3"/>
      <c r="BF137" s="3"/>
      <c r="BG137" s="3"/>
    </row>
    <row r="138" spans="1:59" ht="15">
      <c r="A138" s="65" t="s">
        <v>324</v>
      </c>
      <c r="B138" s="66" t="s">
        <v>3536</v>
      </c>
      <c r="C138" s="66"/>
      <c r="D138" s="67">
        <v>325</v>
      </c>
      <c r="E138" s="69">
        <v>100</v>
      </c>
      <c r="F138" s="96" t="str">
        <f>HYPERLINK("https://i.ytimg.com/vi/kEujp62VTFA/default.jpg")</f>
        <v>https://i.ytimg.com/vi/kEujp62VTFA/default.jpg</v>
      </c>
      <c r="G138" s="66"/>
      <c r="H138" s="70" t="s">
        <v>731</v>
      </c>
      <c r="I138" s="71"/>
      <c r="J138" s="71" t="s">
        <v>75</v>
      </c>
      <c r="K138" s="70" t="s">
        <v>731</v>
      </c>
      <c r="L138" s="74">
        <v>1.4494887884343246</v>
      </c>
      <c r="M138" s="75">
        <v>8297.9921875</v>
      </c>
      <c r="N138" s="75">
        <v>2127.886474609375</v>
      </c>
      <c r="O138" s="76"/>
      <c r="P138" s="77"/>
      <c r="Q138" s="77"/>
      <c r="R138" s="82"/>
      <c r="S138" s="49">
        <v>2</v>
      </c>
      <c r="T138" s="49">
        <v>0</v>
      </c>
      <c r="U138" s="50">
        <v>0</v>
      </c>
      <c r="V138" s="50">
        <v>0.000968</v>
      </c>
      <c r="W138" s="50">
        <v>0.003564</v>
      </c>
      <c r="X138" s="50">
        <v>0.642427</v>
      </c>
      <c r="Y138" s="50">
        <v>1</v>
      </c>
      <c r="Z138" s="50">
        <v>0</v>
      </c>
      <c r="AA138" s="72">
        <v>110</v>
      </c>
      <c r="AB138" s="72"/>
      <c r="AC138" s="73"/>
      <c r="AD138" s="80" t="s">
        <v>731</v>
      </c>
      <c r="AE138" s="80" t="s">
        <v>1119</v>
      </c>
      <c r="AF138" s="80" t="s">
        <v>1476</v>
      </c>
      <c r="AG138" s="80" t="s">
        <v>1746</v>
      </c>
      <c r="AH138" s="80" t="s">
        <v>2022</v>
      </c>
      <c r="AI138" s="80">
        <v>10237</v>
      </c>
      <c r="AJ138" s="80">
        <v>7</v>
      </c>
      <c r="AK138" s="80">
        <v>88</v>
      </c>
      <c r="AL138" s="80">
        <v>9</v>
      </c>
      <c r="AM138" s="80" t="s">
        <v>2317</v>
      </c>
      <c r="AN138" s="98" t="str">
        <f>HYPERLINK("https://www.youtube.com/watch?v=kEujp62VTFA")</f>
        <v>https://www.youtube.com/watch?v=kEujp62VTFA</v>
      </c>
      <c r="AO138" s="80" t="str">
        <f>REPLACE(INDEX(GroupVertices[Group],MATCH(Vertices[[#This Row],[Vertex]],GroupVertices[Vertex],0)),1,1,"")</f>
        <v>7</v>
      </c>
      <c r="AP138" s="49">
        <v>0</v>
      </c>
      <c r="AQ138" s="50">
        <v>0</v>
      </c>
      <c r="AR138" s="49">
        <v>1</v>
      </c>
      <c r="AS138" s="50">
        <v>3.0303030303030303</v>
      </c>
      <c r="AT138" s="49">
        <v>0</v>
      </c>
      <c r="AU138" s="50">
        <v>0</v>
      </c>
      <c r="AV138" s="49">
        <v>32</v>
      </c>
      <c r="AW138" s="50">
        <v>96.96969696969697</v>
      </c>
      <c r="AX138" s="49">
        <v>33</v>
      </c>
      <c r="AY138" s="49"/>
      <c r="AZ138" s="49"/>
      <c r="BA138" s="49"/>
      <c r="BB138" s="49"/>
      <c r="BC138" s="2"/>
      <c r="BD138" s="3"/>
      <c r="BE138" s="3"/>
      <c r="BF138" s="3"/>
      <c r="BG138" s="3"/>
    </row>
    <row r="139" spans="1:59" ht="15">
      <c r="A139" s="65" t="s">
        <v>325</v>
      </c>
      <c r="B139" s="66" t="s">
        <v>3536</v>
      </c>
      <c r="C139" s="66"/>
      <c r="D139" s="67">
        <v>212.5</v>
      </c>
      <c r="E139" s="69">
        <v>50</v>
      </c>
      <c r="F139" s="96" t="str">
        <f>HYPERLINK("https://i.ytimg.com/vi/zkf-9EOnFGY/default.jpg")</f>
        <v>https://i.ytimg.com/vi/zkf-9EOnFGY/default.jpg</v>
      </c>
      <c r="G139" s="66"/>
      <c r="H139" s="70" t="s">
        <v>732</v>
      </c>
      <c r="I139" s="71"/>
      <c r="J139" s="71" t="s">
        <v>159</v>
      </c>
      <c r="K139" s="70" t="s">
        <v>732</v>
      </c>
      <c r="L139" s="74">
        <v>1.7913305943852087</v>
      </c>
      <c r="M139" s="75">
        <v>6554.0869140625</v>
      </c>
      <c r="N139" s="75">
        <v>7639.27294921875</v>
      </c>
      <c r="O139" s="76"/>
      <c r="P139" s="77"/>
      <c r="Q139" s="77"/>
      <c r="R139" s="82"/>
      <c r="S139" s="49">
        <v>1</v>
      </c>
      <c r="T139" s="49">
        <v>0</v>
      </c>
      <c r="U139" s="50">
        <v>0</v>
      </c>
      <c r="V139" s="50">
        <v>0.000921</v>
      </c>
      <c r="W139" s="50">
        <v>0.001855</v>
      </c>
      <c r="X139" s="50">
        <v>0.399466</v>
      </c>
      <c r="Y139" s="50">
        <v>0</v>
      </c>
      <c r="Z139" s="50">
        <v>0</v>
      </c>
      <c r="AA139" s="72">
        <v>111</v>
      </c>
      <c r="AB139" s="72"/>
      <c r="AC139" s="73"/>
      <c r="AD139" s="80" t="s">
        <v>732</v>
      </c>
      <c r="AE139" s="80" t="s">
        <v>1120</v>
      </c>
      <c r="AF139" s="80" t="s">
        <v>1477</v>
      </c>
      <c r="AG139" s="80" t="s">
        <v>1747</v>
      </c>
      <c r="AH139" s="80" t="s">
        <v>2023</v>
      </c>
      <c r="AI139" s="80">
        <v>18014</v>
      </c>
      <c r="AJ139" s="80">
        <v>9</v>
      </c>
      <c r="AK139" s="80">
        <v>308</v>
      </c>
      <c r="AL139" s="80">
        <v>10</v>
      </c>
      <c r="AM139" s="80" t="s">
        <v>2317</v>
      </c>
      <c r="AN139" s="98" t="str">
        <f>HYPERLINK("https://www.youtube.com/watch?v=zkf-9EOnFGY")</f>
        <v>https://www.youtube.com/watch?v=zkf-9EOnFGY</v>
      </c>
      <c r="AO139" s="80" t="str">
        <f>REPLACE(INDEX(GroupVertices[Group],MATCH(Vertices[[#This Row],[Vertex]],GroupVertices[Vertex],0)),1,1,"")</f>
        <v>6</v>
      </c>
      <c r="AP139" s="49">
        <v>3</v>
      </c>
      <c r="AQ139" s="50">
        <v>10</v>
      </c>
      <c r="AR139" s="49">
        <v>0</v>
      </c>
      <c r="AS139" s="50">
        <v>0</v>
      </c>
      <c r="AT139" s="49">
        <v>0</v>
      </c>
      <c r="AU139" s="50">
        <v>0</v>
      </c>
      <c r="AV139" s="49">
        <v>27</v>
      </c>
      <c r="AW139" s="50">
        <v>90</v>
      </c>
      <c r="AX139" s="49">
        <v>30</v>
      </c>
      <c r="AY139" s="49"/>
      <c r="AZ139" s="49"/>
      <c r="BA139" s="49"/>
      <c r="BB139" s="49"/>
      <c r="BC139" s="2"/>
      <c r="BD139" s="3"/>
      <c r="BE139" s="3"/>
      <c r="BF139" s="3"/>
      <c r="BG139" s="3"/>
    </row>
    <row r="140" spans="1:59" ht="15">
      <c r="A140" s="65" t="s">
        <v>326</v>
      </c>
      <c r="B140" s="66" t="s">
        <v>3536</v>
      </c>
      <c r="C140" s="66"/>
      <c r="D140" s="67">
        <v>212.5</v>
      </c>
      <c r="E140" s="69">
        <v>50</v>
      </c>
      <c r="F140" s="96" t="str">
        <f>HYPERLINK("https://i.ytimg.com/vi/bjWbv0ZIeLw/default.jpg")</f>
        <v>https://i.ytimg.com/vi/bjWbv0ZIeLw/default.jpg</v>
      </c>
      <c r="G140" s="66"/>
      <c r="H140" s="70" t="s">
        <v>733</v>
      </c>
      <c r="I140" s="71"/>
      <c r="J140" s="71" t="s">
        <v>159</v>
      </c>
      <c r="K140" s="70" t="s">
        <v>733</v>
      </c>
      <c r="L140" s="74">
        <v>3.1132918023025087</v>
      </c>
      <c r="M140" s="75">
        <v>6888.716796875</v>
      </c>
      <c r="N140" s="75">
        <v>7024.0908203125</v>
      </c>
      <c r="O140" s="76"/>
      <c r="P140" s="77"/>
      <c r="Q140" s="77"/>
      <c r="R140" s="82"/>
      <c r="S140" s="49">
        <v>1</v>
      </c>
      <c r="T140" s="49">
        <v>0</v>
      </c>
      <c r="U140" s="50">
        <v>0</v>
      </c>
      <c r="V140" s="50">
        <v>0.000921</v>
      </c>
      <c r="W140" s="50">
        <v>0.001855</v>
      </c>
      <c r="X140" s="50">
        <v>0.399466</v>
      </c>
      <c r="Y140" s="50">
        <v>0</v>
      </c>
      <c r="Z140" s="50">
        <v>0</v>
      </c>
      <c r="AA140" s="72">
        <v>112</v>
      </c>
      <c r="AB140" s="72"/>
      <c r="AC140" s="73"/>
      <c r="AD140" s="80" t="s">
        <v>733</v>
      </c>
      <c r="AE140" s="80" t="s">
        <v>1121</v>
      </c>
      <c r="AF140" s="80" t="s">
        <v>1478</v>
      </c>
      <c r="AG140" s="80" t="s">
        <v>1748</v>
      </c>
      <c r="AH140" s="80" t="s">
        <v>2024</v>
      </c>
      <c r="AI140" s="80">
        <v>48089</v>
      </c>
      <c r="AJ140" s="80">
        <v>187</v>
      </c>
      <c r="AK140" s="80">
        <v>1087</v>
      </c>
      <c r="AL140" s="80">
        <v>54</v>
      </c>
      <c r="AM140" s="80" t="s">
        <v>2317</v>
      </c>
      <c r="AN140" s="98" t="str">
        <f>HYPERLINK("https://www.youtube.com/watch?v=bjWbv0ZIeLw")</f>
        <v>https://www.youtube.com/watch?v=bjWbv0ZIeLw</v>
      </c>
      <c r="AO140" s="80" t="str">
        <f>REPLACE(INDEX(GroupVertices[Group],MATCH(Vertices[[#This Row],[Vertex]],GroupVertices[Vertex],0)),1,1,"")</f>
        <v>6</v>
      </c>
      <c r="AP140" s="49">
        <v>0</v>
      </c>
      <c r="AQ140" s="50">
        <v>0</v>
      </c>
      <c r="AR140" s="49">
        <v>0</v>
      </c>
      <c r="AS140" s="50">
        <v>0</v>
      </c>
      <c r="AT140" s="49">
        <v>0</v>
      </c>
      <c r="AU140" s="50">
        <v>0</v>
      </c>
      <c r="AV140" s="49">
        <v>44</v>
      </c>
      <c r="AW140" s="50">
        <v>100</v>
      </c>
      <c r="AX140" s="49">
        <v>44</v>
      </c>
      <c r="AY140" s="49"/>
      <c r="AZ140" s="49"/>
      <c r="BA140" s="49"/>
      <c r="BB140" s="49"/>
      <c r="BC140" s="2"/>
      <c r="BD140" s="3"/>
      <c r="BE140" s="3"/>
      <c r="BF140" s="3"/>
      <c r="BG140" s="3"/>
    </row>
    <row r="141" spans="1:59" ht="15">
      <c r="A141" s="65" t="s">
        <v>327</v>
      </c>
      <c r="B141" s="66" t="s">
        <v>3536</v>
      </c>
      <c r="C141" s="66"/>
      <c r="D141" s="67">
        <v>325</v>
      </c>
      <c r="E141" s="69">
        <v>100</v>
      </c>
      <c r="F141" s="96" t="str">
        <f>HYPERLINK("https://i.ytimg.com/vi/cTJTDRdbtSE/default.jpg")</f>
        <v>https://i.ytimg.com/vi/cTJTDRdbtSE/default.jpg</v>
      </c>
      <c r="G141" s="66"/>
      <c r="H141" s="70" t="s">
        <v>734</v>
      </c>
      <c r="I141" s="71"/>
      <c r="J141" s="71" t="s">
        <v>75</v>
      </c>
      <c r="K141" s="70" t="s">
        <v>734</v>
      </c>
      <c r="L141" s="74">
        <v>2.7546150456406577</v>
      </c>
      <c r="M141" s="75">
        <v>6313.0087890625</v>
      </c>
      <c r="N141" s="75">
        <v>1030.00341796875</v>
      </c>
      <c r="O141" s="76"/>
      <c r="P141" s="77"/>
      <c r="Q141" s="77"/>
      <c r="R141" s="82"/>
      <c r="S141" s="49">
        <v>2</v>
      </c>
      <c r="T141" s="49">
        <v>0</v>
      </c>
      <c r="U141" s="50">
        <v>0</v>
      </c>
      <c r="V141" s="50">
        <v>0.000968</v>
      </c>
      <c r="W141" s="50">
        <v>0.003564</v>
      </c>
      <c r="X141" s="50">
        <v>0.642427</v>
      </c>
      <c r="Y141" s="50">
        <v>1</v>
      </c>
      <c r="Z141" s="50">
        <v>0</v>
      </c>
      <c r="AA141" s="72">
        <v>113</v>
      </c>
      <c r="AB141" s="72"/>
      <c r="AC141" s="73"/>
      <c r="AD141" s="80" t="s">
        <v>734</v>
      </c>
      <c r="AE141" s="80" t="s">
        <v>1122</v>
      </c>
      <c r="AF141" s="80"/>
      <c r="AG141" s="80" t="s">
        <v>1687</v>
      </c>
      <c r="AH141" s="80" t="s">
        <v>2025</v>
      </c>
      <c r="AI141" s="80">
        <v>39929</v>
      </c>
      <c r="AJ141" s="80">
        <v>179</v>
      </c>
      <c r="AK141" s="80">
        <v>3988</v>
      </c>
      <c r="AL141" s="80">
        <v>56</v>
      </c>
      <c r="AM141" s="80" t="s">
        <v>2317</v>
      </c>
      <c r="AN141" s="98" t="str">
        <f>HYPERLINK("https://www.youtube.com/watch?v=cTJTDRdbtSE")</f>
        <v>https://www.youtube.com/watch?v=cTJTDRdbtSE</v>
      </c>
      <c r="AO141" s="80" t="str">
        <f>REPLACE(INDEX(GroupVertices[Group],MATCH(Vertices[[#This Row],[Vertex]],GroupVertices[Vertex],0)),1,1,"")</f>
        <v>7</v>
      </c>
      <c r="AP141" s="49"/>
      <c r="AQ141" s="50"/>
      <c r="AR141" s="49"/>
      <c r="AS141" s="50"/>
      <c r="AT141" s="49"/>
      <c r="AU141" s="50"/>
      <c r="AV141" s="49"/>
      <c r="AW141" s="50"/>
      <c r="AX141" s="49"/>
      <c r="AY141" s="49"/>
      <c r="AZ141" s="49"/>
      <c r="BA141" s="49"/>
      <c r="BB141" s="49"/>
      <c r="BC141" s="2"/>
      <c r="BD141" s="3"/>
      <c r="BE141" s="3"/>
      <c r="BF141" s="3"/>
      <c r="BG141" s="3"/>
    </row>
    <row r="142" spans="1:59" ht="15">
      <c r="A142" s="65" t="s">
        <v>328</v>
      </c>
      <c r="B142" s="66" t="s">
        <v>3536</v>
      </c>
      <c r="C142" s="66"/>
      <c r="D142" s="67">
        <v>212.5</v>
      </c>
      <c r="E142" s="69">
        <v>50</v>
      </c>
      <c r="F142" s="96" t="str">
        <f>HYPERLINK("https://i.ytimg.com/vi/4gDOjS0xRAQ/default.jpg")</f>
        <v>https://i.ytimg.com/vi/4gDOjS0xRAQ/default.jpg</v>
      </c>
      <c r="G142" s="66"/>
      <c r="H142" s="70" t="s">
        <v>735</v>
      </c>
      <c r="I142" s="71"/>
      <c r="J142" s="71" t="s">
        <v>159</v>
      </c>
      <c r="K142" s="70" t="s">
        <v>735</v>
      </c>
      <c r="L142" s="74">
        <v>1.5323888329274924</v>
      </c>
      <c r="M142" s="75">
        <v>6888.716796875</v>
      </c>
      <c r="N142" s="75">
        <v>8254.4541015625</v>
      </c>
      <c r="O142" s="76"/>
      <c r="P142" s="77"/>
      <c r="Q142" s="77"/>
      <c r="R142" s="82"/>
      <c r="S142" s="49">
        <v>1</v>
      </c>
      <c r="T142" s="49">
        <v>0</v>
      </c>
      <c r="U142" s="50">
        <v>0</v>
      </c>
      <c r="V142" s="50">
        <v>0.000921</v>
      </c>
      <c r="W142" s="50">
        <v>0.001855</v>
      </c>
      <c r="X142" s="50">
        <v>0.399466</v>
      </c>
      <c r="Y142" s="50">
        <v>0</v>
      </c>
      <c r="Z142" s="50">
        <v>0</v>
      </c>
      <c r="AA142" s="72">
        <v>114</v>
      </c>
      <c r="AB142" s="72"/>
      <c r="AC142" s="73"/>
      <c r="AD142" s="80" t="s">
        <v>735</v>
      </c>
      <c r="AE142" s="80" t="s">
        <v>1123</v>
      </c>
      <c r="AF142" s="80" t="s">
        <v>1479</v>
      </c>
      <c r="AG142" s="80" t="s">
        <v>1749</v>
      </c>
      <c r="AH142" s="80" t="s">
        <v>2026</v>
      </c>
      <c r="AI142" s="80">
        <v>12123</v>
      </c>
      <c r="AJ142" s="80">
        <v>47</v>
      </c>
      <c r="AK142" s="80">
        <v>315</v>
      </c>
      <c r="AL142" s="80">
        <v>11</v>
      </c>
      <c r="AM142" s="80" t="s">
        <v>2317</v>
      </c>
      <c r="AN142" s="98" t="str">
        <f>HYPERLINK("https://www.youtube.com/watch?v=4gDOjS0xRAQ")</f>
        <v>https://www.youtube.com/watch?v=4gDOjS0xRAQ</v>
      </c>
      <c r="AO142" s="80" t="str">
        <f>REPLACE(INDEX(GroupVertices[Group],MATCH(Vertices[[#This Row],[Vertex]],GroupVertices[Vertex],0)),1,1,"")</f>
        <v>6</v>
      </c>
      <c r="AP142" s="49">
        <v>0</v>
      </c>
      <c r="AQ142" s="50">
        <v>0</v>
      </c>
      <c r="AR142" s="49">
        <v>0</v>
      </c>
      <c r="AS142" s="50">
        <v>0</v>
      </c>
      <c r="AT142" s="49">
        <v>0</v>
      </c>
      <c r="AU142" s="50">
        <v>0</v>
      </c>
      <c r="AV142" s="49">
        <v>9</v>
      </c>
      <c r="AW142" s="50">
        <v>100</v>
      </c>
      <c r="AX142" s="49">
        <v>9</v>
      </c>
      <c r="AY142" s="49"/>
      <c r="AZ142" s="49"/>
      <c r="BA142" s="49"/>
      <c r="BB142" s="49"/>
      <c r="BC142" s="2"/>
      <c r="BD142" s="3"/>
      <c r="BE142" s="3"/>
      <c r="BF142" s="3"/>
      <c r="BG142" s="3"/>
    </row>
    <row r="143" spans="1:59" ht="15">
      <c r="A143" s="65" t="s">
        <v>329</v>
      </c>
      <c r="B143" s="66" t="s">
        <v>3536</v>
      </c>
      <c r="C143" s="66"/>
      <c r="D143" s="67">
        <v>212.5</v>
      </c>
      <c r="E143" s="69">
        <v>50</v>
      </c>
      <c r="F143" s="96" t="str">
        <f>HYPERLINK("https://i.ytimg.com/vi/sxvJatvqBVE/default.jpg")</f>
        <v>https://i.ytimg.com/vi/sxvJatvqBVE/default.jpg</v>
      </c>
      <c r="G143" s="66"/>
      <c r="H143" s="70" t="s">
        <v>736</v>
      </c>
      <c r="I143" s="71"/>
      <c r="J143" s="71" t="s">
        <v>159</v>
      </c>
      <c r="K143" s="70" t="s">
        <v>736</v>
      </c>
      <c r="L143" s="74">
        <v>2.0402944607740228</v>
      </c>
      <c r="M143" s="75">
        <v>7557.9765625</v>
      </c>
      <c r="N143" s="75">
        <v>7639.27294921875</v>
      </c>
      <c r="O143" s="76"/>
      <c r="P143" s="77"/>
      <c r="Q143" s="77"/>
      <c r="R143" s="82"/>
      <c r="S143" s="49">
        <v>1</v>
      </c>
      <c r="T143" s="49">
        <v>0</v>
      </c>
      <c r="U143" s="50">
        <v>0</v>
      </c>
      <c r="V143" s="50">
        <v>0.000921</v>
      </c>
      <c r="W143" s="50">
        <v>0.001855</v>
      </c>
      <c r="X143" s="50">
        <v>0.399466</v>
      </c>
      <c r="Y143" s="50">
        <v>0</v>
      </c>
      <c r="Z143" s="50">
        <v>0</v>
      </c>
      <c r="AA143" s="72">
        <v>115</v>
      </c>
      <c r="AB143" s="72"/>
      <c r="AC143" s="73"/>
      <c r="AD143" s="80" t="s">
        <v>736</v>
      </c>
      <c r="AE143" s="80" t="s">
        <v>1124</v>
      </c>
      <c r="AF143" s="80" t="s">
        <v>1480</v>
      </c>
      <c r="AG143" s="80" t="s">
        <v>1750</v>
      </c>
      <c r="AH143" s="80" t="s">
        <v>2027</v>
      </c>
      <c r="AI143" s="80">
        <v>23678</v>
      </c>
      <c r="AJ143" s="80">
        <v>0</v>
      </c>
      <c r="AK143" s="80">
        <v>197</v>
      </c>
      <c r="AL143" s="80">
        <v>12</v>
      </c>
      <c r="AM143" s="80" t="s">
        <v>2317</v>
      </c>
      <c r="AN143" s="98" t="str">
        <f>HYPERLINK("https://www.youtube.com/watch?v=sxvJatvqBVE")</f>
        <v>https://www.youtube.com/watch?v=sxvJatvqBVE</v>
      </c>
      <c r="AO143" s="80" t="str">
        <f>REPLACE(INDEX(GroupVertices[Group],MATCH(Vertices[[#This Row],[Vertex]],GroupVertices[Vertex],0)),1,1,"")</f>
        <v>6</v>
      </c>
      <c r="AP143" s="49">
        <v>0</v>
      </c>
      <c r="AQ143" s="50">
        <v>0</v>
      </c>
      <c r="AR143" s="49">
        <v>0</v>
      </c>
      <c r="AS143" s="50">
        <v>0</v>
      </c>
      <c r="AT143" s="49">
        <v>0</v>
      </c>
      <c r="AU143" s="50">
        <v>0</v>
      </c>
      <c r="AV143" s="49">
        <v>10</v>
      </c>
      <c r="AW143" s="50">
        <v>100</v>
      </c>
      <c r="AX143" s="49">
        <v>10</v>
      </c>
      <c r="AY143" s="49"/>
      <c r="AZ143" s="49"/>
      <c r="BA143" s="49"/>
      <c r="BB143" s="49"/>
      <c r="BC143" s="2"/>
      <c r="BD143" s="3"/>
      <c r="BE143" s="3"/>
      <c r="BF143" s="3"/>
      <c r="BG143" s="3"/>
    </row>
    <row r="144" spans="1:59" ht="15">
      <c r="A144" s="65" t="s">
        <v>330</v>
      </c>
      <c r="B144" s="66" t="s">
        <v>3536</v>
      </c>
      <c r="C144" s="66"/>
      <c r="D144" s="67">
        <v>212.5</v>
      </c>
      <c r="E144" s="69">
        <v>50</v>
      </c>
      <c r="F144" s="96" t="str">
        <f>HYPERLINK("https://i.ytimg.com/vi/h3EJICKwITw/default.jpg")</f>
        <v>https://i.ytimg.com/vi/h3EJICKwITw/default.jpg</v>
      </c>
      <c r="G144" s="66"/>
      <c r="H144" s="70" t="s">
        <v>737</v>
      </c>
      <c r="I144" s="71"/>
      <c r="J144" s="71" t="s">
        <v>159</v>
      </c>
      <c r="K144" s="70" t="s">
        <v>737</v>
      </c>
      <c r="L144" s="74">
        <v>9999</v>
      </c>
      <c r="M144" s="75">
        <v>6554.0869140625</v>
      </c>
      <c r="N144" s="75">
        <v>4563.36376953125</v>
      </c>
      <c r="O144" s="76"/>
      <c r="P144" s="77"/>
      <c r="Q144" s="77"/>
      <c r="R144" s="82"/>
      <c r="S144" s="49">
        <v>1</v>
      </c>
      <c r="T144" s="49">
        <v>0</v>
      </c>
      <c r="U144" s="50">
        <v>0</v>
      </c>
      <c r="V144" s="50">
        <v>0.000921</v>
      </c>
      <c r="W144" s="50">
        <v>0.001855</v>
      </c>
      <c r="X144" s="50">
        <v>0.399466</v>
      </c>
      <c r="Y144" s="50">
        <v>0</v>
      </c>
      <c r="Z144" s="50">
        <v>0</v>
      </c>
      <c r="AA144" s="72">
        <v>116</v>
      </c>
      <c r="AB144" s="72"/>
      <c r="AC144" s="73"/>
      <c r="AD144" s="80" t="s">
        <v>737</v>
      </c>
      <c r="AE144" s="80" t="s">
        <v>1125</v>
      </c>
      <c r="AF144" s="80" t="s">
        <v>1481</v>
      </c>
      <c r="AG144" s="80" t="s">
        <v>1751</v>
      </c>
      <c r="AH144" s="80" t="s">
        <v>2028</v>
      </c>
      <c r="AI144" s="80">
        <v>227457404</v>
      </c>
      <c r="AJ144" s="80">
        <v>169846</v>
      </c>
      <c r="AK144" s="80">
        <v>2336854</v>
      </c>
      <c r="AL144" s="80">
        <v>41101</v>
      </c>
      <c r="AM144" s="80" t="s">
        <v>2317</v>
      </c>
      <c r="AN144" s="98" t="str">
        <f>HYPERLINK("https://www.youtube.com/watch?v=h3EJICKwITw")</f>
        <v>https://www.youtube.com/watch?v=h3EJICKwITw</v>
      </c>
      <c r="AO144" s="80" t="str">
        <f>REPLACE(INDEX(GroupVertices[Group],MATCH(Vertices[[#This Row],[Vertex]],GroupVertices[Vertex],0)),1,1,"")</f>
        <v>6</v>
      </c>
      <c r="AP144" s="49">
        <v>3</v>
      </c>
      <c r="AQ144" s="50">
        <v>3.488372093023256</v>
      </c>
      <c r="AR144" s="49">
        <v>0</v>
      </c>
      <c r="AS144" s="50">
        <v>0</v>
      </c>
      <c r="AT144" s="49">
        <v>0</v>
      </c>
      <c r="AU144" s="50">
        <v>0</v>
      </c>
      <c r="AV144" s="49">
        <v>83</v>
      </c>
      <c r="AW144" s="50">
        <v>96.51162790697674</v>
      </c>
      <c r="AX144" s="49">
        <v>86</v>
      </c>
      <c r="AY144" s="49"/>
      <c r="AZ144" s="49"/>
      <c r="BA144" s="49"/>
      <c r="BB144" s="49"/>
      <c r="BC144" s="2"/>
      <c r="BD144" s="3"/>
      <c r="BE144" s="3"/>
      <c r="BF144" s="3"/>
      <c r="BG144" s="3"/>
    </row>
    <row r="145" spans="1:59" ht="15">
      <c r="A145" s="65" t="s">
        <v>331</v>
      </c>
      <c r="B145" s="66" t="s">
        <v>3536</v>
      </c>
      <c r="C145" s="66"/>
      <c r="D145" s="67">
        <v>212.5</v>
      </c>
      <c r="E145" s="69">
        <v>50</v>
      </c>
      <c r="F145" s="96" t="str">
        <f>HYPERLINK("https://i.ytimg.com/vi/AUZUeD5hJWA/default.jpg")</f>
        <v>https://i.ytimg.com/vi/AUZUeD5hJWA/default.jpg</v>
      </c>
      <c r="G145" s="66"/>
      <c r="H145" s="70" t="s">
        <v>738</v>
      </c>
      <c r="I145" s="71"/>
      <c r="J145" s="71" t="s">
        <v>159</v>
      </c>
      <c r="K145" s="70" t="s">
        <v>738</v>
      </c>
      <c r="L145" s="74">
        <v>1.6580575642137956</v>
      </c>
      <c r="M145" s="75">
        <v>5884.82861328125</v>
      </c>
      <c r="N145" s="75">
        <v>7639.27294921875</v>
      </c>
      <c r="O145" s="76"/>
      <c r="P145" s="77"/>
      <c r="Q145" s="77"/>
      <c r="R145" s="82"/>
      <c r="S145" s="49">
        <v>1</v>
      </c>
      <c r="T145" s="49">
        <v>0</v>
      </c>
      <c r="U145" s="50">
        <v>0</v>
      </c>
      <c r="V145" s="50">
        <v>0.000921</v>
      </c>
      <c r="W145" s="50">
        <v>0.001855</v>
      </c>
      <c r="X145" s="50">
        <v>0.399466</v>
      </c>
      <c r="Y145" s="50">
        <v>0</v>
      </c>
      <c r="Z145" s="50">
        <v>0</v>
      </c>
      <c r="AA145" s="72">
        <v>117</v>
      </c>
      <c r="AB145" s="72"/>
      <c r="AC145" s="73"/>
      <c r="AD145" s="80" t="s">
        <v>738</v>
      </c>
      <c r="AE145" s="80" t="s">
        <v>1126</v>
      </c>
      <c r="AF145" s="80" t="s">
        <v>1482</v>
      </c>
      <c r="AG145" s="80" t="s">
        <v>1752</v>
      </c>
      <c r="AH145" s="80" t="s">
        <v>2029</v>
      </c>
      <c r="AI145" s="80">
        <v>14982</v>
      </c>
      <c r="AJ145" s="80">
        <v>9</v>
      </c>
      <c r="AK145" s="80">
        <v>177</v>
      </c>
      <c r="AL145" s="80">
        <v>4</v>
      </c>
      <c r="AM145" s="80" t="s">
        <v>2317</v>
      </c>
      <c r="AN145" s="98" t="str">
        <f>HYPERLINK("https://www.youtube.com/watch?v=AUZUeD5hJWA")</f>
        <v>https://www.youtube.com/watch?v=AUZUeD5hJWA</v>
      </c>
      <c r="AO145" s="80" t="str">
        <f>REPLACE(INDEX(GroupVertices[Group],MATCH(Vertices[[#This Row],[Vertex]],GroupVertices[Vertex],0)),1,1,"")</f>
        <v>6</v>
      </c>
      <c r="AP145" s="49">
        <v>0</v>
      </c>
      <c r="AQ145" s="50">
        <v>0</v>
      </c>
      <c r="AR145" s="49">
        <v>0</v>
      </c>
      <c r="AS145" s="50">
        <v>0</v>
      </c>
      <c r="AT145" s="49">
        <v>0</v>
      </c>
      <c r="AU145" s="50">
        <v>0</v>
      </c>
      <c r="AV145" s="49">
        <v>15</v>
      </c>
      <c r="AW145" s="50">
        <v>100</v>
      </c>
      <c r="AX145" s="49">
        <v>15</v>
      </c>
      <c r="AY145" s="49"/>
      <c r="AZ145" s="49"/>
      <c r="BA145" s="49"/>
      <c r="BB145" s="49"/>
      <c r="BC145" s="2"/>
      <c r="BD145" s="3"/>
      <c r="BE145" s="3"/>
      <c r="BF145" s="3"/>
      <c r="BG145" s="3"/>
    </row>
    <row r="146" spans="1:59" ht="15">
      <c r="A146" s="65" t="s">
        <v>332</v>
      </c>
      <c r="B146" s="66" t="s">
        <v>3536</v>
      </c>
      <c r="C146" s="66"/>
      <c r="D146" s="67">
        <v>325</v>
      </c>
      <c r="E146" s="69">
        <v>100</v>
      </c>
      <c r="F146" s="96" t="str">
        <f>HYPERLINK("https://i.ytimg.com/vi/I0h8Vj8Hyek/default.jpg")</f>
        <v>https://i.ytimg.com/vi/I0h8Vj8Hyek/default.jpg</v>
      </c>
      <c r="G146" s="66"/>
      <c r="H146" s="70" t="s">
        <v>739</v>
      </c>
      <c r="I146" s="71"/>
      <c r="J146" s="71" t="s">
        <v>75</v>
      </c>
      <c r="K146" s="70" t="s">
        <v>739</v>
      </c>
      <c r="L146" s="74">
        <v>3.7296795668452947</v>
      </c>
      <c r="M146" s="75">
        <v>7107.001953125</v>
      </c>
      <c r="N146" s="75">
        <v>1030.00341796875</v>
      </c>
      <c r="O146" s="76"/>
      <c r="P146" s="77"/>
      <c r="Q146" s="77"/>
      <c r="R146" s="82"/>
      <c r="S146" s="49">
        <v>2</v>
      </c>
      <c r="T146" s="49">
        <v>0</v>
      </c>
      <c r="U146" s="50">
        <v>0</v>
      </c>
      <c r="V146" s="50">
        <v>0.000968</v>
      </c>
      <c r="W146" s="50">
        <v>0.003564</v>
      </c>
      <c r="X146" s="50">
        <v>0.642427</v>
      </c>
      <c r="Y146" s="50">
        <v>1</v>
      </c>
      <c r="Z146" s="50">
        <v>0</v>
      </c>
      <c r="AA146" s="72">
        <v>118</v>
      </c>
      <c r="AB146" s="72"/>
      <c r="AC146" s="73"/>
      <c r="AD146" s="80" t="s">
        <v>739</v>
      </c>
      <c r="AE146" s="80" t="s">
        <v>1127</v>
      </c>
      <c r="AF146" s="80"/>
      <c r="AG146" s="80" t="s">
        <v>1687</v>
      </c>
      <c r="AH146" s="80" t="s">
        <v>2030</v>
      </c>
      <c r="AI146" s="80">
        <v>62112</v>
      </c>
      <c r="AJ146" s="80">
        <v>234</v>
      </c>
      <c r="AK146" s="80">
        <v>4986</v>
      </c>
      <c r="AL146" s="80">
        <v>101</v>
      </c>
      <c r="AM146" s="80" t="s">
        <v>2317</v>
      </c>
      <c r="AN146" s="98" t="str">
        <f>HYPERLINK("https://www.youtube.com/watch?v=I0h8Vj8Hyek")</f>
        <v>https://www.youtube.com/watch?v=I0h8Vj8Hyek</v>
      </c>
      <c r="AO146" s="80" t="str">
        <f>REPLACE(INDEX(GroupVertices[Group],MATCH(Vertices[[#This Row],[Vertex]],GroupVertices[Vertex],0)),1,1,"")</f>
        <v>7</v>
      </c>
      <c r="AP146" s="49"/>
      <c r="AQ146" s="50"/>
      <c r="AR146" s="49"/>
      <c r="AS146" s="50"/>
      <c r="AT146" s="49"/>
      <c r="AU146" s="50"/>
      <c r="AV146" s="49"/>
      <c r="AW146" s="50"/>
      <c r="AX146" s="49"/>
      <c r="AY146" s="49"/>
      <c r="AZ146" s="49"/>
      <c r="BA146" s="49"/>
      <c r="BB146" s="49"/>
      <c r="BC146" s="2"/>
      <c r="BD146" s="3"/>
      <c r="BE146" s="3"/>
      <c r="BF146" s="3"/>
      <c r="BG146" s="3"/>
    </row>
    <row r="147" spans="1:59" ht="15">
      <c r="A147" s="65" t="s">
        <v>333</v>
      </c>
      <c r="B147" s="66" t="s">
        <v>3536</v>
      </c>
      <c r="C147" s="66"/>
      <c r="D147" s="67">
        <v>212.5</v>
      </c>
      <c r="E147" s="69">
        <v>50</v>
      </c>
      <c r="F147" s="96" t="str">
        <f>HYPERLINK("https://i.ytimg.com/vi/F4lgysGHrdw/default.jpg")</f>
        <v>https://i.ytimg.com/vi/F4lgysGHrdw/default.jpg</v>
      </c>
      <c r="G147" s="66"/>
      <c r="H147" s="70" t="s">
        <v>740</v>
      </c>
      <c r="I147" s="71"/>
      <c r="J147" s="71" t="s">
        <v>159</v>
      </c>
      <c r="K147" s="70" t="s">
        <v>740</v>
      </c>
      <c r="L147" s="74">
        <v>1.081449513491962</v>
      </c>
      <c r="M147" s="75">
        <v>5884.82861328125</v>
      </c>
      <c r="N147" s="75">
        <v>8869.63671875</v>
      </c>
      <c r="O147" s="76"/>
      <c r="P147" s="77"/>
      <c r="Q147" s="77"/>
      <c r="R147" s="82"/>
      <c r="S147" s="49">
        <v>1</v>
      </c>
      <c r="T147" s="49">
        <v>0</v>
      </c>
      <c r="U147" s="50">
        <v>0</v>
      </c>
      <c r="V147" s="50">
        <v>0.000921</v>
      </c>
      <c r="W147" s="50">
        <v>0.001855</v>
      </c>
      <c r="X147" s="50">
        <v>0.399466</v>
      </c>
      <c r="Y147" s="50">
        <v>0</v>
      </c>
      <c r="Z147" s="50">
        <v>0</v>
      </c>
      <c r="AA147" s="72">
        <v>119</v>
      </c>
      <c r="AB147" s="72"/>
      <c r="AC147" s="73"/>
      <c r="AD147" s="80" t="s">
        <v>740</v>
      </c>
      <c r="AE147" s="80" t="s">
        <v>1128</v>
      </c>
      <c r="AF147" s="80" t="s">
        <v>1483</v>
      </c>
      <c r="AG147" s="80" t="s">
        <v>1753</v>
      </c>
      <c r="AH147" s="80" t="s">
        <v>2031</v>
      </c>
      <c r="AI147" s="80">
        <v>1864</v>
      </c>
      <c r="AJ147" s="80">
        <v>10</v>
      </c>
      <c r="AK147" s="80">
        <v>105</v>
      </c>
      <c r="AL147" s="80">
        <v>3</v>
      </c>
      <c r="AM147" s="80" t="s">
        <v>2317</v>
      </c>
      <c r="AN147" s="98" t="str">
        <f>HYPERLINK("https://www.youtube.com/watch?v=F4lgysGHrdw")</f>
        <v>https://www.youtube.com/watch?v=F4lgysGHrdw</v>
      </c>
      <c r="AO147" s="80" t="str">
        <f>REPLACE(INDEX(GroupVertices[Group],MATCH(Vertices[[#This Row],[Vertex]],GroupVertices[Vertex],0)),1,1,"")</f>
        <v>6</v>
      </c>
      <c r="AP147" s="49">
        <v>2</v>
      </c>
      <c r="AQ147" s="50">
        <v>7.407407407407407</v>
      </c>
      <c r="AR147" s="49">
        <v>0</v>
      </c>
      <c r="AS147" s="50">
        <v>0</v>
      </c>
      <c r="AT147" s="49">
        <v>0</v>
      </c>
      <c r="AU147" s="50">
        <v>0</v>
      </c>
      <c r="AV147" s="49">
        <v>25</v>
      </c>
      <c r="AW147" s="50">
        <v>92.5925925925926</v>
      </c>
      <c r="AX147" s="49">
        <v>27</v>
      </c>
      <c r="AY147" s="49"/>
      <c r="AZ147" s="49"/>
      <c r="BA147" s="49"/>
      <c r="BB147" s="49"/>
      <c r="BC147" s="2"/>
      <c r="BD147" s="3"/>
      <c r="BE147" s="3"/>
      <c r="BF147" s="3"/>
      <c r="BG147" s="3"/>
    </row>
    <row r="148" spans="1:59" ht="15">
      <c r="A148" s="65" t="s">
        <v>334</v>
      </c>
      <c r="B148" s="66" t="s">
        <v>3536</v>
      </c>
      <c r="C148" s="66"/>
      <c r="D148" s="67">
        <v>212.5</v>
      </c>
      <c r="E148" s="69">
        <v>50</v>
      </c>
      <c r="F148" s="96" t="str">
        <f>HYPERLINK("https://i.ytimg.com/vi/1POB_czE16k/default.jpg")</f>
        <v>https://i.ytimg.com/vi/1POB_czE16k/default.jpg</v>
      </c>
      <c r="G148" s="66"/>
      <c r="H148" s="70" t="s">
        <v>741</v>
      </c>
      <c r="I148" s="71"/>
      <c r="J148" s="71" t="s">
        <v>159</v>
      </c>
      <c r="K148" s="70" t="s">
        <v>741</v>
      </c>
      <c r="L148" s="74">
        <v>4.996168952837686</v>
      </c>
      <c r="M148" s="75">
        <v>7223.34716796875</v>
      </c>
      <c r="N148" s="75">
        <v>6408.9091796875</v>
      </c>
      <c r="O148" s="76"/>
      <c r="P148" s="77"/>
      <c r="Q148" s="77"/>
      <c r="R148" s="82"/>
      <c r="S148" s="49">
        <v>1</v>
      </c>
      <c r="T148" s="49">
        <v>0</v>
      </c>
      <c r="U148" s="50">
        <v>0</v>
      </c>
      <c r="V148" s="50">
        <v>0.000921</v>
      </c>
      <c r="W148" s="50">
        <v>0.001855</v>
      </c>
      <c r="X148" s="50">
        <v>0.399466</v>
      </c>
      <c r="Y148" s="50">
        <v>0</v>
      </c>
      <c r="Z148" s="50">
        <v>0</v>
      </c>
      <c r="AA148" s="72">
        <v>120</v>
      </c>
      <c r="AB148" s="72"/>
      <c r="AC148" s="73"/>
      <c r="AD148" s="80" t="s">
        <v>741</v>
      </c>
      <c r="AE148" s="80" t="s">
        <v>1129</v>
      </c>
      <c r="AF148" s="80" t="s">
        <v>1484</v>
      </c>
      <c r="AG148" s="80" t="s">
        <v>1695</v>
      </c>
      <c r="AH148" s="80" t="s">
        <v>2032</v>
      </c>
      <c r="AI148" s="80">
        <v>90925</v>
      </c>
      <c r="AJ148" s="80">
        <v>55</v>
      </c>
      <c r="AK148" s="80">
        <v>537</v>
      </c>
      <c r="AL148" s="80">
        <v>13</v>
      </c>
      <c r="AM148" s="80" t="s">
        <v>2317</v>
      </c>
      <c r="AN148" s="98" t="str">
        <f>HYPERLINK("https://www.youtube.com/watch?v=1POB_czE16k")</f>
        <v>https://www.youtube.com/watch?v=1POB_czE16k</v>
      </c>
      <c r="AO148" s="80" t="str">
        <f>REPLACE(INDEX(GroupVertices[Group],MATCH(Vertices[[#This Row],[Vertex]],GroupVertices[Vertex],0)),1,1,"")</f>
        <v>6</v>
      </c>
      <c r="AP148" s="49">
        <v>0</v>
      </c>
      <c r="AQ148" s="50">
        <v>0</v>
      </c>
      <c r="AR148" s="49">
        <v>3</v>
      </c>
      <c r="AS148" s="50">
        <v>11.538461538461538</v>
      </c>
      <c r="AT148" s="49">
        <v>0</v>
      </c>
      <c r="AU148" s="50">
        <v>0</v>
      </c>
      <c r="AV148" s="49">
        <v>23</v>
      </c>
      <c r="AW148" s="50">
        <v>88.46153846153847</v>
      </c>
      <c r="AX148" s="49">
        <v>26</v>
      </c>
      <c r="AY148" s="49"/>
      <c r="AZ148" s="49"/>
      <c r="BA148" s="49"/>
      <c r="BB148" s="49"/>
      <c r="BC148" s="2"/>
      <c r="BD148" s="3"/>
      <c r="BE148" s="3"/>
      <c r="BF148" s="3"/>
      <c r="BG148" s="3"/>
    </row>
    <row r="149" spans="1:59" ht="15">
      <c r="A149" s="65" t="s">
        <v>335</v>
      </c>
      <c r="B149" s="66" t="s">
        <v>3536</v>
      </c>
      <c r="C149" s="66"/>
      <c r="D149" s="67">
        <v>212.5</v>
      </c>
      <c r="E149" s="69">
        <v>50</v>
      </c>
      <c r="F149" s="96" t="str">
        <f>HYPERLINK("https://i.ytimg.com/vi/eLsegxXzaiE/default.jpg")</f>
        <v>https://i.ytimg.com/vi/eLsegxXzaiE/default.jpg</v>
      </c>
      <c r="G149" s="66"/>
      <c r="H149" s="70" t="s">
        <v>742</v>
      </c>
      <c r="I149" s="71"/>
      <c r="J149" s="71" t="s">
        <v>159</v>
      </c>
      <c r="K149" s="70" t="s">
        <v>742</v>
      </c>
      <c r="L149" s="74">
        <v>5.436515000415924</v>
      </c>
      <c r="M149" s="75">
        <v>7557.9765625</v>
      </c>
      <c r="N149" s="75">
        <v>6408.9091796875</v>
      </c>
      <c r="O149" s="76"/>
      <c r="P149" s="77"/>
      <c r="Q149" s="77"/>
      <c r="R149" s="82"/>
      <c r="S149" s="49">
        <v>1</v>
      </c>
      <c r="T149" s="49">
        <v>0</v>
      </c>
      <c r="U149" s="50">
        <v>0</v>
      </c>
      <c r="V149" s="50">
        <v>0.000921</v>
      </c>
      <c r="W149" s="50">
        <v>0.001855</v>
      </c>
      <c r="X149" s="50">
        <v>0.399466</v>
      </c>
      <c r="Y149" s="50">
        <v>0</v>
      </c>
      <c r="Z149" s="50">
        <v>0</v>
      </c>
      <c r="AA149" s="72">
        <v>121</v>
      </c>
      <c r="AB149" s="72"/>
      <c r="AC149" s="73"/>
      <c r="AD149" s="80" t="s">
        <v>742</v>
      </c>
      <c r="AE149" s="80" t="s">
        <v>1130</v>
      </c>
      <c r="AF149" s="80" t="s">
        <v>1485</v>
      </c>
      <c r="AG149" s="80" t="s">
        <v>1695</v>
      </c>
      <c r="AH149" s="80" t="s">
        <v>2033</v>
      </c>
      <c r="AI149" s="80">
        <v>100943</v>
      </c>
      <c r="AJ149" s="80">
        <v>16</v>
      </c>
      <c r="AK149" s="80">
        <v>652</v>
      </c>
      <c r="AL149" s="80">
        <v>23</v>
      </c>
      <c r="AM149" s="80" t="s">
        <v>2317</v>
      </c>
      <c r="AN149" s="98" t="str">
        <f>HYPERLINK("https://www.youtube.com/watch?v=eLsegxXzaiE")</f>
        <v>https://www.youtube.com/watch?v=eLsegxXzaiE</v>
      </c>
      <c r="AO149" s="80" t="str">
        <f>REPLACE(INDEX(GroupVertices[Group],MATCH(Vertices[[#This Row],[Vertex]],GroupVertices[Vertex],0)),1,1,"")</f>
        <v>6</v>
      </c>
      <c r="AP149" s="49">
        <v>0</v>
      </c>
      <c r="AQ149" s="50">
        <v>0</v>
      </c>
      <c r="AR149" s="49">
        <v>1</v>
      </c>
      <c r="AS149" s="50">
        <v>3.7037037037037037</v>
      </c>
      <c r="AT149" s="49">
        <v>0</v>
      </c>
      <c r="AU149" s="50">
        <v>0</v>
      </c>
      <c r="AV149" s="49">
        <v>26</v>
      </c>
      <c r="AW149" s="50">
        <v>96.29629629629629</v>
      </c>
      <c r="AX149" s="49">
        <v>27</v>
      </c>
      <c r="AY149" s="49"/>
      <c r="AZ149" s="49"/>
      <c r="BA149" s="49"/>
      <c r="BB149" s="49"/>
      <c r="BC149" s="2"/>
      <c r="BD149" s="3"/>
      <c r="BE149" s="3"/>
      <c r="BF149" s="3"/>
      <c r="BG149" s="3"/>
    </row>
    <row r="150" spans="1:59" ht="15">
      <c r="A150" s="65" t="s">
        <v>336</v>
      </c>
      <c r="B150" s="66" t="s">
        <v>3536</v>
      </c>
      <c r="C150" s="66"/>
      <c r="D150" s="67">
        <v>212.5</v>
      </c>
      <c r="E150" s="69">
        <v>50</v>
      </c>
      <c r="F150" s="96" t="str">
        <f>HYPERLINK("https://i.ytimg.com/vi/xztaFt0XqKU/default.jpg")</f>
        <v>https://i.ytimg.com/vi/xztaFt0XqKU/default.jpg</v>
      </c>
      <c r="G150" s="66"/>
      <c r="H150" s="70" t="s">
        <v>743</v>
      </c>
      <c r="I150" s="71"/>
      <c r="J150" s="71" t="s">
        <v>159</v>
      </c>
      <c r="K150" s="70" t="s">
        <v>743</v>
      </c>
      <c r="L150" s="74">
        <v>1.6291348551594451</v>
      </c>
      <c r="M150" s="75">
        <v>7223.34716796875</v>
      </c>
      <c r="N150" s="75">
        <v>8254.4541015625</v>
      </c>
      <c r="O150" s="76"/>
      <c r="P150" s="77"/>
      <c r="Q150" s="77"/>
      <c r="R150" s="82"/>
      <c r="S150" s="49">
        <v>1</v>
      </c>
      <c r="T150" s="49">
        <v>0</v>
      </c>
      <c r="U150" s="50">
        <v>0</v>
      </c>
      <c r="V150" s="50">
        <v>0.000921</v>
      </c>
      <c r="W150" s="50">
        <v>0.001855</v>
      </c>
      <c r="X150" s="50">
        <v>0.399466</v>
      </c>
      <c r="Y150" s="50">
        <v>0</v>
      </c>
      <c r="Z150" s="50">
        <v>0</v>
      </c>
      <c r="AA150" s="72">
        <v>122</v>
      </c>
      <c r="AB150" s="72"/>
      <c r="AC150" s="73"/>
      <c r="AD150" s="80" t="s">
        <v>743</v>
      </c>
      <c r="AE150" s="80" t="s">
        <v>1131</v>
      </c>
      <c r="AF150" s="80" t="s">
        <v>1486</v>
      </c>
      <c r="AG150" s="80" t="s">
        <v>1754</v>
      </c>
      <c r="AH150" s="80" t="s">
        <v>2034</v>
      </c>
      <c r="AI150" s="80">
        <v>14324</v>
      </c>
      <c r="AJ150" s="80">
        <v>14</v>
      </c>
      <c r="AK150" s="80">
        <v>117</v>
      </c>
      <c r="AL150" s="80">
        <v>21</v>
      </c>
      <c r="AM150" s="80" t="s">
        <v>2317</v>
      </c>
      <c r="AN150" s="98" t="str">
        <f>HYPERLINK("https://www.youtube.com/watch?v=xztaFt0XqKU")</f>
        <v>https://www.youtube.com/watch?v=xztaFt0XqKU</v>
      </c>
      <c r="AO150" s="80" t="str">
        <f>REPLACE(INDEX(GroupVertices[Group],MATCH(Vertices[[#This Row],[Vertex]],GroupVertices[Vertex],0)),1,1,"")</f>
        <v>6</v>
      </c>
      <c r="AP150" s="49">
        <v>0</v>
      </c>
      <c r="AQ150" s="50">
        <v>0</v>
      </c>
      <c r="AR150" s="49">
        <v>1</v>
      </c>
      <c r="AS150" s="50">
        <v>4.545454545454546</v>
      </c>
      <c r="AT150" s="49">
        <v>0</v>
      </c>
      <c r="AU150" s="50">
        <v>0</v>
      </c>
      <c r="AV150" s="49">
        <v>21</v>
      </c>
      <c r="AW150" s="50">
        <v>95.45454545454545</v>
      </c>
      <c r="AX150" s="49">
        <v>22</v>
      </c>
      <c r="AY150" s="49"/>
      <c r="AZ150" s="49"/>
      <c r="BA150" s="49"/>
      <c r="BB150" s="49"/>
      <c r="BC150" s="2"/>
      <c r="BD150" s="3"/>
      <c r="BE150" s="3"/>
      <c r="BF150" s="3"/>
      <c r="BG150" s="3"/>
    </row>
    <row r="151" spans="1:59" ht="15">
      <c r="A151" s="65" t="s">
        <v>337</v>
      </c>
      <c r="B151" s="66" t="s">
        <v>3536</v>
      </c>
      <c r="C151" s="66"/>
      <c r="D151" s="67">
        <v>212.5</v>
      </c>
      <c r="E151" s="69">
        <v>50</v>
      </c>
      <c r="F151" s="96" t="str">
        <f>HYPERLINK("https://i.ytimg.com/vi/oQ235E1gvrU/default.jpg")</f>
        <v>https://i.ytimg.com/vi/oQ235E1gvrU/default.jpg</v>
      </c>
      <c r="G151" s="66"/>
      <c r="H151" s="70" t="s">
        <v>744</v>
      </c>
      <c r="I151" s="71"/>
      <c r="J151" s="71" t="s">
        <v>159</v>
      </c>
      <c r="K151" s="70" t="s">
        <v>744</v>
      </c>
      <c r="L151" s="74">
        <v>14.680661160132086</v>
      </c>
      <c r="M151" s="75">
        <v>7223.34716796875</v>
      </c>
      <c r="N151" s="75">
        <v>5793.72802734375</v>
      </c>
      <c r="O151" s="76"/>
      <c r="P151" s="77"/>
      <c r="Q151" s="77"/>
      <c r="R151" s="82"/>
      <c r="S151" s="49">
        <v>1</v>
      </c>
      <c r="T151" s="49">
        <v>0</v>
      </c>
      <c r="U151" s="50">
        <v>0</v>
      </c>
      <c r="V151" s="50">
        <v>0.000921</v>
      </c>
      <c r="W151" s="50">
        <v>0.001855</v>
      </c>
      <c r="X151" s="50">
        <v>0.399466</v>
      </c>
      <c r="Y151" s="50">
        <v>0</v>
      </c>
      <c r="Z151" s="50">
        <v>0</v>
      </c>
      <c r="AA151" s="72">
        <v>123</v>
      </c>
      <c r="AB151" s="72"/>
      <c r="AC151" s="73"/>
      <c r="AD151" s="80" t="s">
        <v>744</v>
      </c>
      <c r="AE151" s="80" t="s">
        <v>1132</v>
      </c>
      <c r="AF151" s="80" t="s">
        <v>1487</v>
      </c>
      <c r="AG151" s="80" t="s">
        <v>1755</v>
      </c>
      <c r="AH151" s="80" t="s">
        <v>2035</v>
      </c>
      <c r="AI151" s="80">
        <v>311250</v>
      </c>
      <c r="AJ151" s="80">
        <v>131</v>
      </c>
      <c r="AK151" s="80">
        <v>4647</v>
      </c>
      <c r="AL151" s="80">
        <v>138</v>
      </c>
      <c r="AM151" s="80" t="s">
        <v>2317</v>
      </c>
      <c r="AN151" s="98" t="str">
        <f>HYPERLINK("https://www.youtube.com/watch?v=oQ235E1gvrU")</f>
        <v>https://www.youtube.com/watch?v=oQ235E1gvrU</v>
      </c>
      <c r="AO151" s="80" t="str">
        <f>REPLACE(INDEX(GroupVertices[Group],MATCH(Vertices[[#This Row],[Vertex]],GroupVertices[Vertex],0)),1,1,"")</f>
        <v>6</v>
      </c>
      <c r="AP151" s="49">
        <v>0</v>
      </c>
      <c r="AQ151" s="50">
        <v>0</v>
      </c>
      <c r="AR151" s="49">
        <v>5</v>
      </c>
      <c r="AS151" s="50">
        <v>9.090909090909092</v>
      </c>
      <c r="AT151" s="49">
        <v>0</v>
      </c>
      <c r="AU151" s="50">
        <v>0</v>
      </c>
      <c r="AV151" s="49">
        <v>50</v>
      </c>
      <c r="AW151" s="50">
        <v>90.9090909090909</v>
      </c>
      <c r="AX151" s="49">
        <v>55</v>
      </c>
      <c r="AY151" s="49"/>
      <c r="AZ151" s="49"/>
      <c r="BA151" s="49"/>
      <c r="BB151" s="49"/>
      <c r="BC151" s="2"/>
      <c r="BD151" s="3"/>
      <c r="BE151" s="3"/>
      <c r="BF151" s="3"/>
      <c r="BG151" s="3"/>
    </row>
    <row r="152" spans="1:59" ht="15">
      <c r="A152" s="65" t="s">
        <v>338</v>
      </c>
      <c r="B152" s="66" t="s">
        <v>3536</v>
      </c>
      <c r="C152" s="66"/>
      <c r="D152" s="67">
        <v>212.5</v>
      </c>
      <c r="E152" s="69">
        <v>50</v>
      </c>
      <c r="F152" s="96" t="str">
        <f>HYPERLINK("https://i.ytimg.com/vi/twG4mr6Jov0/default.jpg")</f>
        <v>https://i.ytimg.com/vi/twG4mr6Jov0/default.jpg</v>
      </c>
      <c r="G152" s="66"/>
      <c r="H152" s="70" t="s">
        <v>745</v>
      </c>
      <c r="I152" s="71"/>
      <c r="J152" s="71" t="s">
        <v>159</v>
      </c>
      <c r="K152" s="70" t="s">
        <v>745</v>
      </c>
      <c r="L152" s="74">
        <v>95.690531892274</v>
      </c>
      <c r="M152" s="75">
        <v>7223.34716796875</v>
      </c>
      <c r="N152" s="75">
        <v>5178.54541015625</v>
      </c>
      <c r="O152" s="76"/>
      <c r="P152" s="77"/>
      <c r="Q152" s="77"/>
      <c r="R152" s="82"/>
      <c r="S152" s="49">
        <v>1</v>
      </c>
      <c r="T152" s="49">
        <v>0</v>
      </c>
      <c r="U152" s="50">
        <v>0</v>
      </c>
      <c r="V152" s="50">
        <v>0.000921</v>
      </c>
      <c r="W152" s="50">
        <v>0.001855</v>
      </c>
      <c r="X152" s="50">
        <v>0.399466</v>
      </c>
      <c r="Y152" s="50">
        <v>0</v>
      </c>
      <c r="Z152" s="50">
        <v>0</v>
      </c>
      <c r="AA152" s="72">
        <v>124</v>
      </c>
      <c r="AB152" s="72"/>
      <c r="AC152" s="73"/>
      <c r="AD152" s="80" t="s">
        <v>745</v>
      </c>
      <c r="AE152" s="80" t="s">
        <v>1133</v>
      </c>
      <c r="AF152" s="80" t="s">
        <v>1488</v>
      </c>
      <c r="AG152" s="80" t="s">
        <v>1756</v>
      </c>
      <c r="AH152" s="80" t="s">
        <v>2036</v>
      </c>
      <c r="AI152" s="80">
        <v>2154248</v>
      </c>
      <c r="AJ152" s="80">
        <v>2221</v>
      </c>
      <c r="AK152" s="80">
        <v>36116</v>
      </c>
      <c r="AL152" s="80">
        <v>1402</v>
      </c>
      <c r="AM152" s="80" t="s">
        <v>2317</v>
      </c>
      <c r="AN152" s="98" t="str">
        <f>HYPERLINK("https://www.youtube.com/watch?v=twG4mr6Jov0")</f>
        <v>https://www.youtube.com/watch?v=twG4mr6Jov0</v>
      </c>
      <c r="AO152" s="80" t="str">
        <f>REPLACE(INDEX(GroupVertices[Group],MATCH(Vertices[[#This Row],[Vertex]],GroupVertices[Vertex],0)),1,1,"")</f>
        <v>6</v>
      </c>
      <c r="AP152" s="49">
        <v>0</v>
      </c>
      <c r="AQ152" s="50">
        <v>0</v>
      </c>
      <c r="AR152" s="49">
        <v>0</v>
      </c>
      <c r="AS152" s="50">
        <v>0</v>
      </c>
      <c r="AT152" s="49">
        <v>0</v>
      </c>
      <c r="AU152" s="50">
        <v>0</v>
      </c>
      <c r="AV152" s="49">
        <v>20</v>
      </c>
      <c r="AW152" s="50">
        <v>100</v>
      </c>
      <c r="AX152" s="49">
        <v>20</v>
      </c>
      <c r="AY152" s="49"/>
      <c r="AZ152" s="49"/>
      <c r="BA152" s="49"/>
      <c r="BB152" s="49"/>
      <c r="BC152" s="2"/>
      <c r="BD152" s="3"/>
      <c r="BE152" s="3"/>
      <c r="BF152" s="3"/>
      <c r="BG152" s="3"/>
    </row>
    <row r="153" spans="1:59" ht="15">
      <c r="A153" s="65" t="s">
        <v>339</v>
      </c>
      <c r="B153" s="66" t="s">
        <v>3536</v>
      </c>
      <c r="C153" s="66"/>
      <c r="D153" s="67">
        <v>212.5</v>
      </c>
      <c r="E153" s="69">
        <v>50</v>
      </c>
      <c r="F153" s="96" t="str">
        <f>HYPERLINK("https://i.ytimg.com/vi/chSyQPKsNk4/default.jpg")</f>
        <v>https://i.ytimg.com/vi/chSyQPKsNk4/default.jpg</v>
      </c>
      <c r="G153" s="66"/>
      <c r="H153" s="70" t="s">
        <v>746</v>
      </c>
      <c r="I153" s="71"/>
      <c r="J153" s="71" t="s">
        <v>159</v>
      </c>
      <c r="K153" s="70" t="s">
        <v>746</v>
      </c>
      <c r="L153" s="74">
        <v>14.774901719725593</v>
      </c>
      <c r="M153" s="75">
        <v>7557.9765625</v>
      </c>
      <c r="N153" s="75">
        <v>5793.72802734375</v>
      </c>
      <c r="O153" s="76"/>
      <c r="P153" s="77"/>
      <c r="Q153" s="77"/>
      <c r="R153" s="82"/>
      <c r="S153" s="49">
        <v>1</v>
      </c>
      <c r="T153" s="49">
        <v>0</v>
      </c>
      <c r="U153" s="50">
        <v>0</v>
      </c>
      <c r="V153" s="50">
        <v>0.000921</v>
      </c>
      <c r="W153" s="50">
        <v>0.001855</v>
      </c>
      <c r="X153" s="50">
        <v>0.399466</v>
      </c>
      <c r="Y153" s="50">
        <v>0</v>
      </c>
      <c r="Z153" s="50">
        <v>0</v>
      </c>
      <c r="AA153" s="72">
        <v>125</v>
      </c>
      <c r="AB153" s="72"/>
      <c r="AC153" s="73"/>
      <c r="AD153" s="80" t="s">
        <v>746</v>
      </c>
      <c r="AE153" s="80" t="s">
        <v>1134</v>
      </c>
      <c r="AF153" s="80" t="s">
        <v>1489</v>
      </c>
      <c r="AG153" s="80" t="s">
        <v>1757</v>
      </c>
      <c r="AH153" s="80" t="s">
        <v>2037</v>
      </c>
      <c r="AI153" s="80">
        <v>313394</v>
      </c>
      <c r="AJ153" s="80">
        <v>193</v>
      </c>
      <c r="AK153" s="80">
        <v>4469</v>
      </c>
      <c r="AL153" s="80">
        <v>80</v>
      </c>
      <c r="AM153" s="80" t="s">
        <v>2317</v>
      </c>
      <c r="AN153" s="98" t="str">
        <f>HYPERLINK("https://www.youtube.com/watch?v=chSyQPKsNk4")</f>
        <v>https://www.youtube.com/watch?v=chSyQPKsNk4</v>
      </c>
      <c r="AO153" s="80" t="str">
        <f>REPLACE(INDEX(GroupVertices[Group],MATCH(Vertices[[#This Row],[Vertex]],GroupVertices[Vertex],0)),1,1,"")</f>
        <v>6</v>
      </c>
      <c r="AP153" s="49">
        <v>0</v>
      </c>
      <c r="AQ153" s="50">
        <v>0</v>
      </c>
      <c r="AR153" s="49">
        <v>3</v>
      </c>
      <c r="AS153" s="50">
        <v>10</v>
      </c>
      <c r="AT153" s="49">
        <v>0</v>
      </c>
      <c r="AU153" s="50">
        <v>0</v>
      </c>
      <c r="AV153" s="49">
        <v>27</v>
      </c>
      <c r="AW153" s="50">
        <v>90</v>
      </c>
      <c r="AX153" s="49">
        <v>30</v>
      </c>
      <c r="AY153" s="49"/>
      <c r="AZ153" s="49"/>
      <c r="BA153" s="49"/>
      <c r="BB153" s="49"/>
      <c r="BC153" s="2"/>
      <c r="BD153" s="3"/>
      <c r="BE153" s="3"/>
      <c r="BF153" s="3"/>
      <c r="BG153" s="3"/>
    </row>
    <row r="154" spans="1:59" ht="15">
      <c r="A154" s="65" t="s">
        <v>340</v>
      </c>
      <c r="B154" s="66" t="s">
        <v>3536</v>
      </c>
      <c r="C154" s="66"/>
      <c r="D154" s="67">
        <v>212.5</v>
      </c>
      <c r="E154" s="69">
        <v>50</v>
      </c>
      <c r="F154" s="96" t="str">
        <f>HYPERLINK("https://i.ytimg.com/vi/AkVPDzXfvKA/default.jpg")</f>
        <v>https://i.ytimg.com/vi/AkVPDzXfvKA/default.jpg</v>
      </c>
      <c r="G154" s="66"/>
      <c r="H154" s="70" t="s">
        <v>747</v>
      </c>
      <c r="I154" s="71"/>
      <c r="J154" s="71" t="s">
        <v>159</v>
      </c>
      <c r="K154" s="70" t="s">
        <v>747</v>
      </c>
      <c r="L154" s="74">
        <v>6.039320520129236</v>
      </c>
      <c r="M154" s="75">
        <v>6219.45751953125</v>
      </c>
      <c r="N154" s="75">
        <v>5793.72802734375</v>
      </c>
      <c r="O154" s="76"/>
      <c r="P154" s="77"/>
      <c r="Q154" s="77"/>
      <c r="R154" s="82"/>
      <c r="S154" s="49">
        <v>1</v>
      </c>
      <c r="T154" s="49">
        <v>0</v>
      </c>
      <c r="U154" s="50">
        <v>0</v>
      </c>
      <c r="V154" s="50">
        <v>0.000921</v>
      </c>
      <c r="W154" s="50">
        <v>0.001855</v>
      </c>
      <c r="X154" s="50">
        <v>0.399466</v>
      </c>
      <c r="Y154" s="50">
        <v>0</v>
      </c>
      <c r="Z154" s="50">
        <v>0</v>
      </c>
      <c r="AA154" s="72">
        <v>126</v>
      </c>
      <c r="AB154" s="72"/>
      <c r="AC154" s="73"/>
      <c r="AD154" s="80" t="s">
        <v>747</v>
      </c>
      <c r="AE154" s="80" t="s">
        <v>1135</v>
      </c>
      <c r="AF154" s="80" t="s">
        <v>1490</v>
      </c>
      <c r="AG154" s="80" t="s">
        <v>1758</v>
      </c>
      <c r="AH154" s="80" t="s">
        <v>2038</v>
      </c>
      <c r="AI154" s="80">
        <v>114657</v>
      </c>
      <c r="AJ154" s="80">
        <v>0</v>
      </c>
      <c r="AK154" s="80">
        <v>2588</v>
      </c>
      <c r="AL154" s="80">
        <v>143</v>
      </c>
      <c r="AM154" s="80" t="s">
        <v>2317</v>
      </c>
      <c r="AN154" s="98" t="str">
        <f>HYPERLINK("https://www.youtube.com/watch?v=AkVPDzXfvKA")</f>
        <v>https://www.youtube.com/watch?v=AkVPDzXfvKA</v>
      </c>
      <c r="AO154" s="80" t="str">
        <f>REPLACE(INDEX(GroupVertices[Group],MATCH(Vertices[[#This Row],[Vertex]],GroupVertices[Vertex],0)),1,1,"")</f>
        <v>6</v>
      </c>
      <c r="AP154" s="49">
        <v>0</v>
      </c>
      <c r="AQ154" s="50">
        <v>0</v>
      </c>
      <c r="AR154" s="49">
        <v>0</v>
      </c>
      <c r="AS154" s="50">
        <v>0</v>
      </c>
      <c r="AT154" s="49">
        <v>0</v>
      </c>
      <c r="AU154" s="50">
        <v>0</v>
      </c>
      <c r="AV154" s="49">
        <v>7</v>
      </c>
      <c r="AW154" s="50">
        <v>100</v>
      </c>
      <c r="AX154" s="49">
        <v>7</v>
      </c>
      <c r="AY154" s="49"/>
      <c r="AZ154" s="49"/>
      <c r="BA154" s="49"/>
      <c r="BB154" s="49"/>
      <c r="BC154" s="2"/>
      <c r="BD154" s="3"/>
      <c r="BE154" s="3"/>
      <c r="BF154" s="3"/>
      <c r="BG154" s="3"/>
    </row>
    <row r="155" spans="1:59" ht="15">
      <c r="A155" s="65" t="s">
        <v>341</v>
      </c>
      <c r="B155" s="66" t="s">
        <v>3536</v>
      </c>
      <c r="C155" s="66"/>
      <c r="D155" s="67">
        <v>212.5</v>
      </c>
      <c r="E155" s="69">
        <v>50</v>
      </c>
      <c r="F155" s="96" t="str">
        <f>HYPERLINK("https://i.ytimg.com/vi/SSu_FjJTOrc/default.jpg")</f>
        <v>https://i.ytimg.com/vi/SSu_FjJTOrc/default.jpg</v>
      </c>
      <c r="G155" s="66"/>
      <c r="H155" s="70" t="s">
        <v>749</v>
      </c>
      <c r="I155" s="71"/>
      <c r="J155" s="71" t="s">
        <v>159</v>
      </c>
      <c r="K155" s="70" t="s">
        <v>749</v>
      </c>
      <c r="L155" s="74">
        <v>1.0018021748802863</v>
      </c>
      <c r="M155" s="75">
        <v>2326.89501953125</v>
      </c>
      <c r="N155" s="75">
        <v>9524.98828125</v>
      </c>
      <c r="O155" s="76"/>
      <c r="P155" s="77"/>
      <c r="Q155" s="77"/>
      <c r="R155" s="82"/>
      <c r="S155" s="49">
        <v>1</v>
      </c>
      <c r="T155" s="49">
        <v>0</v>
      </c>
      <c r="U155" s="50">
        <v>0</v>
      </c>
      <c r="V155" s="50">
        <v>0.000876</v>
      </c>
      <c r="W155" s="50">
        <v>0.001302</v>
      </c>
      <c r="X155" s="50">
        <v>0.392973</v>
      </c>
      <c r="Y155" s="50">
        <v>0</v>
      </c>
      <c r="Z155" s="50">
        <v>0</v>
      </c>
      <c r="AA155" s="72">
        <v>128</v>
      </c>
      <c r="AB155" s="72"/>
      <c r="AC155" s="73"/>
      <c r="AD155" s="80" t="s">
        <v>749</v>
      </c>
      <c r="AE155" s="80" t="s">
        <v>1137</v>
      </c>
      <c r="AF155" s="80"/>
      <c r="AG155" s="80" t="s">
        <v>1759</v>
      </c>
      <c r="AH155" s="80" t="s">
        <v>2040</v>
      </c>
      <c r="AI155" s="80">
        <v>52</v>
      </c>
      <c r="AJ155" s="80">
        <v>0</v>
      </c>
      <c r="AK155" s="80">
        <v>0</v>
      </c>
      <c r="AL155" s="80">
        <v>0</v>
      </c>
      <c r="AM155" s="80" t="s">
        <v>2317</v>
      </c>
      <c r="AN155" s="98" t="str">
        <f>HYPERLINK("https://www.youtube.com/watch?v=SSu_FjJTOrc")</f>
        <v>https://www.youtube.com/watch?v=SSu_FjJTOrc</v>
      </c>
      <c r="AO155" s="80" t="str">
        <f>REPLACE(INDEX(GroupVertices[Group],MATCH(Vertices[[#This Row],[Vertex]],GroupVertices[Vertex],0)),1,1,"")</f>
        <v>1</v>
      </c>
      <c r="AP155" s="49"/>
      <c r="AQ155" s="50"/>
      <c r="AR155" s="49"/>
      <c r="AS155" s="50"/>
      <c r="AT155" s="49"/>
      <c r="AU155" s="50"/>
      <c r="AV155" s="49"/>
      <c r="AW155" s="50"/>
      <c r="AX155" s="49"/>
      <c r="AY155" s="49"/>
      <c r="AZ155" s="49"/>
      <c r="BA155" s="49"/>
      <c r="BB155" s="49"/>
      <c r="BC155" s="2"/>
      <c r="BD155" s="3"/>
      <c r="BE155" s="3"/>
      <c r="BF155" s="3"/>
      <c r="BG155" s="3"/>
    </row>
    <row r="156" spans="1:59" ht="15">
      <c r="A156" s="65" t="s">
        <v>342</v>
      </c>
      <c r="B156" s="66" t="s">
        <v>3536</v>
      </c>
      <c r="C156" s="66"/>
      <c r="D156" s="67">
        <v>212.5</v>
      </c>
      <c r="E156" s="69">
        <v>50</v>
      </c>
      <c r="F156" s="96" t="str">
        <f>HYPERLINK("https://i.ytimg.com/vi/KOmSK3-t6v4/default.jpg")</f>
        <v>https://i.ytimg.com/vi/KOmSK3-t6v4/default.jpg</v>
      </c>
      <c r="G156" s="66"/>
      <c r="H156" s="70" t="s">
        <v>750</v>
      </c>
      <c r="I156" s="71"/>
      <c r="J156" s="71" t="s">
        <v>159</v>
      </c>
      <c r="K156" s="70" t="s">
        <v>750</v>
      </c>
      <c r="L156" s="74">
        <v>1.185887745578795</v>
      </c>
      <c r="M156" s="75">
        <v>1130.2061767578125</v>
      </c>
      <c r="N156" s="75">
        <v>7385.625</v>
      </c>
      <c r="O156" s="76"/>
      <c r="P156" s="77"/>
      <c r="Q156" s="77"/>
      <c r="R156" s="82"/>
      <c r="S156" s="49">
        <v>1</v>
      </c>
      <c r="T156" s="49">
        <v>0</v>
      </c>
      <c r="U156" s="50">
        <v>0</v>
      </c>
      <c r="V156" s="50">
        <v>0.000876</v>
      </c>
      <c r="W156" s="50">
        <v>0.001302</v>
      </c>
      <c r="X156" s="50">
        <v>0.392973</v>
      </c>
      <c r="Y156" s="50">
        <v>0</v>
      </c>
      <c r="Z156" s="50">
        <v>0</v>
      </c>
      <c r="AA156" s="72">
        <v>129</v>
      </c>
      <c r="AB156" s="72"/>
      <c r="AC156" s="73"/>
      <c r="AD156" s="80" t="s">
        <v>750</v>
      </c>
      <c r="AE156" s="80" t="s">
        <v>1138</v>
      </c>
      <c r="AF156" s="80" t="s">
        <v>1491</v>
      </c>
      <c r="AG156" s="80" t="s">
        <v>1760</v>
      </c>
      <c r="AH156" s="80" t="s">
        <v>2041</v>
      </c>
      <c r="AI156" s="80">
        <v>4240</v>
      </c>
      <c r="AJ156" s="80">
        <v>0</v>
      </c>
      <c r="AK156" s="80">
        <v>104</v>
      </c>
      <c r="AL156" s="80">
        <v>7</v>
      </c>
      <c r="AM156" s="80" t="s">
        <v>2317</v>
      </c>
      <c r="AN156" s="98" t="str">
        <f>HYPERLINK("https://www.youtube.com/watch?v=KOmSK3-t6v4")</f>
        <v>https://www.youtube.com/watch?v=KOmSK3-t6v4</v>
      </c>
      <c r="AO156" s="80" t="str">
        <f>REPLACE(INDEX(GroupVertices[Group],MATCH(Vertices[[#This Row],[Vertex]],GroupVertices[Vertex],0)),1,1,"")</f>
        <v>1</v>
      </c>
      <c r="AP156" s="49">
        <v>0</v>
      </c>
      <c r="AQ156" s="50">
        <v>0</v>
      </c>
      <c r="AR156" s="49">
        <v>0</v>
      </c>
      <c r="AS156" s="50">
        <v>0</v>
      </c>
      <c r="AT156" s="49">
        <v>0</v>
      </c>
      <c r="AU156" s="50">
        <v>0</v>
      </c>
      <c r="AV156" s="49">
        <v>50</v>
      </c>
      <c r="AW156" s="50">
        <v>100</v>
      </c>
      <c r="AX156" s="49">
        <v>50</v>
      </c>
      <c r="AY156" s="49"/>
      <c r="AZ156" s="49"/>
      <c r="BA156" s="49"/>
      <c r="BB156" s="49"/>
      <c r="BC156" s="2"/>
      <c r="BD156" s="3"/>
      <c r="BE156" s="3"/>
      <c r="BF156" s="3"/>
      <c r="BG156" s="3"/>
    </row>
    <row r="157" spans="1:59" ht="15">
      <c r="A157" s="65" t="s">
        <v>343</v>
      </c>
      <c r="B157" s="66" t="s">
        <v>3536</v>
      </c>
      <c r="C157" s="66"/>
      <c r="D157" s="67">
        <v>212.5</v>
      </c>
      <c r="E157" s="69">
        <v>50</v>
      </c>
      <c r="F157" s="96" t="str">
        <f>HYPERLINK("https://i.ytimg.com/vi/kP7URsS6OoU/default.jpg")</f>
        <v>https://i.ytimg.com/vi/kP7URsS6OoU/default.jpg</v>
      </c>
      <c r="G157" s="66"/>
      <c r="H157" s="70" t="s">
        <v>751</v>
      </c>
      <c r="I157" s="71"/>
      <c r="J157" s="71" t="s">
        <v>159</v>
      </c>
      <c r="K157" s="70" t="s">
        <v>751</v>
      </c>
      <c r="L157" s="74">
        <v>1.0013186645465508</v>
      </c>
      <c r="M157" s="75">
        <v>1927.9986572265625</v>
      </c>
      <c r="N157" s="75">
        <v>9524.98828125</v>
      </c>
      <c r="O157" s="76"/>
      <c r="P157" s="77"/>
      <c r="Q157" s="77"/>
      <c r="R157" s="82"/>
      <c r="S157" s="49">
        <v>1</v>
      </c>
      <c r="T157" s="49">
        <v>0</v>
      </c>
      <c r="U157" s="50">
        <v>0</v>
      </c>
      <c r="V157" s="50">
        <v>0.000876</v>
      </c>
      <c r="W157" s="50">
        <v>0.001302</v>
      </c>
      <c r="X157" s="50">
        <v>0.392973</v>
      </c>
      <c r="Y157" s="50">
        <v>0</v>
      </c>
      <c r="Z157" s="50">
        <v>0</v>
      </c>
      <c r="AA157" s="72">
        <v>130</v>
      </c>
      <c r="AB157" s="72"/>
      <c r="AC157" s="73"/>
      <c r="AD157" s="80" t="s">
        <v>751</v>
      </c>
      <c r="AE157" s="80" t="s">
        <v>1139</v>
      </c>
      <c r="AF157" s="80" t="s">
        <v>1492</v>
      </c>
      <c r="AG157" s="80" t="s">
        <v>1761</v>
      </c>
      <c r="AH157" s="80" t="s">
        <v>2042</v>
      </c>
      <c r="AI157" s="80">
        <v>41</v>
      </c>
      <c r="AJ157" s="80">
        <v>0</v>
      </c>
      <c r="AK157" s="80">
        <v>13</v>
      </c>
      <c r="AL157" s="80">
        <v>1</v>
      </c>
      <c r="AM157" s="80" t="s">
        <v>2317</v>
      </c>
      <c r="AN157" s="98" t="str">
        <f>HYPERLINK("https://www.youtube.com/watch?v=kP7URsS6OoU")</f>
        <v>https://www.youtube.com/watch?v=kP7URsS6OoU</v>
      </c>
      <c r="AO157" s="80" t="str">
        <f>REPLACE(INDEX(GroupVertices[Group],MATCH(Vertices[[#This Row],[Vertex]],GroupVertices[Vertex],0)),1,1,"")</f>
        <v>1</v>
      </c>
      <c r="AP157" s="49">
        <v>0</v>
      </c>
      <c r="AQ157" s="50">
        <v>0</v>
      </c>
      <c r="AR157" s="49">
        <v>0</v>
      </c>
      <c r="AS157" s="50">
        <v>0</v>
      </c>
      <c r="AT157" s="49">
        <v>0</v>
      </c>
      <c r="AU157" s="50">
        <v>0</v>
      </c>
      <c r="AV157" s="49">
        <v>35</v>
      </c>
      <c r="AW157" s="50">
        <v>100</v>
      </c>
      <c r="AX157" s="49">
        <v>35</v>
      </c>
      <c r="AY157" s="49"/>
      <c r="AZ157" s="49"/>
      <c r="BA157" s="49"/>
      <c r="BB157" s="49"/>
      <c r="BC157" s="2"/>
      <c r="BD157" s="3"/>
      <c r="BE157" s="3"/>
      <c r="BF157" s="3"/>
      <c r="BG157" s="3"/>
    </row>
    <row r="158" spans="1:59" ht="15">
      <c r="A158" s="65" t="s">
        <v>344</v>
      </c>
      <c r="B158" s="66" t="s">
        <v>3536</v>
      </c>
      <c r="C158" s="66"/>
      <c r="D158" s="67">
        <v>212.5</v>
      </c>
      <c r="E158" s="69">
        <v>50</v>
      </c>
      <c r="F158" s="96" t="str">
        <f>HYPERLINK("https://i.ytimg.com/vi/HCIet_3JORU/default.jpg")</f>
        <v>https://i.ytimg.com/vi/HCIet_3JORU/default.jpg</v>
      </c>
      <c r="G158" s="66"/>
      <c r="H158" s="70" t="s">
        <v>752</v>
      </c>
      <c r="I158" s="71"/>
      <c r="J158" s="71" t="s">
        <v>159</v>
      </c>
      <c r="K158" s="70" t="s">
        <v>752</v>
      </c>
      <c r="L158" s="74">
        <v>1.0087471414921212</v>
      </c>
      <c r="M158" s="75">
        <v>2326.89501953125</v>
      </c>
      <c r="N158" s="75">
        <v>8990.1474609375</v>
      </c>
      <c r="O158" s="76"/>
      <c r="P158" s="77"/>
      <c r="Q158" s="77"/>
      <c r="R158" s="82"/>
      <c r="S158" s="49">
        <v>1</v>
      </c>
      <c r="T158" s="49">
        <v>0</v>
      </c>
      <c r="U158" s="50">
        <v>0</v>
      </c>
      <c r="V158" s="50">
        <v>0.000876</v>
      </c>
      <c r="W158" s="50">
        <v>0.001302</v>
      </c>
      <c r="X158" s="50">
        <v>0.392973</v>
      </c>
      <c r="Y158" s="50">
        <v>0</v>
      </c>
      <c r="Z158" s="50">
        <v>0</v>
      </c>
      <c r="AA158" s="72">
        <v>131</v>
      </c>
      <c r="AB158" s="72"/>
      <c r="AC158" s="73"/>
      <c r="AD158" s="80" t="s">
        <v>752</v>
      </c>
      <c r="AE158" s="80" t="s">
        <v>1140</v>
      </c>
      <c r="AF158" s="80" t="s">
        <v>1493</v>
      </c>
      <c r="AG158" s="80" t="s">
        <v>1762</v>
      </c>
      <c r="AH158" s="80" t="s">
        <v>2043</v>
      </c>
      <c r="AI158" s="80">
        <v>210</v>
      </c>
      <c r="AJ158" s="80">
        <v>0</v>
      </c>
      <c r="AK158" s="80">
        <v>0</v>
      </c>
      <c r="AL158" s="80">
        <v>0</v>
      </c>
      <c r="AM158" s="80" t="s">
        <v>2317</v>
      </c>
      <c r="AN158" s="98" t="str">
        <f>HYPERLINK("https://www.youtube.com/watch?v=HCIet_3JORU")</f>
        <v>https://www.youtube.com/watch?v=HCIet_3JORU</v>
      </c>
      <c r="AO158" s="80" t="str">
        <f>REPLACE(INDEX(GroupVertices[Group],MATCH(Vertices[[#This Row],[Vertex]],GroupVertices[Vertex],0)),1,1,"")</f>
        <v>1</v>
      </c>
      <c r="AP158" s="49">
        <v>0</v>
      </c>
      <c r="AQ158" s="50">
        <v>0</v>
      </c>
      <c r="AR158" s="49">
        <v>1</v>
      </c>
      <c r="AS158" s="50">
        <v>14.285714285714286</v>
      </c>
      <c r="AT158" s="49">
        <v>0</v>
      </c>
      <c r="AU158" s="50">
        <v>0</v>
      </c>
      <c r="AV158" s="49">
        <v>6</v>
      </c>
      <c r="AW158" s="50">
        <v>85.71428571428571</v>
      </c>
      <c r="AX158" s="49">
        <v>7</v>
      </c>
      <c r="AY158" s="49"/>
      <c r="AZ158" s="49"/>
      <c r="BA158" s="49"/>
      <c r="BB158" s="49"/>
      <c r="BC158" s="2"/>
      <c r="BD158" s="3"/>
      <c r="BE158" s="3"/>
      <c r="BF158" s="3"/>
      <c r="BG158" s="3"/>
    </row>
    <row r="159" spans="1:59" ht="15">
      <c r="A159" s="65" t="s">
        <v>345</v>
      </c>
      <c r="B159" s="66" t="s">
        <v>3536</v>
      </c>
      <c r="C159" s="66"/>
      <c r="D159" s="67">
        <v>212.5</v>
      </c>
      <c r="E159" s="69">
        <v>50</v>
      </c>
      <c r="F159" s="96" t="str">
        <f>HYPERLINK("https://i.ytimg.com/vi/UKBjpQ3QU84/default.jpg")</f>
        <v>https://i.ytimg.com/vi/UKBjpQ3QU84/default.jpg</v>
      </c>
      <c r="G159" s="66"/>
      <c r="H159" s="70" t="s">
        <v>753</v>
      </c>
      <c r="I159" s="71"/>
      <c r="J159" s="71" t="s">
        <v>159</v>
      </c>
      <c r="K159" s="70" t="s">
        <v>753</v>
      </c>
      <c r="L159" s="74">
        <v>1.8052205276088784</v>
      </c>
      <c r="M159" s="75">
        <v>1130.2061767578125</v>
      </c>
      <c r="N159" s="75">
        <v>6315.943359375</v>
      </c>
      <c r="O159" s="76"/>
      <c r="P159" s="77"/>
      <c r="Q159" s="77"/>
      <c r="R159" s="82"/>
      <c r="S159" s="49">
        <v>1</v>
      </c>
      <c r="T159" s="49">
        <v>0</v>
      </c>
      <c r="U159" s="50">
        <v>0</v>
      </c>
      <c r="V159" s="50">
        <v>0.000876</v>
      </c>
      <c r="W159" s="50">
        <v>0.001302</v>
      </c>
      <c r="X159" s="50">
        <v>0.392973</v>
      </c>
      <c r="Y159" s="50">
        <v>0</v>
      </c>
      <c r="Z159" s="50">
        <v>0</v>
      </c>
      <c r="AA159" s="72">
        <v>132</v>
      </c>
      <c r="AB159" s="72"/>
      <c r="AC159" s="73"/>
      <c r="AD159" s="80" t="s">
        <v>753</v>
      </c>
      <c r="AE159" s="80" t="s">
        <v>1141</v>
      </c>
      <c r="AF159" s="80" t="s">
        <v>1494</v>
      </c>
      <c r="AG159" s="80" t="s">
        <v>1763</v>
      </c>
      <c r="AH159" s="80" t="s">
        <v>2044</v>
      </c>
      <c r="AI159" s="80">
        <v>18330</v>
      </c>
      <c r="AJ159" s="80">
        <v>5</v>
      </c>
      <c r="AK159" s="80">
        <v>25</v>
      </c>
      <c r="AL159" s="80">
        <v>10</v>
      </c>
      <c r="AM159" s="80" t="s">
        <v>2317</v>
      </c>
      <c r="AN159" s="98" t="str">
        <f>HYPERLINK("https://www.youtube.com/watch?v=UKBjpQ3QU84")</f>
        <v>https://www.youtube.com/watch?v=UKBjpQ3QU84</v>
      </c>
      <c r="AO159" s="80" t="str">
        <f>REPLACE(INDEX(GroupVertices[Group],MATCH(Vertices[[#This Row],[Vertex]],GroupVertices[Vertex],0)),1,1,"")</f>
        <v>1</v>
      </c>
      <c r="AP159" s="49">
        <v>2</v>
      </c>
      <c r="AQ159" s="50">
        <v>6.25</v>
      </c>
      <c r="AR159" s="49">
        <v>0</v>
      </c>
      <c r="AS159" s="50">
        <v>0</v>
      </c>
      <c r="AT159" s="49">
        <v>0</v>
      </c>
      <c r="AU159" s="50">
        <v>0</v>
      </c>
      <c r="AV159" s="49">
        <v>30</v>
      </c>
      <c r="AW159" s="50">
        <v>93.75</v>
      </c>
      <c r="AX159" s="49">
        <v>32</v>
      </c>
      <c r="AY159" s="49"/>
      <c r="AZ159" s="49"/>
      <c r="BA159" s="49"/>
      <c r="BB159" s="49"/>
      <c r="BC159" s="2"/>
      <c r="BD159" s="3"/>
      <c r="BE159" s="3"/>
      <c r="BF159" s="3"/>
      <c r="BG159" s="3"/>
    </row>
    <row r="160" spans="1:59" ht="15">
      <c r="A160" s="65" t="s">
        <v>346</v>
      </c>
      <c r="B160" s="66" t="s">
        <v>3536</v>
      </c>
      <c r="C160" s="66"/>
      <c r="D160" s="67">
        <v>212.5</v>
      </c>
      <c r="E160" s="69">
        <v>50</v>
      </c>
      <c r="F160" s="96" t="str">
        <f>HYPERLINK("https://i.ytimg.com/vi/qN80-RWp-wk/default.jpg")</f>
        <v>https://i.ytimg.com/vi/qN80-RWp-wk/default.jpg</v>
      </c>
      <c r="G160" s="66"/>
      <c r="H160" s="70" t="s">
        <v>754</v>
      </c>
      <c r="I160" s="71"/>
      <c r="J160" s="71" t="s">
        <v>159</v>
      </c>
      <c r="K160" s="70" t="s">
        <v>754</v>
      </c>
      <c r="L160" s="74">
        <v>1.0774056088825392</v>
      </c>
      <c r="M160" s="75">
        <v>731.309814453125</v>
      </c>
      <c r="N160" s="75">
        <v>7920.4658203125</v>
      </c>
      <c r="O160" s="76"/>
      <c r="P160" s="77"/>
      <c r="Q160" s="77"/>
      <c r="R160" s="82"/>
      <c r="S160" s="49">
        <v>1</v>
      </c>
      <c r="T160" s="49">
        <v>0</v>
      </c>
      <c r="U160" s="50">
        <v>0</v>
      </c>
      <c r="V160" s="50">
        <v>0.000876</v>
      </c>
      <c r="W160" s="50">
        <v>0.001302</v>
      </c>
      <c r="X160" s="50">
        <v>0.392973</v>
      </c>
      <c r="Y160" s="50">
        <v>0</v>
      </c>
      <c r="Z160" s="50">
        <v>0</v>
      </c>
      <c r="AA160" s="72">
        <v>133</v>
      </c>
      <c r="AB160" s="72"/>
      <c r="AC160" s="73"/>
      <c r="AD160" s="80" t="s">
        <v>754</v>
      </c>
      <c r="AE160" s="80" t="s">
        <v>1142</v>
      </c>
      <c r="AF160" s="80" t="s">
        <v>1495</v>
      </c>
      <c r="AG160" s="80" t="s">
        <v>1764</v>
      </c>
      <c r="AH160" s="80" t="s">
        <v>2045</v>
      </c>
      <c r="AI160" s="80">
        <v>1772</v>
      </c>
      <c r="AJ160" s="80">
        <v>5</v>
      </c>
      <c r="AK160" s="80">
        <v>57</v>
      </c>
      <c r="AL160" s="80">
        <v>6</v>
      </c>
      <c r="AM160" s="80" t="s">
        <v>2317</v>
      </c>
      <c r="AN160" s="98" t="str">
        <f>HYPERLINK("https://www.youtube.com/watch?v=qN80-RWp-wk")</f>
        <v>https://www.youtube.com/watch?v=qN80-RWp-wk</v>
      </c>
      <c r="AO160" s="80" t="str">
        <f>REPLACE(INDEX(GroupVertices[Group],MATCH(Vertices[[#This Row],[Vertex]],GroupVertices[Vertex],0)),1,1,"")</f>
        <v>1</v>
      </c>
      <c r="AP160" s="49">
        <v>0</v>
      </c>
      <c r="AQ160" s="50">
        <v>0</v>
      </c>
      <c r="AR160" s="49">
        <v>0</v>
      </c>
      <c r="AS160" s="50">
        <v>0</v>
      </c>
      <c r="AT160" s="49">
        <v>0</v>
      </c>
      <c r="AU160" s="50">
        <v>0</v>
      </c>
      <c r="AV160" s="49">
        <v>7</v>
      </c>
      <c r="AW160" s="50">
        <v>100</v>
      </c>
      <c r="AX160" s="49">
        <v>7</v>
      </c>
      <c r="AY160" s="49"/>
      <c r="AZ160" s="49"/>
      <c r="BA160" s="49"/>
      <c r="BB160" s="49"/>
      <c r="BC160" s="2"/>
      <c r="BD160" s="3"/>
      <c r="BE160" s="3"/>
      <c r="BF160" s="3"/>
      <c r="BG160" s="3"/>
    </row>
    <row r="161" spans="1:59" ht="15">
      <c r="A161" s="65" t="s">
        <v>347</v>
      </c>
      <c r="B161" s="66" t="s">
        <v>3536</v>
      </c>
      <c r="C161" s="66"/>
      <c r="D161" s="67">
        <v>212.5</v>
      </c>
      <c r="E161" s="69">
        <v>50</v>
      </c>
      <c r="F161" s="96" t="str">
        <f>HYPERLINK("https://i.ytimg.com/vi/BgTY3CVY0Sk/default.jpg")</f>
        <v>https://i.ytimg.com/vi/BgTY3CVY0Sk/default.jpg</v>
      </c>
      <c r="G161" s="66"/>
      <c r="H161" s="70" t="s">
        <v>755</v>
      </c>
      <c r="I161" s="71"/>
      <c r="J161" s="71" t="s">
        <v>159</v>
      </c>
      <c r="K161" s="70" t="s">
        <v>755</v>
      </c>
      <c r="L161" s="74">
        <v>1.0033406168512624</v>
      </c>
      <c r="M161" s="75">
        <v>332.41357421875</v>
      </c>
      <c r="N161" s="75">
        <v>8990.1474609375</v>
      </c>
      <c r="O161" s="76"/>
      <c r="P161" s="77"/>
      <c r="Q161" s="77"/>
      <c r="R161" s="82"/>
      <c r="S161" s="49">
        <v>1</v>
      </c>
      <c r="T161" s="49">
        <v>0</v>
      </c>
      <c r="U161" s="50">
        <v>0</v>
      </c>
      <c r="V161" s="50">
        <v>0.000876</v>
      </c>
      <c r="W161" s="50">
        <v>0.001302</v>
      </c>
      <c r="X161" s="50">
        <v>0.392973</v>
      </c>
      <c r="Y161" s="50">
        <v>0</v>
      </c>
      <c r="Z161" s="50">
        <v>0</v>
      </c>
      <c r="AA161" s="72">
        <v>134</v>
      </c>
      <c r="AB161" s="72"/>
      <c r="AC161" s="73"/>
      <c r="AD161" s="80" t="s">
        <v>755</v>
      </c>
      <c r="AE161" s="80" t="s">
        <v>1143</v>
      </c>
      <c r="AF161" s="80"/>
      <c r="AG161" s="80" t="s">
        <v>1759</v>
      </c>
      <c r="AH161" s="80" t="s">
        <v>2046</v>
      </c>
      <c r="AI161" s="80">
        <v>87</v>
      </c>
      <c r="AJ161" s="80">
        <v>0</v>
      </c>
      <c r="AK161" s="80">
        <v>0</v>
      </c>
      <c r="AL161" s="80">
        <v>0</v>
      </c>
      <c r="AM161" s="80" t="s">
        <v>2317</v>
      </c>
      <c r="AN161" s="98" t="str">
        <f>HYPERLINK("https://www.youtube.com/watch?v=BgTY3CVY0Sk")</f>
        <v>https://www.youtube.com/watch?v=BgTY3CVY0Sk</v>
      </c>
      <c r="AO161" s="80" t="str">
        <f>REPLACE(INDEX(GroupVertices[Group],MATCH(Vertices[[#This Row],[Vertex]],GroupVertices[Vertex],0)),1,1,"")</f>
        <v>1</v>
      </c>
      <c r="AP161" s="49"/>
      <c r="AQ161" s="50"/>
      <c r="AR161" s="49"/>
      <c r="AS161" s="50"/>
      <c r="AT161" s="49"/>
      <c r="AU161" s="50"/>
      <c r="AV161" s="49"/>
      <c r="AW161" s="50"/>
      <c r="AX161" s="49"/>
      <c r="AY161" s="49"/>
      <c r="AZ161" s="49"/>
      <c r="BA161" s="49"/>
      <c r="BB161" s="49"/>
      <c r="BC161" s="2"/>
      <c r="BD161" s="3"/>
      <c r="BE161" s="3"/>
      <c r="BF161" s="3"/>
      <c r="BG161" s="3"/>
    </row>
    <row r="162" spans="1:59" ht="15">
      <c r="A162" s="65" t="s">
        <v>348</v>
      </c>
      <c r="B162" s="66" t="s">
        <v>3536</v>
      </c>
      <c r="C162" s="66"/>
      <c r="D162" s="67">
        <v>212.5</v>
      </c>
      <c r="E162" s="69">
        <v>50</v>
      </c>
      <c r="F162" s="96" t="str">
        <f>HYPERLINK("https://i.ytimg.com/vi/B3Bd34q-Q0U/default.jpg")</f>
        <v>https://i.ytimg.com/vi/B3Bd34q-Q0U/default.jpg</v>
      </c>
      <c r="G162" s="66"/>
      <c r="H162" s="70" t="s">
        <v>756</v>
      </c>
      <c r="I162" s="71"/>
      <c r="J162" s="71" t="s">
        <v>159</v>
      </c>
      <c r="K162" s="70" t="s">
        <v>756</v>
      </c>
      <c r="L162" s="74">
        <v>1.0033845723361474</v>
      </c>
      <c r="M162" s="75">
        <v>731.309814453125</v>
      </c>
      <c r="N162" s="75">
        <v>8990.1474609375</v>
      </c>
      <c r="O162" s="76"/>
      <c r="P162" s="77"/>
      <c r="Q162" s="77"/>
      <c r="R162" s="82"/>
      <c r="S162" s="49">
        <v>1</v>
      </c>
      <c r="T162" s="49">
        <v>0</v>
      </c>
      <c r="U162" s="50">
        <v>0</v>
      </c>
      <c r="V162" s="50">
        <v>0.000876</v>
      </c>
      <c r="W162" s="50">
        <v>0.001302</v>
      </c>
      <c r="X162" s="50">
        <v>0.392973</v>
      </c>
      <c r="Y162" s="50">
        <v>0</v>
      </c>
      <c r="Z162" s="50">
        <v>0</v>
      </c>
      <c r="AA162" s="72">
        <v>135</v>
      </c>
      <c r="AB162" s="72"/>
      <c r="AC162" s="73"/>
      <c r="AD162" s="80" t="s">
        <v>756</v>
      </c>
      <c r="AE162" s="80" t="s">
        <v>1137</v>
      </c>
      <c r="AF162" s="80"/>
      <c r="AG162" s="80" t="s">
        <v>1759</v>
      </c>
      <c r="AH162" s="80" t="s">
        <v>2047</v>
      </c>
      <c r="AI162" s="80">
        <v>88</v>
      </c>
      <c r="AJ162" s="80">
        <v>0</v>
      </c>
      <c r="AK162" s="80">
        <v>0</v>
      </c>
      <c r="AL162" s="80">
        <v>0</v>
      </c>
      <c r="AM162" s="80" t="s">
        <v>2317</v>
      </c>
      <c r="AN162" s="98" t="str">
        <f>HYPERLINK("https://www.youtube.com/watch?v=B3Bd34q-Q0U")</f>
        <v>https://www.youtube.com/watch?v=B3Bd34q-Q0U</v>
      </c>
      <c r="AO162" s="80" t="str">
        <f>REPLACE(INDEX(GroupVertices[Group],MATCH(Vertices[[#This Row],[Vertex]],GroupVertices[Vertex],0)),1,1,"")</f>
        <v>1</v>
      </c>
      <c r="AP162" s="49"/>
      <c r="AQ162" s="50"/>
      <c r="AR162" s="49"/>
      <c r="AS162" s="50"/>
      <c r="AT162" s="49"/>
      <c r="AU162" s="50"/>
      <c r="AV162" s="49"/>
      <c r="AW162" s="50"/>
      <c r="AX162" s="49"/>
      <c r="AY162" s="49"/>
      <c r="AZ162" s="49"/>
      <c r="BA162" s="49"/>
      <c r="BB162" s="49"/>
      <c r="BC162" s="2"/>
      <c r="BD162" s="3"/>
      <c r="BE162" s="3"/>
      <c r="BF162" s="3"/>
      <c r="BG162" s="3"/>
    </row>
    <row r="163" spans="1:59" ht="15">
      <c r="A163" s="65" t="s">
        <v>349</v>
      </c>
      <c r="B163" s="66" t="s">
        <v>3536</v>
      </c>
      <c r="C163" s="66"/>
      <c r="D163" s="67">
        <v>212.5</v>
      </c>
      <c r="E163" s="69">
        <v>50</v>
      </c>
      <c r="F163" s="96" t="str">
        <f>HYPERLINK("https://i.ytimg.com/vi/1u4hsy_Xjoo/default.jpg")</f>
        <v>https://i.ytimg.com/vi/1u4hsy_Xjoo/default.jpg</v>
      </c>
      <c r="G163" s="66"/>
      <c r="H163" s="70" t="s">
        <v>757</v>
      </c>
      <c r="I163" s="71"/>
      <c r="J163" s="71" t="s">
        <v>159</v>
      </c>
      <c r="K163" s="70" t="s">
        <v>757</v>
      </c>
      <c r="L163" s="74">
        <v>1.3034686676462524</v>
      </c>
      <c r="M163" s="75">
        <v>1130.2061767578125</v>
      </c>
      <c r="N163" s="75">
        <v>6850.7841796875</v>
      </c>
      <c r="O163" s="76"/>
      <c r="P163" s="77"/>
      <c r="Q163" s="77"/>
      <c r="R163" s="82"/>
      <c r="S163" s="49">
        <v>1</v>
      </c>
      <c r="T163" s="49">
        <v>0</v>
      </c>
      <c r="U163" s="50">
        <v>0</v>
      </c>
      <c r="V163" s="50">
        <v>0.000876</v>
      </c>
      <c r="W163" s="50">
        <v>0.001302</v>
      </c>
      <c r="X163" s="50">
        <v>0.392973</v>
      </c>
      <c r="Y163" s="50">
        <v>0</v>
      </c>
      <c r="Z163" s="50">
        <v>0</v>
      </c>
      <c r="AA163" s="72">
        <v>136</v>
      </c>
      <c r="AB163" s="72"/>
      <c r="AC163" s="73"/>
      <c r="AD163" s="80" t="s">
        <v>757</v>
      </c>
      <c r="AE163" s="80" t="s">
        <v>1144</v>
      </c>
      <c r="AF163" s="80"/>
      <c r="AG163" s="80" t="s">
        <v>1765</v>
      </c>
      <c r="AH163" s="80" t="s">
        <v>2048</v>
      </c>
      <c r="AI163" s="80">
        <v>6915</v>
      </c>
      <c r="AJ163" s="80">
        <v>0</v>
      </c>
      <c r="AK163" s="80">
        <v>52</v>
      </c>
      <c r="AL163" s="80">
        <v>0</v>
      </c>
      <c r="AM163" s="80" t="s">
        <v>2317</v>
      </c>
      <c r="AN163" s="98" t="str">
        <f>HYPERLINK("https://www.youtube.com/watch?v=1u4hsy_Xjoo")</f>
        <v>https://www.youtube.com/watch?v=1u4hsy_Xjoo</v>
      </c>
      <c r="AO163" s="80" t="str">
        <f>REPLACE(INDEX(GroupVertices[Group],MATCH(Vertices[[#This Row],[Vertex]],GroupVertices[Vertex],0)),1,1,"")</f>
        <v>1</v>
      </c>
      <c r="AP163" s="49"/>
      <c r="AQ163" s="50"/>
      <c r="AR163" s="49"/>
      <c r="AS163" s="50"/>
      <c r="AT163" s="49"/>
      <c r="AU163" s="50"/>
      <c r="AV163" s="49"/>
      <c r="AW163" s="50"/>
      <c r="AX163" s="49"/>
      <c r="AY163" s="49"/>
      <c r="AZ163" s="49"/>
      <c r="BA163" s="49"/>
      <c r="BB163" s="49"/>
      <c r="BC163" s="2"/>
      <c r="BD163" s="3"/>
      <c r="BE163" s="3"/>
      <c r="BF163" s="3"/>
      <c r="BG163" s="3"/>
    </row>
    <row r="164" spans="1:59" ht="15">
      <c r="A164" s="65" t="s">
        <v>350</v>
      </c>
      <c r="B164" s="66" t="s">
        <v>3536</v>
      </c>
      <c r="C164" s="66"/>
      <c r="D164" s="67">
        <v>212.5</v>
      </c>
      <c r="E164" s="69">
        <v>50</v>
      </c>
      <c r="F164" s="96" t="str">
        <f>HYPERLINK("https://i.ytimg.com/vi/AlPy1Se4nXs/default.jpg")</f>
        <v>https://i.ytimg.com/vi/AlPy1Se4nXs/default.jpg</v>
      </c>
      <c r="G164" s="66"/>
      <c r="H164" s="70" t="s">
        <v>758</v>
      </c>
      <c r="I164" s="71"/>
      <c r="J164" s="71" t="s">
        <v>159</v>
      </c>
      <c r="K164" s="70" t="s">
        <v>758</v>
      </c>
      <c r="L164" s="74">
        <v>5.121442084760024</v>
      </c>
      <c r="M164" s="75">
        <v>2326.89501953125</v>
      </c>
      <c r="N164" s="75">
        <v>5781.1015625</v>
      </c>
      <c r="O164" s="76"/>
      <c r="P164" s="77"/>
      <c r="Q164" s="77"/>
      <c r="R164" s="82"/>
      <c r="S164" s="49">
        <v>1</v>
      </c>
      <c r="T164" s="49">
        <v>0</v>
      </c>
      <c r="U164" s="50">
        <v>0</v>
      </c>
      <c r="V164" s="50">
        <v>0.000876</v>
      </c>
      <c r="W164" s="50">
        <v>0.001302</v>
      </c>
      <c r="X164" s="50">
        <v>0.392973</v>
      </c>
      <c r="Y164" s="50">
        <v>0</v>
      </c>
      <c r="Z164" s="50">
        <v>0</v>
      </c>
      <c r="AA164" s="72">
        <v>137</v>
      </c>
      <c r="AB164" s="72"/>
      <c r="AC164" s="73"/>
      <c r="AD164" s="80" t="s">
        <v>758</v>
      </c>
      <c r="AE164" s="80" t="s">
        <v>1145</v>
      </c>
      <c r="AF164" s="80" t="s">
        <v>1496</v>
      </c>
      <c r="AG164" s="80" t="s">
        <v>1766</v>
      </c>
      <c r="AH164" s="80" t="s">
        <v>2049</v>
      </c>
      <c r="AI164" s="80">
        <v>93775</v>
      </c>
      <c r="AJ164" s="80">
        <v>144</v>
      </c>
      <c r="AK164" s="80">
        <v>3380</v>
      </c>
      <c r="AL164" s="80">
        <v>66</v>
      </c>
      <c r="AM164" s="80" t="s">
        <v>2317</v>
      </c>
      <c r="AN164" s="98" t="str">
        <f>HYPERLINK("https://www.youtube.com/watch?v=AlPy1Se4nXs")</f>
        <v>https://www.youtube.com/watch?v=AlPy1Se4nXs</v>
      </c>
      <c r="AO164" s="80" t="str">
        <f>REPLACE(INDEX(GroupVertices[Group],MATCH(Vertices[[#This Row],[Vertex]],GroupVertices[Vertex],0)),1,1,"")</f>
        <v>1</v>
      </c>
      <c r="AP164" s="49">
        <v>1</v>
      </c>
      <c r="AQ164" s="50">
        <v>1.7241379310344827</v>
      </c>
      <c r="AR164" s="49">
        <v>3</v>
      </c>
      <c r="AS164" s="50">
        <v>5.172413793103448</v>
      </c>
      <c r="AT164" s="49">
        <v>0</v>
      </c>
      <c r="AU164" s="50">
        <v>0</v>
      </c>
      <c r="AV164" s="49">
        <v>54</v>
      </c>
      <c r="AW164" s="50">
        <v>93.10344827586206</v>
      </c>
      <c r="AX164" s="49">
        <v>58</v>
      </c>
      <c r="AY164" s="49"/>
      <c r="AZ164" s="49"/>
      <c r="BA164" s="49"/>
      <c r="BB164" s="49"/>
      <c r="BC164" s="2"/>
      <c r="BD164" s="3"/>
      <c r="BE164" s="3"/>
      <c r="BF164" s="3"/>
      <c r="BG164" s="3"/>
    </row>
    <row r="165" spans="1:59" ht="15">
      <c r="A165" s="65" t="s">
        <v>351</v>
      </c>
      <c r="B165" s="66" t="s">
        <v>3536</v>
      </c>
      <c r="C165" s="66"/>
      <c r="D165" s="67">
        <v>212.5</v>
      </c>
      <c r="E165" s="69">
        <v>50</v>
      </c>
      <c r="F165" s="96" t="str">
        <f>HYPERLINK("https://i.ytimg.com/vi/zTGIQJxcj2U/default.jpg")</f>
        <v>https://i.ytimg.com/vi/zTGIQJxcj2U/default.jpg</v>
      </c>
      <c r="G165" s="66"/>
      <c r="H165" s="70" t="s">
        <v>759</v>
      </c>
      <c r="I165" s="71"/>
      <c r="J165" s="71" t="s">
        <v>159</v>
      </c>
      <c r="K165" s="70" t="s">
        <v>759</v>
      </c>
      <c r="L165" s="74">
        <v>7.327787648564143</v>
      </c>
      <c r="M165" s="75">
        <v>332.41357421875</v>
      </c>
      <c r="N165" s="75">
        <v>5246.26123046875</v>
      </c>
      <c r="O165" s="76"/>
      <c r="P165" s="77"/>
      <c r="Q165" s="77"/>
      <c r="R165" s="82"/>
      <c r="S165" s="49">
        <v>1</v>
      </c>
      <c r="T165" s="49">
        <v>0</v>
      </c>
      <c r="U165" s="50">
        <v>0</v>
      </c>
      <c r="V165" s="50">
        <v>0.000876</v>
      </c>
      <c r="W165" s="50">
        <v>0.001302</v>
      </c>
      <c r="X165" s="50">
        <v>0.392973</v>
      </c>
      <c r="Y165" s="50">
        <v>0</v>
      </c>
      <c r="Z165" s="50">
        <v>0</v>
      </c>
      <c r="AA165" s="72">
        <v>138</v>
      </c>
      <c r="AB165" s="72"/>
      <c r="AC165" s="73"/>
      <c r="AD165" s="80" t="s">
        <v>759</v>
      </c>
      <c r="AE165" s="80" t="s">
        <v>1146</v>
      </c>
      <c r="AF165" s="80" t="s">
        <v>1497</v>
      </c>
      <c r="AG165" s="80" t="s">
        <v>1767</v>
      </c>
      <c r="AH165" s="80" t="s">
        <v>2050</v>
      </c>
      <c r="AI165" s="80">
        <v>143970</v>
      </c>
      <c r="AJ165" s="80">
        <v>43</v>
      </c>
      <c r="AK165" s="80">
        <v>1002</v>
      </c>
      <c r="AL165" s="80">
        <v>69</v>
      </c>
      <c r="AM165" s="80" t="s">
        <v>2317</v>
      </c>
      <c r="AN165" s="98" t="str">
        <f>HYPERLINK("https://www.youtube.com/watch?v=zTGIQJxcj2U")</f>
        <v>https://www.youtube.com/watch?v=zTGIQJxcj2U</v>
      </c>
      <c r="AO165" s="80" t="str">
        <f>REPLACE(INDEX(GroupVertices[Group],MATCH(Vertices[[#This Row],[Vertex]],GroupVertices[Vertex],0)),1,1,"")</f>
        <v>1</v>
      </c>
      <c r="AP165" s="49">
        <v>0</v>
      </c>
      <c r="AQ165" s="50">
        <v>0</v>
      </c>
      <c r="AR165" s="49">
        <v>0</v>
      </c>
      <c r="AS165" s="50">
        <v>0</v>
      </c>
      <c r="AT165" s="49">
        <v>0</v>
      </c>
      <c r="AU165" s="50">
        <v>0</v>
      </c>
      <c r="AV165" s="49">
        <v>80</v>
      </c>
      <c r="AW165" s="50">
        <v>100</v>
      </c>
      <c r="AX165" s="49">
        <v>80</v>
      </c>
      <c r="AY165" s="49"/>
      <c r="AZ165" s="49"/>
      <c r="BA165" s="49"/>
      <c r="BB165" s="49"/>
      <c r="BC165" s="2"/>
      <c r="BD165" s="3"/>
      <c r="BE165" s="3"/>
      <c r="BF165" s="3"/>
      <c r="BG165" s="3"/>
    </row>
    <row r="166" spans="1:59" ht="15">
      <c r="A166" s="65" t="s">
        <v>352</v>
      </c>
      <c r="B166" s="66" t="s">
        <v>3536</v>
      </c>
      <c r="C166" s="66"/>
      <c r="D166" s="67">
        <v>212.5</v>
      </c>
      <c r="E166" s="69">
        <v>50</v>
      </c>
      <c r="F166" s="96" t="str">
        <f>HYPERLINK("https://i.ytimg.com/vi/7b3OwBDBeOo/default.jpg")</f>
        <v>https://i.ytimg.com/vi/7b3OwBDBeOo/default.jpg</v>
      </c>
      <c r="G166" s="66"/>
      <c r="H166" s="70" t="s">
        <v>760</v>
      </c>
      <c r="I166" s="71"/>
      <c r="J166" s="71" t="s">
        <v>159</v>
      </c>
      <c r="K166" s="70" t="s">
        <v>760</v>
      </c>
      <c r="L166" s="74">
        <v>5.0640362215001735</v>
      </c>
      <c r="M166" s="75">
        <v>1927.9986572265625</v>
      </c>
      <c r="N166" s="75">
        <v>5781.1015625</v>
      </c>
      <c r="O166" s="76"/>
      <c r="P166" s="77"/>
      <c r="Q166" s="77"/>
      <c r="R166" s="82"/>
      <c r="S166" s="49">
        <v>1</v>
      </c>
      <c r="T166" s="49">
        <v>0</v>
      </c>
      <c r="U166" s="50">
        <v>0</v>
      </c>
      <c r="V166" s="50">
        <v>0.000876</v>
      </c>
      <c r="W166" s="50">
        <v>0.001302</v>
      </c>
      <c r="X166" s="50">
        <v>0.392973</v>
      </c>
      <c r="Y166" s="50">
        <v>0</v>
      </c>
      <c r="Z166" s="50">
        <v>0</v>
      </c>
      <c r="AA166" s="72">
        <v>139</v>
      </c>
      <c r="AB166" s="72"/>
      <c r="AC166" s="73"/>
      <c r="AD166" s="80" t="s">
        <v>760</v>
      </c>
      <c r="AE166" s="80" t="s">
        <v>1147</v>
      </c>
      <c r="AF166" s="80" t="s">
        <v>1498</v>
      </c>
      <c r="AG166" s="80" t="s">
        <v>1768</v>
      </c>
      <c r="AH166" s="80" t="s">
        <v>2051</v>
      </c>
      <c r="AI166" s="80">
        <v>92469</v>
      </c>
      <c r="AJ166" s="80">
        <v>173</v>
      </c>
      <c r="AK166" s="80">
        <v>4515</v>
      </c>
      <c r="AL166" s="80">
        <v>120</v>
      </c>
      <c r="AM166" s="80" t="s">
        <v>2317</v>
      </c>
      <c r="AN166" s="98" t="str">
        <f>HYPERLINK("https://www.youtube.com/watch?v=7b3OwBDBeOo")</f>
        <v>https://www.youtube.com/watch?v=7b3OwBDBeOo</v>
      </c>
      <c r="AO166" s="80" t="str">
        <f>REPLACE(INDEX(GroupVertices[Group],MATCH(Vertices[[#This Row],[Vertex]],GroupVertices[Vertex],0)),1,1,"")</f>
        <v>1</v>
      </c>
      <c r="AP166" s="49">
        <v>0</v>
      </c>
      <c r="AQ166" s="50">
        <v>0</v>
      </c>
      <c r="AR166" s="49">
        <v>11</v>
      </c>
      <c r="AS166" s="50">
        <v>16.923076923076923</v>
      </c>
      <c r="AT166" s="49">
        <v>0</v>
      </c>
      <c r="AU166" s="50">
        <v>0</v>
      </c>
      <c r="AV166" s="49">
        <v>54</v>
      </c>
      <c r="AW166" s="50">
        <v>83.07692307692308</v>
      </c>
      <c r="AX166" s="49">
        <v>65</v>
      </c>
      <c r="AY166" s="49"/>
      <c r="AZ166" s="49"/>
      <c r="BA166" s="49"/>
      <c r="BB166" s="49"/>
      <c r="BC166" s="2"/>
      <c r="BD166" s="3"/>
      <c r="BE166" s="3"/>
      <c r="BF166" s="3"/>
      <c r="BG166" s="3"/>
    </row>
    <row r="167" spans="1:59" ht="15">
      <c r="A167" s="65" t="s">
        <v>353</v>
      </c>
      <c r="B167" s="66" t="s">
        <v>3536</v>
      </c>
      <c r="C167" s="66"/>
      <c r="D167" s="67">
        <v>212.5</v>
      </c>
      <c r="E167" s="69">
        <v>50</v>
      </c>
      <c r="F167" s="96" t="str">
        <f>HYPERLINK("https://i.ytimg.com/vi/M0dvfdkWhAw/default.jpg")</f>
        <v>https://i.ytimg.com/vi/M0dvfdkWhAw/default.jpg</v>
      </c>
      <c r="G167" s="66"/>
      <c r="H167" s="70" t="s">
        <v>761</v>
      </c>
      <c r="I167" s="71"/>
      <c r="J167" s="71" t="s">
        <v>159</v>
      </c>
      <c r="K167" s="70" t="s">
        <v>761</v>
      </c>
      <c r="L167" s="74">
        <v>1.633398537193293</v>
      </c>
      <c r="M167" s="75">
        <v>731.309814453125</v>
      </c>
      <c r="N167" s="75">
        <v>6315.943359375</v>
      </c>
      <c r="O167" s="76"/>
      <c r="P167" s="77"/>
      <c r="Q167" s="77"/>
      <c r="R167" s="82"/>
      <c r="S167" s="49">
        <v>1</v>
      </c>
      <c r="T167" s="49">
        <v>0</v>
      </c>
      <c r="U167" s="50">
        <v>0</v>
      </c>
      <c r="V167" s="50">
        <v>0.000876</v>
      </c>
      <c r="W167" s="50">
        <v>0.001302</v>
      </c>
      <c r="X167" s="50">
        <v>0.392973</v>
      </c>
      <c r="Y167" s="50">
        <v>0</v>
      </c>
      <c r="Z167" s="50">
        <v>0</v>
      </c>
      <c r="AA167" s="72">
        <v>140</v>
      </c>
      <c r="AB167" s="72"/>
      <c r="AC167" s="73"/>
      <c r="AD167" s="80" t="s">
        <v>761</v>
      </c>
      <c r="AE167" s="80" t="s">
        <v>1148</v>
      </c>
      <c r="AF167" s="80" t="s">
        <v>1499</v>
      </c>
      <c r="AG167" s="80" t="s">
        <v>1769</v>
      </c>
      <c r="AH167" s="80" t="s">
        <v>2052</v>
      </c>
      <c r="AI167" s="80">
        <v>14421</v>
      </c>
      <c r="AJ167" s="80">
        <v>22</v>
      </c>
      <c r="AK167" s="80">
        <v>452</v>
      </c>
      <c r="AL167" s="80">
        <v>10</v>
      </c>
      <c r="AM167" s="80" t="s">
        <v>2317</v>
      </c>
      <c r="AN167" s="98" t="str">
        <f>HYPERLINK("https://www.youtube.com/watch?v=M0dvfdkWhAw")</f>
        <v>https://www.youtube.com/watch?v=M0dvfdkWhAw</v>
      </c>
      <c r="AO167" s="80" t="str">
        <f>REPLACE(INDEX(GroupVertices[Group],MATCH(Vertices[[#This Row],[Vertex]],GroupVertices[Vertex],0)),1,1,"")</f>
        <v>1</v>
      </c>
      <c r="AP167" s="49">
        <v>0</v>
      </c>
      <c r="AQ167" s="50">
        <v>0</v>
      </c>
      <c r="AR167" s="49">
        <v>3</v>
      </c>
      <c r="AS167" s="50">
        <v>5.2631578947368425</v>
      </c>
      <c r="AT167" s="49">
        <v>0</v>
      </c>
      <c r="AU167" s="50">
        <v>0</v>
      </c>
      <c r="AV167" s="49">
        <v>54</v>
      </c>
      <c r="AW167" s="50">
        <v>94.73684210526316</v>
      </c>
      <c r="AX167" s="49">
        <v>57</v>
      </c>
      <c r="AY167" s="49"/>
      <c r="AZ167" s="49"/>
      <c r="BA167" s="49"/>
      <c r="BB167" s="49"/>
      <c r="BC167" s="2"/>
      <c r="BD167" s="3"/>
      <c r="BE167" s="3"/>
      <c r="BF167" s="3"/>
      <c r="BG167" s="3"/>
    </row>
    <row r="168" spans="1:59" ht="15">
      <c r="A168" s="65" t="s">
        <v>354</v>
      </c>
      <c r="B168" s="66" t="s">
        <v>3536</v>
      </c>
      <c r="C168" s="66"/>
      <c r="D168" s="67">
        <v>325</v>
      </c>
      <c r="E168" s="69">
        <v>100</v>
      </c>
      <c r="F168" s="96" t="str">
        <f>HYPERLINK("https://i.ytimg.com/vi/mxJrHKy5kmk/default.jpg")</f>
        <v>https://i.ytimg.com/vi/mxJrHKy5kmk/default.jpg</v>
      </c>
      <c r="G168" s="66"/>
      <c r="H168" s="70" t="s">
        <v>762</v>
      </c>
      <c r="I168" s="71"/>
      <c r="J168" s="71" t="s">
        <v>75</v>
      </c>
      <c r="K168" s="70" t="s">
        <v>762</v>
      </c>
      <c r="L168" s="74">
        <v>1.6092230205065263</v>
      </c>
      <c r="M168" s="75">
        <v>6313.0087890625</v>
      </c>
      <c r="N168" s="75">
        <v>1578.9444580078125</v>
      </c>
      <c r="O168" s="76"/>
      <c r="P168" s="77"/>
      <c r="Q168" s="77"/>
      <c r="R168" s="82"/>
      <c r="S168" s="49">
        <v>2</v>
      </c>
      <c r="T168" s="49">
        <v>0</v>
      </c>
      <c r="U168" s="50">
        <v>0</v>
      </c>
      <c r="V168" s="50">
        <v>0.000924</v>
      </c>
      <c r="W168" s="50">
        <v>0.00301</v>
      </c>
      <c r="X168" s="50">
        <v>0.635934</v>
      </c>
      <c r="Y168" s="50">
        <v>0.5</v>
      </c>
      <c r="Z168" s="50">
        <v>0</v>
      </c>
      <c r="AA168" s="72">
        <v>141</v>
      </c>
      <c r="AB168" s="72"/>
      <c r="AC168" s="73"/>
      <c r="AD168" s="80" t="s">
        <v>762</v>
      </c>
      <c r="AE168" s="80" t="s">
        <v>1149</v>
      </c>
      <c r="AF168" s="80" t="s">
        <v>1500</v>
      </c>
      <c r="AG168" s="80" t="s">
        <v>1770</v>
      </c>
      <c r="AH168" s="80" t="s">
        <v>2053</v>
      </c>
      <c r="AI168" s="80">
        <v>13871</v>
      </c>
      <c r="AJ168" s="80">
        <v>4</v>
      </c>
      <c r="AK168" s="80">
        <v>210</v>
      </c>
      <c r="AL168" s="80">
        <v>8</v>
      </c>
      <c r="AM168" s="80" t="s">
        <v>2317</v>
      </c>
      <c r="AN168" s="98" t="str">
        <f>HYPERLINK("https://www.youtube.com/watch?v=mxJrHKy5kmk")</f>
        <v>https://www.youtube.com/watch?v=mxJrHKy5kmk</v>
      </c>
      <c r="AO168" s="80" t="str">
        <f>REPLACE(INDEX(GroupVertices[Group],MATCH(Vertices[[#This Row],[Vertex]],GroupVertices[Vertex],0)),1,1,"")</f>
        <v>7</v>
      </c>
      <c r="AP168" s="49">
        <v>0</v>
      </c>
      <c r="AQ168" s="50">
        <v>0</v>
      </c>
      <c r="AR168" s="49">
        <v>0</v>
      </c>
      <c r="AS168" s="50">
        <v>0</v>
      </c>
      <c r="AT168" s="49">
        <v>0</v>
      </c>
      <c r="AU168" s="50">
        <v>0</v>
      </c>
      <c r="AV168" s="49">
        <v>24</v>
      </c>
      <c r="AW168" s="50">
        <v>100</v>
      </c>
      <c r="AX168" s="49">
        <v>24</v>
      </c>
      <c r="AY168" s="49"/>
      <c r="AZ168" s="49"/>
      <c r="BA168" s="49"/>
      <c r="BB168" s="49"/>
      <c r="BC168" s="2"/>
      <c r="BD168" s="3"/>
      <c r="BE168" s="3"/>
      <c r="BF168" s="3"/>
      <c r="BG168" s="3"/>
    </row>
    <row r="169" spans="1:59" ht="15">
      <c r="A169" s="65" t="s">
        <v>355</v>
      </c>
      <c r="B169" s="66" t="s">
        <v>3536</v>
      </c>
      <c r="C169" s="66"/>
      <c r="D169" s="67">
        <v>437.5</v>
      </c>
      <c r="E169" s="69">
        <v>100</v>
      </c>
      <c r="F169" s="96" t="str">
        <f>HYPERLINK("https://i.ytimg.com/vi/Qj0K-Pm0KbQ/default.jpg")</f>
        <v>https://i.ytimg.com/vi/Qj0K-Pm0KbQ/default.jpg</v>
      </c>
      <c r="G169" s="66"/>
      <c r="H169" s="70" t="s">
        <v>763</v>
      </c>
      <c r="I169" s="71"/>
      <c r="J169" s="71" t="s">
        <v>75</v>
      </c>
      <c r="K169" s="70" t="s">
        <v>763</v>
      </c>
      <c r="L169" s="74">
        <v>1.9338342763824783</v>
      </c>
      <c r="M169" s="75">
        <v>7900.9951171875</v>
      </c>
      <c r="N169" s="75">
        <v>1578.9444580078125</v>
      </c>
      <c r="O169" s="76"/>
      <c r="P169" s="77"/>
      <c r="Q169" s="77"/>
      <c r="R169" s="82"/>
      <c r="S169" s="49">
        <v>3</v>
      </c>
      <c r="T169" s="49">
        <v>0</v>
      </c>
      <c r="U169" s="50">
        <v>0</v>
      </c>
      <c r="V169" s="50">
        <v>0.000999</v>
      </c>
      <c r="W169" s="50">
        <v>0.004865</v>
      </c>
      <c r="X169" s="50">
        <v>0.8854</v>
      </c>
      <c r="Y169" s="50">
        <v>0.6666666666666666</v>
      </c>
      <c r="Z169" s="50">
        <v>0</v>
      </c>
      <c r="AA169" s="72">
        <v>142</v>
      </c>
      <c r="AB169" s="72"/>
      <c r="AC169" s="73"/>
      <c r="AD169" s="80" t="s">
        <v>763</v>
      </c>
      <c r="AE169" s="80" t="s">
        <v>1150</v>
      </c>
      <c r="AF169" s="80" t="s">
        <v>1501</v>
      </c>
      <c r="AG169" s="80" t="s">
        <v>1771</v>
      </c>
      <c r="AH169" s="80" t="s">
        <v>2054</v>
      </c>
      <c r="AI169" s="80">
        <v>21256</v>
      </c>
      <c r="AJ169" s="80">
        <v>53</v>
      </c>
      <c r="AK169" s="80">
        <v>1128</v>
      </c>
      <c r="AL169" s="80">
        <v>27</v>
      </c>
      <c r="AM169" s="80" t="s">
        <v>2317</v>
      </c>
      <c r="AN169" s="98" t="str">
        <f>HYPERLINK("https://www.youtube.com/watch?v=Qj0K-Pm0KbQ")</f>
        <v>https://www.youtube.com/watch?v=Qj0K-Pm0KbQ</v>
      </c>
      <c r="AO169" s="80" t="str">
        <f>REPLACE(INDEX(GroupVertices[Group],MATCH(Vertices[[#This Row],[Vertex]],GroupVertices[Vertex],0)),1,1,"")</f>
        <v>7</v>
      </c>
      <c r="AP169" s="49">
        <v>2</v>
      </c>
      <c r="AQ169" s="50">
        <v>3.076923076923077</v>
      </c>
      <c r="AR169" s="49">
        <v>2</v>
      </c>
      <c r="AS169" s="50">
        <v>3.076923076923077</v>
      </c>
      <c r="AT169" s="49">
        <v>0</v>
      </c>
      <c r="AU169" s="50">
        <v>0</v>
      </c>
      <c r="AV169" s="49">
        <v>61</v>
      </c>
      <c r="AW169" s="50">
        <v>93.84615384615384</v>
      </c>
      <c r="AX169" s="49">
        <v>65</v>
      </c>
      <c r="AY169" s="49"/>
      <c r="AZ169" s="49"/>
      <c r="BA169" s="49"/>
      <c r="BB169" s="49"/>
      <c r="BC169" s="2"/>
      <c r="BD169" s="3"/>
      <c r="BE169" s="3"/>
      <c r="BF169" s="3"/>
      <c r="BG169" s="3"/>
    </row>
    <row r="170" spans="1:59" ht="15">
      <c r="A170" s="65" t="s">
        <v>356</v>
      </c>
      <c r="B170" s="66" t="s">
        <v>3536</v>
      </c>
      <c r="C170" s="66"/>
      <c r="D170" s="67">
        <v>212.5</v>
      </c>
      <c r="E170" s="69">
        <v>50</v>
      </c>
      <c r="F170" s="96" t="str">
        <f>HYPERLINK("https://i.ytimg.com/vi/VCx2MBuq4Eo/default.jpg")</f>
        <v>https://i.ytimg.com/vi/VCx2MBuq4Eo/default.jpg</v>
      </c>
      <c r="G170" s="66"/>
      <c r="H170" s="70" t="s">
        <v>764</v>
      </c>
      <c r="I170" s="71"/>
      <c r="J170" s="71" t="s">
        <v>159</v>
      </c>
      <c r="K170" s="70" t="s">
        <v>764</v>
      </c>
      <c r="L170" s="74">
        <v>2.3317193255617767</v>
      </c>
      <c r="M170" s="75">
        <v>2326.89501953125</v>
      </c>
      <c r="N170" s="75">
        <v>6315.943359375</v>
      </c>
      <c r="O170" s="76"/>
      <c r="P170" s="77"/>
      <c r="Q170" s="77"/>
      <c r="R170" s="82"/>
      <c r="S170" s="49">
        <v>1</v>
      </c>
      <c r="T170" s="49">
        <v>0</v>
      </c>
      <c r="U170" s="50">
        <v>0</v>
      </c>
      <c r="V170" s="50">
        <v>0.000876</v>
      </c>
      <c r="W170" s="50">
        <v>0.001302</v>
      </c>
      <c r="X170" s="50">
        <v>0.392973</v>
      </c>
      <c r="Y170" s="50">
        <v>0</v>
      </c>
      <c r="Z170" s="50">
        <v>0</v>
      </c>
      <c r="AA170" s="72">
        <v>143</v>
      </c>
      <c r="AB170" s="72"/>
      <c r="AC170" s="73"/>
      <c r="AD170" s="80" t="s">
        <v>764</v>
      </c>
      <c r="AE170" s="80" t="s">
        <v>1151</v>
      </c>
      <c r="AF170" s="80" t="s">
        <v>1502</v>
      </c>
      <c r="AG170" s="80" t="s">
        <v>1772</v>
      </c>
      <c r="AH170" s="80" t="s">
        <v>2055</v>
      </c>
      <c r="AI170" s="80">
        <v>30308</v>
      </c>
      <c r="AJ170" s="80">
        <v>30</v>
      </c>
      <c r="AK170" s="80">
        <v>327</v>
      </c>
      <c r="AL170" s="80">
        <v>25</v>
      </c>
      <c r="AM170" s="80" t="s">
        <v>2317</v>
      </c>
      <c r="AN170" s="98" t="str">
        <f>HYPERLINK("https://www.youtube.com/watch?v=VCx2MBuq4Eo")</f>
        <v>https://www.youtube.com/watch?v=VCx2MBuq4Eo</v>
      </c>
      <c r="AO170" s="80" t="str">
        <f>REPLACE(INDEX(GroupVertices[Group],MATCH(Vertices[[#This Row],[Vertex]],GroupVertices[Vertex],0)),1,1,"")</f>
        <v>1</v>
      </c>
      <c r="AP170" s="49">
        <v>0</v>
      </c>
      <c r="AQ170" s="50">
        <v>0</v>
      </c>
      <c r="AR170" s="49">
        <v>0</v>
      </c>
      <c r="AS170" s="50">
        <v>0</v>
      </c>
      <c r="AT170" s="49">
        <v>0</v>
      </c>
      <c r="AU170" s="50">
        <v>0</v>
      </c>
      <c r="AV170" s="49">
        <v>72</v>
      </c>
      <c r="AW170" s="50">
        <v>100</v>
      </c>
      <c r="AX170" s="49">
        <v>72</v>
      </c>
      <c r="AY170" s="49"/>
      <c r="AZ170" s="49"/>
      <c r="BA170" s="49"/>
      <c r="BB170" s="49"/>
      <c r="BC170" s="2"/>
      <c r="BD170" s="3"/>
      <c r="BE170" s="3"/>
      <c r="BF170" s="3"/>
      <c r="BG170" s="3"/>
    </row>
    <row r="171" spans="1:59" ht="15">
      <c r="A171" s="65" t="s">
        <v>357</v>
      </c>
      <c r="B171" s="66" t="s">
        <v>3536</v>
      </c>
      <c r="C171" s="66"/>
      <c r="D171" s="67">
        <v>325</v>
      </c>
      <c r="E171" s="69">
        <v>100</v>
      </c>
      <c r="F171" s="96" t="str">
        <f>HYPERLINK("https://i.ytimg.com/vi/Thj3nE3KAwk/default.jpg")</f>
        <v>https://i.ytimg.com/vi/Thj3nE3KAwk/default.jpg</v>
      </c>
      <c r="G171" s="66"/>
      <c r="H171" s="70" t="s">
        <v>765</v>
      </c>
      <c r="I171" s="71"/>
      <c r="J171" s="71" t="s">
        <v>75</v>
      </c>
      <c r="K171" s="70" t="s">
        <v>765</v>
      </c>
      <c r="L171" s="74">
        <v>1.4233352749277313</v>
      </c>
      <c r="M171" s="75">
        <v>7900.9951171875</v>
      </c>
      <c r="N171" s="75">
        <v>2127.886474609375</v>
      </c>
      <c r="O171" s="76"/>
      <c r="P171" s="77"/>
      <c r="Q171" s="77"/>
      <c r="R171" s="82"/>
      <c r="S171" s="49">
        <v>2</v>
      </c>
      <c r="T171" s="49">
        <v>0</v>
      </c>
      <c r="U171" s="50">
        <v>0</v>
      </c>
      <c r="V171" s="50">
        <v>0.000924</v>
      </c>
      <c r="W171" s="50">
        <v>0.00301</v>
      </c>
      <c r="X171" s="50">
        <v>0.635934</v>
      </c>
      <c r="Y171" s="50">
        <v>0.5</v>
      </c>
      <c r="Z171" s="50">
        <v>0</v>
      </c>
      <c r="AA171" s="72">
        <v>144</v>
      </c>
      <c r="AB171" s="72"/>
      <c r="AC171" s="73"/>
      <c r="AD171" s="80" t="s">
        <v>765</v>
      </c>
      <c r="AE171" s="80" t="s">
        <v>1152</v>
      </c>
      <c r="AF171" s="80" t="s">
        <v>1503</v>
      </c>
      <c r="AG171" s="80" t="s">
        <v>1746</v>
      </c>
      <c r="AH171" s="80" t="s">
        <v>2056</v>
      </c>
      <c r="AI171" s="80">
        <v>9642</v>
      </c>
      <c r="AJ171" s="80">
        <v>5</v>
      </c>
      <c r="AK171" s="80">
        <v>53</v>
      </c>
      <c r="AL171" s="80">
        <v>7</v>
      </c>
      <c r="AM171" s="80" t="s">
        <v>2317</v>
      </c>
      <c r="AN171" s="98" t="str">
        <f>HYPERLINK("https://www.youtube.com/watch?v=Thj3nE3KAwk")</f>
        <v>https://www.youtube.com/watch?v=Thj3nE3KAwk</v>
      </c>
      <c r="AO171" s="80" t="str">
        <f>REPLACE(INDEX(GroupVertices[Group],MATCH(Vertices[[#This Row],[Vertex]],GroupVertices[Vertex],0)),1,1,"")</f>
        <v>7</v>
      </c>
      <c r="AP171" s="49">
        <v>0</v>
      </c>
      <c r="AQ171" s="50">
        <v>0</v>
      </c>
      <c r="AR171" s="49">
        <v>0</v>
      </c>
      <c r="AS171" s="50">
        <v>0</v>
      </c>
      <c r="AT171" s="49">
        <v>0</v>
      </c>
      <c r="AU171" s="50">
        <v>0</v>
      </c>
      <c r="AV171" s="49">
        <v>30</v>
      </c>
      <c r="AW171" s="50">
        <v>100</v>
      </c>
      <c r="AX171" s="49">
        <v>30</v>
      </c>
      <c r="AY171" s="49"/>
      <c r="AZ171" s="49"/>
      <c r="BA171" s="49"/>
      <c r="BB171" s="49"/>
      <c r="BC171" s="2"/>
      <c r="BD171" s="3"/>
      <c r="BE171" s="3"/>
      <c r="BF171" s="3"/>
      <c r="BG171" s="3"/>
    </row>
    <row r="172" spans="1:59" ht="15">
      <c r="A172" s="65" t="s">
        <v>358</v>
      </c>
      <c r="B172" s="66" t="s">
        <v>3536</v>
      </c>
      <c r="C172" s="66"/>
      <c r="D172" s="67">
        <v>212.5</v>
      </c>
      <c r="E172" s="69">
        <v>50</v>
      </c>
      <c r="F172" s="96" t="str">
        <f>HYPERLINK("https://i.ytimg.com/vi/-O2N0qT_ks8/default.jpg")</f>
        <v>https://i.ytimg.com/vi/-O2N0qT_ks8/default.jpg</v>
      </c>
      <c r="G172" s="66"/>
      <c r="H172" s="70" t="s">
        <v>766</v>
      </c>
      <c r="I172" s="71"/>
      <c r="J172" s="71" t="s">
        <v>159</v>
      </c>
      <c r="K172" s="70" t="s">
        <v>766</v>
      </c>
      <c r="L172" s="74">
        <v>1.5955089092223966</v>
      </c>
      <c r="M172" s="75">
        <v>332.41357421875</v>
      </c>
      <c r="N172" s="75">
        <v>6315.943359375</v>
      </c>
      <c r="O172" s="76"/>
      <c r="P172" s="77"/>
      <c r="Q172" s="77"/>
      <c r="R172" s="82"/>
      <c r="S172" s="49">
        <v>1</v>
      </c>
      <c r="T172" s="49">
        <v>0</v>
      </c>
      <c r="U172" s="50">
        <v>0</v>
      </c>
      <c r="V172" s="50">
        <v>0.000876</v>
      </c>
      <c r="W172" s="50">
        <v>0.001302</v>
      </c>
      <c r="X172" s="50">
        <v>0.392973</v>
      </c>
      <c r="Y172" s="50">
        <v>0</v>
      </c>
      <c r="Z172" s="50">
        <v>0</v>
      </c>
      <c r="AA172" s="72">
        <v>145</v>
      </c>
      <c r="AB172" s="72"/>
      <c r="AC172" s="73"/>
      <c r="AD172" s="80" t="s">
        <v>766</v>
      </c>
      <c r="AE172" s="80" t="s">
        <v>1153</v>
      </c>
      <c r="AF172" s="80" t="s">
        <v>1504</v>
      </c>
      <c r="AG172" s="80" t="s">
        <v>1773</v>
      </c>
      <c r="AH172" s="80" t="s">
        <v>2057</v>
      </c>
      <c r="AI172" s="80">
        <v>13559</v>
      </c>
      <c r="AJ172" s="80">
        <v>1</v>
      </c>
      <c r="AK172" s="80">
        <v>775</v>
      </c>
      <c r="AL172" s="80">
        <v>28</v>
      </c>
      <c r="AM172" s="80" t="s">
        <v>2317</v>
      </c>
      <c r="AN172" s="98" t="str">
        <f>HYPERLINK("https://www.youtube.com/watch?v=-O2N0qT_ks8")</f>
        <v>https://www.youtube.com/watch?v=-O2N0qT_ks8</v>
      </c>
      <c r="AO172" s="80" t="str">
        <f>REPLACE(INDEX(GroupVertices[Group],MATCH(Vertices[[#This Row],[Vertex]],GroupVertices[Vertex],0)),1,1,"")</f>
        <v>1</v>
      </c>
      <c r="AP172" s="49">
        <v>1</v>
      </c>
      <c r="AQ172" s="50">
        <v>1.5384615384615385</v>
      </c>
      <c r="AR172" s="49">
        <v>0</v>
      </c>
      <c r="AS172" s="50">
        <v>0</v>
      </c>
      <c r="AT172" s="49">
        <v>0</v>
      </c>
      <c r="AU172" s="50">
        <v>0</v>
      </c>
      <c r="AV172" s="49">
        <v>64</v>
      </c>
      <c r="AW172" s="50">
        <v>98.46153846153847</v>
      </c>
      <c r="AX172" s="49">
        <v>65</v>
      </c>
      <c r="AY172" s="49"/>
      <c r="AZ172" s="49"/>
      <c r="BA172" s="49"/>
      <c r="BB172" s="49"/>
      <c r="BC172" s="2"/>
      <c r="BD172" s="3"/>
      <c r="BE172" s="3"/>
      <c r="BF172" s="3"/>
      <c r="BG172" s="3"/>
    </row>
    <row r="173" spans="1:59" ht="15">
      <c r="A173" s="65" t="s">
        <v>359</v>
      </c>
      <c r="B173" s="66" t="s">
        <v>3536</v>
      </c>
      <c r="C173" s="66"/>
      <c r="D173" s="67">
        <v>325</v>
      </c>
      <c r="E173" s="69">
        <v>100</v>
      </c>
      <c r="F173" s="96" t="str">
        <f>HYPERLINK("https://i.ytimg.com/vi/fElYSnSJjFc/default.jpg")</f>
        <v>https://i.ytimg.com/vi/fElYSnSJjFc/default.jpg</v>
      </c>
      <c r="G173" s="66"/>
      <c r="H173" s="70" t="s">
        <v>767</v>
      </c>
      <c r="I173" s="71"/>
      <c r="J173" s="71" t="s">
        <v>75</v>
      </c>
      <c r="K173" s="70" t="s">
        <v>767</v>
      </c>
      <c r="L173" s="74">
        <v>1.248788044449274</v>
      </c>
      <c r="M173" s="75">
        <v>7503.99853515625</v>
      </c>
      <c r="N173" s="75">
        <v>2127.886474609375</v>
      </c>
      <c r="O173" s="76"/>
      <c r="P173" s="77"/>
      <c r="Q173" s="77"/>
      <c r="R173" s="82"/>
      <c r="S173" s="49">
        <v>2</v>
      </c>
      <c r="T173" s="49">
        <v>0</v>
      </c>
      <c r="U173" s="50">
        <v>0</v>
      </c>
      <c r="V173" s="50">
        <v>0.000924</v>
      </c>
      <c r="W173" s="50">
        <v>0.00301</v>
      </c>
      <c r="X173" s="50">
        <v>0.635934</v>
      </c>
      <c r="Y173" s="50">
        <v>0.5</v>
      </c>
      <c r="Z173" s="50">
        <v>0</v>
      </c>
      <c r="AA173" s="72">
        <v>146</v>
      </c>
      <c r="AB173" s="72"/>
      <c r="AC173" s="73"/>
      <c r="AD173" s="80" t="s">
        <v>767</v>
      </c>
      <c r="AE173" s="80" t="s">
        <v>1154</v>
      </c>
      <c r="AF173" s="80" t="s">
        <v>1505</v>
      </c>
      <c r="AG173" s="80" t="s">
        <v>1774</v>
      </c>
      <c r="AH173" s="80" t="s">
        <v>2058</v>
      </c>
      <c r="AI173" s="80">
        <v>5671</v>
      </c>
      <c r="AJ173" s="80">
        <v>0</v>
      </c>
      <c r="AK173" s="80">
        <v>98</v>
      </c>
      <c r="AL173" s="80">
        <v>5</v>
      </c>
      <c r="AM173" s="80" t="s">
        <v>2317</v>
      </c>
      <c r="AN173" s="98" t="str">
        <f>HYPERLINK("https://www.youtube.com/watch?v=fElYSnSJjFc")</f>
        <v>https://www.youtube.com/watch?v=fElYSnSJjFc</v>
      </c>
      <c r="AO173" s="80" t="str">
        <f>REPLACE(INDEX(GroupVertices[Group],MATCH(Vertices[[#This Row],[Vertex]],GroupVertices[Vertex],0)),1,1,"")</f>
        <v>7</v>
      </c>
      <c r="AP173" s="49">
        <v>0</v>
      </c>
      <c r="AQ173" s="50">
        <v>0</v>
      </c>
      <c r="AR173" s="49">
        <v>2</v>
      </c>
      <c r="AS173" s="50">
        <v>4</v>
      </c>
      <c r="AT173" s="49">
        <v>0</v>
      </c>
      <c r="AU173" s="50">
        <v>0</v>
      </c>
      <c r="AV173" s="49">
        <v>48</v>
      </c>
      <c r="AW173" s="50">
        <v>96</v>
      </c>
      <c r="AX173" s="49">
        <v>50</v>
      </c>
      <c r="AY173" s="49"/>
      <c r="AZ173" s="49"/>
      <c r="BA173" s="49"/>
      <c r="BB173" s="49"/>
      <c r="BC173" s="2"/>
      <c r="BD173" s="3"/>
      <c r="BE173" s="3"/>
      <c r="BF173" s="3"/>
      <c r="BG173" s="3"/>
    </row>
    <row r="174" spans="1:59" ht="15">
      <c r="A174" s="65" t="s">
        <v>360</v>
      </c>
      <c r="B174" s="66" t="s">
        <v>3536</v>
      </c>
      <c r="C174" s="66"/>
      <c r="D174" s="67">
        <v>212.5</v>
      </c>
      <c r="E174" s="69">
        <v>50</v>
      </c>
      <c r="F174" s="96" t="str">
        <f>HYPERLINK("https://i.ytimg.com/vi/L2hVl1-HYKA/default.jpg")</f>
        <v>https://i.ytimg.com/vi/L2hVl1-HYKA/default.jpg</v>
      </c>
      <c r="G174" s="66"/>
      <c r="H174" s="70" t="s">
        <v>768</v>
      </c>
      <c r="I174" s="71"/>
      <c r="J174" s="71" t="s">
        <v>159</v>
      </c>
      <c r="K174" s="70" t="s">
        <v>768</v>
      </c>
      <c r="L174" s="74">
        <v>1.0117800699491883</v>
      </c>
      <c r="M174" s="75">
        <v>731.309814453125</v>
      </c>
      <c r="N174" s="75">
        <v>8455.306640625</v>
      </c>
      <c r="O174" s="76"/>
      <c r="P174" s="77"/>
      <c r="Q174" s="77"/>
      <c r="R174" s="82"/>
      <c r="S174" s="49">
        <v>1</v>
      </c>
      <c r="T174" s="49">
        <v>0</v>
      </c>
      <c r="U174" s="50">
        <v>0</v>
      </c>
      <c r="V174" s="50">
        <v>0.000876</v>
      </c>
      <c r="W174" s="50">
        <v>0.001302</v>
      </c>
      <c r="X174" s="50">
        <v>0.392973</v>
      </c>
      <c r="Y174" s="50">
        <v>0</v>
      </c>
      <c r="Z174" s="50">
        <v>0</v>
      </c>
      <c r="AA174" s="72">
        <v>147</v>
      </c>
      <c r="AB174" s="72"/>
      <c r="AC174" s="73"/>
      <c r="AD174" s="80" t="s">
        <v>768</v>
      </c>
      <c r="AE174" s="80"/>
      <c r="AF174" s="80"/>
      <c r="AG174" s="80" t="s">
        <v>1759</v>
      </c>
      <c r="AH174" s="80" t="s">
        <v>2059</v>
      </c>
      <c r="AI174" s="80">
        <v>279</v>
      </c>
      <c r="AJ174" s="80">
        <v>0</v>
      </c>
      <c r="AK174" s="80">
        <v>0</v>
      </c>
      <c r="AL174" s="80">
        <v>0</v>
      </c>
      <c r="AM174" s="80" t="s">
        <v>2317</v>
      </c>
      <c r="AN174" s="98" t="str">
        <f>HYPERLINK("https://www.youtube.com/watch?v=L2hVl1-HYKA")</f>
        <v>https://www.youtube.com/watch?v=L2hVl1-HYKA</v>
      </c>
      <c r="AO174" s="80" t="str">
        <f>REPLACE(INDEX(GroupVertices[Group],MATCH(Vertices[[#This Row],[Vertex]],GroupVertices[Vertex],0)),1,1,"")</f>
        <v>1</v>
      </c>
      <c r="AP174" s="49"/>
      <c r="AQ174" s="50"/>
      <c r="AR174" s="49"/>
      <c r="AS174" s="50"/>
      <c r="AT174" s="49"/>
      <c r="AU174" s="50"/>
      <c r="AV174" s="49"/>
      <c r="AW174" s="50"/>
      <c r="AX174" s="49"/>
      <c r="AY174" s="49"/>
      <c r="AZ174" s="49"/>
      <c r="BA174" s="49"/>
      <c r="BB174" s="49"/>
      <c r="BC174" s="2"/>
      <c r="BD174" s="3"/>
      <c r="BE174" s="3"/>
      <c r="BF174" s="3"/>
      <c r="BG174" s="3"/>
    </row>
    <row r="175" spans="1:59" ht="15">
      <c r="A175" s="65" t="s">
        <v>361</v>
      </c>
      <c r="B175" s="66" t="s">
        <v>3536</v>
      </c>
      <c r="C175" s="66"/>
      <c r="D175" s="67">
        <v>212.5</v>
      </c>
      <c r="E175" s="69">
        <v>50</v>
      </c>
      <c r="F175" s="96" t="str">
        <f>HYPERLINK("https://i.ytimg.com/vi/eNEWd7R70fQ/default.jpg")</f>
        <v>https://i.ytimg.com/vi/eNEWd7R70fQ/default.jpg</v>
      </c>
      <c r="G175" s="66"/>
      <c r="H175" s="70" t="s">
        <v>769</v>
      </c>
      <c r="I175" s="71"/>
      <c r="J175" s="71" t="s">
        <v>159</v>
      </c>
      <c r="K175" s="70" t="s">
        <v>769</v>
      </c>
      <c r="L175" s="74">
        <v>1.0121317138282684</v>
      </c>
      <c r="M175" s="75">
        <v>1130.2061767578125</v>
      </c>
      <c r="N175" s="75">
        <v>8455.306640625</v>
      </c>
      <c r="O175" s="76"/>
      <c r="P175" s="77"/>
      <c r="Q175" s="77"/>
      <c r="R175" s="82"/>
      <c r="S175" s="49">
        <v>1</v>
      </c>
      <c r="T175" s="49">
        <v>0</v>
      </c>
      <c r="U175" s="50">
        <v>0</v>
      </c>
      <c r="V175" s="50">
        <v>0.000876</v>
      </c>
      <c r="W175" s="50">
        <v>0.001302</v>
      </c>
      <c r="X175" s="50">
        <v>0.392973</v>
      </c>
      <c r="Y175" s="50">
        <v>0</v>
      </c>
      <c r="Z175" s="50">
        <v>0</v>
      </c>
      <c r="AA175" s="72">
        <v>148</v>
      </c>
      <c r="AB175" s="72"/>
      <c r="AC175" s="73"/>
      <c r="AD175" s="80" t="s">
        <v>769</v>
      </c>
      <c r="AE175" s="80" t="s">
        <v>1155</v>
      </c>
      <c r="AF175" s="80"/>
      <c r="AG175" s="80" t="s">
        <v>1759</v>
      </c>
      <c r="AH175" s="80" t="s">
        <v>2060</v>
      </c>
      <c r="AI175" s="80">
        <v>287</v>
      </c>
      <c r="AJ175" s="80">
        <v>0</v>
      </c>
      <c r="AK175" s="80">
        <v>3</v>
      </c>
      <c r="AL175" s="80">
        <v>0</v>
      </c>
      <c r="AM175" s="80" t="s">
        <v>2317</v>
      </c>
      <c r="AN175" s="98" t="str">
        <f>HYPERLINK("https://www.youtube.com/watch?v=eNEWd7R70fQ")</f>
        <v>https://www.youtube.com/watch?v=eNEWd7R70fQ</v>
      </c>
      <c r="AO175" s="80" t="str">
        <f>REPLACE(INDEX(GroupVertices[Group],MATCH(Vertices[[#This Row],[Vertex]],GroupVertices[Vertex],0)),1,1,"")</f>
        <v>1</v>
      </c>
      <c r="AP175" s="49"/>
      <c r="AQ175" s="50"/>
      <c r="AR175" s="49"/>
      <c r="AS175" s="50"/>
      <c r="AT175" s="49"/>
      <c r="AU175" s="50"/>
      <c r="AV175" s="49"/>
      <c r="AW175" s="50"/>
      <c r="AX175" s="49"/>
      <c r="AY175" s="49"/>
      <c r="AZ175" s="49"/>
      <c r="BA175" s="49"/>
      <c r="BB175" s="49"/>
      <c r="BC175" s="2"/>
      <c r="BD175" s="3"/>
      <c r="BE175" s="3"/>
      <c r="BF175" s="3"/>
      <c r="BG175" s="3"/>
    </row>
    <row r="176" spans="1:59" ht="15">
      <c r="A176" s="65" t="s">
        <v>362</v>
      </c>
      <c r="B176" s="66" t="s">
        <v>3536</v>
      </c>
      <c r="C176" s="66"/>
      <c r="D176" s="67">
        <v>212.5</v>
      </c>
      <c r="E176" s="69">
        <v>50</v>
      </c>
      <c r="F176" s="96" t="str">
        <f>HYPERLINK("https://i.ytimg.com/vi/niztAhOnXpQ/default.jpg")</f>
        <v>https://i.ytimg.com/vi/niztAhOnXpQ/default.jpg</v>
      </c>
      <c r="G176" s="66"/>
      <c r="H176" s="70" t="s">
        <v>770</v>
      </c>
      <c r="I176" s="71"/>
      <c r="J176" s="71" t="s">
        <v>159</v>
      </c>
      <c r="K176" s="70" t="s">
        <v>770</v>
      </c>
      <c r="L176" s="74">
        <v>1.0802627154000661</v>
      </c>
      <c r="M176" s="75">
        <v>1130.2061767578125</v>
      </c>
      <c r="N176" s="75">
        <v>7920.4658203125</v>
      </c>
      <c r="O176" s="76"/>
      <c r="P176" s="77"/>
      <c r="Q176" s="77"/>
      <c r="R176" s="82"/>
      <c r="S176" s="49">
        <v>1</v>
      </c>
      <c r="T176" s="49">
        <v>0</v>
      </c>
      <c r="U176" s="50">
        <v>0</v>
      </c>
      <c r="V176" s="50">
        <v>0.000876</v>
      </c>
      <c r="W176" s="50">
        <v>0.001302</v>
      </c>
      <c r="X176" s="50">
        <v>0.392973</v>
      </c>
      <c r="Y176" s="50">
        <v>0</v>
      </c>
      <c r="Z176" s="50">
        <v>0</v>
      </c>
      <c r="AA176" s="72">
        <v>149</v>
      </c>
      <c r="AB176" s="72"/>
      <c r="AC176" s="73"/>
      <c r="AD176" s="80" t="s">
        <v>770</v>
      </c>
      <c r="AE176" s="80" t="s">
        <v>1156</v>
      </c>
      <c r="AF176" s="80" t="s">
        <v>1506</v>
      </c>
      <c r="AG176" s="80" t="s">
        <v>1775</v>
      </c>
      <c r="AH176" s="80" t="s">
        <v>2061</v>
      </c>
      <c r="AI176" s="80">
        <v>1837</v>
      </c>
      <c r="AJ176" s="80">
        <v>6</v>
      </c>
      <c r="AK176" s="80">
        <v>36</v>
      </c>
      <c r="AL176" s="80">
        <v>2</v>
      </c>
      <c r="AM176" s="80" t="s">
        <v>2317</v>
      </c>
      <c r="AN176" s="98" t="str">
        <f>HYPERLINK("https://www.youtube.com/watch?v=niztAhOnXpQ")</f>
        <v>https://www.youtube.com/watch?v=niztAhOnXpQ</v>
      </c>
      <c r="AO176" s="80" t="str">
        <f>REPLACE(INDEX(GroupVertices[Group],MATCH(Vertices[[#This Row],[Vertex]],GroupVertices[Vertex],0)),1,1,"")</f>
        <v>1</v>
      </c>
      <c r="AP176" s="49">
        <v>0</v>
      </c>
      <c r="AQ176" s="50">
        <v>0</v>
      </c>
      <c r="AR176" s="49">
        <v>0</v>
      </c>
      <c r="AS176" s="50">
        <v>0</v>
      </c>
      <c r="AT176" s="49">
        <v>0</v>
      </c>
      <c r="AU176" s="50">
        <v>0</v>
      </c>
      <c r="AV176" s="49">
        <v>68</v>
      </c>
      <c r="AW176" s="50">
        <v>100</v>
      </c>
      <c r="AX176" s="49">
        <v>68</v>
      </c>
      <c r="AY176" s="49"/>
      <c r="AZ176" s="49"/>
      <c r="BA176" s="49"/>
      <c r="BB176" s="49"/>
      <c r="BC176" s="2"/>
      <c r="BD176" s="3"/>
      <c r="BE176" s="3"/>
      <c r="BF176" s="3"/>
      <c r="BG176" s="3"/>
    </row>
    <row r="177" spans="1:59" ht="15">
      <c r="A177" s="65" t="s">
        <v>363</v>
      </c>
      <c r="B177" s="66" t="s">
        <v>3536</v>
      </c>
      <c r="C177" s="66"/>
      <c r="D177" s="67">
        <v>212.5</v>
      </c>
      <c r="E177" s="69">
        <v>50</v>
      </c>
      <c r="F177" s="96" t="str">
        <f>HYPERLINK("https://i.ytimg.com/vi/Mox59tWDUUg/default.jpg")</f>
        <v>https://i.ytimg.com/vi/Mox59tWDUUg/default.jpg</v>
      </c>
      <c r="G177" s="66"/>
      <c r="H177" s="70" t="s">
        <v>771</v>
      </c>
      <c r="I177" s="71"/>
      <c r="J177" s="71" t="s">
        <v>159</v>
      </c>
      <c r="K177" s="70" t="s">
        <v>771</v>
      </c>
      <c r="L177" s="74">
        <v>1.022900807625101</v>
      </c>
      <c r="M177" s="75">
        <v>2326.89501953125</v>
      </c>
      <c r="N177" s="75">
        <v>8455.306640625</v>
      </c>
      <c r="O177" s="76"/>
      <c r="P177" s="77"/>
      <c r="Q177" s="77"/>
      <c r="R177" s="82"/>
      <c r="S177" s="49">
        <v>1</v>
      </c>
      <c r="T177" s="49">
        <v>0</v>
      </c>
      <c r="U177" s="50">
        <v>0</v>
      </c>
      <c r="V177" s="50">
        <v>0.000876</v>
      </c>
      <c r="W177" s="50">
        <v>0.001302</v>
      </c>
      <c r="X177" s="50">
        <v>0.392973</v>
      </c>
      <c r="Y177" s="50">
        <v>0</v>
      </c>
      <c r="Z177" s="50">
        <v>0</v>
      </c>
      <c r="AA177" s="72">
        <v>150</v>
      </c>
      <c r="AB177" s="72"/>
      <c r="AC177" s="73"/>
      <c r="AD177" s="80" t="s">
        <v>771</v>
      </c>
      <c r="AE177" s="80" t="s">
        <v>1157</v>
      </c>
      <c r="AF177" s="80"/>
      <c r="AG177" s="80" t="s">
        <v>1157</v>
      </c>
      <c r="AH177" s="80" t="s">
        <v>2062</v>
      </c>
      <c r="AI177" s="80">
        <v>532</v>
      </c>
      <c r="AJ177" s="80">
        <v>6</v>
      </c>
      <c r="AK177" s="80">
        <v>62</v>
      </c>
      <c r="AL177" s="80">
        <v>1</v>
      </c>
      <c r="AM177" s="80" t="s">
        <v>2317</v>
      </c>
      <c r="AN177" s="98" t="str">
        <f>HYPERLINK("https://www.youtube.com/watch?v=Mox59tWDUUg")</f>
        <v>https://www.youtube.com/watch?v=Mox59tWDUUg</v>
      </c>
      <c r="AO177" s="80" t="str">
        <f>REPLACE(INDEX(GroupVertices[Group],MATCH(Vertices[[#This Row],[Vertex]],GroupVertices[Vertex],0)),1,1,"")</f>
        <v>1</v>
      </c>
      <c r="AP177" s="49"/>
      <c r="AQ177" s="50"/>
      <c r="AR177" s="49"/>
      <c r="AS177" s="50"/>
      <c r="AT177" s="49"/>
      <c r="AU177" s="50"/>
      <c r="AV177" s="49"/>
      <c r="AW177" s="50"/>
      <c r="AX177" s="49"/>
      <c r="AY177" s="49"/>
      <c r="AZ177" s="49"/>
      <c r="BA177" s="49"/>
      <c r="BB177" s="49"/>
      <c r="BC177" s="2"/>
      <c r="BD177" s="3"/>
      <c r="BE177" s="3"/>
      <c r="BF177" s="3"/>
      <c r="BG177" s="3"/>
    </row>
    <row r="178" spans="1:59" ht="15">
      <c r="A178" s="65" t="s">
        <v>364</v>
      </c>
      <c r="B178" s="66" t="s">
        <v>3536</v>
      </c>
      <c r="C178" s="66"/>
      <c r="D178" s="67">
        <v>212.5</v>
      </c>
      <c r="E178" s="69">
        <v>50</v>
      </c>
      <c r="F178" s="96" t="str">
        <f>HYPERLINK("https://i.ytimg.com/vi/FvCLqWTY3qk/default.jpg")</f>
        <v>https://i.ytimg.com/vi/FvCLqWTY3qk/default.jpg</v>
      </c>
      <c r="G178" s="66"/>
      <c r="H178" s="70" t="s">
        <v>772</v>
      </c>
      <c r="I178" s="71"/>
      <c r="J178" s="71" t="s">
        <v>159</v>
      </c>
      <c r="K178" s="70" t="s">
        <v>772</v>
      </c>
      <c r="L178" s="74">
        <v>6.393513817332813</v>
      </c>
      <c r="M178" s="75">
        <v>2725.791259765625</v>
      </c>
      <c r="N178" s="75">
        <v>5781.1015625</v>
      </c>
      <c r="O178" s="76"/>
      <c r="P178" s="77"/>
      <c r="Q178" s="77"/>
      <c r="R178" s="82"/>
      <c r="S178" s="49">
        <v>1</v>
      </c>
      <c r="T178" s="49">
        <v>0</v>
      </c>
      <c r="U178" s="50">
        <v>0</v>
      </c>
      <c r="V178" s="50">
        <v>0.000876</v>
      </c>
      <c r="W178" s="50">
        <v>0.001302</v>
      </c>
      <c r="X178" s="50">
        <v>0.392973</v>
      </c>
      <c r="Y178" s="50">
        <v>0</v>
      </c>
      <c r="Z178" s="50">
        <v>0</v>
      </c>
      <c r="AA178" s="72">
        <v>151</v>
      </c>
      <c r="AB178" s="72"/>
      <c r="AC178" s="73"/>
      <c r="AD178" s="80" t="s">
        <v>772</v>
      </c>
      <c r="AE178" s="80" t="s">
        <v>1158</v>
      </c>
      <c r="AF178" s="80" t="s">
        <v>1507</v>
      </c>
      <c r="AG178" s="80" t="s">
        <v>1776</v>
      </c>
      <c r="AH178" s="80" t="s">
        <v>2063</v>
      </c>
      <c r="AI178" s="80">
        <v>122715</v>
      </c>
      <c r="AJ178" s="80">
        <v>751</v>
      </c>
      <c r="AK178" s="80">
        <v>3588</v>
      </c>
      <c r="AL178" s="80">
        <v>45</v>
      </c>
      <c r="AM178" s="80" t="s">
        <v>2317</v>
      </c>
      <c r="AN178" s="98" t="str">
        <f>HYPERLINK("https://www.youtube.com/watch?v=FvCLqWTY3qk")</f>
        <v>https://www.youtube.com/watch?v=FvCLqWTY3qk</v>
      </c>
      <c r="AO178" s="80" t="str">
        <f>REPLACE(INDEX(GroupVertices[Group],MATCH(Vertices[[#This Row],[Vertex]],GroupVertices[Vertex],0)),1,1,"")</f>
        <v>1</v>
      </c>
      <c r="AP178" s="49">
        <v>0</v>
      </c>
      <c r="AQ178" s="50">
        <v>0</v>
      </c>
      <c r="AR178" s="49">
        <v>1</v>
      </c>
      <c r="AS178" s="50">
        <v>2.380952380952381</v>
      </c>
      <c r="AT178" s="49">
        <v>0</v>
      </c>
      <c r="AU178" s="50">
        <v>0</v>
      </c>
      <c r="AV178" s="49">
        <v>41</v>
      </c>
      <c r="AW178" s="50">
        <v>97.61904761904762</v>
      </c>
      <c r="AX178" s="49">
        <v>42</v>
      </c>
      <c r="AY178" s="49"/>
      <c r="AZ178" s="49"/>
      <c r="BA178" s="49"/>
      <c r="BB178" s="49"/>
      <c r="BC178" s="2"/>
      <c r="BD178" s="3"/>
      <c r="BE178" s="3"/>
      <c r="BF178" s="3"/>
      <c r="BG178" s="3"/>
    </row>
    <row r="179" spans="1:59" ht="15">
      <c r="A179" s="65" t="s">
        <v>365</v>
      </c>
      <c r="B179" s="66" t="s">
        <v>3536</v>
      </c>
      <c r="C179" s="66"/>
      <c r="D179" s="67">
        <v>212.5</v>
      </c>
      <c r="E179" s="69">
        <v>50</v>
      </c>
      <c r="F179" s="96" t="str">
        <f>HYPERLINK("https://i.ytimg.com/vi/NcmcFQC6Sc0/default.jpg")</f>
        <v>https://i.ytimg.com/vi/NcmcFQC6Sc0/default.jpg</v>
      </c>
      <c r="G179" s="66"/>
      <c r="H179" s="70" t="s">
        <v>773</v>
      </c>
      <c r="I179" s="71"/>
      <c r="J179" s="71" t="s">
        <v>159</v>
      </c>
      <c r="K179" s="70" t="s">
        <v>773</v>
      </c>
      <c r="L179" s="74">
        <v>1.101317392659996</v>
      </c>
      <c r="M179" s="75">
        <v>1529.1024169921875</v>
      </c>
      <c r="N179" s="75">
        <v>7920.4658203125</v>
      </c>
      <c r="O179" s="76"/>
      <c r="P179" s="77"/>
      <c r="Q179" s="77"/>
      <c r="R179" s="82"/>
      <c r="S179" s="49">
        <v>1</v>
      </c>
      <c r="T179" s="49">
        <v>0</v>
      </c>
      <c r="U179" s="50">
        <v>0</v>
      </c>
      <c r="V179" s="50">
        <v>0.000876</v>
      </c>
      <c r="W179" s="50">
        <v>0.001302</v>
      </c>
      <c r="X179" s="50">
        <v>0.392973</v>
      </c>
      <c r="Y179" s="50">
        <v>0</v>
      </c>
      <c r="Z179" s="50">
        <v>0</v>
      </c>
      <c r="AA179" s="72">
        <v>152</v>
      </c>
      <c r="AB179" s="72"/>
      <c r="AC179" s="73"/>
      <c r="AD179" s="80" t="s">
        <v>773</v>
      </c>
      <c r="AE179" s="80" t="s">
        <v>1159</v>
      </c>
      <c r="AF179" s="80" t="s">
        <v>1508</v>
      </c>
      <c r="AG179" s="80" t="s">
        <v>1777</v>
      </c>
      <c r="AH179" s="80" t="s">
        <v>2064</v>
      </c>
      <c r="AI179" s="80">
        <v>2316</v>
      </c>
      <c r="AJ179" s="80">
        <v>0</v>
      </c>
      <c r="AK179" s="80">
        <v>14</v>
      </c>
      <c r="AL179" s="80">
        <v>1</v>
      </c>
      <c r="AM179" s="80" t="s">
        <v>2317</v>
      </c>
      <c r="AN179" s="98" t="str">
        <f>HYPERLINK("https://www.youtube.com/watch?v=NcmcFQC6Sc0")</f>
        <v>https://www.youtube.com/watch?v=NcmcFQC6Sc0</v>
      </c>
      <c r="AO179" s="80" t="str">
        <f>REPLACE(INDEX(GroupVertices[Group],MATCH(Vertices[[#This Row],[Vertex]],GroupVertices[Vertex],0)),1,1,"")</f>
        <v>1</v>
      </c>
      <c r="AP179" s="49">
        <v>0</v>
      </c>
      <c r="AQ179" s="50">
        <v>0</v>
      </c>
      <c r="AR179" s="49">
        <v>0</v>
      </c>
      <c r="AS179" s="50">
        <v>0</v>
      </c>
      <c r="AT179" s="49">
        <v>0</v>
      </c>
      <c r="AU179" s="50">
        <v>0</v>
      </c>
      <c r="AV179" s="49">
        <v>24</v>
      </c>
      <c r="AW179" s="50">
        <v>100</v>
      </c>
      <c r="AX179" s="49">
        <v>24</v>
      </c>
      <c r="AY179" s="49"/>
      <c r="AZ179" s="49"/>
      <c r="BA179" s="49"/>
      <c r="BB179" s="49"/>
      <c r="BC179" s="2"/>
      <c r="BD179" s="3"/>
      <c r="BE179" s="3"/>
      <c r="BF179" s="3"/>
      <c r="BG179" s="3"/>
    </row>
    <row r="180" spans="1:59" ht="15">
      <c r="A180" s="65" t="s">
        <v>366</v>
      </c>
      <c r="B180" s="66" t="s">
        <v>3536</v>
      </c>
      <c r="C180" s="66"/>
      <c r="D180" s="67">
        <v>212.5</v>
      </c>
      <c r="E180" s="69">
        <v>50</v>
      </c>
      <c r="F180" s="96" t="str">
        <f>HYPERLINK("https://i.ytimg.com/vi/fu_2VRAfDP0/default.jpg")</f>
        <v>https://i.ytimg.com/vi/fu_2VRAfDP0/default.jpg</v>
      </c>
      <c r="G180" s="66"/>
      <c r="H180" s="70" t="s">
        <v>774</v>
      </c>
      <c r="I180" s="71"/>
      <c r="J180" s="71" t="s">
        <v>159</v>
      </c>
      <c r="K180" s="70" t="s">
        <v>774</v>
      </c>
      <c r="L180" s="74">
        <v>2.347938899484353</v>
      </c>
      <c r="M180" s="75">
        <v>2725.791259765625</v>
      </c>
      <c r="N180" s="75">
        <v>6315.943359375</v>
      </c>
      <c r="O180" s="76"/>
      <c r="P180" s="77"/>
      <c r="Q180" s="77"/>
      <c r="R180" s="82"/>
      <c r="S180" s="49">
        <v>1</v>
      </c>
      <c r="T180" s="49">
        <v>0</v>
      </c>
      <c r="U180" s="50">
        <v>0</v>
      </c>
      <c r="V180" s="50">
        <v>0.000876</v>
      </c>
      <c r="W180" s="50">
        <v>0.001302</v>
      </c>
      <c r="X180" s="50">
        <v>0.392973</v>
      </c>
      <c r="Y180" s="50">
        <v>0</v>
      </c>
      <c r="Z180" s="50">
        <v>0</v>
      </c>
      <c r="AA180" s="72">
        <v>153</v>
      </c>
      <c r="AB180" s="72"/>
      <c r="AC180" s="73"/>
      <c r="AD180" s="80" t="s">
        <v>774</v>
      </c>
      <c r="AE180" s="80" t="s">
        <v>1160</v>
      </c>
      <c r="AF180" s="80" t="s">
        <v>1509</v>
      </c>
      <c r="AG180" s="80" t="s">
        <v>1778</v>
      </c>
      <c r="AH180" s="80" t="s">
        <v>2065</v>
      </c>
      <c r="AI180" s="80">
        <v>30677</v>
      </c>
      <c r="AJ180" s="80">
        <v>9</v>
      </c>
      <c r="AK180" s="80">
        <v>172</v>
      </c>
      <c r="AL180" s="80">
        <v>21</v>
      </c>
      <c r="AM180" s="80" t="s">
        <v>2317</v>
      </c>
      <c r="AN180" s="98" t="str">
        <f>HYPERLINK("https://www.youtube.com/watch?v=fu_2VRAfDP0")</f>
        <v>https://www.youtube.com/watch?v=fu_2VRAfDP0</v>
      </c>
      <c r="AO180" s="80" t="str">
        <f>REPLACE(INDEX(GroupVertices[Group],MATCH(Vertices[[#This Row],[Vertex]],GroupVertices[Vertex],0)),1,1,"")</f>
        <v>1</v>
      </c>
      <c r="AP180" s="49">
        <v>0</v>
      </c>
      <c r="AQ180" s="50">
        <v>0</v>
      </c>
      <c r="AR180" s="49">
        <v>0</v>
      </c>
      <c r="AS180" s="50">
        <v>0</v>
      </c>
      <c r="AT180" s="49">
        <v>0</v>
      </c>
      <c r="AU180" s="50">
        <v>0</v>
      </c>
      <c r="AV180" s="49">
        <v>11</v>
      </c>
      <c r="AW180" s="50">
        <v>100</v>
      </c>
      <c r="AX180" s="49">
        <v>11</v>
      </c>
      <c r="AY180" s="49"/>
      <c r="AZ180" s="49"/>
      <c r="BA180" s="49"/>
      <c r="BB180" s="49"/>
      <c r="BC180" s="2"/>
      <c r="BD180" s="3"/>
      <c r="BE180" s="3"/>
      <c r="BF180" s="3"/>
      <c r="BG180" s="3"/>
    </row>
    <row r="181" spans="1:59" ht="15">
      <c r="A181" s="65" t="s">
        <v>367</v>
      </c>
      <c r="B181" s="66" t="s">
        <v>3536</v>
      </c>
      <c r="C181" s="66"/>
      <c r="D181" s="67">
        <v>212.5</v>
      </c>
      <c r="E181" s="69">
        <v>50</v>
      </c>
      <c r="F181" s="96" t="str">
        <f>HYPERLINK("https://i.ytimg.com/vi/0r9Z9L2NvjE/default.jpg")</f>
        <v>https://i.ytimg.com/vi/0r9Z9L2NvjE/default.jpg</v>
      </c>
      <c r="G181" s="66"/>
      <c r="H181" s="70" t="s">
        <v>775</v>
      </c>
      <c r="I181" s="71"/>
      <c r="J181" s="71" t="s">
        <v>159</v>
      </c>
      <c r="K181" s="70" t="s">
        <v>775</v>
      </c>
      <c r="L181" s="74">
        <v>2.39352073731013</v>
      </c>
      <c r="M181" s="75">
        <v>332.41357421875</v>
      </c>
      <c r="N181" s="75">
        <v>5781.1015625</v>
      </c>
      <c r="O181" s="76"/>
      <c r="P181" s="77"/>
      <c r="Q181" s="77"/>
      <c r="R181" s="82"/>
      <c r="S181" s="49">
        <v>1</v>
      </c>
      <c r="T181" s="49">
        <v>0</v>
      </c>
      <c r="U181" s="50">
        <v>0</v>
      </c>
      <c r="V181" s="50">
        <v>0.000876</v>
      </c>
      <c r="W181" s="50">
        <v>0.001302</v>
      </c>
      <c r="X181" s="50">
        <v>0.392973</v>
      </c>
      <c r="Y181" s="50">
        <v>0</v>
      </c>
      <c r="Z181" s="50">
        <v>0</v>
      </c>
      <c r="AA181" s="72">
        <v>154</v>
      </c>
      <c r="AB181" s="72"/>
      <c r="AC181" s="73"/>
      <c r="AD181" s="80" t="s">
        <v>775</v>
      </c>
      <c r="AE181" s="80" t="s">
        <v>1161</v>
      </c>
      <c r="AF181" s="80" t="s">
        <v>1510</v>
      </c>
      <c r="AG181" s="80" t="s">
        <v>1779</v>
      </c>
      <c r="AH181" s="80" t="s">
        <v>2066</v>
      </c>
      <c r="AI181" s="80">
        <v>31714</v>
      </c>
      <c r="AJ181" s="80">
        <v>5</v>
      </c>
      <c r="AK181" s="80">
        <v>0</v>
      </c>
      <c r="AL181" s="80">
        <v>0</v>
      </c>
      <c r="AM181" s="80" t="s">
        <v>2317</v>
      </c>
      <c r="AN181" s="98" t="str">
        <f>HYPERLINK("https://www.youtube.com/watch?v=0r9Z9L2NvjE")</f>
        <v>https://www.youtube.com/watch?v=0r9Z9L2NvjE</v>
      </c>
      <c r="AO181" s="80" t="str">
        <f>REPLACE(INDEX(GroupVertices[Group],MATCH(Vertices[[#This Row],[Vertex]],GroupVertices[Vertex],0)),1,1,"")</f>
        <v>1</v>
      </c>
      <c r="AP181" s="49">
        <v>1</v>
      </c>
      <c r="AQ181" s="50">
        <v>2.7027027027027026</v>
      </c>
      <c r="AR181" s="49">
        <v>0</v>
      </c>
      <c r="AS181" s="50">
        <v>0</v>
      </c>
      <c r="AT181" s="49">
        <v>0</v>
      </c>
      <c r="AU181" s="50">
        <v>0</v>
      </c>
      <c r="AV181" s="49">
        <v>36</v>
      </c>
      <c r="AW181" s="50">
        <v>97.29729729729729</v>
      </c>
      <c r="AX181" s="49">
        <v>37</v>
      </c>
      <c r="AY181" s="49"/>
      <c r="AZ181" s="49"/>
      <c r="BA181" s="49"/>
      <c r="BB181" s="49"/>
      <c r="BC181" s="2"/>
      <c r="BD181" s="3"/>
      <c r="BE181" s="3"/>
      <c r="BF181" s="3"/>
      <c r="BG181" s="3"/>
    </row>
    <row r="182" spans="1:59" ht="15">
      <c r="A182" s="65" t="s">
        <v>368</v>
      </c>
      <c r="B182" s="66" t="s">
        <v>3536</v>
      </c>
      <c r="C182" s="66"/>
      <c r="D182" s="67">
        <v>437.5</v>
      </c>
      <c r="E182" s="69">
        <v>100</v>
      </c>
      <c r="F182" s="96" t="str">
        <f>HYPERLINK("https://i.ytimg.com/vi/MpgpRBvptqQ/default.jpg")</f>
        <v>https://i.ytimg.com/vi/MpgpRBvptqQ/default.jpg</v>
      </c>
      <c r="G182" s="66"/>
      <c r="H182" s="70" t="s">
        <v>776</v>
      </c>
      <c r="I182" s="71"/>
      <c r="J182" s="71" t="s">
        <v>75</v>
      </c>
      <c r="K182" s="70" t="s">
        <v>776</v>
      </c>
      <c r="L182" s="74">
        <v>1.647420336871618</v>
      </c>
      <c r="M182" s="75">
        <v>5043.1884765625</v>
      </c>
      <c r="N182" s="75">
        <v>2798.015380859375</v>
      </c>
      <c r="O182" s="76"/>
      <c r="P182" s="77"/>
      <c r="Q182" s="77"/>
      <c r="R182" s="82"/>
      <c r="S182" s="49">
        <v>3</v>
      </c>
      <c r="T182" s="49">
        <v>0</v>
      </c>
      <c r="U182" s="50">
        <v>0</v>
      </c>
      <c r="V182" s="50">
        <v>0.000988</v>
      </c>
      <c r="W182" s="50">
        <v>0.004712</v>
      </c>
      <c r="X182" s="50">
        <v>0.886989</v>
      </c>
      <c r="Y182" s="50">
        <v>0.6666666666666666</v>
      </c>
      <c r="Z182" s="50">
        <v>0</v>
      </c>
      <c r="AA182" s="72">
        <v>155</v>
      </c>
      <c r="AB182" s="72"/>
      <c r="AC182" s="73"/>
      <c r="AD182" s="80" t="s">
        <v>776</v>
      </c>
      <c r="AE182" s="80" t="s">
        <v>1162</v>
      </c>
      <c r="AF182" s="80" t="s">
        <v>1511</v>
      </c>
      <c r="AG182" s="80" t="s">
        <v>1698</v>
      </c>
      <c r="AH182" s="80" t="s">
        <v>2067</v>
      </c>
      <c r="AI182" s="80">
        <v>14740</v>
      </c>
      <c r="AJ182" s="80">
        <v>16</v>
      </c>
      <c r="AK182" s="80">
        <v>197</v>
      </c>
      <c r="AL182" s="80">
        <v>19</v>
      </c>
      <c r="AM182" s="80" t="s">
        <v>2317</v>
      </c>
      <c r="AN182" s="98" t="str">
        <f>HYPERLINK("https://www.youtube.com/watch?v=MpgpRBvptqQ")</f>
        <v>https://www.youtube.com/watch?v=MpgpRBvptqQ</v>
      </c>
      <c r="AO182" s="80" t="str">
        <f>REPLACE(INDEX(GroupVertices[Group],MATCH(Vertices[[#This Row],[Vertex]],GroupVertices[Vertex],0)),1,1,"")</f>
        <v>4</v>
      </c>
      <c r="AP182" s="49">
        <v>0</v>
      </c>
      <c r="AQ182" s="50">
        <v>0</v>
      </c>
      <c r="AR182" s="49">
        <v>0</v>
      </c>
      <c r="AS182" s="50">
        <v>0</v>
      </c>
      <c r="AT182" s="49">
        <v>0</v>
      </c>
      <c r="AU182" s="50">
        <v>0</v>
      </c>
      <c r="AV182" s="49">
        <v>5</v>
      </c>
      <c r="AW182" s="50">
        <v>100</v>
      </c>
      <c r="AX182" s="49">
        <v>5</v>
      </c>
      <c r="AY182" s="49"/>
      <c r="AZ182" s="49"/>
      <c r="BA182" s="49"/>
      <c r="BB182" s="49"/>
      <c r="BC182" s="2"/>
      <c r="BD182" s="3"/>
      <c r="BE182" s="3"/>
      <c r="BF182" s="3"/>
      <c r="BG182" s="3"/>
    </row>
    <row r="183" spans="1:59" ht="15">
      <c r="A183" s="65" t="s">
        <v>369</v>
      </c>
      <c r="B183" s="66" t="s">
        <v>3536</v>
      </c>
      <c r="C183" s="66"/>
      <c r="D183" s="67">
        <v>550</v>
      </c>
      <c r="E183" s="69">
        <v>100</v>
      </c>
      <c r="F183" s="96" t="str">
        <f>HYPERLINK("https://i.ytimg.com/vi/MyYioydGJYY/default.jpg")</f>
        <v>https://i.ytimg.com/vi/MyYioydGJYY/default.jpg</v>
      </c>
      <c r="G183" s="66"/>
      <c r="H183" s="70" t="s">
        <v>777</v>
      </c>
      <c r="I183" s="71"/>
      <c r="J183" s="71" t="s">
        <v>75</v>
      </c>
      <c r="K183" s="70" t="s">
        <v>777</v>
      </c>
      <c r="L183" s="74">
        <v>1.7502761715025899</v>
      </c>
      <c r="M183" s="75">
        <v>3238.657958984375</v>
      </c>
      <c r="N183" s="75">
        <v>2222.1435546875</v>
      </c>
      <c r="O183" s="76"/>
      <c r="P183" s="77"/>
      <c r="Q183" s="77"/>
      <c r="R183" s="82"/>
      <c r="S183" s="49">
        <v>4</v>
      </c>
      <c r="T183" s="49">
        <v>0</v>
      </c>
      <c r="U183" s="50">
        <v>0</v>
      </c>
      <c r="V183" s="50">
        <v>0.001058</v>
      </c>
      <c r="W183" s="50">
        <v>0.006515</v>
      </c>
      <c r="X183" s="50">
        <v>1.151817</v>
      </c>
      <c r="Y183" s="50">
        <v>0.75</v>
      </c>
      <c r="Z183" s="50">
        <v>0</v>
      </c>
      <c r="AA183" s="72">
        <v>156</v>
      </c>
      <c r="AB183" s="72"/>
      <c r="AC183" s="73"/>
      <c r="AD183" s="80" t="s">
        <v>777</v>
      </c>
      <c r="AE183" s="80" t="s">
        <v>1163</v>
      </c>
      <c r="AF183" s="80" t="s">
        <v>1512</v>
      </c>
      <c r="AG183" s="80" t="s">
        <v>1780</v>
      </c>
      <c r="AH183" s="80" t="s">
        <v>2068</v>
      </c>
      <c r="AI183" s="80">
        <v>17080</v>
      </c>
      <c r="AJ183" s="80">
        <v>23</v>
      </c>
      <c r="AK183" s="80">
        <v>270</v>
      </c>
      <c r="AL183" s="80">
        <v>32</v>
      </c>
      <c r="AM183" s="80" t="s">
        <v>2317</v>
      </c>
      <c r="AN183" s="98" t="str">
        <f>HYPERLINK("https://www.youtube.com/watch?v=MyYioydGJYY")</f>
        <v>https://www.youtube.com/watch?v=MyYioydGJYY</v>
      </c>
      <c r="AO183" s="80" t="str">
        <f>REPLACE(INDEX(GroupVertices[Group],MATCH(Vertices[[#This Row],[Vertex]],GroupVertices[Vertex],0)),1,1,"")</f>
        <v>4</v>
      </c>
      <c r="AP183" s="49">
        <v>1</v>
      </c>
      <c r="AQ183" s="50">
        <v>1.4705882352941178</v>
      </c>
      <c r="AR183" s="49">
        <v>0</v>
      </c>
      <c r="AS183" s="50">
        <v>0</v>
      </c>
      <c r="AT183" s="49">
        <v>0</v>
      </c>
      <c r="AU183" s="50">
        <v>0</v>
      </c>
      <c r="AV183" s="49">
        <v>67</v>
      </c>
      <c r="AW183" s="50">
        <v>98.52941176470588</v>
      </c>
      <c r="AX183" s="49">
        <v>68</v>
      </c>
      <c r="AY183" s="49"/>
      <c r="AZ183" s="49"/>
      <c r="BA183" s="49"/>
      <c r="BB183" s="49"/>
      <c r="BC183" s="2"/>
      <c r="BD183" s="3"/>
      <c r="BE183" s="3"/>
      <c r="BF183" s="3"/>
      <c r="BG183" s="3"/>
    </row>
    <row r="184" spans="1:59" ht="15">
      <c r="A184" s="65" t="s">
        <v>370</v>
      </c>
      <c r="B184" s="66" t="s">
        <v>3536</v>
      </c>
      <c r="C184" s="66"/>
      <c r="D184" s="67">
        <v>662.5</v>
      </c>
      <c r="E184" s="69">
        <v>100</v>
      </c>
      <c r="F184" s="96" t="str">
        <f>HYPERLINK("https://i.ytimg.com/vi/NiPMcp08zyk/default.jpg")</f>
        <v>https://i.ytimg.com/vi/NiPMcp08zyk/default.jpg</v>
      </c>
      <c r="G184" s="66"/>
      <c r="H184" s="70" t="s">
        <v>778</v>
      </c>
      <c r="I184" s="71"/>
      <c r="J184" s="71" t="s">
        <v>75</v>
      </c>
      <c r="K184" s="70" t="s">
        <v>778</v>
      </c>
      <c r="L184" s="74">
        <v>1.2238652845194617</v>
      </c>
      <c r="M184" s="75">
        <v>656.5167846679688</v>
      </c>
      <c r="N184" s="75">
        <v>3345.4814453125</v>
      </c>
      <c r="O184" s="76"/>
      <c r="P184" s="77"/>
      <c r="Q184" s="77"/>
      <c r="R184" s="82"/>
      <c r="S184" s="49">
        <v>5</v>
      </c>
      <c r="T184" s="49">
        <v>0</v>
      </c>
      <c r="U184" s="50">
        <v>0</v>
      </c>
      <c r="V184" s="50">
        <v>0.001104</v>
      </c>
      <c r="W184" s="50">
        <v>0.008223</v>
      </c>
      <c r="X184" s="50">
        <v>1.394778</v>
      </c>
      <c r="Y184" s="50">
        <v>0.8</v>
      </c>
      <c r="Z184" s="50">
        <v>0</v>
      </c>
      <c r="AA184" s="72">
        <v>157</v>
      </c>
      <c r="AB184" s="72"/>
      <c r="AC184" s="73"/>
      <c r="AD184" s="80" t="s">
        <v>778</v>
      </c>
      <c r="AE184" s="80" t="s">
        <v>1164</v>
      </c>
      <c r="AF184" s="80" t="s">
        <v>1513</v>
      </c>
      <c r="AG184" s="80" t="s">
        <v>1781</v>
      </c>
      <c r="AH184" s="80" t="s">
        <v>2069</v>
      </c>
      <c r="AI184" s="80">
        <v>5104</v>
      </c>
      <c r="AJ184" s="80">
        <v>9</v>
      </c>
      <c r="AK184" s="80">
        <v>132</v>
      </c>
      <c r="AL184" s="80">
        <v>9</v>
      </c>
      <c r="AM184" s="80" t="s">
        <v>2317</v>
      </c>
      <c r="AN184" s="98" t="str">
        <f>HYPERLINK("https://www.youtube.com/watch?v=NiPMcp08zyk")</f>
        <v>https://www.youtube.com/watch?v=NiPMcp08zyk</v>
      </c>
      <c r="AO184" s="80" t="str">
        <f>REPLACE(INDEX(GroupVertices[Group],MATCH(Vertices[[#This Row],[Vertex]],GroupVertices[Vertex],0)),1,1,"")</f>
        <v>2</v>
      </c>
      <c r="AP184" s="49">
        <v>0</v>
      </c>
      <c r="AQ184" s="50">
        <v>0</v>
      </c>
      <c r="AR184" s="49">
        <v>1</v>
      </c>
      <c r="AS184" s="50">
        <v>4.761904761904762</v>
      </c>
      <c r="AT184" s="49">
        <v>0</v>
      </c>
      <c r="AU184" s="50">
        <v>0</v>
      </c>
      <c r="AV184" s="49">
        <v>20</v>
      </c>
      <c r="AW184" s="50">
        <v>95.23809523809524</v>
      </c>
      <c r="AX184" s="49">
        <v>21</v>
      </c>
      <c r="AY184" s="49"/>
      <c r="AZ184" s="49"/>
      <c r="BA184" s="49"/>
      <c r="BB184" s="49"/>
      <c r="BC184" s="2"/>
      <c r="BD184" s="3"/>
      <c r="BE184" s="3"/>
      <c r="BF184" s="3"/>
      <c r="BG184" s="3"/>
    </row>
    <row r="185" spans="1:59" ht="15">
      <c r="A185" s="65" t="s">
        <v>372</v>
      </c>
      <c r="B185" s="66" t="s">
        <v>3536</v>
      </c>
      <c r="C185" s="66"/>
      <c r="D185" s="67">
        <v>437.5</v>
      </c>
      <c r="E185" s="69">
        <v>100</v>
      </c>
      <c r="F185" s="96" t="str">
        <f>HYPERLINK("https://i.ytimg.com/vi/2stmdLe9k8w/default.jpg")</f>
        <v>https://i.ytimg.com/vi/2stmdLe9k8w/default.jpg</v>
      </c>
      <c r="G185" s="66"/>
      <c r="H185" s="70" t="s">
        <v>780</v>
      </c>
      <c r="I185" s="71"/>
      <c r="J185" s="71" t="s">
        <v>75</v>
      </c>
      <c r="K185" s="70" t="s">
        <v>780</v>
      </c>
      <c r="L185" s="74">
        <v>5.0049600498146924</v>
      </c>
      <c r="M185" s="75">
        <v>1005.551025390625</v>
      </c>
      <c r="N185" s="75">
        <v>2204.066650390625</v>
      </c>
      <c r="O185" s="76"/>
      <c r="P185" s="77"/>
      <c r="Q185" s="77"/>
      <c r="R185" s="82"/>
      <c r="S185" s="49">
        <v>3</v>
      </c>
      <c r="T185" s="49">
        <v>0</v>
      </c>
      <c r="U185" s="50">
        <v>0</v>
      </c>
      <c r="V185" s="50">
        <v>0.001007</v>
      </c>
      <c r="W185" s="50">
        <v>0.004813</v>
      </c>
      <c r="X185" s="50">
        <v>0.900762</v>
      </c>
      <c r="Y185" s="50">
        <v>0.6666666666666666</v>
      </c>
      <c r="Z185" s="50">
        <v>0</v>
      </c>
      <c r="AA185" s="72">
        <v>159</v>
      </c>
      <c r="AB185" s="72"/>
      <c r="AC185" s="73"/>
      <c r="AD185" s="80" t="s">
        <v>780</v>
      </c>
      <c r="AE185" s="80" t="s">
        <v>1166</v>
      </c>
      <c r="AF185" s="80" t="s">
        <v>1515</v>
      </c>
      <c r="AG185" s="80" t="s">
        <v>1783</v>
      </c>
      <c r="AH185" s="80" t="s">
        <v>2071</v>
      </c>
      <c r="AI185" s="80">
        <v>91125</v>
      </c>
      <c r="AJ185" s="80">
        <v>57</v>
      </c>
      <c r="AK185" s="80">
        <v>1508</v>
      </c>
      <c r="AL185" s="80">
        <v>132</v>
      </c>
      <c r="AM185" s="80" t="s">
        <v>2317</v>
      </c>
      <c r="AN185" s="98" t="str">
        <f>HYPERLINK("https://www.youtube.com/watch?v=2stmdLe9k8w")</f>
        <v>https://www.youtube.com/watch?v=2stmdLe9k8w</v>
      </c>
      <c r="AO185" s="80" t="str">
        <f>REPLACE(INDEX(GroupVertices[Group],MATCH(Vertices[[#This Row],[Vertex]],GroupVertices[Vertex],0)),1,1,"")</f>
        <v>2</v>
      </c>
      <c r="AP185" s="49">
        <v>1</v>
      </c>
      <c r="AQ185" s="50">
        <v>5.882352941176471</v>
      </c>
      <c r="AR185" s="49">
        <v>0</v>
      </c>
      <c r="AS185" s="50">
        <v>0</v>
      </c>
      <c r="AT185" s="49">
        <v>0</v>
      </c>
      <c r="AU185" s="50">
        <v>0</v>
      </c>
      <c r="AV185" s="49">
        <v>16</v>
      </c>
      <c r="AW185" s="50">
        <v>94.11764705882354</v>
      </c>
      <c r="AX185" s="49">
        <v>17</v>
      </c>
      <c r="AY185" s="49"/>
      <c r="AZ185" s="49"/>
      <c r="BA185" s="49"/>
      <c r="BB185" s="49"/>
      <c r="BC185" s="2"/>
      <c r="BD185" s="3"/>
      <c r="BE185" s="3"/>
      <c r="BF185" s="3"/>
      <c r="BG185" s="3"/>
    </row>
    <row r="186" spans="1:59" ht="15">
      <c r="A186" s="65" t="s">
        <v>374</v>
      </c>
      <c r="B186" s="66" t="s">
        <v>3536</v>
      </c>
      <c r="C186" s="66"/>
      <c r="D186" s="67">
        <v>775</v>
      </c>
      <c r="E186" s="69">
        <v>100</v>
      </c>
      <c r="F186" s="96" t="str">
        <f>HYPERLINK("https://i.ytimg.com/vi/HeOcduRiqyw/default.jpg")</f>
        <v>https://i.ytimg.com/vi/HeOcduRiqyw/default.jpg</v>
      </c>
      <c r="G186" s="66"/>
      <c r="H186" s="70" t="s">
        <v>782</v>
      </c>
      <c r="I186" s="71"/>
      <c r="J186" s="71" t="s">
        <v>75</v>
      </c>
      <c r="K186" s="70" t="s">
        <v>782</v>
      </c>
      <c r="L186" s="74">
        <v>1.580388222421946</v>
      </c>
      <c r="M186" s="75">
        <v>2750.72216796875</v>
      </c>
      <c r="N186" s="75">
        <v>3345.4814453125</v>
      </c>
      <c r="O186" s="76"/>
      <c r="P186" s="77"/>
      <c r="Q186" s="77"/>
      <c r="R186" s="82"/>
      <c r="S186" s="49">
        <v>6</v>
      </c>
      <c r="T186" s="49">
        <v>0</v>
      </c>
      <c r="U186" s="50">
        <v>0</v>
      </c>
      <c r="V186" s="50">
        <v>0.001152</v>
      </c>
      <c r="W186" s="50">
        <v>0.010035</v>
      </c>
      <c r="X186" s="50">
        <v>1.639692</v>
      </c>
      <c r="Y186" s="50">
        <v>0.8333333333333334</v>
      </c>
      <c r="Z186" s="50">
        <v>0</v>
      </c>
      <c r="AA186" s="72">
        <v>161</v>
      </c>
      <c r="AB186" s="72"/>
      <c r="AC186" s="73"/>
      <c r="AD186" s="80" t="s">
        <v>782</v>
      </c>
      <c r="AE186" s="80" t="s">
        <v>1168</v>
      </c>
      <c r="AF186" s="80" t="s">
        <v>1516</v>
      </c>
      <c r="AG186" s="80" t="s">
        <v>1784</v>
      </c>
      <c r="AH186" s="80" t="s">
        <v>2073</v>
      </c>
      <c r="AI186" s="80">
        <v>13215</v>
      </c>
      <c r="AJ186" s="80">
        <v>13</v>
      </c>
      <c r="AK186" s="80">
        <v>427</v>
      </c>
      <c r="AL186" s="80">
        <v>14</v>
      </c>
      <c r="AM186" s="80" t="s">
        <v>2317</v>
      </c>
      <c r="AN186" s="98" t="str">
        <f>HYPERLINK("https://www.youtube.com/watch?v=HeOcduRiqyw")</f>
        <v>https://www.youtube.com/watch?v=HeOcduRiqyw</v>
      </c>
      <c r="AO186" s="80" t="str">
        <f>REPLACE(INDEX(GroupVertices[Group],MATCH(Vertices[[#This Row],[Vertex]],GroupVertices[Vertex],0)),1,1,"")</f>
        <v>2</v>
      </c>
      <c r="AP186" s="49">
        <v>0</v>
      </c>
      <c r="AQ186" s="50">
        <v>0</v>
      </c>
      <c r="AR186" s="49">
        <v>0</v>
      </c>
      <c r="AS186" s="50">
        <v>0</v>
      </c>
      <c r="AT186" s="49">
        <v>0</v>
      </c>
      <c r="AU186" s="50">
        <v>0</v>
      </c>
      <c r="AV186" s="49">
        <v>56</v>
      </c>
      <c r="AW186" s="50">
        <v>100</v>
      </c>
      <c r="AX186" s="49">
        <v>56</v>
      </c>
      <c r="AY186" s="49"/>
      <c r="AZ186" s="49"/>
      <c r="BA186" s="49"/>
      <c r="BB186" s="49"/>
      <c r="BC186" s="2"/>
      <c r="BD186" s="3"/>
      <c r="BE186" s="3"/>
      <c r="BF186" s="3"/>
      <c r="BG186" s="3"/>
    </row>
    <row r="187" spans="1:59" ht="15">
      <c r="A187" s="65" t="s">
        <v>375</v>
      </c>
      <c r="B187" s="66" t="s">
        <v>3536</v>
      </c>
      <c r="C187" s="66"/>
      <c r="D187" s="67">
        <v>662.5</v>
      </c>
      <c r="E187" s="69">
        <v>100</v>
      </c>
      <c r="F187" s="96" t="str">
        <f>HYPERLINK("https://i.ytimg.com/vi/f5vABZt80AQ/default.jpg")</f>
        <v>https://i.ytimg.com/vi/f5vABZt80AQ/default.jpg</v>
      </c>
      <c r="G187" s="66"/>
      <c r="H187" s="70" t="s">
        <v>783</v>
      </c>
      <c r="I187" s="71"/>
      <c r="J187" s="71" t="s">
        <v>75</v>
      </c>
      <c r="K187" s="70" t="s">
        <v>783</v>
      </c>
      <c r="L187" s="74">
        <v>2.6561987149830735</v>
      </c>
      <c r="M187" s="75">
        <v>9698.7197265625</v>
      </c>
      <c r="N187" s="75">
        <v>7639.27294921875</v>
      </c>
      <c r="O187" s="76"/>
      <c r="P187" s="77"/>
      <c r="Q187" s="77"/>
      <c r="R187" s="82"/>
      <c r="S187" s="49">
        <v>5</v>
      </c>
      <c r="T187" s="49">
        <v>0</v>
      </c>
      <c r="U187" s="50">
        <v>0</v>
      </c>
      <c r="V187" s="50">
        <v>0.001092</v>
      </c>
      <c r="W187" s="50">
        <v>0.00838</v>
      </c>
      <c r="X187" s="50">
        <v>1.381369</v>
      </c>
      <c r="Y187" s="50">
        <v>0.8</v>
      </c>
      <c r="Z187" s="50">
        <v>0</v>
      </c>
      <c r="AA187" s="72">
        <v>162</v>
      </c>
      <c r="AB187" s="72"/>
      <c r="AC187" s="73"/>
      <c r="AD187" s="80" t="s">
        <v>783</v>
      </c>
      <c r="AE187" s="80" t="s">
        <v>1169</v>
      </c>
      <c r="AF187" s="80" t="s">
        <v>1517</v>
      </c>
      <c r="AG187" s="80" t="s">
        <v>1686</v>
      </c>
      <c r="AH187" s="80" t="s">
        <v>2074</v>
      </c>
      <c r="AI187" s="80">
        <v>37690</v>
      </c>
      <c r="AJ187" s="80">
        <v>32</v>
      </c>
      <c r="AK187" s="80">
        <v>1280</v>
      </c>
      <c r="AL187" s="80">
        <v>53</v>
      </c>
      <c r="AM187" s="80" t="s">
        <v>2317</v>
      </c>
      <c r="AN187" s="98" t="str">
        <f>HYPERLINK("https://www.youtube.com/watch?v=f5vABZt80AQ")</f>
        <v>https://www.youtube.com/watch?v=f5vABZt80AQ</v>
      </c>
      <c r="AO187" s="80" t="str">
        <f>REPLACE(INDEX(GroupVertices[Group],MATCH(Vertices[[#This Row],[Vertex]],GroupVertices[Vertex],0)),1,1,"")</f>
        <v>5</v>
      </c>
      <c r="AP187" s="49">
        <v>0</v>
      </c>
      <c r="AQ187" s="50">
        <v>0</v>
      </c>
      <c r="AR187" s="49">
        <v>0</v>
      </c>
      <c r="AS187" s="50">
        <v>0</v>
      </c>
      <c r="AT187" s="49">
        <v>0</v>
      </c>
      <c r="AU187" s="50">
        <v>0</v>
      </c>
      <c r="AV187" s="49">
        <v>62</v>
      </c>
      <c r="AW187" s="50">
        <v>100</v>
      </c>
      <c r="AX187" s="49">
        <v>62</v>
      </c>
      <c r="AY187" s="49"/>
      <c r="AZ187" s="49"/>
      <c r="BA187" s="49"/>
      <c r="BB187" s="49"/>
      <c r="BC187" s="2"/>
      <c r="BD187" s="3"/>
      <c r="BE187" s="3"/>
      <c r="BF187" s="3"/>
      <c r="BG187" s="3"/>
    </row>
    <row r="188" spans="1:59" ht="15">
      <c r="A188" s="65" t="s">
        <v>376</v>
      </c>
      <c r="B188" s="66" t="s">
        <v>3536</v>
      </c>
      <c r="C188" s="66"/>
      <c r="D188" s="67">
        <v>662.5</v>
      </c>
      <c r="E188" s="69">
        <v>100</v>
      </c>
      <c r="F188" s="96" t="str">
        <f>HYPERLINK("https://i.ytimg.com/vi/avbMctFvX80/default.jpg")</f>
        <v>https://i.ytimg.com/vi/avbMctFvX80/default.jpg</v>
      </c>
      <c r="G188" s="66"/>
      <c r="H188" s="70" t="s">
        <v>784</v>
      </c>
      <c r="I188" s="71"/>
      <c r="J188" s="71" t="s">
        <v>75</v>
      </c>
      <c r="K188" s="70" t="s">
        <v>784</v>
      </c>
      <c r="L188" s="74">
        <v>1.1142842607010799</v>
      </c>
      <c r="M188" s="75">
        <v>7503.99853515625</v>
      </c>
      <c r="N188" s="75">
        <v>2676.828369140625</v>
      </c>
      <c r="O188" s="76"/>
      <c r="P188" s="77"/>
      <c r="Q188" s="77"/>
      <c r="R188" s="82"/>
      <c r="S188" s="49">
        <v>5</v>
      </c>
      <c r="T188" s="49">
        <v>0</v>
      </c>
      <c r="U188" s="50">
        <v>0</v>
      </c>
      <c r="V188" s="50">
        <v>0.001092</v>
      </c>
      <c r="W188" s="50">
        <v>0.00838</v>
      </c>
      <c r="X188" s="50">
        <v>1.381369</v>
      </c>
      <c r="Y188" s="50">
        <v>0.8</v>
      </c>
      <c r="Z188" s="50">
        <v>0</v>
      </c>
      <c r="AA188" s="72">
        <v>163</v>
      </c>
      <c r="AB188" s="72"/>
      <c r="AC188" s="73"/>
      <c r="AD188" s="80" t="s">
        <v>784</v>
      </c>
      <c r="AE188" s="80" t="s">
        <v>1170</v>
      </c>
      <c r="AF188" s="80"/>
      <c r="AG188" s="80" t="s">
        <v>1785</v>
      </c>
      <c r="AH188" s="80" t="s">
        <v>2075</v>
      </c>
      <c r="AI188" s="80">
        <v>2611</v>
      </c>
      <c r="AJ188" s="80">
        <v>0</v>
      </c>
      <c r="AK188" s="80">
        <v>45</v>
      </c>
      <c r="AL188" s="80">
        <v>0</v>
      </c>
      <c r="AM188" s="80" t="s">
        <v>2317</v>
      </c>
      <c r="AN188" s="98" t="str">
        <f>HYPERLINK("https://www.youtube.com/watch?v=avbMctFvX80")</f>
        <v>https://www.youtube.com/watch?v=avbMctFvX80</v>
      </c>
      <c r="AO188" s="80" t="str">
        <f>REPLACE(INDEX(GroupVertices[Group],MATCH(Vertices[[#This Row],[Vertex]],GroupVertices[Vertex],0)),1,1,"")</f>
        <v>7</v>
      </c>
      <c r="AP188" s="49"/>
      <c r="AQ188" s="50"/>
      <c r="AR188" s="49"/>
      <c r="AS188" s="50"/>
      <c r="AT188" s="49"/>
      <c r="AU188" s="50"/>
      <c r="AV188" s="49"/>
      <c r="AW188" s="50"/>
      <c r="AX188" s="49"/>
      <c r="AY188" s="49"/>
      <c r="AZ188" s="49"/>
      <c r="BA188" s="49"/>
      <c r="BB188" s="49"/>
      <c r="BC188" s="2"/>
      <c r="BD188" s="3"/>
      <c r="BE188" s="3"/>
      <c r="BF188" s="3"/>
      <c r="BG188" s="3"/>
    </row>
    <row r="189" spans="1:59" ht="15">
      <c r="A189" s="65" t="s">
        <v>378</v>
      </c>
      <c r="B189" s="66" t="s">
        <v>3536</v>
      </c>
      <c r="C189" s="66"/>
      <c r="D189" s="67">
        <v>775</v>
      </c>
      <c r="E189" s="69">
        <v>100</v>
      </c>
      <c r="F189" s="96" t="str">
        <f>HYPERLINK("https://i.ytimg.com/vi/h6n7IZoTlkY/default.jpg")</f>
        <v>https://i.ytimg.com/vi/h6n7IZoTlkY/default.jpg</v>
      </c>
      <c r="G189" s="66"/>
      <c r="H189" s="70" t="s">
        <v>786</v>
      </c>
      <c r="I189" s="71"/>
      <c r="J189" s="71" t="s">
        <v>75</v>
      </c>
      <c r="K189" s="70" t="s">
        <v>786</v>
      </c>
      <c r="L189" s="74">
        <v>3.7106028864051916</v>
      </c>
      <c r="M189" s="75">
        <v>5884.82861328125</v>
      </c>
      <c r="N189" s="75">
        <v>6408.9091796875</v>
      </c>
      <c r="O189" s="76"/>
      <c r="P189" s="77"/>
      <c r="Q189" s="77"/>
      <c r="R189" s="82"/>
      <c r="S189" s="49">
        <v>6</v>
      </c>
      <c r="T189" s="49">
        <v>0</v>
      </c>
      <c r="U189" s="50">
        <v>0</v>
      </c>
      <c r="V189" s="50">
        <v>0.001152</v>
      </c>
      <c r="W189" s="50">
        <v>0.010035</v>
      </c>
      <c r="X189" s="50">
        <v>1.639692</v>
      </c>
      <c r="Y189" s="50">
        <v>0.8333333333333334</v>
      </c>
      <c r="Z189" s="50">
        <v>0</v>
      </c>
      <c r="AA189" s="72">
        <v>165</v>
      </c>
      <c r="AB189" s="72"/>
      <c r="AC189" s="73"/>
      <c r="AD189" s="80" t="s">
        <v>786</v>
      </c>
      <c r="AE189" s="80" t="s">
        <v>1172</v>
      </c>
      <c r="AF189" s="80" t="s">
        <v>1519</v>
      </c>
      <c r="AG189" s="80" t="s">
        <v>1746</v>
      </c>
      <c r="AH189" s="80" t="s">
        <v>2077</v>
      </c>
      <c r="AI189" s="80">
        <v>61678</v>
      </c>
      <c r="AJ189" s="80">
        <v>25</v>
      </c>
      <c r="AK189" s="80">
        <v>491</v>
      </c>
      <c r="AL189" s="80">
        <v>58</v>
      </c>
      <c r="AM189" s="80" t="s">
        <v>2317</v>
      </c>
      <c r="AN189" s="98" t="str">
        <f>HYPERLINK("https://www.youtube.com/watch?v=h6n7IZoTlkY")</f>
        <v>https://www.youtube.com/watch?v=h6n7IZoTlkY</v>
      </c>
      <c r="AO189" s="80" t="str">
        <f>REPLACE(INDEX(GroupVertices[Group],MATCH(Vertices[[#This Row],[Vertex]],GroupVertices[Vertex],0)),1,1,"")</f>
        <v>6</v>
      </c>
      <c r="AP189" s="49">
        <v>0</v>
      </c>
      <c r="AQ189" s="50">
        <v>0</v>
      </c>
      <c r="AR189" s="49">
        <v>0</v>
      </c>
      <c r="AS189" s="50">
        <v>0</v>
      </c>
      <c r="AT189" s="49">
        <v>0</v>
      </c>
      <c r="AU189" s="50">
        <v>0</v>
      </c>
      <c r="AV189" s="49">
        <v>50</v>
      </c>
      <c r="AW189" s="50">
        <v>100</v>
      </c>
      <c r="AX189" s="49">
        <v>50</v>
      </c>
      <c r="AY189" s="49"/>
      <c r="AZ189" s="49"/>
      <c r="BA189" s="49"/>
      <c r="BB189" s="49"/>
      <c r="BC189" s="2"/>
      <c r="BD189" s="3"/>
      <c r="BE189" s="3"/>
      <c r="BF189" s="3"/>
      <c r="BG189" s="3"/>
    </row>
    <row r="190" spans="1:59" ht="15">
      <c r="A190" s="65" t="s">
        <v>379</v>
      </c>
      <c r="B190" s="66" t="s">
        <v>3536</v>
      </c>
      <c r="C190" s="66"/>
      <c r="D190" s="67">
        <v>775</v>
      </c>
      <c r="E190" s="69">
        <v>100</v>
      </c>
      <c r="F190" s="96" t="str">
        <f>HYPERLINK("https://i.ytimg.com/vi/Td1itX2lMss/default.jpg")</f>
        <v>https://i.ytimg.com/vi/Td1itX2lMss/default.jpg</v>
      </c>
      <c r="G190" s="66"/>
      <c r="H190" s="70" t="s">
        <v>787</v>
      </c>
      <c r="I190" s="71"/>
      <c r="J190" s="71" t="s">
        <v>75</v>
      </c>
      <c r="K190" s="70" t="s">
        <v>787</v>
      </c>
      <c r="L190" s="74">
        <v>1.3735776660378765</v>
      </c>
      <c r="M190" s="75">
        <v>6219.45751953125</v>
      </c>
      <c r="N190" s="75">
        <v>8254.4541015625</v>
      </c>
      <c r="O190" s="76"/>
      <c r="P190" s="77"/>
      <c r="Q190" s="77"/>
      <c r="R190" s="82"/>
      <c r="S190" s="49">
        <v>6</v>
      </c>
      <c r="T190" s="49">
        <v>0</v>
      </c>
      <c r="U190" s="50">
        <v>0</v>
      </c>
      <c r="V190" s="50">
        <v>0.001152</v>
      </c>
      <c r="W190" s="50">
        <v>0.010035</v>
      </c>
      <c r="X190" s="50">
        <v>1.639692</v>
      </c>
      <c r="Y190" s="50">
        <v>0.8333333333333334</v>
      </c>
      <c r="Z190" s="50">
        <v>0</v>
      </c>
      <c r="AA190" s="72">
        <v>166</v>
      </c>
      <c r="AB190" s="72"/>
      <c r="AC190" s="73"/>
      <c r="AD190" s="80" t="s">
        <v>787</v>
      </c>
      <c r="AE190" s="80" t="s">
        <v>1173</v>
      </c>
      <c r="AF190" s="80" t="s">
        <v>1520</v>
      </c>
      <c r="AG190" s="80" t="s">
        <v>1786</v>
      </c>
      <c r="AH190" s="80" t="s">
        <v>2078</v>
      </c>
      <c r="AI190" s="80">
        <v>8510</v>
      </c>
      <c r="AJ190" s="80">
        <v>11</v>
      </c>
      <c r="AK190" s="80">
        <v>111</v>
      </c>
      <c r="AL190" s="80">
        <v>12</v>
      </c>
      <c r="AM190" s="80" t="s">
        <v>2317</v>
      </c>
      <c r="AN190" s="98" t="str">
        <f>HYPERLINK("https://www.youtube.com/watch?v=Td1itX2lMss")</f>
        <v>https://www.youtube.com/watch?v=Td1itX2lMss</v>
      </c>
      <c r="AO190" s="80" t="str">
        <f>REPLACE(INDEX(GroupVertices[Group],MATCH(Vertices[[#This Row],[Vertex]],GroupVertices[Vertex],0)),1,1,"")</f>
        <v>6</v>
      </c>
      <c r="AP190" s="49">
        <v>0</v>
      </c>
      <c r="AQ190" s="50">
        <v>0</v>
      </c>
      <c r="AR190" s="49">
        <v>0</v>
      </c>
      <c r="AS190" s="50">
        <v>0</v>
      </c>
      <c r="AT190" s="49">
        <v>0</v>
      </c>
      <c r="AU190" s="50">
        <v>0</v>
      </c>
      <c r="AV190" s="49">
        <v>33</v>
      </c>
      <c r="AW190" s="50">
        <v>100</v>
      </c>
      <c r="AX190" s="49">
        <v>33</v>
      </c>
      <c r="AY190" s="49"/>
      <c r="AZ190" s="49"/>
      <c r="BA190" s="49"/>
      <c r="BB190" s="49"/>
      <c r="BC190" s="2"/>
      <c r="BD190" s="3"/>
      <c r="BE190" s="3"/>
      <c r="BF190" s="3"/>
      <c r="BG190" s="3"/>
    </row>
    <row r="191" spans="1:59" ht="15">
      <c r="A191" s="65" t="s">
        <v>380</v>
      </c>
      <c r="B191" s="66" t="s">
        <v>3536</v>
      </c>
      <c r="C191" s="66"/>
      <c r="D191" s="67">
        <v>437.5</v>
      </c>
      <c r="E191" s="69">
        <v>100</v>
      </c>
      <c r="F191" s="96" t="str">
        <f>HYPERLINK("https://i.ytimg.com/vi/thiV4-BWHlU/default.jpg")</f>
        <v>https://i.ytimg.com/vi/thiV4-BWHlU/default.jpg</v>
      </c>
      <c r="G191" s="66"/>
      <c r="H191" s="70" t="s">
        <v>789</v>
      </c>
      <c r="I191" s="71"/>
      <c r="J191" s="71" t="s">
        <v>75</v>
      </c>
      <c r="K191" s="70" t="s">
        <v>789</v>
      </c>
      <c r="L191" s="74">
        <v>1.6443434529296659</v>
      </c>
      <c r="M191" s="75">
        <v>307.4825439453125</v>
      </c>
      <c r="N191" s="75">
        <v>2774.774169921875</v>
      </c>
      <c r="O191" s="76"/>
      <c r="P191" s="77"/>
      <c r="Q191" s="77"/>
      <c r="R191" s="82"/>
      <c r="S191" s="49">
        <v>3</v>
      </c>
      <c r="T191" s="49">
        <v>0</v>
      </c>
      <c r="U191" s="50">
        <v>0</v>
      </c>
      <c r="V191" s="50">
        <v>0.000997</v>
      </c>
      <c r="W191" s="50">
        <v>0.004659</v>
      </c>
      <c r="X191" s="50">
        <v>0.902351</v>
      </c>
      <c r="Y191" s="50">
        <v>0.6666666666666666</v>
      </c>
      <c r="Z191" s="50">
        <v>0</v>
      </c>
      <c r="AA191" s="72">
        <v>168</v>
      </c>
      <c r="AB191" s="72"/>
      <c r="AC191" s="73"/>
      <c r="AD191" s="80" t="s">
        <v>789</v>
      </c>
      <c r="AE191" s="80" t="s">
        <v>1175</v>
      </c>
      <c r="AF191" s="80" t="s">
        <v>1522</v>
      </c>
      <c r="AG191" s="80" t="s">
        <v>1787</v>
      </c>
      <c r="AH191" s="80" t="s">
        <v>2080</v>
      </c>
      <c r="AI191" s="80">
        <v>14670</v>
      </c>
      <c r="AJ191" s="80">
        <v>25</v>
      </c>
      <c r="AK191" s="80">
        <v>320</v>
      </c>
      <c r="AL191" s="80">
        <v>12</v>
      </c>
      <c r="AM191" s="80" t="s">
        <v>2317</v>
      </c>
      <c r="AN191" s="98" t="str">
        <f>HYPERLINK("https://www.youtube.com/watch?v=thiV4-BWHlU")</f>
        <v>https://www.youtube.com/watch?v=thiV4-BWHlU</v>
      </c>
      <c r="AO191" s="80" t="str">
        <f>REPLACE(INDEX(GroupVertices[Group],MATCH(Vertices[[#This Row],[Vertex]],GroupVertices[Vertex],0)),1,1,"")</f>
        <v>2</v>
      </c>
      <c r="AP191" s="49">
        <v>0</v>
      </c>
      <c r="AQ191" s="50">
        <v>0</v>
      </c>
      <c r="AR191" s="49">
        <v>2</v>
      </c>
      <c r="AS191" s="50">
        <v>8</v>
      </c>
      <c r="AT191" s="49">
        <v>0</v>
      </c>
      <c r="AU191" s="50">
        <v>0</v>
      </c>
      <c r="AV191" s="49">
        <v>23</v>
      </c>
      <c r="AW191" s="50">
        <v>92</v>
      </c>
      <c r="AX191" s="49">
        <v>25</v>
      </c>
      <c r="AY191" s="49"/>
      <c r="AZ191" s="49"/>
      <c r="BA191" s="49"/>
      <c r="BB191" s="49"/>
      <c r="BC191" s="2"/>
      <c r="BD191" s="3"/>
      <c r="BE191" s="3"/>
      <c r="BF191" s="3"/>
      <c r="BG191" s="3"/>
    </row>
    <row r="192" spans="1:59" ht="15">
      <c r="A192" s="65" t="s">
        <v>381</v>
      </c>
      <c r="B192" s="66" t="s">
        <v>3536</v>
      </c>
      <c r="C192" s="66"/>
      <c r="D192" s="67">
        <v>550</v>
      </c>
      <c r="E192" s="69">
        <v>100</v>
      </c>
      <c r="F192" s="96" t="str">
        <f>HYPERLINK("https://i.ytimg.com/vi/2JWku3Kjpq0/default.jpg")</f>
        <v>https://i.ytimg.com/vi/2JWku3Kjpq0/default.jpg</v>
      </c>
      <c r="G192" s="66"/>
      <c r="H192" s="70" t="s">
        <v>790</v>
      </c>
      <c r="I192" s="71"/>
      <c r="J192" s="71" t="s">
        <v>75</v>
      </c>
      <c r="K192" s="70" t="s">
        <v>790</v>
      </c>
      <c r="L192" s="74">
        <v>14.464400174497735</v>
      </c>
      <c r="M192" s="75">
        <v>1354.5853271484375</v>
      </c>
      <c r="N192" s="75">
        <v>1633.359375</v>
      </c>
      <c r="O192" s="76"/>
      <c r="P192" s="77"/>
      <c r="Q192" s="77"/>
      <c r="R192" s="82"/>
      <c r="S192" s="49">
        <v>4</v>
      </c>
      <c r="T192" s="49">
        <v>0</v>
      </c>
      <c r="U192" s="50">
        <v>0</v>
      </c>
      <c r="V192" s="50">
        <v>0.001049</v>
      </c>
      <c r="W192" s="50">
        <v>0.006478</v>
      </c>
      <c r="X192" s="50">
        <v>1.139171</v>
      </c>
      <c r="Y192" s="50">
        <v>0.75</v>
      </c>
      <c r="Z192" s="50">
        <v>0</v>
      </c>
      <c r="AA192" s="72">
        <v>169</v>
      </c>
      <c r="AB192" s="72"/>
      <c r="AC192" s="73"/>
      <c r="AD192" s="80" t="s">
        <v>790</v>
      </c>
      <c r="AE192" s="80" t="s">
        <v>1176</v>
      </c>
      <c r="AF192" s="80" t="s">
        <v>1523</v>
      </c>
      <c r="AG192" s="80" t="s">
        <v>1788</v>
      </c>
      <c r="AH192" s="80" t="s">
        <v>2081</v>
      </c>
      <c r="AI192" s="80">
        <v>306330</v>
      </c>
      <c r="AJ192" s="80">
        <v>163</v>
      </c>
      <c r="AK192" s="80">
        <v>2571</v>
      </c>
      <c r="AL192" s="80">
        <v>146</v>
      </c>
      <c r="AM192" s="80" t="s">
        <v>2317</v>
      </c>
      <c r="AN192" s="98" t="str">
        <f>HYPERLINK("https://www.youtube.com/watch?v=2JWku3Kjpq0")</f>
        <v>https://www.youtube.com/watch?v=2JWku3Kjpq0</v>
      </c>
      <c r="AO192" s="80" t="str">
        <f>REPLACE(INDEX(GroupVertices[Group],MATCH(Vertices[[#This Row],[Vertex]],GroupVertices[Vertex],0)),1,1,"")</f>
        <v>2</v>
      </c>
      <c r="AP192" s="49">
        <v>0</v>
      </c>
      <c r="AQ192" s="50">
        <v>0</v>
      </c>
      <c r="AR192" s="49">
        <v>1</v>
      </c>
      <c r="AS192" s="50">
        <v>4.3478260869565215</v>
      </c>
      <c r="AT192" s="49">
        <v>0</v>
      </c>
      <c r="AU192" s="50">
        <v>0</v>
      </c>
      <c r="AV192" s="49">
        <v>22</v>
      </c>
      <c r="AW192" s="50">
        <v>95.65217391304348</v>
      </c>
      <c r="AX192" s="49">
        <v>23</v>
      </c>
      <c r="AY192" s="49"/>
      <c r="AZ192" s="49"/>
      <c r="BA192" s="49"/>
      <c r="BB192" s="49"/>
      <c r="BC192" s="2"/>
      <c r="BD192" s="3"/>
      <c r="BE192" s="3"/>
      <c r="BF192" s="3"/>
      <c r="BG192" s="3"/>
    </row>
    <row r="193" spans="1:59" ht="15">
      <c r="A193" s="65" t="s">
        <v>384</v>
      </c>
      <c r="B193" s="66" t="s">
        <v>3536</v>
      </c>
      <c r="C193" s="66"/>
      <c r="D193" s="67">
        <v>662.5</v>
      </c>
      <c r="E193" s="69">
        <v>100</v>
      </c>
      <c r="F193" s="96" t="str">
        <f>HYPERLINK("https://i.ytimg.com/vi/pfKPJasaDSY/default.jpg")</f>
        <v>https://i.ytimg.com/vi/pfKPJasaDSY/default.jpg</v>
      </c>
      <c r="G193" s="66"/>
      <c r="H193" s="70" t="s">
        <v>677</v>
      </c>
      <c r="I193" s="71"/>
      <c r="J193" s="71" t="s">
        <v>75</v>
      </c>
      <c r="K193" s="70" t="s">
        <v>677</v>
      </c>
      <c r="L193" s="74">
        <v>1.481664203370167</v>
      </c>
      <c r="M193" s="75">
        <v>3960.469970703125</v>
      </c>
      <c r="N193" s="75">
        <v>2798.015380859375</v>
      </c>
      <c r="O193" s="76"/>
      <c r="P193" s="77"/>
      <c r="Q193" s="77"/>
      <c r="R193" s="82"/>
      <c r="S193" s="49">
        <v>5</v>
      </c>
      <c r="T193" s="49">
        <v>0</v>
      </c>
      <c r="U193" s="50">
        <v>0</v>
      </c>
      <c r="V193" s="50">
        <v>0.001092</v>
      </c>
      <c r="W193" s="50">
        <v>0.00838</v>
      </c>
      <c r="X193" s="50">
        <v>1.381369</v>
      </c>
      <c r="Y193" s="50">
        <v>0.8</v>
      </c>
      <c r="Z193" s="50">
        <v>0</v>
      </c>
      <c r="AA193" s="72">
        <v>172</v>
      </c>
      <c r="AB193" s="72"/>
      <c r="AC193" s="73"/>
      <c r="AD193" s="80" t="s">
        <v>677</v>
      </c>
      <c r="AE193" s="80" t="s">
        <v>1179</v>
      </c>
      <c r="AF193" s="80" t="s">
        <v>1525</v>
      </c>
      <c r="AG193" s="80" t="s">
        <v>1791</v>
      </c>
      <c r="AH193" s="80" t="s">
        <v>2084</v>
      </c>
      <c r="AI193" s="80">
        <v>10969</v>
      </c>
      <c r="AJ193" s="80">
        <v>13</v>
      </c>
      <c r="AK193" s="80">
        <v>52</v>
      </c>
      <c r="AL193" s="80">
        <v>2</v>
      </c>
      <c r="AM193" s="80" t="s">
        <v>2317</v>
      </c>
      <c r="AN193" s="98" t="str">
        <f>HYPERLINK("https://www.youtube.com/watch?v=pfKPJasaDSY")</f>
        <v>https://www.youtube.com/watch?v=pfKPJasaDSY</v>
      </c>
      <c r="AO193" s="80" t="str">
        <f>REPLACE(INDEX(GroupVertices[Group],MATCH(Vertices[[#This Row],[Vertex]],GroupVertices[Vertex],0)),1,1,"")</f>
        <v>4</v>
      </c>
      <c r="AP193" s="49">
        <v>0</v>
      </c>
      <c r="AQ193" s="50">
        <v>0</v>
      </c>
      <c r="AR193" s="49">
        <v>1</v>
      </c>
      <c r="AS193" s="50">
        <v>2.857142857142857</v>
      </c>
      <c r="AT193" s="49">
        <v>0</v>
      </c>
      <c r="AU193" s="50">
        <v>0</v>
      </c>
      <c r="AV193" s="49">
        <v>34</v>
      </c>
      <c r="AW193" s="50">
        <v>97.14285714285714</v>
      </c>
      <c r="AX193" s="49">
        <v>35</v>
      </c>
      <c r="AY193" s="49"/>
      <c r="AZ193" s="49"/>
      <c r="BA193" s="49"/>
      <c r="BB193" s="49"/>
      <c r="BC193" s="2"/>
      <c r="BD193" s="3"/>
      <c r="BE193" s="3"/>
      <c r="BF193" s="3"/>
      <c r="BG193" s="3"/>
    </row>
    <row r="194" spans="1:59" ht="15">
      <c r="A194" s="65" t="s">
        <v>385</v>
      </c>
      <c r="B194" s="66" t="s">
        <v>3536</v>
      </c>
      <c r="C194" s="66"/>
      <c r="D194" s="67">
        <v>775</v>
      </c>
      <c r="E194" s="69">
        <v>100</v>
      </c>
      <c r="F194" s="96" t="str">
        <f>HYPERLINK("https://i.ytimg.com/vi/LBkXQ_mBO3Q/default.jpg")</f>
        <v>https://i.ytimg.com/vi/LBkXQ_mBO3Q/default.jpg</v>
      </c>
      <c r="G194" s="66"/>
      <c r="H194" s="70" t="s">
        <v>793</v>
      </c>
      <c r="I194" s="71"/>
      <c r="J194" s="71" t="s">
        <v>75</v>
      </c>
      <c r="K194" s="70" t="s">
        <v>793</v>
      </c>
      <c r="L194" s="74">
        <v>6.706696647138657</v>
      </c>
      <c r="M194" s="75">
        <v>6554.0869140625</v>
      </c>
      <c r="N194" s="75">
        <v>5793.72802734375</v>
      </c>
      <c r="O194" s="76"/>
      <c r="P194" s="77"/>
      <c r="Q194" s="77"/>
      <c r="R194" s="82"/>
      <c r="S194" s="49">
        <v>6</v>
      </c>
      <c r="T194" s="49">
        <v>0</v>
      </c>
      <c r="U194" s="50">
        <v>0</v>
      </c>
      <c r="V194" s="50">
        <v>0.001152</v>
      </c>
      <c r="W194" s="50">
        <v>0.010035</v>
      </c>
      <c r="X194" s="50">
        <v>1.639692</v>
      </c>
      <c r="Y194" s="50">
        <v>0.8333333333333334</v>
      </c>
      <c r="Z194" s="50">
        <v>0</v>
      </c>
      <c r="AA194" s="72">
        <v>173</v>
      </c>
      <c r="AB194" s="72"/>
      <c r="AC194" s="73"/>
      <c r="AD194" s="80" t="s">
        <v>793</v>
      </c>
      <c r="AE194" s="80" t="s">
        <v>1180</v>
      </c>
      <c r="AF194" s="80"/>
      <c r="AG194" s="80" t="s">
        <v>1792</v>
      </c>
      <c r="AH194" s="80" t="s">
        <v>2085</v>
      </c>
      <c r="AI194" s="80">
        <v>129840</v>
      </c>
      <c r="AJ194" s="80">
        <v>86</v>
      </c>
      <c r="AK194" s="80">
        <v>1484</v>
      </c>
      <c r="AL194" s="80">
        <v>131</v>
      </c>
      <c r="AM194" s="80" t="s">
        <v>2317</v>
      </c>
      <c r="AN194" s="98" t="str">
        <f>HYPERLINK("https://www.youtube.com/watch?v=LBkXQ_mBO3Q")</f>
        <v>https://www.youtube.com/watch?v=LBkXQ_mBO3Q</v>
      </c>
      <c r="AO194" s="80" t="str">
        <f>REPLACE(INDEX(GroupVertices[Group],MATCH(Vertices[[#This Row],[Vertex]],GroupVertices[Vertex],0)),1,1,"")</f>
        <v>6</v>
      </c>
      <c r="AP194" s="49"/>
      <c r="AQ194" s="50"/>
      <c r="AR194" s="49"/>
      <c r="AS194" s="50"/>
      <c r="AT194" s="49"/>
      <c r="AU194" s="50"/>
      <c r="AV194" s="49"/>
      <c r="AW194" s="50"/>
      <c r="AX194" s="49"/>
      <c r="AY194" s="49"/>
      <c r="AZ194" s="49"/>
      <c r="BA194" s="49"/>
      <c r="BB194" s="49"/>
      <c r="BC194" s="2"/>
      <c r="BD194" s="3"/>
      <c r="BE194" s="3"/>
      <c r="BF194" s="3"/>
      <c r="BG194" s="3"/>
    </row>
    <row r="195" spans="1:59" ht="15">
      <c r="A195" s="65" t="s">
        <v>394</v>
      </c>
      <c r="B195" s="66" t="s">
        <v>3536</v>
      </c>
      <c r="C195" s="66"/>
      <c r="D195" s="67">
        <v>212.5</v>
      </c>
      <c r="E195" s="69">
        <v>50</v>
      </c>
      <c r="F195" s="96" t="str">
        <f>HYPERLINK("https://i.ytimg.com/vi/R1QgLXpgTOQ/default.jpg")</f>
        <v>https://i.ytimg.com/vi/R1QgLXpgTOQ/default.jpg</v>
      </c>
      <c r="G195" s="66"/>
      <c r="H195" s="70" t="s">
        <v>803</v>
      </c>
      <c r="I195" s="71"/>
      <c r="J195" s="71" t="s">
        <v>159</v>
      </c>
      <c r="K195" s="70" t="s">
        <v>803</v>
      </c>
      <c r="L195" s="74">
        <v>71.77197897014497</v>
      </c>
      <c r="M195" s="75">
        <v>2401.68798828125</v>
      </c>
      <c r="N195" s="75">
        <v>1633.359375</v>
      </c>
      <c r="O195" s="76"/>
      <c r="P195" s="77"/>
      <c r="Q195" s="77"/>
      <c r="R195" s="82"/>
      <c r="S195" s="49">
        <v>1</v>
      </c>
      <c r="T195" s="49">
        <v>0</v>
      </c>
      <c r="U195" s="50">
        <v>0</v>
      </c>
      <c r="V195" s="50">
        <v>0.000915</v>
      </c>
      <c r="W195" s="50">
        <v>0.001655</v>
      </c>
      <c r="X195" s="50">
        <v>0.408323</v>
      </c>
      <c r="Y195" s="50">
        <v>0</v>
      </c>
      <c r="Z195" s="50">
        <v>0</v>
      </c>
      <c r="AA195" s="72">
        <v>183</v>
      </c>
      <c r="AB195" s="72"/>
      <c r="AC195" s="73"/>
      <c r="AD195" s="80" t="s">
        <v>803</v>
      </c>
      <c r="AE195" s="80" t="s">
        <v>1190</v>
      </c>
      <c r="AF195" s="80" t="s">
        <v>1533</v>
      </c>
      <c r="AG195" s="80" t="s">
        <v>1797</v>
      </c>
      <c r="AH195" s="80" t="s">
        <v>2095</v>
      </c>
      <c r="AI195" s="80">
        <v>1610094</v>
      </c>
      <c r="AJ195" s="80">
        <v>2853</v>
      </c>
      <c r="AK195" s="80">
        <v>17593</v>
      </c>
      <c r="AL195" s="80">
        <v>1283</v>
      </c>
      <c r="AM195" s="80" t="s">
        <v>2317</v>
      </c>
      <c r="AN195" s="98" t="str">
        <f>HYPERLINK("https://www.youtube.com/watch?v=R1QgLXpgTOQ")</f>
        <v>https://www.youtube.com/watch?v=R1QgLXpgTOQ</v>
      </c>
      <c r="AO195" s="80" t="str">
        <f>REPLACE(INDEX(GroupVertices[Group],MATCH(Vertices[[#This Row],[Vertex]],GroupVertices[Vertex],0)),1,1,"")</f>
        <v>2</v>
      </c>
      <c r="AP195" s="49">
        <v>0</v>
      </c>
      <c r="AQ195" s="50">
        <v>0</v>
      </c>
      <c r="AR195" s="49">
        <v>0</v>
      </c>
      <c r="AS195" s="50">
        <v>0</v>
      </c>
      <c r="AT195" s="49">
        <v>0</v>
      </c>
      <c r="AU195" s="50">
        <v>0</v>
      </c>
      <c r="AV195" s="49">
        <v>80</v>
      </c>
      <c r="AW195" s="50">
        <v>100</v>
      </c>
      <c r="AX195" s="49">
        <v>80</v>
      </c>
      <c r="AY195" s="49"/>
      <c r="AZ195" s="49"/>
      <c r="BA195" s="49"/>
      <c r="BB195" s="49"/>
      <c r="BC195" s="2"/>
      <c r="BD195" s="3"/>
      <c r="BE195" s="3"/>
      <c r="BF195" s="3"/>
      <c r="BG195" s="3"/>
    </row>
    <row r="196" spans="1:59" ht="15">
      <c r="A196" s="65" t="s">
        <v>395</v>
      </c>
      <c r="B196" s="66" t="s">
        <v>3536</v>
      </c>
      <c r="C196" s="66"/>
      <c r="D196" s="67">
        <v>212.5</v>
      </c>
      <c r="E196" s="69">
        <v>50</v>
      </c>
      <c r="F196" s="96" t="str">
        <f>HYPERLINK("https://i.ytimg.com/vi/ZrQFpSgEP2o/default.jpg")</f>
        <v>https://i.ytimg.com/vi/ZrQFpSgEP2o/default.jpg</v>
      </c>
      <c r="G196" s="66"/>
      <c r="H196" s="70" t="s">
        <v>804</v>
      </c>
      <c r="I196" s="71"/>
      <c r="J196" s="71" t="s">
        <v>159</v>
      </c>
      <c r="K196" s="70" t="s">
        <v>804</v>
      </c>
      <c r="L196" s="74">
        <v>1.0005714213035053</v>
      </c>
      <c r="M196" s="75">
        <v>307.4825439453125</v>
      </c>
      <c r="N196" s="75">
        <v>4486.89599609375</v>
      </c>
      <c r="O196" s="76"/>
      <c r="P196" s="77"/>
      <c r="Q196" s="77"/>
      <c r="R196" s="82"/>
      <c r="S196" s="49">
        <v>1</v>
      </c>
      <c r="T196" s="49">
        <v>0</v>
      </c>
      <c r="U196" s="50">
        <v>0</v>
      </c>
      <c r="V196" s="50">
        <v>0.000915</v>
      </c>
      <c r="W196" s="50">
        <v>0.001655</v>
      </c>
      <c r="X196" s="50">
        <v>0.408323</v>
      </c>
      <c r="Y196" s="50">
        <v>0</v>
      </c>
      <c r="Z196" s="50">
        <v>0</v>
      </c>
      <c r="AA196" s="72">
        <v>184</v>
      </c>
      <c r="AB196" s="72"/>
      <c r="AC196" s="73"/>
      <c r="AD196" s="80" t="s">
        <v>804</v>
      </c>
      <c r="AE196" s="80" t="s">
        <v>1191</v>
      </c>
      <c r="AF196" s="80" t="s">
        <v>1534</v>
      </c>
      <c r="AG196" s="80" t="s">
        <v>1727</v>
      </c>
      <c r="AH196" s="80" t="s">
        <v>2096</v>
      </c>
      <c r="AI196" s="80">
        <v>24</v>
      </c>
      <c r="AJ196" s="80">
        <v>0</v>
      </c>
      <c r="AK196" s="80">
        <v>0</v>
      </c>
      <c r="AL196" s="80">
        <v>0</v>
      </c>
      <c r="AM196" s="80" t="s">
        <v>2317</v>
      </c>
      <c r="AN196" s="98" t="str">
        <f>HYPERLINK("https://www.youtube.com/watch?v=ZrQFpSgEP2o")</f>
        <v>https://www.youtube.com/watch?v=ZrQFpSgEP2o</v>
      </c>
      <c r="AO196" s="80" t="str">
        <f>REPLACE(INDEX(GroupVertices[Group],MATCH(Vertices[[#This Row],[Vertex]],GroupVertices[Vertex],0)),1,1,"")</f>
        <v>2</v>
      </c>
      <c r="AP196" s="49">
        <v>0</v>
      </c>
      <c r="AQ196" s="50">
        <v>0</v>
      </c>
      <c r="AR196" s="49">
        <v>0</v>
      </c>
      <c r="AS196" s="50">
        <v>0</v>
      </c>
      <c r="AT196" s="49">
        <v>0</v>
      </c>
      <c r="AU196" s="50">
        <v>0</v>
      </c>
      <c r="AV196" s="49">
        <v>4</v>
      </c>
      <c r="AW196" s="50">
        <v>100</v>
      </c>
      <c r="AX196" s="49">
        <v>4</v>
      </c>
      <c r="AY196" s="49"/>
      <c r="AZ196" s="49"/>
      <c r="BA196" s="49"/>
      <c r="BB196" s="49"/>
      <c r="BC196" s="2"/>
      <c r="BD196" s="3"/>
      <c r="BE196" s="3"/>
      <c r="BF196" s="3"/>
      <c r="BG196" s="3"/>
    </row>
    <row r="197" spans="1:59" ht="15">
      <c r="A197" s="65" t="s">
        <v>396</v>
      </c>
      <c r="B197" s="66" t="s">
        <v>3536</v>
      </c>
      <c r="C197" s="66"/>
      <c r="D197" s="67">
        <v>212.5</v>
      </c>
      <c r="E197" s="69">
        <v>50</v>
      </c>
      <c r="F197" s="96" t="str">
        <f>HYPERLINK("https://i.ytimg.com/vi/k6peMYTcRYY/default.jpg")</f>
        <v>https://i.ytimg.com/vi/k6peMYTcRYY/default.jpg</v>
      </c>
      <c r="G197" s="66"/>
      <c r="H197" s="70" t="s">
        <v>805</v>
      </c>
      <c r="I197" s="71"/>
      <c r="J197" s="71" t="s">
        <v>159</v>
      </c>
      <c r="K197" s="70" t="s">
        <v>805</v>
      </c>
      <c r="L197" s="74">
        <v>1.7394191667359873</v>
      </c>
      <c r="M197" s="75">
        <v>656.5167846679688</v>
      </c>
      <c r="N197" s="75">
        <v>2774.774169921875</v>
      </c>
      <c r="O197" s="76"/>
      <c r="P197" s="77"/>
      <c r="Q197" s="77"/>
      <c r="R197" s="82"/>
      <c r="S197" s="49">
        <v>1</v>
      </c>
      <c r="T197" s="49">
        <v>0</v>
      </c>
      <c r="U197" s="50">
        <v>0</v>
      </c>
      <c r="V197" s="50">
        <v>0.000915</v>
      </c>
      <c r="W197" s="50">
        <v>0.001655</v>
      </c>
      <c r="X197" s="50">
        <v>0.408323</v>
      </c>
      <c r="Y197" s="50">
        <v>0</v>
      </c>
      <c r="Z197" s="50">
        <v>0</v>
      </c>
      <c r="AA197" s="72">
        <v>185</v>
      </c>
      <c r="AB197" s="72"/>
      <c r="AC197" s="73"/>
      <c r="AD197" s="80" t="s">
        <v>805</v>
      </c>
      <c r="AE197" s="80" t="s">
        <v>1192</v>
      </c>
      <c r="AF197" s="80" t="s">
        <v>1535</v>
      </c>
      <c r="AG197" s="80" t="s">
        <v>1798</v>
      </c>
      <c r="AH197" s="80" t="s">
        <v>2097</v>
      </c>
      <c r="AI197" s="80">
        <v>16833</v>
      </c>
      <c r="AJ197" s="80">
        <v>35</v>
      </c>
      <c r="AK197" s="80">
        <v>558</v>
      </c>
      <c r="AL197" s="80">
        <v>31</v>
      </c>
      <c r="AM197" s="80" t="s">
        <v>2317</v>
      </c>
      <c r="AN197" s="98" t="str">
        <f>HYPERLINK("https://www.youtube.com/watch?v=k6peMYTcRYY")</f>
        <v>https://www.youtube.com/watch?v=k6peMYTcRYY</v>
      </c>
      <c r="AO197" s="80" t="str">
        <f>REPLACE(INDEX(GroupVertices[Group],MATCH(Vertices[[#This Row],[Vertex]],GroupVertices[Vertex],0)),1,1,"")</f>
        <v>2</v>
      </c>
      <c r="AP197" s="49">
        <v>0</v>
      </c>
      <c r="AQ197" s="50">
        <v>0</v>
      </c>
      <c r="AR197" s="49">
        <v>1</v>
      </c>
      <c r="AS197" s="50">
        <v>2.857142857142857</v>
      </c>
      <c r="AT197" s="49">
        <v>0</v>
      </c>
      <c r="AU197" s="50">
        <v>0</v>
      </c>
      <c r="AV197" s="49">
        <v>34</v>
      </c>
      <c r="AW197" s="50">
        <v>97.14285714285714</v>
      </c>
      <c r="AX197" s="49">
        <v>35</v>
      </c>
      <c r="AY197" s="49"/>
      <c r="AZ197" s="49"/>
      <c r="BA197" s="49"/>
      <c r="BB197" s="49"/>
      <c r="BC197" s="2"/>
      <c r="BD197" s="3"/>
      <c r="BE197" s="3"/>
      <c r="BF197" s="3"/>
      <c r="BG197" s="3"/>
    </row>
    <row r="198" spans="1:59" ht="15">
      <c r="A198" s="65" t="s">
        <v>397</v>
      </c>
      <c r="B198" s="66" t="s">
        <v>3536</v>
      </c>
      <c r="C198" s="66"/>
      <c r="D198" s="67">
        <v>212.5</v>
      </c>
      <c r="E198" s="69">
        <v>50</v>
      </c>
      <c r="F198" s="96" t="str">
        <f>HYPERLINK("https://i.ytimg.com/vi/_9qLWY0SQCA/default.jpg")</f>
        <v>https://i.ytimg.com/vi/_9qLWY0SQCA/default.jpg</v>
      </c>
      <c r="G198" s="66"/>
      <c r="H198" s="70" t="s">
        <v>806</v>
      </c>
      <c r="I198" s="71"/>
      <c r="J198" s="71" t="s">
        <v>159</v>
      </c>
      <c r="K198" s="70" t="s">
        <v>806</v>
      </c>
      <c r="L198" s="74">
        <v>2.418135808845747</v>
      </c>
      <c r="M198" s="75">
        <v>1703.6195068359375</v>
      </c>
      <c r="N198" s="75">
        <v>2774.774169921875</v>
      </c>
      <c r="O198" s="76"/>
      <c r="P198" s="77"/>
      <c r="Q198" s="77"/>
      <c r="R198" s="82"/>
      <c r="S198" s="49">
        <v>1</v>
      </c>
      <c r="T198" s="49">
        <v>0</v>
      </c>
      <c r="U198" s="50">
        <v>0</v>
      </c>
      <c r="V198" s="50">
        <v>0.000915</v>
      </c>
      <c r="W198" s="50">
        <v>0.001655</v>
      </c>
      <c r="X198" s="50">
        <v>0.408323</v>
      </c>
      <c r="Y198" s="50">
        <v>0</v>
      </c>
      <c r="Z198" s="50">
        <v>0</v>
      </c>
      <c r="AA198" s="72">
        <v>186</v>
      </c>
      <c r="AB198" s="72"/>
      <c r="AC198" s="73"/>
      <c r="AD198" s="80" t="s">
        <v>806</v>
      </c>
      <c r="AE198" s="80" t="s">
        <v>1193</v>
      </c>
      <c r="AF198" s="80" t="s">
        <v>1536</v>
      </c>
      <c r="AG198" s="80" t="s">
        <v>1799</v>
      </c>
      <c r="AH198" s="80" t="s">
        <v>2098</v>
      </c>
      <c r="AI198" s="80">
        <v>32274</v>
      </c>
      <c r="AJ198" s="80">
        <v>239</v>
      </c>
      <c r="AK198" s="80">
        <v>0</v>
      </c>
      <c r="AL198" s="80">
        <v>0</v>
      </c>
      <c r="AM198" s="80" t="s">
        <v>2317</v>
      </c>
      <c r="AN198" s="98" t="str">
        <f>HYPERLINK("https://www.youtube.com/watch?v=_9qLWY0SQCA")</f>
        <v>https://www.youtube.com/watch?v=_9qLWY0SQCA</v>
      </c>
      <c r="AO198" s="80" t="str">
        <f>REPLACE(INDEX(GroupVertices[Group],MATCH(Vertices[[#This Row],[Vertex]],GroupVertices[Vertex],0)),1,1,"")</f>
        <v>2</v>
      </c>
      <c r="AP198" s="49">
        <v>2</v>
      </c>
      <c r="AQ198" s="50">
        <v>2.9411764705882355</v>
      </c>
      <c r="AR198" s="49">
        <v>0</v>
      </c>
      <c r="AS198" s="50">
        <v>0</v>
      </c>
      <c r="AT198" s="49">
        <v>0</v>
      </c>
      <c r="AU198" s="50">
        <v>0</v>
      </c>
      <c r="AV198" s="49">
        <v>66</v>
      </c>
      <c r="AW198" s="50">
        <v>97.05882352941177</v>
      </c>
      <c r="AX198" s="49">
        <v>68</v>
      </c>
      <c r="AY198" s="49"/>
      <c r="AZ198" s="49"/>
      <c r="BA198" s="49"/>
      <c r="BB198" s="49"/>
      <c r="BC198" s="2"/>
      <c r="BD198" s="3"/>
      <c r="BE198" s="3"/>
      <c r="BF198" s="3"/>
      <c r="BG198" s="3"/>
    </row>
    <row r="199" spans="1:59" ht="15">
      <c r="A199" s="65" t="s">
        <v>398</v>
      </c>
      <c r="B199" s="66" t="s">
        <v>3536</v>
      </c>
      <c r="C199" s="66"/>
      <c r="D199" s="67">
        <v>212.5</v>
      </c>
      <c r="E199" s="69">
        <v>50</v>
      </c>
      <c r="F199" s="96" t="str">
        <f>HYPERLINK("https://i.ytimg.com/vi/x4ItUKQpYIg/default.jpg")</f>
        <v>https://i.ytimg.com/vi/x4ItUKQpYIg/default.jpg</v>
      </c>
      <c r="G199" s="66"/>
      <c r="H199" s="70" t="s">
        <v>807</v>
      </c>
      <c r="I199" s="71"/>
      <c r="J199" s="71" t="s">
        <v>159</v>
      </c>
      <c r="K199" s="70" t="s">
        <v>807</v>
      </c>
      <c r="L199" s="74">
        <v>5.431943629987881</v>
      </c>
      <c r="M199" s="75">
        <v>1703.6195068359375</v>
      </c>
      <c r="N199" s="75">
        <v>2204.066650390625</v>
      </c>
      <c r="O199" s="76"/>
      <c r="P199" s="77"/>
      <c r="Q199" s="77"/>
      <c r="R199" s="82"/>
      <c r="S199" s="49">
        <v>1</v>
      </c>
      <c r="T199" s="49">
        <v>0</v>
      </c>
      <c r="U199" s="50">
        <v>0</v>
      </c>
      <c r="V199" s="50">
        <v>0.000915</v>
      </c>
      <c r="W199" s="50">
        <v>0.001655</v>
      </c>
      <c r="X199" s="50">
        <v>0.408323</v>
      </c>
      <c r="Y199" s="50">
        <v>0</v>
      </c>
      <c r="Z199" s="50">
        <v>0</v>
      </c>
      <c r="AA199" s="72">
        <v>187</v>
      </c>
      <c r="AB199" s="72"/>
      <c r="AC199" s="73"/>
      <c r="AD199" s="80" t="s">
        <v>807</v>
      </c>
      <c r="AE199" s="80" t="s">
        <v>1194</v>
      </c>
      <c r="AF199" s="80" t="s">
        <v>1537</v>
      </c>
      <c r="AG199" s="80" t="s">
        <v>1800</v>
      </c>
      <c r="AH199" s="80" t="s">
        <v>2099</v>
      </c>
      <c r="AI199" s="80">
        <v>100839</v>
      </c>
      <c r="AJ199" s="80">
        <v>200</v>
      </c>
      <c r="AK199" s="80">
        <v>2887</v>
      </c>
      <c r="AL199" s="80">
        <v>102</v>
      </c>
      <c r="AM199" s="80" t="s">
        <v>2317</v>
      </c>
      <c r="AN199" s="98" t="str">
        <f>HYPERLINK("https://www.youtube.com/watch?v=x4ItUKQpYIg")</f>
        <v>https://www.youtube.com/watch?v=x4ItUKQpYIg</v>
      </c>
      <c r="AO199" s="80" t="str">
        <f>REPLACE(INDEX(GroupVertices[Group],MATCH(Vertices[[#This Row],[Vertex]],GroupVertices[Vertex],0)),1,1,"")</f>
        <v>2</v>
      </c>
      <c r="AP199" s="49">
        <v>1</v>
      </c>
      <c r="AQ199" s="50">
        <v>1.2987012987012987</v>
      </c>
      <c r="AR199" s="49">
        <v>1</v>
      </c>
      <c r="AS199" s="50">
        <v>1.2987012987012987</v>
      </c>
      <c r="AT199" s="49">
        <v>0</v>
      </c>
      <c r="AU199" s="50">
        <v>0</v>
      </c>
      <c r="AV199" s="49">
        <v>75</v>
      </c>
      <c r="AW199" s="50">
        <v>97.40259740259741</v>
      </c>
      <c r="AX199" s="49">
        <v>77</v>
      </c>
      <c r="AY199" s="49"/>
      <c r="AZ199" s="49"/>
      <c r="BA199" s="49"/>
      <c r="BB199" s="49"/>
      <c r="BC199" s="2"/>
      <c r="BD199" s="3"/>
      <c r="BE199" s="3"/>
      <c r="BF199" s="3"/>
      <c r="BG199" s="3"/>
    </row>
    <row r="200" spans="1:59" ht="15">
      <c r="A200" s="65" t="s">
        <v>399</v>
      </c>
      <c r="B200" s="66" t="s">
        <v>3536</v>
      </c>
      <c r="C200" s="66"/>
      <c r="D200" s="67">
        <v>212.5</v>
      </c>
      <c r="E200" s="69">
        <v>50</v>
      </c>
      <c r="F200" s="96" t="str">
        <f>HYPERLINK("https://i.ytimg.com/vi/ki_7r1gJC48/default.jpg")</f>
        <v>https://i.ytimg.com/vi/ki_7r1gJC48/default.jpg</v>
      </c>
      <c r="G200" s="66"/>
      <c r="H200" s="70" t="s">
        <v>808</v>
      </c>
      <c r="I200" s="71"/>
      <c r="J200" s="71" t="s">
        <v>159</v>
      </c>
      <c r="K200" s="70" t="s">
        <v>808</v>
      </c>
      <c r="L200" s="74">
        <v>6.435974815731753</v>
      </c>
      <c r="M200" s="75">
        <v>2052.65380859375</v>
      </c>
      <c r="N200" s="75">
        <v>2204.066650390625</v>
      </c>
      <c r="O200" s="76"/>
      <c r="P200" s="77"/>
      <c r="Q200" s="77"/>
      <c r="R200" s="82"/>
      <c r="S200" s="49">
        <v>1</v>
      </c>
      <c r="T200" s="49">
        <v>0</v>
      </c>
      <c r="U200" s="50">
        <v>0</v>
      </c>
      <c r="V200" s="50">
        <v>0.000915</v>
      </c>
      <c r="W200" s="50">
        <v>0.001655</v>
      </c>
      <c r="X200" s="50">
        <v>0.408323</v>
      </c>
      <c r="Y200" s="50">
        <v>0</v>
      </c>
      <c r="Z200" s="50">
        <v>0</v>
      </c>
      <c r="AA200" s="72">
        <v>188</v>
      </c>
      <c r="AB200" s="72"/>
      <c r="AC200" s="73"/>
      <c r="AD200" s="80" t="s">
        <v>808</v>
      </c>
      <c r="AE200" s="80" t="s">
        <v>1195</v>
      </c>
      <c r="AF200" s="80" t="s">
        <v>1538</v>
      </c>
      <c r="AG200" s="80" t="s">
        <v>1801</v>
      </c>
      <c r="AH200" s="80" t="s">
        <v>2100</v>
      </c>
      <c r="AI200" s="80">
        <v>123681</v>
      </c>
      <c r="AJ200" s="80">
        <v>23</v>
      </c>
      <c r="AK200" s="80">
        <v>756</v>
      </c>
      <c r="AL200" s="80">
        <v>125</v>
      </c>
      <c r="AM200" s="80" t="s">
        <v>2317</v>
      </c>
      <c r="AN200" s="98" t="str">
        <f>HYPERLINK("https://www.youtube.com/watch?v=ki_7r1gJC48")</f>
        <v>https://www.youtube.com/watch?v=ki_7r1gJC48</v>
      </c>
      <c r="AO200" s="80" t="str">
        <f>REPLACE(INDEX(GroupVertices[Group],MATCH(Vertices[[#This Row],[Vertex]],GroupVertices[Vertex],0)),1,1,"")</f>
        <v>2</v>
      </c>
      <c r="AP200" s="49">
        <v>1</v>
      </c>
      <c r="AQ200" s="50">
        <v>4.761904761904762</v>
      </c>
      <c r="AR200" s="49">
        <v>1</v>
      </c>
      <c r="AS200" s="50">
        <v>4.761904761904762</v>
      </c>
      <c r="AT200" s="49">
        <v>0</v>
      </c>
      <c r="AU200" s="50">
        <v>0</v>
      </c>
      <c r="AV200" s="49">
        <v>19</v>
      </c>
      <c r="AW200" s="50">
        <v>90.47619047619048</v>
      </c>
      <c r="AX200" s="49">
        <v>21</v>
      </c>
      <c r="AY200" s="49"/>
      <c r="AZ200" s="49"/>
      <c r="BA200" s="49"/>
      <c r="BB200" s="49"/>
      <c r="BC200" s="2"/>
      <c r="BD200" s="3"/>
      <c r="BE200" s="3"/>
      <c r="BF200" s="3"/>
      <c r="BG200" s="3"/>
    </row>
    <row r="201" spans="1:59" ht="15">
      <c r="A201" s="65" t="s">
        <v>400</v>
      </c>
      <c r="B201" s="66" t="s">
        <v>3536</v>
      </c>
      <c r="C201" s="66"/>
      <c r="D201" s="67">
        <v>212.5</v>
      </c>
      <c r="E201" s="69">
        <v>50</v>
      </c>
      <c r="F201" s="96" t="str">
        <f>HYPERLINK("https://i.ytimg.com/vi/aPWO71UIvCI/default.jpg")</f>
        <v>https://i.ytimg.com/vi/aPWO71UIvCI/default.jpg</v>
      </c>
      <c r="G201" s="66"/>
      <c r="H201" s="70" t="s">
        <v>809</v>
      </c>
      <c r="I201" s="71"/>
      <c r="J201" s="71" t="s">
        <v>159</v>
      </c>
      <c r="K201" s="70" t="s">
        <v>809</v>
      </c>
      <c r="L201" s="74">
        <v>11.953838699804319</v>
      </c>
      <c r="M201" s="75">
        <v>656.5167846679688</v>
      </c>
      <c r="N201" s="75">
        <v>1633.359375</v>
      </c>
      <c r="O201" s="76"/>
      <c r="P201" s="77"/>
      <c r="Q201" s="77"/>
      <c r="R201" s="82"/>
      <c r="S201" s="49">
        <v>1</v>
      </c>
      <c r="T201" s="49">
        <v>0</v>
      </c>
      <c r="U201" s="50">
        <v>0</v>
      </c>
      <c r="V201" s="50">
        <v>0.000915</v>
      </c>
      <c r="W201" s="50">
        <v>0.001655</v>
      </c>
      <c r="X201" s="50">
        <v>0.408323</v>
      </c>
      <c r="Y201" s="50">
        <v>0</v>
      </c>
      <c r="Z201" s="50">
        <v>0</v>
      </c>
      <c r="AA201" s="72">
        <v>189</v>
      </c>
      <c r="AB201" s="72"/>
      <c r="AC201" s="73"/>
      <c r="AD201" s="80" t="s">
        <v>809</v>
      </c>
      <c r="AE201" s="80" t="s">
        <v>1196</v>
      </c>
      <c r="AF201" s="80" t="s">
        <v>1539</v>
      </c>
      <c r="AG201" s="80" t="s">
        <v>1802</v>
      </c>
      <c r="AH201" s="80" t="s">
        <v>2101</v>
      </c>
      <c r="AI201" s="80">
        <v>249214</v>
      </c>
      <c r="AJ201" s="80">
        <v>81</v>
      </c>
      <c r="AK201" s="80">
        <v>4961</v>
      </c>
      <c r="AL201" s="80">
        <v>301</v>
      </c>
      <c r="AM201" s="80" t="s">
        <v>2317</v>
      </c>
      <c r="AN201" s="98" t="str">
        <f>HYPERLINK("https://www.youtube.com/watch?v=aPWO71UIvCI")</f>
        <v>https://www.youtube.com/watch?v=aPWO71UIvCI</v>
      </c>
      <c r="AO201" s="80" t="str">
        <f>REPLACE(INDEX(GroupVertices[Group],MATCH(Vertices[[#This Row],[Vertex]],GroupVertices[Vertex],0)),1,1,"")</f>
        <v>2</v>
      </c>
      <c r="AP201" s="49">
        <v>1</v>
      </c>
      <c r="AQ201" s="50">
        <v>1.6666666666666667</v>
      </c>
      <c r="AR201" s="49">
        <v>2</v>
      </c>
      <c r="AS201" s="50">
        <v>3.3333333333333335</v>
      </c>
      <c r="AT201" s="49">
        <v>0</v>
      </c>
      <c r="AU201" s="50">
        <v>0</v>
      </c>
      <c r="AV201" s="49">
        <v>57</v>
      </c>
      <c r="AW201" s="50">
        <v>95</v>
      </c>
      <c r="AX201" s="49">
        <v>60</v>
      </c>
      <c r="AY201" s="49"/>
      <c r="AZ201" s="49"/>
      <c r="BA201" s="49"/>
      <c r="BB201" s="49"/>
      <c r="BC201" s="2"/>
      <c r="BD201" s="3"/>
      <c r="BE201" s="3"/>
      <c r="BF201" s="3"/>
      <c r="BG201" s="3"/>
    </row>
    <row r="202" spans="1:59" ht="15">
      <c r="A202" s="65" t="s">
        <v>401</v>
      </c>
      <c r="B202" s="66" t="s">
        <v>3536</v>
      </c>
      <c r="C202" s="66"/>
      <c r="D202" s="67">
        <v>212.5</v>
      </c>
      <c r="E202" s="69">
        <v>50</v>
      </c>
      <c r="F202" s="96" t="str">
        <f>HYPERLINK("https://i.ytimg.com/vi/aNghg1Y-WIc/default.jpg")</f>
        <v>https://i.ytimg.com/vi/aNghg1Y-WIc/default.jpg</v>
      </c>
      <c r="G202" s="66"/>
      <c r="H202" s="70" t="s">
        <v>810</v>
      </c>
      <c r="I202" s="71"/>
      <c r="J202" s="71" t="s">
        <v>159</v>
      </c>
      <c r="K202" s="70" t="s">
        <v>810</v>
      </c>
      <c r="L202" s="74">
        <v>90.74382557879753</v>
      </c>
      <c r="M202" s="75">
        <v>307.4825439453125</v>
      </c>
      <c r="N202" s="75">
        <v>1062.6519775390625</v>
      </c>
      <c r="O202" s="76"/>
      <c r="P202" s="77"/>
      <c r="Q202" s="77"/>
      <c r="R202" s="82"/>
      <c r="S202" s="49">
        <v>1</v>
      </c>
      <c r="T202" s="49">
        <v>0</v>
      </c>
      <c r="U202" s="50">
        <v>0</v>
      </c>
      <c r="V202" s="50">
        <v>0.000915</v>
      </c>
      <c r="W202" s="50">
        <v>0.001655</v>
      </c>
      <c r="X202" s="50">
        <v>0.408323</v>
      </c>
      <c r="Y202" s="50">
        <v>0</v>
      </c>
      <c r="Z202" s="50">
        <v>0</v>
      </c>
      <c r="AA202" s="72">
        <v>190</v>
      </c>
      <c r="AB202" s="72"/>
      <c r="AC202" s="73"/>
      <c r="AD202" s="80" t="s">
        <v>810</v>
      </c>
      <c r="AE202" s="80" t="s">
        <v>1197</v>
      </c>
      <c r="AF202" s="80" t="s">
        <v>1540</v>
      </c>
      <c r="AG202" s="80" t="s">
        <v>1803</v>
      </c>
      <c r="AH202" s="80" t="s">
        <v>2102</v>
      </c>
      <c r="AI202" s="80">
        <v>2041709</v>
      </c>
      <c r="AJ202" s="80">
        <v>42719</v>
      </c>
      <c r="AK202" s="80">
        <v>165274</v>
      </c>
      <c r="AL202" s="80">
        <v>9767</v>
      </c>
      <c r="AM202" s="80" t="s">
        <v>2317</v>
      </c>
      <c r="AN202" s="98" t="str">
        <f>HYPERLINK("https://www.youtube.com/watch?v=aNghg1Y-WIc")</f>
        <v>https://www.youtube.com/watch?v=aNghg1Y-WIc</v>
      </c>
      <c r="AO202" s="80" t="str">
        <f>REPLACE(INDEX(GroupVertices[Group],MATCH(Vertices[[#This Row],[Vertex]],GroupVertices[Vertex],0)),1,1,"")</f>
        <v>2</v>
      </c>
      <c r="AP202" s="49">
        <v>1</v>
      </c>
      <c r="AQ202" s="50">
        <v>1.4285714285714286</v>
      </c>
      <c r="AR202" s="49">
        <v>8</v>
      </c>
      <c r="AS202" s="50">
        <v>11.428571428571429</v>
      </c>
      <c r="AT202" s="49">
        <v>0</v>
      </c>
      <c r="AU202" s="50">
        <v>0</v>
      </c>
      <c r="AV202" s="49">
        <v>61</v>
      </c>
      <c r="AW202" s="50">
        <v>87.14285714285714</v>
      </c>
      <c r="AX202" s="49">
        <v>70</v>
      </c>
      <c r="AY202" s="49"/>
      <c r="AZ202" s="49"/>
      <c r="BA202" s="49"/>
      <c r="BB202" s="49"/>
      <c r="BC202" s="2"/>
      <c r="BD202" s="3"/>
      <c r="BE202" s="3"/>
      <c r="BF202" s="3"/>
      <c r="BG202" s="3"/>
    </row>
    <row r="203" spans="1:59" ht="15">
      <c r="A203" s="65" t="s">
        <v>402</v>
      </c>
      <c r="B203" s="66" t="s">
        <v>3536</v>
      </c>
      <c r="C203" s="66"/>
      <c r="D203" s="67">
        <v>212.5</v>
      </c>
      <c r="E203" s="69">
        <v>50</v>
      </c>
      <c r="F203" s="96" t="str">
        <f>HYPERLINK("https://i.ytimg.com/vi/ZZhclrlQ2Eo/default.jpg")</f>
        <v>https://i.ytimg.com/vi/ZZhclrlQ2Eo/default.jpg</v>
      </c>
      <c r="G203" s="66"/>
      <c r="H203" s="70" t="s">
        <v>811</v>
      </c>
      <c r="I203" s="71"/>
      <c r="J203" s="71" t="s">
        <v>159</v>
      </c>
      <c r="K203" s="70" t="s">
        <v>811</v>
      </c>
      <c r="L203" s="74">
        <v>416.3033770856593</v>
      </c>
      <c r="M203" s="75">
        <v>307.4825439453125</v>
      </c>
      <c r="N203" s="75">
        <v>491.9446105957031</v>
      </c>
      <c r="O203" s="76"/>
      <c r="P203" s="77"/>
      <c r="Q203" s="77"/>
      <c r="R203" s="82"/>
      <c r="S203" s="49">
        <v>1</v>
      </c>
      <c r="T203" s="49">
        <v>0</v>
      </c>
      <c r="U203" s="50">
        <v>0</v>
      </c>
      <c r="V203" s="50">
        <v>0.000915</v>
      </c>
      <c r="W203" s="50">
        <v>0.001655</v>
      </c>
      <c r="X203" s="50">
        <v>0.408323</v>
      </c>
      <c r="Y203" s="50">
        <v>0</v>
      </c>
      <c r="Z203" s="50">
        <v>0</v>
      </c>
      <c r="AA203" s="72">
        <v>191</v>
      </c>
      <c r="AB203" s="72"/>
      <c r="AC203" s="73"/>
      <c r="AD203" s="80" t="s">
        <v>811</v>
      </c>
      <c r="AE203" s="80" t="s">
        <v>1198</v>
      </c>
      <c r="AF203" s="80" t="s">
        <v>1541</v>
      </c>
      <c r="AG203" s="80" t="s">
        <v>1732</v>
      </c>
      <c r="AH203" s="80" t="s">
        <v>2103</v>
      </c>
      <c r="AI203" s="80">
        <v>9448283</v>
      </c>
      <c r="AJ203" s="80">
        <v>9893</v>
      </c>
      <c r="AK203" s="80">
        <v>203627</v>
      </c>
      <c r="AL203" s="80">
        <v>7498</v>
      </c>
      <c r="AM203" s="80" t="s">
        <v>2317</v>
      </c>
      <c r="AN203" s="98" t="str">
        <f>HYPERLINK("https://www.youtube.com/watch?v=ZZhclrlQ2Eo")</f>
        <v>https://www.youtube.com/watch?v=ZZhclrlQ2Eo</v>
      </c>
      <c r="AO203" s="80" t="str">
        <f>REPLACE(INDEX(GroupVertices[Group],MATCH(Vertices[[#This Row],[Vertex]],GroupVertices[Vertex],0)),1,1,"")</f>
        <v>2</v>
      </c>
      <c r="AP203" s="49">
        <v>2</v>
      </c>
      <c r="AQ203" s="50">
        <v>4.444444444444445</v>
      </c>
      <c r="AR203" s="49">
        <v>0</v>
      </c>
      <c r="AS203" s="50">
        <v>0</v>
      </c>
      <c r="AT203" s="49">
        <v>0</v>
      </c>
      <c r="AU203" s="50">
        <v>0</v>
      </c>
      <c r="AV203" s="49">
        <v>43</v>
      </c>
      <c r="AW203" s="50">
        <v>95.55555555555556</v>
      </c>
      <c r="AX203" s="49">
        <v>45</v>
      </c>
      <c r="AY203" s="49"/>
      <c r="AZ203" s="49"/>
      <c r="BA203" s="49"/>
      <c r="BB203" s="49"/>
      <c r="BC203" s="2"/>
      <c r="BD203" s="3"/>
      <c r="BE203" s="3"/>
      <c r="BF203" s="3"/>
      <c r="BG203" s="3"/>
    </row>
    <row r="204" spans="1:59" ht="15">
      <c r="A204" s="65" t="s">
        <v>403</v>
      </c>
      <c r="B204" s="66" t="s">
        <v>3536</v>
      </c>
      <c r="C204" s="66"/>
      <c r="D204" s="67">
        <v>212.5</v>
      </c>
      <c r="E204" s="69">
        <v>50</v>
      </c>
      <c r="F204" s="96" t="str">
        <f>HYPERLINK("https://i.ytimg.com/vi/Mi2cURoOAYY/default.jpg")</f>
        <v>https://i.ytimg.com/vi/Mi2cURoOAYY/default.jpg</v>
      </c>
      <c r="G204" s="66"/>
      <c r="H204" s="70" t="s">
        <v>812</v>
      </c>
      <c r="I204" s="71"/>
      <c r="J204" s="71" t="s">
        <v>159</v>
      </c>
      <c r="K204" s="70" t="s">
        <v>812</v>
      </c>
      <c r="L204" s="74">
        <v>3050.0539662520446</v>
      </c>
      <c r="M204" s="75">
        <v>656.5167846679688</v>
      </c>
      <c r="N204" s="75">
        <v>491.9446105957031</v>
      </c>
      <c r="O204" s="76"/>
      <c r="P204" s="77"/>
      <c r="Q204" s="77"/>
      <c r="R204" s="82"/>
      <c r="S204" s="49">
        <v>1</v>
      </c>
      <c r="T204" s="49">
        <v>0</v>
      </c>
      <c r="U204" s="50">
        <v>0</v>
      </c>
      <c r="V204" s="50">
        <v>0.000915</v>
      </c>
      <c r="W204" s="50">
        <v>0.001655</v>
      </c>
      <c r="X204" s="50">
        <v>0.408323</v>
      </c>
      <c r="Y204" s="50">
        <v>0</v>
      </c>
      <c r="Z204" s="50">
        <v>0</v>
      </c>
      <c r="AA204" s="72">
        <v>192</v>
      </c>
      <c r="AB204" s="72"/>
      <c r="AC204" s="73"/>
      <c r="AD204" s="80" t="s">
        <v>812</v>
      </c>
      <c r="AE204" s="80" t="s">
        <v>1199</v>
      </c>
      <c r="AF204" s="80" t="s">
        <v>1542</v>
      </c>
      <c r="AG204" s="80" t="s">
        <v>1804</v>
      </c>
      <c r="AH204" s="80" t="s">
        <v>2104</v>
      </c>
      <c r="AI204" s="80">
        <v>69366871</v>
      </c>
      <c r="AJ204" s="80">
        <v>13102</v>
      </c>
      <c r="AK204" s="80">
        <v>367694</v>
      </c>
      <c r="AL204" s="80">
        <v>10211</v>
      </c>
      <c r="AM204" s="80" t="s">
        <v>2317</v>
      </c>
      <c r="AN204" s="98" t="str">
        <f>HYPERLINK("https://www.youtube.com/watch?v=Mi2cURoOAYY")</f>
        <v>https://www.youtube.com/watch?v=Mi2cURoOAYY</v>
      </c>
      <c r="AO204" s="80" t="str">
        <f>REPLACE(INDEX(GroupVertices[Group],MATCH(Vertices[[#This Row],[Vertex]],GroupVertices[Vertex],0)),1,1,"")</f>
        <v>2</v>
      </c>
      <c r="AP204" s="49">
        <v>1</v>
      </c>
      <c r="AQ204" s="50">
        <v>11.11111111111111</v>
      </c>
      <c r="AR204" s="49">
        <v>0</v>
      </c>
      <c r="AS204" s="50">
        <v>0</v>
      </c>
      <c r="AT204" s="49">
        <v>0</v>
      </c>
      <c r="AU204" s="50">
        <v>0</v>
      </c>
      <c r="AV204" s="49">
        <v>8</v>
      </c>
      <c r="AW204" s="50">
        <v>88.88888888888889</v>
      </c>
      <c r="AX204" s="49">
        <v>9</v>
      </c>
      <c r="AY204" s="49"/>
      <c r="AZ204" s="49"/>
      <c r="BA204" s="49"/>
      <c r="BB204" s="49"/>
      <c r="BC204" s="2"/>
      <c r="BD204" s="3"/>
      <c r="BE204" s="3"/>
      <c r="BF204" s="3"/>
      <c r="BG204" s="3"/>
    </row>
    <row r="205" spans="1:59" ht="15">
      <c r="A205" s="65" t="s">
        <v>404</v>
      </c>
      <c r="B205" s="66" t="s">
        <v>3536</v>
      </c>
      <c r="C205" s="66"/>
      <c r="D205" s="67">
        <v>212.5</v>
      </c>
      <c r="E205" s="69">
        <v>50</v>
      </c>
      <c r="F205" s="96" t="str">
        <f>HYPERLINK("https://i.ytimg.com/vi/LnUoPlj2UCE/default.jpg")</f>
        <v>https://i.ytimg.com/vi/LnUoPlj2UCE/default.jpg</v>
      </c>
      <c r="G205" s="66"/>
      <c r="H205" s="70" t="s">
        <v>813</v>
      </c>
      <c r="I205" s="71"/>
      <c r="J205" s="71" t="s">
        <v>159</v>
      </c>
      <c r="K205" s="70" t="s">
        <v>813</v>
      </c>
      <c r="L205" s="74">
        <v>5.189704952786476</v>
      </c>
      <c r="M205" s="75">
        <v>1354.5853271484375</v>
      </c>
      <c r="N205" s="75">
        <v>2204.066650390625</v>
      </c>
      <c r="O205" s="76"/>
      <c r="P205" s="77"/>
      <c r="Q205" s="77"/>
      <c r="R205" s="82"/>
      <c r="S205" s="49">
        <v>1</v>
      </c>
      <c r="T205" s="49">
        <v>0</v>
      </c>
      <c r="U205" s="50">
        <v>0</v>
      </c>
      <c r="V205" s="50">
        <v>0.000915</v>
      </c>
      <c r="W205" s="50">
        <v>0.001655</v>
      </c>
      <c r="X205" s="50">
        <v>0.408323</v>
      </c>
      <c r="Y205" s="50">
        <v>0</v>
      </c>
      <c r="Z205" s="50">
        <v>0</v>
      </c>
      <c r="AA205" s="72">
        <v>193</v>
      </c>
      <c r="AB205" s="72"/>
      <c r="AC205" s="73"/>
      <c r="AD205" s="80" t="s">
        <v>813</v>
      </c>
      <c r="AE205" s="80" t="s">
        <v>1200</v>
      </c>
      <c r="AF205" s="80" t="s">
        <v>1543</v>
      </c>
      <c r="AG205" s="80" t="s">
        <v>1805</v>
      </c>
      <c r="AH205" s="80" t="s">
        <v>2105</v>
      </c>
      <c r="AI205" s="80">
        <v>95328</v>
      </c>
      <c r="AJ205" s="80">
        <v>73</v>
      </c>
      <c r="AK205" s="80">
        <v>2288</v>
      </c>
      <c r="AL205" s="80">
        <v>31</v>
      </c>
      <c r="AM205" s="80" t="s">
        <v>2317</v>
      </c>
      <c r="AN205" s="98" t="str">
        <f>HYPERLINK("https://www.youtube.com/watch?v=LnUoPlj2UCE")</f>
        <v>https://www.youtube.com/watch?v=LnUoPlj2UCE</v>
      </c>
      <c r="AO205" s="80" t="str">
        <f>REPLACE(INDEX(GroupVertices[Group],MATCH(Vertices[[#This Row],[Vertex]],GroupVertices[Vertex],0)),1,1,"")</f>
        <v>2</v>
      </c>
      <c r="AP205" s="49">
        <v>2</v>
      </c>
      <c r="AQ205" s="50">
        <v>2.5</v>
      </c>
      <c r="AR205" s="49">
        <v>12</v>
      </c>
      <c r="AS205" s="50">
        <v>15</v>
      </c>
      <c r="AT205" s="49">
        <v>0</v>
      </c>
      <c r="AU205" s="50">
        <v>0</v>
      </c>
      <c r="AV205" s="49">
        <v>66</v>
      </c>
      <c r="AW205" s="50">
        <v>82.5</v>
      </c>
      <c r="AX205" s="49">
        <v>80</v>
      </c>
      <c r="AY205" s="49"/>
      <c r="AZ205" s="49"/>
      <c r="BA205" s="49"/>
      <c r="BB205" s="49"/>
      <c r="BC205" s="2"/>
      <c r="BD205" s="3"/>
      <c r="BE205" s="3"/>
      <c r="BF205" s="3"/>
      <c r="BG205" s="3"/>
    </row>
    <row r="206" spans="1:59" ht="15">
      <c r="A206" s="65" t="s">
        <v>405</v>
      </c>
      <c r="B206" s="66" t="s">
        <v>3536</v>
      </c>
      <c r="C206" s="66"/>
      <c r="D206" s="67">
        <v>212.5</v>
      </c>
      <c r="E206" s="69">
        <v>50</v>
      </c>
      <c r="F206" s="96" t="str">
        <f>HYPERLINK("https://i.ytimg.com/vi/WnuGP188NU8/default.jpg")</f>
        <v>https://i.ytimg.com/vi/WnuGP188NU8/default.jpg</v>
      </c>
      <c r="G206" s="66"/>
      <c r="H206" s="70" t="s">
        <v>814</v>
      </c>
      <c r="I206" s="71"/>
      <c r="J206" s="71" t="s">
        <v>159</v>
      </c>
      <c r="K206" s="70" t="s">
        <v>814</v>
      </c>
      <c r="L206" s="74">
        <v>1.040043446730263</v>
      </c>
      <c r="M206" s="75">
        <v>307.4825439453125</v>
      </c>
      <c r="N206" s="75">
        <v>3916.18896484375</v>
      </c>
      <c r="O206" s="76"/>
      <c r="P206" s="77"/>
      <c r="Q206" s="77"/>
      <c r="R206" s="82"/>
      <c r="S206" s="49">
        <v>1</v>
      </c>
      <c r="T206" s="49">
        <v>0</v>
      </c>
      <c r="U206" s="50">
        <v>0</v>
      </c>
      <c r="V206" s="50">
        <v>0.000915</v>
      </c>
      <c r="W206" s="50">
        <v>0.001655</v>
      </c>
      <c r="X206" s="50">
        <v>0.408323</v>
      </c>
      <c r="Y206" s="50">
        <v>0</v>
      </c>
      <c r="Z206" s="50">
        <v>0</v>
      </c>
      <c r="AA206" s="72">
        <v>194</v>
      </c>
      <c r="AB206" s="72"/>
      <c r="AC206" s="73"/>
      <c r="AD206" s="80" t="s">
        <v>814</v>
      </c>
      <c r="AE206" s="80"/>
      <c r="AF206" s="80"/>
      <c r="AG206" s="80" t="s">
        <v>1806</v>
      </c>
      <c r="AH206" s="80" t="s">
        <v>2106</v>
      </c>
      <c r="AI206" s="80">
        <v>922</v>
      </c>
      <c r="AJ206" s="80">
        <v>1</v>
      </c>
      <c r="AK206" s="80">
        <v>12</v>
      </c>
      <c r="AL206" s="80">
        <v>1</v>
      </c>
      <c r="AM206" s="80" t="s">
        <v>2317</v>
      </c>
      <c r="AN206" s="98" t="str">
        <f>HYPERLINK("https://www.youtube.com/watch?v=WnuGP188NU8")</f>
        <v>https://www.youtube.com/watch?v=WnuGP188NU8</v>
      </c>
      <c r="AO206" s="80" t="str">
        <f>REPLACE(INDEX(GroupVertices[Group],MATCH(Vertices[[#This Row],[Vertex]],GroupVertices[Vertex],0)),1,1,"")</f>
        <v>2</v>
      </c>
      <c r="AP206" s="49"/>
      <c r="AQ206" s="50"/>
      <c r="AR206" s="49"/>
      <c r="AS206" s="50"/>
      <c r="AT206" s="49"/>
      <c r="AU206" s="50"/>
      <c r="AV206" s="49"/>
      <c r="AW206" s="50"/>
      <c r="AX206" s="49"/>
      <c r="AY206" s="49"/>
      <c r="AZ206" s="49"/>
      <c r="BA206" s="49"/>
      <c r="BB206" s="49"/>
      <c r="BC206" s="2"/>
      <c r="BD206" s="3"/>
      <c r="BE206" s="3"/>
      <c r="BF206" s="3"/>
      <c r="BG206" s="3"/>
    </row>
    <row r="207" spans="1:59" ht="15">
      <c r="A207" s="65" t="s">
        <v>406</v>
      </c>
      <c r="B207" s="66" t="s">
        <v>3536</v>
      </c>
      <c r="C207" s="66"/>
      <c r="D207" s="67">
        <v>212.5</v>
      </c>
      <c r="E207" s="69">
        <v>50</v>
      </c>
      <c r="F207" s="96" t="str">
        <f>HYPERLINK("https://i.ytimg.com/vi/EmRwe-oY3VQ/default.jpg")</f>
        <v>https://i.ytimg.com/vi/EmRwe-oY3VQ/default.jpg</v>
      </c>
      <c r="G207" s="66"/>
      <c r="H207" s="70" t="s">
        <v>815</v>
      </c>
      <c r="I207" s="71"/>
      <c r="J207" s="71" t="s">
        <v>159</v>
      </c>
      <c r="K207" s="70" t="s">
        <v>815</v>
      </c>
      <c r="L207" s="74">
        <v>414.7843194835175</v>
      </c>
      <c r="M207" s="75">
        <v>2750.72216796875</v>
      </c>
      <c r="N207" s="75">
        <v>1062.6519775390625</v>
      </c>
      <c r="O207" s="76"/>
      <c r="P207" s="77"/>
      <c r="Q207" s="77"/>
      <c r="R207" s="82"/>
      <c r="S207" s="49">
        <v>1</v>
      </c>
      <c r="T207" s="49">
        <v>0</v>
      </c>
      <c r="U207" s="50">
        <v>0</v>
      </c>
      <c r="V207" s="50">
        <v>0.000915</v>
      </c>
      <c r="W207" s="50">
        <v>0.001655</v>
      </c>
      <c r="X207" s="50">
        <v>0.408323</v>
      </c>
      <c r="Y207" s="50">
        <v>0</v>
      </c>
      <c r="Z207" s="50">
        <v>0</v>
      </c>
      <c r="AA207" s="72">
        <v>195</v>
      </c>
      <c r="AB207" s="72"/>
      <c r="AC207" s="73"/>
      <c r="AD207" s="80" t="s">
        <v>815</v>
      </c>
      <c r="AE207" s="80" t="s">
        <v>1201</v>
      </c>
      <c r="AF207" s="80" t="s">
        <v>1544</v>
      </c>
      <c r="AG207" s="80" t="s">
        <v>1807</v>
      </c>
      <c r="AH207" s="80" t="s">
        <v>2107</v>
      </c>
      <c r="AI207" s="80">
        <v>9413724</v>
      </c>
      <c r="AJ207" s="80">
        <v>1869</v>
      </c>
      <c r="AK207" s="80">
        <v>96112</v>
      </c>
      <c r="AL207" s="80">
        <v>3866</v>
      </c>
      <c r="AM207" s="80" t="s">
        <v>2317</v>
      </c>
      <c r="AN207" s="98" t="str">
        <f>HYPERLINK("https://www.youtube.com/watch?v=EmRwe-oY3VQ")</f>
        <v>https://www.youtube.com/watch?v=EmRwe-oY3VQ</v>
      </c>
      <c r="AO207" s="80" t="str">
        <f>REPLACE(INDEX(GroupVertices[Group],MATCH(Vertices[[#This Row],[Vertex]],GroupVertices[Vertex],0)),1,1,"")</f>
        <v>2</v>
      </c>
      <c r="AP207" s="49">
        <v>1</v>
      </c>
      <c r="AQ207" s="50">
        <v>1.3888888888888888</v>
      </c>
      <c r="AR207" s="49">
        <v>16</v>
      </c>
      <c r="AS207" s="50">
        <v>22.22222222222222</v>
      </c>
      <c r="AT207" s="49">
        <v>0</v>
      </c>
      <c r="AU207" s="50">
        <v>0</v>
      </c>
      <c r="AV207" s="49">
        <v>55</v>
      </c>
      <c r="AW207" s="50">
        <v>76.38888888888889</v>
      </c>
      <c r="AX207" s="49">
        <v>72</v>
      </c>
      <c r="AY207" s="49"/>
      <c r="AZ207" s="49"/>
      <c r="BA207" s="49"/>
      <c r="BB207" s="49"/>
      <c r="BC207" s="2"/>
      <c r="BD207" s="3"/>
      <c r="BE207" s="3"/>
      <c r="BF207" s="3"/>
      <c r="BG207" s="3"/>
    </row>
    <row r="208" spans="1:59" ht="15">
      <c r="A208" s="65" t="s">
        <v>407</v>
      </c>
      <c r="B208" s="66" t="s">
        <v>3536</v>
      </c>
      <c r="C208" s="66"/>
      <c r="D208" s="67">
        <v>212.5</v>
      </c>
      <c r="E208" s="69">
        <v>50</v>
      </c>
      <c r="F208" s="96" t="str">
        <f>HYPERLINK("https://i.ytimg.com/vi/iHtstp5a_Uw/default.jpg")</f>
        <v>https://i.ytimg.com/vi/iHtstp5a_Uw/default.jpg</v>
      </c>
      <c r="G208" s="66"/>
      <c r="H208" s="70" t="s">
        <v>816</v>
      </c>
      <c r="I208" s="71"/>
      <c r="J208" s="71" t="s">
        <v>159</v>
      </c>
      <c r="K208" s="70" t="s">
        <v>816</v>
      </c>
      <c r="L208" s="74">
        <v>4.619162758978778</v>
      </c>
      <c r="M208" s="75">
        <v>656.5167846679688</v>
      </c>
      <c r="N208" s="75">
        <v>2204.066650390625</v>
      </c>
      <c r="O208" s="76"/>
      <c r="P208" s="77"/>
      <c r="Q208" s="77"/>
      <c r="R208" s="82"/>
      <c r="S208" s="49">
        <v>1</v>
      </c>
      <c r="T208" s="49">
        <v>0</v>
      </c>
      <c r="U208" s="50">
        <v>0</v>
      </c>
      <c r="V208" s="50">
        <v>0.000915</v>
      </c>
      <c r="W208" s="50">
        <v>0.001655</v>
      </c>
      <c r="X208" s="50">
        <v>0.408323</v>
      </c>
      <c r="Y208" s="50">
        <v>0</v>
      </c>
      <c r="Z208" s="50">
        <v>0</v>
      </c>
      <c r="AA208" s="72">
        <v>196</v>
      </c>
      <c r="AB208" s="72"/>
      <c r="AC208" s="73"/>
      <c r="AD208" s="80" t="s">
        <v>816</v>
      </c>
      <c r="AE208" s="80" t="s">
        <v>1202</v>
      </c>
      <c r="AF208" s="80" t="s">
        <v>1545</v>
      </c>
      <c r="AG208" s="80" t="s">
        <v>1808</v>
      </c>
      <c r="AH208" s="80" t="s">
        <v>2108</v>
      </c>
      <c r="AI208" s="80">
        <v>82348</v>
      </c>
      <c r="AJ208" s="80">
        <v>509</v>
      </c>
      <c r="AK208" s="80">
        <v>2282</v>
      </c>
      <c r="AL208" s="80">
        <v>26</v>
      </c>
      <c r="AM208" s="80" t="s">
        <v>2317</v>
      </c>
      <c r="AN208" s="98" t="str">
        <f>HYPERLINK("https://www.youtube.com/watch?v=iHtstp5a_Uw")</f>
        <v>https://www.youtube.com/watch?v=iHtstp5a_Uw</v>
      </c>
      <c r="AO208" s="80" t="str">
        <f>REPLACE(INDEX(GroupVertices[Group],MATCH(Vertices[[#This Row],[Vertex]],GroupVertices[Vertex],0)),1,1,"")</f>
        <v>2</v>
      </c>
      <c r="AP208" s="49">
        <v>3</v>
      </c>
      <c r="AQ208" s="50">
        <v>10.344827586206897</v>
      </c>
      <c r="AR208" s="49">
        <v>0</v>
      </c>
      <c r="AS208" s="50">
        <v>0</v>
      </c>
      <c r="AT208" s="49">
        <v>0</v>
      </c>
      <c r="AU208" s="50">
        <v>0</v>
      </c>
      <c r="AV208" s="49">
        <v>26</v>
      </c>
      <c r="AW208" s="50">
        <v>89.65517241379311</v>
      </c>
      <c r="AX208" s="49">
        <v>29</v>
      </c>
      <c r="AY208" s="49"/>
      <c r="AZ208" s="49"/>
      <c r="BA208" s="49"/>
      <c r="BB208" s="49"/>
      <c r="BC208" s="2"/>
      <c r="BD208" s="3"/>
      <c r="BE208" s="3"/>
      <c r="BF208" s="3"/>
      <c r="BG208" s="3"/>
    </row>
    <row r="209" spans="1:59" ht="15">
      <c r="A209" s="65" t="s">
        <v>408</v>
      </c>
      <c r="B209" s="66" t="s">
        <v>3536</v>
      </c>
      <c r="C209" s="66"/>
      <c r="D209" s="67">
        <v>212.5</v>
      </c>
      <c r="E209" s="69">
        <v>50</v>
      </c>
      <c r="F209" s="96" t="str">
        <f>HYPERLINK("https://i.ytimg.com/vi/TUHb3XZgBWI/default.jpg")</f>
        <v>https://i.ytimg.com/vi/TUHb3XZgBWI/default.jpg</v>
      </c>
      <c r="G209" s="66"/>
      <c r="H209" s="70" t="s">
        <v>817</v>
      </c>
      <c r="I209" s="71"/>
      <c r="J209" s="71" t="s">
        <v>159</v>
      </c>
      <c r="K209" s="70" t="s">
        <v>817</v>
      </c>
      <c r="L209" s="74">
        <v>1.3523471668384066</v>
      </c>
      <c r="M209" s="75">
        <v>1703.6195068359375</v>
      </c>
      <c r="N209" s="75">
        <v>3345.4814453125</v>
      </c>
      <c r="O209" s="76"/>
      <c r="P209" s="77"/>
      <c r="Q209" s="77"/>
      <c r="R209" s="82"/>
      <c r="S209" s="49">
        <v>1</v>
      </c>
      <c r="T209" s="49">
        <v>0</v>
      </c>
      <c r="U209" s="50">
        <v>0</v>
      </c>
      <c r="V209" s="50">
        <v>0.000915</v>
      </c>
      <c r="W209" s="50">
        <v>0.001655</v>
      </c>
      <c r="X209" s="50">
        <v>0.408323</v>
      </c>
      <c r="Y209" s="50">
        <v>0</v>
      </c>
      <c r="Z209" s="50">
        <v>0</v>
      </c>
      <c r="AA209" s="72">
        <v>197</v>
      </c>
      <c r="AB209" s="72"/>
      <c r="AC209" s="73"/>
      <c r="AD209" s="80" t="s">
        <v>817</v>
      </c>
      <c r="AE209" s="80" t="s">
        <v>1203</v>
      </c>
      <c r="AF209" s="80"/>
      <c r="AG209" s="80" t="s">
        <v>1809</v>
      </c>
      <c r="AH209" s="80" t="s">
        <v>2109</v>
      </c>
      <c r="AI209" s="80">
        <v>8027</v>
      </c>
      <c r="AJ209" s="80">
        <v>0</v>
      </c>
      <c r="AK209" s="80">
        <v>192</v>
      </c>
      <c r="AL209" s="80">
        <v>5</v>
      </c>
      <c r="AM209" s="80" t="s">
        <v>2317</v>
      </c>
      <c r="AN209" s="98" t="str">
        <f>HYPERLINK("https://www.youtube.com/watch?v=TUHb3XZgBWI")</f>
        <v>https://www.youtube.com/watch?v=TUHb3XZgBWI</v>
      </c>
      <c r="AO209" s="80" t="str">
        <f>REPLACE(INDEX(GroupVertices[Group],MATCH(Vertices[[#This Row],[Vertex]],GroupVertices[Vertex],0)),1,1,"")</f>
        <v>2</v>
      </c>
      <c r="AP209" s="49"/>
      <c r="AQ209" s="50"/>
      <c r="AR209" s="49"/>
      <c r="AS209" s="50"/>
      <c r="AT209" s="49"/>
      <c r="AU209" s="50"/>
      <c r="AV209" s="49"/>
      <c r="AW209" s="50"/>
      <c r="AX209" s="49"/>
      <c r="AY209" s="49"/>
      <c r="AZ209" s="49"/>
      <c r="BA209" s="49"/>
      <c r="BB209" s="49"/>
      <c r="BC209" s="2"/>
      <c r="BD209" s="3"/>
      <c r="BE209" s="3"/>
      <c r="BF209" s="3"/>
      <c r="BG209" s="3"/>
    </row>
    <row r="210" spans="1:59" ht="15">
      <c r="A210" s="65" t="s">
        <v>409</v>
      </c>
      <c r="B210" s="66" t="s">
        <v>3536</v>
      </c>
      <c r="C210" s="66"/>
      <c r="D210" s="67">
        <v>212.5</v>
      </c>
      <c r="E210" s="69">
        <v>50</v>
      </c>
      <c r="F210" s="96" t="str">
        <f>HYPERLINK("https://i.ytimg.com/vi/hxaJ3eKpgJA/default.jpg")</f>
        <v>https://i.ytimg.com/vi/hxaJ3eKpgJA/default.jpg</v>
      </c>
      <c r="G210" s="66"/>
      <c r="H210" s="70" t="s">
        <v>818</v>
      </c>
      <c r="I210" s="71"/>
      <c r="J210" s="71" t="s">
        <v>159</v>
      </c>
      <c r="K210" s="70" t="s">
        <v>818</v>
      </c>
      <c r="L210" s="74">
        <v>1.068790333845073</v>
      </c>
      <c r="M210" s="75">
        <v>656.5167846679688</v>
      </c>
      <c r="N210" s="75">
        <v>3916.18896484375</v>
      </c>
      <c r="O210" s="76"/>
      <c r="P210" s="77"/>
      <c r="Q210" s="77"/>
      <c r="R210" s="82"/>
      <c r="S210" s="49">
        <v>1</v>
      </c>
      <c r="T210" s="49">
        <v>0</v>
      </c>
      <c r="U210" s="50">
        <v>0</v>
      </c>
      <c r="V210" s="50">
        <v>0.000915</v>
      </c>
      <c r="W210" s="50">
        <v>0.001655</v>
      </c>
      <c r="X210" s="50">
        <v>0.408323</v>
      </c>
      <c r="Y210" s="50">
        <v>0</v>
      </c>
      <c r="Z210" s="50">
        <v>0</v>
      </c>
      <c r="AA210" s="72">
        <v>198</v>
      </c>
      <c r="AB210" s="72"/>
      <c r="AC210" s="73"/>
      <c r="AD210" s="80" t="s">
        <v>818</v>
      </c>
      <c r="AE210" s="80" t="s">
        <v>1204</v>
      </c>
      <c r="AF210" s="80" t="s">
        <v>1546</v>
      </c>
      <c r="AG210" s="80" t="s">
        <v>1810</v>
      </c>
      <c r="AH210" s="80" t="s">
        <v>2110</v>
      </c>
      <c r="AI210" s="80">
        <v>1576</v>
      </c>
      <c r="AJ210" s="80">
        <v>6</v>
      </c>
      <c r="AK210" s="80">
        <v>71</v>
      </c>
      <c r="AL210" s="80">
        <v>2</v>
      </c>
      <c r="AM210" s="80" t="s">
        <v>2317</v>
      </c>
      <c r="AN210" s="98" t="str">
        <f>HYPERLINK("https://www.youtube.com/watch?v=hxaJ3eKpgJA")</f>
        <v>https://www.youtube.com/watch?v=hxaJ3eKpgJA</v>
      </c>
      <c r="AO210" s="80" t="str">
        <f>REPLACE(INDEX(GroupVertices[Group],MATCH(Vertices[[#This Row],[Vertex]],GroupVertices[Vertex],0)),1,1,"")</f>
        <v>2</v>
      </c>
      <c r="AP210" s="49">
        <v>0</v>
      </c>
      <c r="AQ210" s="50">
        <v>0</v>
      </c>
      <c r="AR210" s="49">
        <v>0</v>
      </c>
      <c r="AS210" s="50">
        <v>0</v>
      </c>
      <c r="AT210" s="49">
        <v>0</v>
      </c>
      <c r="AU210" s="50">
        <v>0</v>
      </c>
      <c r="AV210" s="49">
        <v>73</v>
      </c>
      <c r="AW210" s="50">
        <v>100</v>
      </c>
      <c r="AX210" s="49">
        <v>73</v>
      </c>
      <c r="AY210" s="49"/>
      <c r="AZ210" s="49"/>
      <c r="BA210" s="49"/>
      <c r="BB210" s="49"/>
      <c r="BC210" s="2"/>
      <c r="BD210" s="3"/>
      <c r="BE210" s="3"/>
      <c r="BF210" s="3"/>
      <c r="BG210" s="3"/>
    </row>
    <row r="211" spans="1:59" ht="15">
      <c r="A211" s="65" t="s">
        <v>410</v>
      </c>
      <c r="B211" s="66" t="s">
        <v>3536</v>
      </c>
      <c r="C211" s="66"/>
      <c r="D211" s="67">
        <v>212.5</v>
      </c>
      <c r="E211" s="69">
        <v>50</v>
      </c>
      <c r="F211" s="96" t="str">
        <f>HYPERLINK("https://i.ytimg.com/vi/3BKhh2TofFQ/default.jpg")</f>
        <v>https://i.ytimg.com/vi/3BKhh2TofFQ/default.jpg</v>
      </c>
      <c r="G211" s="66"/>
      <c r="H211" s="70" t="s">
        <v>819</v>
      </c>
      <c r="I211" s="71"/>
      <c r="J211" s="71" t="s">
        <v>159</v>
      </c>
      <c r="K211" s="70" t="s">
        <v>819</v>
      </c>
      <c r="L211" s="74">
        <v>108.78407964079673</v>
      </c>
      <c r="M211" s="75">
        <v>1005.551025390625</v>
      </c>
      <c r="N211" s="75">
        <v>1062.6519775390625</v>
      </c>
      <c r="O211" s="76"/>
      <c r="P211" s="77"/>
      <c r="Q211" s="77"/>
      <c r="R211" s="82"/>
      <c r="S211" s="49">
        <v>1</v>
      </c>
      <c r="T211" s="49">
        <v>0</v>
      </c>
      <c r="U211" s="50">
        <v>0</v>
      </c>
      <c r="V211" s="50">
        <v>0.000915</v>
      </c>
      <c r="W211" s="50">
        <v>0.001655</v>
      </c>
      <c r="X211" s="50">
        <v>0.408323</v>
      </c>
      <c r="Y211" s="50">
        <v>0</v>
      </c>
      <c r="Z211" s="50">
        <v>0</v>
      </c>
      <c r="AA211" s="72">
        <v>199</v>
      </c>
      <c r="AB211" s="72"/>
      <c r="AC211" s="73"/>
      <c r="AD211" s="80" t="s">
        <v>819</v>
      </c>
      <c r="AE211" s="80" t="s">
        <v>1205</v>
      </c>
      <c r="AF211" s="80" t="s">
        <v>1547</v>
      </c>
      <c r="AG211" s="80" t="s">
        <v>1811</v>
      </c>
      <c r="AH211" s="80" t="s">
        <v>2111</v>
      </c>
      <c r="AI211" s="80">
        <v>2452130</v>
      </c>
      <c r="AJ211" s="80">
        <v>1322</v>
      </c>
      <c r="AK211" s="80">
        <v>16501</v>
      </c>
      <c r="AL211" s="80">
        <v>332</v>
      </c>
      <c r="AM211" s="80" t="s">
        <v>2317</v>
      </c>
      <c r="AN211" s="98" t="str">
        <f>HYPERLINK("https://www.youtube.com/watch?v=3BKhh2TofFQ")</f>
        <v>https://www.youtube.com/watch?v=3BKhh2TofFQ</v>
      </c>
      <c r="AO211" s="80" t="str">
        <f>REPLACE(INDEX(GroupVertices[Group],MATCH(Vertices[[#This Row],[Vertex]],GroupVertices[Vertex],0)),1,1,"")</f>
        <v>2</v>
      </c>
      <c r="AP211" s="49">
        <v>0</v>
      </c>
      <c r="AQ211" s="50">
        <v>0</v>
      </c>
      <c r="AR211" s="49">
        <v>0</v>
      </c>
      <c r="AS211" s="50">
        <v>0</v>
      </c>
      <c r="AT211" s="49">
        <v>0</v>
      </c>
      <c r="AU211" s="50">
        <v>0</v>
      </c>
      <c r="AV211" s="49">
        <v>88</v>
      </c>
      <c r="AW211" s="50">
        <v>100</v>
      </c>
      <c r="AX211" s="49">
        <v>88</v>
      </c>
      <c r="AY211" s="49"/>
      <c r="AZ211" s="49"/>
      <c r="BA211" s="49"/>
      <c r="BB211" s="49"/>
      <c r="BC211" s="2"/>
      <c r="BD211" s="3"/>
      <c r="BE211" s="3"/>
      <c r="BF211" s="3"/>
      <c r="BG211" s="3"/>
    </row>
    <row r="212" spans="1:59" ht="15">
      <c r="A212" s="65" t="s">
        <v>411</v>
      </c>
      <c r="B212" s="66" t="s">
        <v>3536</v>
      </c>
      <c r="C212" s="66"/>
      <c r="D212" s="67">
        <v>325</v>
      </c>
      <c r="E212" s="69">
        <v>100</v>
      </c>
      <c r="F212" s="96" t="str">
        <f>HYPERLINK("https://i.ytimg.com/vi/nc0e2mOR3dg/default.jpg")</f>
        <v>https://i.ytimg.com/vi/nc0e2mOR3dg/default.jpg</v>
      </c>
      <c r="G212" s="66"/>
      <c r="H212" s="70" t="s">
        <v>820</v>
      </c>
      <c r="I212" s="71"/>
      <c r="J212" s="71" t="s">
        <v>75</v>
      </c>
      <c r="K212" s="70" t="s">
        <v>820</v>
      </c>
      <c r="L212" s="74">
        <v>1.0079559427641906</v>
      </c>
      <c r="M212" s="75">
        <v>6554.0869140625</v>
      </c>
      <c r="N212" s="75">
        <v>9484.818359375</v>
      </c>
      <c r="O212" s="76"/>
      <c r="P212" s="77"/>
      <c r="Q212" s="77"/>
      <c r="R212" s="82"/>
      <c r="S212" s="49">
        <v>2</v>
      </c>
      <c r="T212" s="49">
        <v>0</v>
      </c>
      <c r="U212" s="50">
        <v>0</v>
      </c>
      <c r="V212" s="50">
        <v>0.000971</v>
      </c>
      <c r="W212" s="50">
        <v>0.003511</v>
      </c>
      <c r="X212" s="50">
        <v>0.657789</v>
      </c>
      <c r="Y212" s="50">
        <v>1</v>
      </c>
      <c r="Z212" s="50">
        <v>0</v>
      </c>
      <c r="AA212" s="72">
        <v>200</v>
      </c>
      <c r="AB212" s="72"/>
      <c r="AC212" s="73"/>
      <c r="AD212" s="80" t="s">
        <v>820</v>
      </c>
      <c r="AE212" s="80" t="s">
        <v>1206</v>
      </c>
      <c r="AF212" s="80" t="s">
        <v>1548</v>
      </c>
      <c r="AG212" s="80" t="s">
        <v>1727</v>
      </c>
      <c r="AH212" s="80" t="s">
        <v>2112</v>
      </c>
      <c r="AI212" s="80">
        <v>192</v>
      </c>
      <c r="AJ212" s="80">
        <v>1</v>
      </c>
      <c r="AK212" s="80">
        <v>3</v>
      </c>
      <c r="AL212" s="80">
        <v>0</v>
      </c>
      <c r="AM212" s="80" t="s">
        <v>2317</v>
      </c>
      <c r="AN212" s="98" t="str">
        <f>HYPERLINK("https://www.youtube.com/watch?v=nc0e2mOR3dg")</f>
        <v>https://www.youtube.com/watch?v=nc0e2mOR3dg</v>
      </c>
      <c r="AO212" s="80" t="str">
        <f>REPLACE(INDEX(GroupVertices[Group],MATCH(Vertices[[#This Row],[Vertex]],GroupVertices[Vertex],0)),1,1,"")</f>
        <v>6</v>
      </c>
      <c r="AP212" s="49">
        <v>2</v>
      </c>
      <c r="AQ212" s="50">
        <v>12.5</v>
      </c>
      <c r="AR212" s="49">
        <v>0</v>
      </c>
      <c r="AS212" s="50">
        <v>0</v>
      </c>
      <c r="AT212" s="49">
        <v>0</v>
      </c>
      <c r="AU212" s="50">
        <v>0</v>
      </c>
      <c r="AV212" s="49">
        <v>14</v>
      </c>
      <c r="AW212" s="50">
        <v>87.5</v>
      </c>
      <c r="AX212" s="49">
        <v>16</v>
      </c>
      <c r="AY212" s="49"/>
      <c r="AZ212" s="49"/>
      <c r="BA212" s="49"/>
      <c r="BB212" s="49"/>
      <c r="BC212" s="2"/>
      <c r="BD212" s="3"/>
      <c r="BE212" s="3"/>
      <c r="BF212" s="3"/>
      <c r="BG212" s="3"/>
    </row>
    <row r="213" spans="1:59" ht="15">
      <c r="A213" s="65" t="s">
        <v>412</v>
      </c>
      <c r="B213" s="66" t="s">
        <v>3536</v>
      </c>
      <c r="C213" s="66"/>
      <c r="D213" s="67">
        <v>212.5</v>
      </c>
      <c r="E213" s="69">
        <v>50</v>
      </c>
      <c r="F213" s="96" t="str">
        <f>HYPERLINK("https://i.ytimg.com/vi/JR8zbYl5tCU/default.jpg")</f>
        <v>https://i.ytimg.com/vi/JR8zbYl5tCU/default.jpg</v>
      </c>
      <c r="G213" s="66"/>
      <c r="H213" s="70" t="s">
        <v>821</v>
      </c>
      <c r="I213" s="71"/>
      <c r="J213" s="71" t="s">
        <v>159</v>
      </c>
      <c r="K213" s="70" t="s">
        <v>821</v>
      </c>
      <c r="L213" s="74">
        <v>1.0046153259129282</v>
      </c>
      <c r="M213" s="75">
        <v>1005.551025390625</v>
      </c>
      <c r="N213" s="75">
        <v>4486.89599609375</v>
      </c>
      <c r="O213" s="76"/>
      <c r="P213" s="77"/>
      <c r="Q213" s="77"/>
      <c r="R213" s="82"/>
      <c r="S213" s="49">
        <v>1</v>
      </c>
      <c r="T213" s="49">
        <v>0</v>
      </c>
      <c r="U213" s="50">
        <v>0</v>
      </c>
      <c r="V213" s="50">
        <v>0.000915</v>
      </c>
      <c r="W213" s="50">
        <v>0.001655</v>
      </c>
      <c r="X213" s="50">
        <v>0.408323</v>
      </c>
      <c r="Y213" s="50">
        <v>0</v>
      </c>
      <c r="Z213" s="50">
        <v>0</v>
      </c>
      <c r="AA213" s="72">
        <v>201</v>
      </c>
      <c r="AB213" s="72"/>
      <c r="AC213" s="73"/>
      <c r="AD213" s="80" t="s">
        <v>821</v>
      </c>
      <c r="AE213" s="80"/>
      <c r="AF213" s="80"/>
      <c r="AG213" s="80" t="s">
        <v>1812</v>
      </c>
      <c r="AH213" s="80" t="s">
        <v>2113</v>
      </c>
      <c r="AI213" s="80">
        <v>116</v>
      </c>
      <c r="AJ213" s="80">
        <v>0</v>
      </c>
      <c r="AK213" s="80">
        <v>3</v>
      </c>
      <c r="AL213" s="80">
        <v>0</v>
      </c>
      <c r="AM213" s="80" t="s">
        <v>2317</v>
      </c>
      <c r="AN213" s="98" t="str">
        <f>HYPERLINK("https://www.youtube.com/watch?v=JR8zbYl5tCU")</f>
        <v>https://www.youtube.com/watch?v=JR8zbYl5tCU</v>
      </c>
      <c r="AO213" s="80" t="str">
        <f>REPLACE(INDEX(GroupVertices[Group],MATCH(Vertices[[#This Row],[Vertex]],GroupVertices[Vertex],0)),1,1,"")</f>
        <v>2</v>
      </c>
      <c r="AP213" s="49"/>
      <c r="AQ213" s="50"/>
      <c r="AR213" s="49"/>
      <c r="AS213" s="50"/>
      <c r="AT213" s="49"/>
      <c r="AU213" s="50"/>
      <c r="AV213" s="49"/>
      <c r="AW213" s="50"/>
      <c r="AX213" s="49"/>
      <c r="AY213" s="49"/>
      <c r="AZ213" s="49"/>
      <c r="BA213" s="49"/>
      <c r="BB213" s="49"/>
      <c r="BC213" s="2"/>
      <c r="BD213" s="3"/>
      <c r="BE213" s="3"/>
      <c r="BF213" s="3"/>
      <c r="BG213" s="3"/>
    </row>
    <row r="214" spans="1:59" ht="15">
      <c r="A214" s="65" t="s">
        <v>413</v>
      </c>
      <c r="B214" s="66" t="s">
        <v>3536</v>
      </c>
      <c r="C214" s="66"/>
      <c r="D214" s="67">
        <v>212.5</v>
      </c>
      <c r="E214" s="69">
        <v>50</v>
      </c>
      <c r="F214" s="96" t="str">
        <f>HYPERLINK("https://i.ytimg.com/vi/wkkLLQkekAQ/default.jpg")</f>
        <v>https://i.ytimg.com/vi/wkkLLQkekAQ/default.jpg</v>
      </c>
      <c r="G214" s="66"/>
      <c r="H214" s="70" t="s">
        <v>822</v>
      </c>
      <c r="I214" s="71"/>
      <c r="J214" s="71" t="s">
        <v>159</v>
      </c>
      <c r="K214" s="70" t="s">
        <v>822</v>
      </c>
      <c r="L214" s="74">
        <v>1.1369213354168708</v>
      </c>
      <c r="M214" s="75">
        <v>1703.6195068359375</v>
      </c>
      <c r="N214" s="75">
        <v>3916.18896484375</v>
      </c>
      <c r="O214" s="76"/>
      <c r="P214" s="77"/>
      <c r="Q214" s="77"/>
      <c r="R214" s="82"/>
      <c r="S214" s="49">
        <v>1</v>
      </c>
      <c r="T214" s="49">
        <v>0</v>
      </c>
      <c r="U214" s="50">
        <v>0</v>
      </c>
      <c r="V214" s="50">
        <v>0.000915</v>
      </c>
      <c r="W214" s="50">
        <v>0.001655</v>
      </c>
      <c r="X214" s="50">
        <v>0.408323</v>
      </c>
      <c r="Y214" s="50">
        <v>0</v>
      </c>
      <c r="Z214" s="50">
        <v>0</v>
      </c>
      <c r="AA214" s="72">
        <v>202</v>
      </c>
      <c r="AB214" s="72"/>
      <c r="AC214" s="73"/>
      <c r="AD214" s="80" t="s">
        <v>822</v>
      </c>
      <c r="AE214" s="80" t="s">
        <v>1118</v>
      </c>
      <c r="AF214" s="80" t="s">
        <v>1549</v>
      </c>
      <c r="AG214" s="80" t="s">
        <v>1744</v>
      </c>
      <c r="AH214" s="80" t="s">
        <v>2114</v>
      </c>
      <c r="AI214" s="80">
        <v>3126</v>
      </c>
      <c r="AJ214" s="80">
        <v>27</v>
      </c>
      <c r="AK214" s="80">
        <v>148</v>
      </c>
      <c r="AL214" s="80">
        <v>3</v>
      </c>
      <c r="AM214" s="80" t="s">
        <v>2317</v>
      </c>
      <c r="AN214" s="98" t="str">
        <f>HYPERLINK("https://www.youtube.com/watch?v=wkkLLQkekAQ")</f>
        <v>https://www.youtube.com/watch?v=wkkLLQkekAQ</v>
      </c>
      <c r="AO214" s="80" t="str">
        <f>REPLACE(INDEX(GroupVertices[Group],MATCH(Vertices[[#This Row],[Vertex]],GroupVertices[Vertex],0)),1,1,"")</f>
        <v>2</v>
      </c>
      <c r="AP214" s="49">
        <v>1</v>
      </c>
      <c r="AQ214" s="50">
        <v>2.7027027027027026</v>
      </c>
      <c r="AR214" s="49">
        <v>0</v>
      </c>
      <c r="AS214" s="50">
        <v>0</v>
      </c>
      <c r="AT214" s="49">
        <v>0</v>
      </c>
      <c r="AU214" s="50">
        <v>0</v>
      </c>
      <c r="AV214" s="49">
        <v>36</v>
      </c>
      <c r="AW214" s="50">
        <v>97.29729729729729</v>
      </c>
      <c r="AX214" s="49">
        <v>37</v>
      </c>
      <c r="AY214" s="49"/>
      <c r="AZ214" s="49"/>
      <c r="BA214" s="49"/>
      <c r="BB214" s="49"/>
      <c r="BC214" s="2"/>
      <c r="BD214" s="3"/>
      <c r="BE214" s="3"/>
      <c r="BF214" s="3"/>
      <c r="BG214" s="3"/>
    </row>
    <row r="215" spans="1:59" ht="15">
      <c r="A215" s="65" t="s">
        <v>414</v>
      </c>
      <c r="B215" s="66" t="s">
        <v>3536</v>
      </c>
      <c r="C215" s="66"/>
      <c r="D215" s="67">
        <v>325</v>
      </c>
      <c r="E215" s="69">
        <v>100</v>
      </c>
      <c r="F215" s="96" t="str">
        <f>HYPERLINK("https://i.ytimg.com/vi/MqBQ4k2SB3Q/default.jpg")</f>
        <v>https://i.ytimg.com/vi/MqBQ4k2SB3Q/default.jpg</v>
      </c>
      <c r="G215" s="66"/>
      <c r="H215" s="70" t="s">
        <v>677</v>
      </c>
      <c r="I215" s="71"/>
      <c r="J215" s="71" t="s">
        <v>75</v>
      </c>
      <c r="K215" s="70" t="s">
        <v>677</v>
      </c>
      <c r="L215" s="74">
        <v>1.022637074715791</v>
      </c>
      <c r="M215" s="75">
        <v>2052.65380859375</v>
      </c>
      <c r="N215" s="75">
        <v>4486.89599609375</v>
      </c>
      <c r="O215" s="76"/>
      <c r="P215" s="77"/>
      <c r="Q215" s="77"/>
      <c r="R215" s="82"/>
      <c r="S215" s="49">
        <v>2</v>
      </c>
      <c r="T215" s="49">
        <v>0</v>
      </c>
      <c r="U215" s="50">
        <v>0</v>
      </c>
      <c r="V215" s="50">
        <v>0.000971</v>
      </c>
      <c r="W215" s="50">
        <v>0.003511</v>
      </c>
      <c r="X215" s="50">
        <v>0.657789</v>
      </c>
      <c r="Y215" s="50">
        <v>1</v>
      </c>
      <c r="Z215" s="50">
        <v>0</v>
      </c>
      <c r="AA215" s="72">
        <v>203</v>
      </c>
      <c r="AB215" s="72"/>
      <c r="AC215" s="73"/>
      <c r="AD215" s="80" t="s">
        <v>677</v>
      </c>
      <c r="AE215" s="80" t="s">
        <v>1207</v>
      </c>
      <c r="AF215" s="80"/>
      <c r="AG215" s="80" t="s">
        <v>1813</v>
      </c>
      <c r="AH215" s="80" t="s">
        <v>2115</v>
      </c>
      <c r="AI215" s="80">
        <v>526</v>
      </c>
      <c r="AJ215" s="80">
        <v>0</v>
      </c>
      <c r="AK215" s="80">
        <v>7</v>
      </c>
      <c r="AL215" s="80">
        <v>1</v>
      </c>
      <c r="AM215" s="80" t="s">
        <v>2317</v>
      </c>
      <c r="AN215" s="98" t="str">
        <f>HYPERLINK("https://www.youtube.com/watch?v=MqBQ4k2SB3Q")</f>
        <v>https://www.youtube.com/watch?v=MqBQ4k2SB3Q</v>
      </c>
      <c r="AO215" s="80" t="str">
        <f>REPLACE(INDEX(GroupVertices[Group],MATCH(Vertices[[#This Row],[Vertex]],GroupVertices[Vertex],0)),1,1,"")</f>
        <v>2</v>
      </c>
      <c r="AP215" s="49"/>
      <c r="AQ215" s="50"/>
      <c r="AR215" s="49"/>
      <c r="AS215" s="50"/>
      <c r="AT215" s="49"/>
      <c r="AU215" s="50"/>
      <c r="AV215" s="49"/>
      <c r="AW215" s="50"/>
      <c r="AX215" s="49"/>
      <c r="AY215" s="49"/>
      <c r="AZ215" s="49"/>
      <c r="BA215" s="49"/>
      <c r="BB215" s="49"/>
      <c r="BC215" s="2"/>
      <c r="BD215" s="3"/>
      <c r="BE215" s="3"/>
      <c r="BF215" s="3"/>
      <c r="BG215" s="3"/>
    </row>
    <row r="216" spans="1:59" ht="15">
      <c r="A216" s="65" t="s">
        <v>415</v>
      </c>
      <c r="B216" s="66" t="s">
        <v>3536</v>
      </c>
      <c r="C216" s="66"/>
      <c r="D216" s="67">
        <v>212.5</v>
      </c>
      <c r="E216" s="69">
        <v>50</v>
      </c>
      <c r="F216" s="96" t="str">
        <f>HYPERLINK("https://i.ytimg.com/vi/MFxjxvhSQPQ/default.jpg")</f>
        <v>https://i.ytimg.com/vi/MFxjxvhSQPQ/default.jpg</v>
      </c>
      <c r="G216" s="66"/>
      <c r="H216" s="70" t="s">
        <v>823</v>
      </c>
      <c r="I216" s="71"/>
      <c r="J216" s="71" t="s">
        <v>159</v>
      </c>
      <c r="K216" s="70" t="s">
        <v>823</v>
      </c>
      <c r="L216" s="74">
        <v>1.001582397455861</v>
      </c>
      <c r="M216" s="75">
        <v>656.5167846679688</v>
      </c>
      <c r="N216" s="75">
        <v>4486.89599609375</v>
      </c>
      <c r="O216" s="76"/>
      <c r="P216" s="77"/>
      <c r="Q216" s="77"/>
      <c r="R216" s="82"/>
      <c r="S216" s="49">
        <v>1</v>
      </c>
      <c r="T216" s="49">
        <v>0</v>
      </c>
      <c r="U216" s="50">
        <v>0</v>
      </c>
      <c r="V216" s="50">
        <v>0.000915</v>
      </c>
      <c r="W216" s="50">
        <v>0.001655</v>
      </c>
      <c r="X216" s="50">
        <v>0.408323</v>
      </c>
      <c r="Y216" s="50">
        <v>0</v>
      </c>
      <c r="Z216" s="50">
        <v>0</v>
      </c>
      <c r="AA216" s="72">
        <v>204</v>
      </c>
      <c r="AB216" s="72"/>
      <c r="AC216" s="73"/>
      <c r="AD216" s="80" t="s">
        <v>823</v>
      </c>
      <c r="AE216" s="80" t="s">
        <v>1208</v>
      </c>
      <c r="AF216" s="80" t="s">
        <v>1550</v>
      </c>
      <c r="AG216" s="80" t="s">
        <v>1814</v>
      </c>
      <c r="AH216" s="80" t="s">
        <v>2116</v>
      </c>
      <c r="AI216" s="80">
        <v>47</v>
      </c>
      <c r="AJ216" s="80">
        <v>2</v>
      </c>
      <c r="AK216" s="80">
        <v>5</v>
      </c>
      <c r="AL216" s="80">
        <v>0</v>
      </c>
      <c r="AM216" s="80" t="s">
        <v>2317</v>
      </c>
      <c r="AN216" s="98" t="str">
        <f>HYPERLINK("https://www.youtube.com/watch?v=MFxjxvhSQPQ")</f>
        <v>https://www.youtube.com/watch?v=MFxjxvhSQPQ</v>
      </c>
      <c r="AO216" s="80" t="str">
        <f>REPLACE(INDEX(GroupVertices[Group],MATCH(Vertices[[#This Row],[Vertex]],GroupVertices[Vertex],0)),1,1,"")</f>
        <v>2</v>
      </c>
      <c r="AP216" s="49">
        <v>1</v>
      </c>
      <c r="AQ216" s="50">
        <v>1.6666666666666667</v>
      </c>
      <c r="AR216" s="49">
        <v>0</v>
      </c>
      <c r="AS216" s="50">
        <v>0</v>
      </c>
      <c r="AT216" s="49">
        <v>0</v>
      </c>
      <c r="AU216" s="50">
        <v>0</v>
      </c>
      <c r="AV216" s="49">
        <v>59</v>
      </c>
      <c r="AW216" s="50">
        <v>98.33333333333333</v>
      </c>
      <c r="AX216" s="49">
        <v>60</v>
      </c>
      <c r="AY216" s="49"/>
      <c r="AZ216" s="49"/>
      <c r="BA216" s="49"/>
      <c r="BB216" s="49"/>
      <c r="BC216" s="2"/>
      <c r="BD216" s="3"/>
      <c r="BE216" s="3"/>
      <c r="BF216" s="3"/>
      <c r="BG216" s="3"/>
    </row>
    <row r="217" spans="1:59" ht="15">
      <c r="A217" s="65" t="s">
        <v>416</v>
      </c>
      <c r="B217" s="66" t="s">
        <v>3536</v>
      </c>
      <c r="C217" s="66"/>
      <c r="D217" s="67">
        <v>212.5</v>
      </c>
      <c r="E217" s="69">
        <v>50</v>
      </c>
      <c r="F217" s="96" t="str">
        <f>HYPERLINK("https://i.ytimg.com/vi/-ajLk-qrXRA/default.jpg")</f>
        <v>https://i.ytimg.com/vi/-ajLk-qrXRA/default.jpg</v>
      </c>
      <c r="G217" s="66"/>
      <c r="H217" s="70" t="s">
        <v>824</v>
      </c>
      <c r="I217" s="71"/>
      <c r="J217" s="71" t="s">
        <v>159</v>
      </c>
      <c r="K217" s="70" t="s">
        <v>824</v>
      </c>
      <c r="L217" s="74">
        <v>1.1001745500529851</v>
      </c>
      <c r="M217" s="75">
        <v>1354.5853271484375</v>
      </c>
      <c r="N217" s="75">
        <v>3916.18896484375</v>
      </c>
      <c r="O217" s="76"/>
      <c r="P217" s="77"/>
      <c r="Q217" s="77"/>
      <c r="R217" s="82"/>
      <c r="S217" s="49">
        <v>1</v>
      </c>
      <c r="T217" s="49">
        <v>0</v>
      </c>
      <c r="U217" s="50">
        <v>0</v>
      </c>
      <c r="V217" s="50">
        <v>0.000915</v>
      </c>
      <c r="W217" s="50">
        <v>0.001655</v>
      </c>
      <c r="X217" s="50">
        <v>0.408323</v>
      </c>
      <c r="Y217" s="50">
        <v>0</v>
      </c>
      <c r="Z217" s="50">
        <v>0</v>
      </c>
      <c r="AA217" s="72">
        <v>205</v>
      </c>
      <c r="AB217" s="72"/>
      <c r="AC217" s="73"/>
      <c r="AD217" s="80" t="s">
        <v>824</v>
      </c>
      <c r="AE217" s="80" t="s">
        <v>1209</v>
      </c>
      <c r="AF217" s="80" t="s">
        <v>1551</v>
      </c>
      <c r="AG217" s="80" t="s">
        <v>1744</v>
      </c>
      <c r="AH217" s="80" t="s">
        <v>2117</v>
      </c>
      <c r="AI217" s="80">
        <v>2290</v>
      </c>
      <c r="AJ217" s="80">
        <v>22</v>
      </c>
      <c r="AK217" s="80">
        <v>121</v>
      </c>
      <c r="AL217" s="80">
        <v>0</v>
      </c>
      <c r="AM217" s="80" t="s">
        <v>2317</v>
      </c>
      <c r="AN217" s="98" t="str">
        <f>HYPERLINK("https://www.youtube.com/watch?v=-ajLk-qrXRA")</f>
        <v>https://www.youtube.com/watch?v=-ajLk-qrXRA</v>
      </c>
      <c r="AO217" s="80" t="str">
        <f>REPLACE(INDEX(GroupVertices[Group],MATCH(Vertices[[#This Row],[Vertex]],GroupVertices[Vertex],0)),1,1,"")</f>
        <v>2</v>
      </c>
      <c r="AP217" s="49">
        <v>1</v>
      </c>
      <c r="AQ217" s="50">
        <v>3.0303030303030303</v>
      </c>
      <c r="AR217" s="49">
        <v>2</v>
      </c>
      <c r="AS217" s="50">
        <v>6.0606060606060606</v>
      </c>
      <c r="AT217" s="49">
        <v>0</v>
      </c>
      <c r="AU217" s="50">
        <v>0</v>
      </c>
      <c r="AV217" s="49">
        <v>30</v>
      </c>
      <c r="AW217" s="50">
        <v>90.9090909090909</v>
      </c>
      <c r="AX217" s="49">
        <v>33</v>
      </c>
      <c r="AY217" s="49"/>
      <c r="AZ217" s="49"/>
      <c r="BA217" s="49"/>
      <c r="BB217" s="49"/>
      <c r="BC217" s="2"/>
      <c r="BD217" s="3"/>
      <c r="BE217" s="3"/>
      <c r="BF217" s="3"/>
      <c r="BG217" s="3"/>
    </row>
    <row r="218" spans="1:59" ht="15">
      <c r="A218" s="65" t="s">
        <v>417</v>
      </c>
      <c r="B218" s="66" t="s">
        <v>3536</v>
      </c>
      <c r="C218" s="66"/>
      <c r="D218" s="67">
        <v>212.5</v>
      </c>
      <c r="E218" s="69">
        <v>50</v>
      </c>
      <c r="F218" s="96" t="str">
        <f>HYPERLINK("https://i.ytimg.com/vi/INM8nJOxoHE/default.jpg")</f>
        <v>https://i.ytimg.com/vi/INM8nJOxoHE/default.jpg</v>
      </c>
      <c r="G218" s="66"/>
      <c r="H218" s="70" t="s">
        <v>825</v>
      </c>
      <c r="I218" s="71"/>
      <c r="J218" s="71" t="s">
        <v>159</v>
      </c>
      <c r="K218" s="70" t="s">
        <v>825</v>
      </c>
      <c r="L218" s="74">
        <v>129.08215113940042</v>
      </c>
      <c r="M218" s="75">
        <v>1354.5853271484375</v>
      </c>
      <c r="N218" s="75">
        <v>1062.6519775390625</v>
      </c>
      <c r="O218" s="76"/>
      <c r="P218" s="77"/>
      <c r="Q218" s="77"/>
      <c r="R218" s="82"/>
      <c r="S218" s="49">
        <v>1</v>
      </c>
      <c r="T218" s="49">
        <v>0</v>
      </c>
      <c r="U218" s="50">
        <v>0</v>
      </c>
      <c r="V218" s="50">
        <v>0.000915</v>
      </c>
      <c r="W218" s="50">
        <v>0.001655</v>
      </c>
      <c r="X218" s="50">
        <v>0.408323</v>
      </c>
      <c r="Y218" s="50">
        <v>0</v>
      </c>
      <c r="Z218" s="50">
        <v>0</v>
      </c>
      <c r="AA218" s="72">
        <v>206</v>
      </c>
      <c r="AB218" s="72"/>
      <c r="AC218" s="73"/>
      <c r="AD218" s="80" t="s">
        <v>825</v>
      </c>
      <c r="AE218" s="80" t="s">
        <v>1210</v>
      </c>
      <c r="AF218" s="80" t="s">
        <v>1552</v>
      </c>
      <c r="AG218" s="80" t="s">
        <v>1815</v>
      </c>
      <c r="AH218" s="80" t="s">
        <v>2118</v>
      </c>
      <c r="AI218" s="80">
        <v>2913917</v>
      </c>
      <c r="AJ218" s="80">
        <v>610</v>
      </c>
      <c r="AK218" s="80">
        <v>36434</v>
      </c>
      <c r="AL218" s="80">
        <v>940</v>
      </c>
      <c r="AM218" s="80" t="s">
        <v>2317</v>
      </c>
      <c r="AN218" s="98" t="str">
        <f>HYPERLINK("https://www.youtube.com/watch?v=INM8nJOxoHE")</f>
        <v>https://www.youtube.com/watch?v=INM8nJOxoHE</v>
      </c>
      <c r="AO218" s="80" t="str">
        <f>REPLACE(INDEX(GroupVertices[Group],MATCH(Vertices[[#This Row],[Vertex]],GroupVertices[Vertex],0)),1,1,"")</f>
        <v>2</v>
      </c>
      <c r="AP218" s="49">
        <v>1</v>
      </c>
      <c r="AQ218" s="50">
        <v>1.3333333333333333</v>
      </c>
      <c r="AR218" s="49">
        <v>3</v>
      </c>
      <c r="AS218" s="50">
        <v>4</v>
      </c>
      <c r="AT218" s="49">
        <v>0</v>
      </c>
      <c r="AU218" s="50">
        <v>0</v>
      </c>
      <c r="AV218" s="49">
        <v>71</v>
      </c>
      <c r="AW218" s="50">
        <v>94.66666666666667</v>
      </c>
      <c r="AX218" s="49">
        <v>75</v>
      </c>
      <c r="AY218" s="49"/>
      <c r="AZ218" s="49"/>
      <c r="BA218" s="49"/>
      <c r="BB218" s="49"/>
      <c r="BC218" s="2"/>
      <c r="BD218" s="3"/>
      <c r="BE218" s="3"/>
      <c r="BF218" s="3"/>
      <c r="BG218" s="3"/>
    </row>
    <row r="219" spans="1:59" ht="15">
      <c r="A219" s="65" t="s">
        <v>418</v>
      </c>
      <c r="B219" s="66" t="s">
        <v>3536</v>
      </c>
      <c r="C219" s="66"/>
      <c r="D219" s="67">
        <v>212.5</v>
      </c>
      <c r="E219" s="69">
        <v>50</v>
      </c>
      <c r="F219" s="96" t="str">
        <f>HYPERLINK("https://i.ytimg.com/vi/5rBN72kLess/default.jpg")</f>
        <v>https://i.ytimg.com/vi/5rBN72kLess/default.jpg</v>
      </c>
      <c r="G219" s="66"/>
      <c r="H219" s="70" t="s">
        <v>826</v>
      </c>
      <c r="I219" s="71"/>
      <c r="J219" s="71" t="s">
        <v>159</v>
      </c>
      <c r="K219" s="70" t="s">
        <v>826</v>
      </c>
      <c r="L219" s="74">
        <v>1.1649209792886355</v>
      </c>
      <c r="M219" s="75">
        <v>2052.65380859375</v>
      </c>
      <c r="N219" s="75">
        <v>3916.18896484375</v>
      </c>
      <c r="O219" s="76"/>
      <c r="P219" s="77"/>
      <c r="Q219" s="77"/>
      <c r="R219" s="82"/>
      <c r="S219" s="49">
        <v>1</v>
      </c>
      <c r="T219" s="49">
        <v>0</v>
      </c>
      <c r="U219" s="50">
        <v>0</v>
      </c>
      <c r="V219" s="50">
        <v>0.000915</v>
      </c>
      <c r="W219" s="50">
        <v>0.001655</v>
      </c>
      <c r="X219" s="50">
        <v>0.408323</v>
      </c>
      <c r="Y219" s="50">
        <v>0</v>
      </c>
      <c r="Z219" s="50">
        <v>0</v>
      </c>
      <c r="AA219" s="72">
        <v>207</v>
      </c>
      <c r="AB219" s="72"/>
      <c r="AC219" s="73"/>
      <c r="AD219" s="80" t="s">
        <v>826</v>
      </c>
      <c r="AE219" s="80" t="s">
        <v>1211</v>
      </c>
      <c r="AF219" s="80" t="s">
        <v>1553</v>
      </c>
      <c r="AG219" s="80" t="s">
        <v>1816</v>
      </c>
      <c r="AH219" s="80" t="s">
        <v>2119</v>
      </c>
      <c r="AI219" s="80">
        <v>3763</v>
      </c>
      <c r="AJ219" s="80">
        <v>10</v>
      </c>
      <c r="AK219" s="80">
        <v>157</v>
      </c>
      <c r="AL219" s="80">
        <v>2</v>
      </c>
      <c r="AM219" s="80" t="s">
        <v>2317</v>
      </c>
      <c r="AN219" s="98" t="str">
        <f>HYPERLINK("https://www.youtube.com/watch?v=5rBN72kLess")</f>
        <v>https://www.youtube.com/watch?v=5rBN72kLess</v>
      </c>
      <c r="AO219" s="80" t="str">
        <f>REPLACE(INDEX(GroupVertices[Group],MATCH(Vertices[[#This Row],[Vertex]],GroupVertices[Vertex],0)),1,1,"")</f>
        <v>2</v>
      </c>
      <c r="AP219" s="49">
        <v>0</v>
      </c>
      <c r="AQ219" s="50">
        <v>0</v>
      </c>
      <c r="AR219" s="49">
        <v>1</v>
      </c>
      <c r="AS219" s="50">
        <v>5.2631578947368425</v>
      </c>
      <c r="AT219" s="49">
        <v>0</v>
      </c>
      <c r="AU219" s="50">
        <v>0</v>
      </c>
      <c r="AV219" s="49">
        <v>18</v>
      </c>
      <c r="AW219" s="50">
        <v>94.73684210526316</v>
      </c>
      <c r="AX219" s="49">
        <v>19</v>
      </c>
      <c r="AY219" s="49"/>
      <c r="AZ219" s="49"/>
      <c r="BA219" s="49"/>
      <c r="BB219" s="49"/>
      <c r="BC219" s="2"/>
      <c r="BD219" s="3"/>
      <c r="BE219" s="3"/>
      <c r="BF219" s="3"/>
      <c r="BG219" s="3"/>
    </row>
    <row r="220" spans="1:59" ht="15">
      <c r="A220" s="65" t="s">
        <v>419</v>
      </c>
      <c r="B220" s="66" t="s">
        <v>3536</v>
      </c>
      <c r="C220" s="66"/>
      <c r="D220" s="67">
        <v>212.5</v>
      </c>
      <c r="E220" s="69">
        <v>50</v>
      </c>
      <c r="F220" s="96" t="str">
        <f>HYPERLINK("https://i.ytimg.com/vi/hYxAHoCOctI/default.jpg")</f>
        <v>https://i.ytimg.com/vi/hYxAHoCOctI/default.jpg</v>
      </c>
      <c r="G220" s="66"/>
      <c r="H220" s="70" t="s">
        <v>827</v>
      </c>
      <c r="I220" s="71"/>
      <c r="J220" s="71" t="s">
        <v>159</v>
      </c>
      <c r="K220" s="70" t="s">
        <v>827</v>
      </c>
      <c r="L220" s="74">
        <v>1.3512922352011658</v>
      </c>
      <c r="M220" s="75">
        <v>1354.5853271484375</v>
      </c>
      <c r="N220" s="75">
        <v>3345.4814453125</v>
      </c>
      <c r="O220" s="76"/>
      <c r="P220" s="77"/>
      <c r="Q220" s="77"/>
      <c r="R220" s="82"/>
      <c r="S220" s="49">
        <v>1</v>
      </c>
      <c r="T220" s="49">
        <v>0</v>
      </c>
      <c r="U220" s="50">
        <v>0</v>
      </c>
      <c r="V220" s="50">
        <v>0.000915</v>
      </c>
      <c r="W220" s="50">
        <v>0.001655</v>
      </c>
      <c r="X220" s="50">
        <v>0.408323</v>
      </c>
      <c r="Y220" s="50">
        <v>0</v>
      </c>
      <c r="Z220" s="50">
        <v>0</v>
      </c>
      <c r="AA220" s="72">
        <v>208</v>
      </c>
      <c r="AB220" s="72"/>
      <c r="AC220" s="73"/>
      <c r="AD220" s="80" t="s">
        <v>827</v>
      </c>
      <c r="AE220" s="80" t="s">
        <v>1212</v>
      </c>
      <c r="AF220" s="80" t="s">
        <v>1554</v>
      </c>
      <c r="AG220" s="80" t="s">
        <v>1817</v>
      </c>
      <c r="AH220" s="80" t="s">
        <v>2120</v>
      </c>
      <c r="AI220" s="80">
        <v>8003</v>
      </c>
      <c r="AJ220" s="80">
        <v>8</v>
      </c>
      <c r="AK220" s="80">
        <v>105</v>
      </c>
      <c r="AL220" s="80">
        <v>4</v>
      </c>
      <c r="AM220" s="80" t="s">
        <v>2317</v>
      </c>
      <c r="AN220" s="98" t="str">
        <f>HYPERLINK("https://www.youtube.com/watch?v=hYxAHoCOctI")</f>
        <v>https://www.youtube.com/watch?v=hYxAHoCOctI</v>
      </c>
      <c r="AO220" s="80" t="str">
        <f>REPLACE(INDEX(GroupVertices[Group],MATCH(Vertices[[#This Row],[Vertex]],GroupVertices[Vertex],0)),1,1,"")</f>
        <v>2</v>
      </c>
      <c r="AP220" s="49">
        <v>0</v>
      </c>
      <c r="AQ220" s="50">
        <v>0</v>
      </c>
      <c r="AR220" s="49">
        <v>0</v>
      </c>
      <c r="AS220" s="50">
        <v>0</v>
      </c>
      <c r="AT220" s="49">
        <v>0</v>
      </c>
      <c r="AU220" s="50">
        <v>0</v>
      </c>
      <c r="AV220" s="49">
        <v>14</v>
      </c>
      <c r="AW220" s="50">
        <v>100</v>
      </c>
      <c r="AX220" s="49">
        <v>14</v>
      </c>
      <c r="AY220" s="49"/>
      <c r="AZ220" s="49"/>
      <c r="BA220" s="49"/>
      <c r="BB220" s="49"/>
      <c r="BC220" s="2"/>
      <c r="BD220" s="3"/>
      <c r="BE220" s="3"/>
      <c r="BF220" s="3"/>
      <c r="BG220" s="3"/>
    </row>
    <row r="221" spans="1:59" ht="15">
      <c r="A221" s="65" t="s">
        <v>420</v>
      </c>
      <c r="B221" s="66" t="s">
        <v>3536</v>
      </c>
      <c r="C221" s="66"/>
      <c r="D221" s="67">
        <v>325</v>
      </c>
      <c r="E221" s="69">
        <v>100</v>
      </c>
      <c r="F221" s="96" t="str">
        <f>HYPERLINK("https://i.ytimg.com/vi/_EpHGeQiCOA/default.jpg")</f>
        <v>https://i.ytimg.com/vi/_EpHGeQiCOA/default.jpg</v>
      </c>
      <c r="G221" s="66"/>
      <c r="H221" s="70" t="s">
        <v>828</v>
      </c>
      <c r="I221" s="71"/>
      <c r="J221" s="71" t="s">
        <v>75</v>
      </c>
      <c r="K221" s="70" t="s">
        <v>828</v>
      </c>
      <c r="L221" s="74">
        <v>1.0373621621522762</v>
      </c>
      <c r="M221" s="75">
        <v>2750.72216796875</v>
      </c>
      <c r="N221" s="75">
        <v>4486.89599609375</v>
      </c>
      <c r="O221" s="76"/>
      <c r="P221" s="77"/>
      <c r="Q221" s="77"/>
      <c r="R221" s="82"/>
      <c r="S221" s="49">
        <v>2</v>
      </c>
      <c r="T221" s="49">
        <v>0</v>
      </c>
      <c r="U221" s="50">
        <v>0</v>
      </c>
      <c r="V221" s="50">
        <v>0.000971</v>
      </c>
      <c r="W221" s="50">
        <v>0.003511</v>
      </c>
      <c r="X221" s="50">
        <v>0.657789</v>
      </c>
      <c r="Y221" s="50">
        <v>1</v>
      </c>
      <c r="Z221" s="50">
        <v>0</v>
      </c>
      <c r="AA221" s="72">
        <v>209</v>
      </c>
      <c r="AB221" s="72"/>
      <c r="AC221" s="73"/>
      <c r="AD221" s="80" t="s">
        <v>828</v>
      </c>
      <c r="AE221" s="80"/>
      <c r="AF221" s="80"/>
      <c r="AG221" s="80" t="s">
        <v>1818</v>
      </c>
      <c r="AH221" s="80" t="s">
        <v>2121</v>
      </c>
      <c r="AI221" s="80">
        <v>861</v>
      </c>
      <c r="AJ221" s="80">
        <v>0</v>
      </c>
      <c r="AK221" s="80">
        <v>13</v>
      </c>
      <c r="AL221" s="80">
        <v>1</v>
      </c>
      <c r="AM221" s="80" t="s">
        <v>2317</v>
      </c>
      <c r="AN221" s="98" t="str">
        <f>HYPERLINK("https://www.youtube.com/watch?v=_EpHGeQiCOA")</f>
        <v>https://www.youtube.com/watch?v=_EpHGeQiCOA</v>
      </c>
      <c r="AO221" s="80" t="str">
        <f>REPLACE(INDEX(GroupVertices[Group],MATCH(Vertices[[#This Row],[Vertex]],GroupVertices[Vertex],0)),1,1,"")</f>
        <v>2</v>
      </c>
      <c r="AP221" s="49"/>
      <c r="AQ221" s="50"/>
      <c r="AR221" s="49"/>
      <c r="AS221" s="50"/>
      <c r="AT221" s="49"/>
      <c r="AU221" s="50"/>
      <c r="AV221" s="49"/>
      <c r="AW221" s="50"/>
      <c r="AX221" s="49"/>
      <c r="AY221" s="49"/>
      <c r="AZ221" s="49"/>
      <c r="BA221" s="49"/>
      <c r="BB221" s="49"/>
      <c r="BC221" s="2"/>
      <c r="BD221" s="3"/>
      <c r="BE221" s="3"/>
      <c r="BF221" s="3"/>
      <c r="BG221" s="3"/>
    </row>
    <row r="222" spans="1:59" ht="15">
      <c r="A222" s="65" t="s">
        <v>421</v>
      </c>
      <c r="B222" s="66" t="s">
        <v>3536</v>
      </c>
      <c r="C222" s="66"/>
      <c r="D222" s="67">
        <v>212.5</v>
      </c>
      <c r="E222" s="69">
        <v>50</v>
      </c>
      <c r="F222" s="96" t="str">
        <f>HYPERLINK("https://i.ytimg.com/vi/Ao-oyFn7J40/default.jpg")</f>
        <v>https://i.ytimg.com/vi/Ao-oyFn7J40/default.jpg</v>
      </c>
      <c r="G222" s="66"/>
      <c r="H222" s="70" t="s">
        <v>829</v>
      </c>
      <c r="I222" s="71"/>
      <c r="J222" s="71" t="s">
        <v>159</v>
      </c>
      <c r="K222" s="70" t="s">
        <v>829</v>
      </c>
      <c r="L222" s="74">
        <v>1.2164368075738914</v>
      </c>
      <c r="M222" s="75">
        <v>307.4825439453125</v>
      </c>
      <c r="N222" s="75">
        <v>3345.4814453125</v>
      </c>
      <c r="O222" s="76"/>
      <c r="P222" s="77"/>
      <c r="Q222" s="77"/>
      <c r="R222" s="82"/>
      <c r="S222" s="49">
        <v>1</v>
      </c>
      <c r="T222" s="49">
        <v>0</v>
      </c>
      <c r="U222" s="50">
        <v>0</v>
      </c>
      <c r="V222" s="50">
        <v>0.000915</v>
      </c>
      <c r="W222" s="50">
        <v>0.001655</v>
      </c>
      <c r="X222" s="50">
        <v>0.408323</v>
      </c>
      <c r="Y222" s="50">
        <v>0</v>
      </c>
      <c r="Z222" s="50">
        <v>0</v>
      </c>
      <c r="AA222" s="72">
        <v>210</v>
      </c>
      <c r="AB222" s="72"/>
      <c r="AC222" s="73"/>
      <c r="AD222" s="80" t="s">
        <v>829</v>
      </c>
      <c r="AE222" s="80"/>
      <c r="AF222" s="80"/>
      <c r="AG222" s="80" t="s">
        <v>1819</v>
      </c>
      <c r="AH222" s="80" t="s">
        <v>2122</v>
      </c>
      <c r="AI222" s="80">
        <v>4935</v>
      </c>
      <c r="AJ222" s="80">
        <v>6</v>
      </c>
      <c r="AK222" s="80">
        <v>63</v>
      </c>
      <c r="AL222" s="80">
        <v>0</v>
      </c>
      <c r="AM222" s="80" t="s">
        <v>2317</v>
      </c>
      <c r="AN222" s="98" t="str">
        <f>HYPERLINK("https://www.youtube.com/watch?v=Ao-oyFn7J40")</f>
        <v>https://www.youtube.com/watch?v=Ao-oyFn7J40</v>
      </c>
      <c r="AO222" s="80" t="str">
        <f>REPLACE(INDEX(GroupVertices[Group],MATCH(Vertices[[#This Row],[Vertex]],GroupVertices[Vertex],0)),1,1,"")</f>
        <v>2</v>
      </c>
      <c r="AP222" s="49"/>
      <c r="AQ222" s="50"/>
      <c r="AR222" s="49"/>
      <c r="AS222" s="50"/>
      <c r="AT222" s="49"/>
      <c r="AU222" s="50"/>
      <c r="AV222" s="49"/>
      <c r="AW222" s="50"/>
      <c r="AX222" s="49"/>
      <c r="AY222" s="49"/>
      <c r="AZ222" s="49"/>
      <c r="BA222" s="49"/>
      <c r="BB222" s="49"/>
      <c r="BC222" s="2"/>
      <c r="BD222" s="3"/>
      <c r="BE222" s="3"/>
      <c r="BF222" s="3"/>
      <c r="BG222" s="3"/>
    </row>
    <row r="223" spans="1:59" ht="15">
      <c r="A223" s="65" t="s">
        <v>422</v>
      </c>
      <c r="B223" s="66" t="s">
        <v>3536</v>
      </c>
      <c r="C223" s="66"/>
      <c r="D223" s="67">
        <v>212.5</v>
      </c>
      <c r="E223" s="69">
        <v>50</v>
      </c>
      <c r="F223" s="96" t="str">
        <f>HYPERLINK("https://i.ytimg.com/vi/xbABGepKT2o/default.jpg")</f>
        <v>https://i.ytimg.com/vi/xbABGepKT2o/default.jpg</v>
      </c>
      <c r="G223" s="66"/>
      <c r="H223" s="70" t="s">
        <v>830</v>
      </c>
      <c r="I223" s="71"/>
      <c r="J223" s="71" t="s">
        <v>159</v>
      </c>
      <c r="K223" s="70" t="s">
        <v>830</v>
      </c>
      <c r="L223" s="74">
        <v>386.02292705869536</v>
      </c>
      <c r="M223" s="75">
        <v>2401.68798828125</v>
      </c>
      <c r="N223" s="75">
        <v>1062.6519775390625</v>
      </c>
      <c r="O223" s="76"/>
      <c r="P223" s="77"/>
      <c r="Q223" s="77"/>
      <c r="R223" s="82"/>
      <c r="S223" s="49">
        <v>1</v>
      </c>
      <c r="T223" s="49">
        <v>0</v>
      </c>
      <c r="U223" s="50">
        <v>0</v>
      </c>
      <c r="V223" s="50">
        <v>0.000915</v>
      </c>
      <c r="W223" s="50">
        <v>0.001655</v>
      </c>
      <c r="X223" s="50">
        <v>0.408323</v>
      </c>
      <c r="Y223" s="50">
        <v>0</v>
      </c>
      <c r="Z223" s="50">
        <v>0</v>
      </c>
      <c r="AA223" s="72">
        <v>211</v>
      </c>
      <c r="AB223" s="72"/>
      <c r="AC223" s="73"/>
      <c r="AD223" s="80" t="s">
        <v>830</v>
      </c>
      <c r="AE223" s="80" t="s">
        <v>1213</v>
      </c>
      <c r="AF223" s="80" t="s">
        <v>1555</v>
      </c>
      <c r="AG223" s="80" t="s">
        <v>1820</v>
      </c>
      <c r="AH223" s="80" t="s">
        <v>2123</v>
      </c>
      <c r="AI223" s="80">
        <v>8759394</v>
      </c>
      <c r="AJ223" s="80">
        <v>1330</v>
      </c>
      <c r="AK223" s="80">
        <v>77243</v>
      </c>
      <c r="AL223" s="80">
        <v>1277</v>
      </c>
      <c r="AM223" s="80" t="s">
        <v>2317</v>
      </c>
      <c r="AN223" s="98" t="str">
        <f>HYPERLINK("https://www.youtube.com/watch?v=xbABGepKT2o")</f>
        <v>https://www.youtube.com/watch?v=xbABGepKT2o</v>
      </c>
      <c r="AO223" s="80" t="str">
        <f>REPLACE(INDEX(GroupVertices[Group],MATCH(Vertices[[#This Row],[Vertex]],GroupVertices[Vertex],0)),1,1,"")</f>
        <v>2</v>
      </c>
      <c r="AP223" s="49">
        <v>0</v>
      </c>
      <c r="AQ223" s="50">
        <v>0</v>
      </c>
      <c r="AR223" s="49">
        <v>1</v>
      </c>
      <c r="AS223" s="50">
        <v>4.3478260869565215</v>
      </c>
      <c r="AT223" s="49">
        <v>0</v>
      </c>
      <c r="AU223" s="50">
        <v>0</v>
      </c>
      <c r="AV223" s="49">
        <v>22</v>
      </c>
      <c r="AW223" s="50">
        <v>95.65217391304348</v>
      </c>
      <c r="AX223" s="49">
        <v>23</v>
      </c>
      <c r="AY223" s="49"/>
      <c r="AZ223" s="49"/>
      <c r="BA223" s="49"/>
      <c r="BB223" s="49"/>
      <c r="BC223" s="2"/>
      <c r="BD223" s="3"/>
      <c r="BE223" s="3"/>
      <c r="BF223" s="3"/>
      <c r="BG223" s="3"/>
    </row>
    <row r="224" spans="1:59" ht="15">
      <c r="A224" s="65" t="s">
        <v>423</v>
      </c>
      <c r="B224" s="66" t="s">
        <v>3536</v>
      </c>
      <c r="C224" s="66"/>
      <c r="D224" s="67">
        <v>550</v>
      </c>
      <c r="E224" s="69">
        <v>100</v>
      </c>
      <c r="F224" s="96" t="str">
        <f>HYPERLINK("https://i.ytimg.com/vi/ZhuBb6j0oGI/default.jpg")</f>
        <v>https://i.ytimg.com/vi/ZhuBb6j0oGI/default.jpg</v>
      </c>
      <c r="G224" s="66"/>
      <c r="H224" s="70" t="s">
        <v>831</v>
      </c>
      <c r="I224" s="71"/>
      <c r="J224" s="71" t="s">
        <v>75</v>
      </c>
      <c r="K224" s="70" t="s">
        <v>831</v>
      </c>
      <c r="L224" s="74">
        <v>1.115646880732516</v>
      </c>
      <c r="M224" s="75">
        <v>3238.657958984375</v>
      </c>
      <c r="N224" s="75">
        <v>3373.887939453125</v>
      </c>
      <c r="O224" s="76"/>
      <c r="P224" s="77"/>
      <c r="Q224" s="77"/>
      <c r="R224" s="82"/>
      <c r="S224" s="49">
        <v>4</v>
      </c>
      <c r="T224" s="49">
        <v>0</v>
      </c>
      <c r="U224" s="50">
        <v>0</v>
      </c>
      <c r="V224" s="50">
        <v>0.00107</v>
      </c>
      <c r="W224" s="50">
        <v>0.006921</v>
      </c>
      <c r="X224" s="50">
        <v>1.151805</v>
      </c>
      <c r="Y224" s="50">
        <v>1</v>
      </c>
      <c r="Z224" s="50">
        <v>0</v>
      </c>
      <c r="AA224" s="72">
        <v>212</v>
      </c>
      <c r="AB224" s="72"/>
      <c r="AC224" s="73"/>
      <c r="AD224" s="80" t="s">
        <v>831</v>
      </c>
      <c r="AE224" s="80" t="s">
        <v>1214</v>
      </c>
      <c r="AF224" s="80" t="s">
        <v>1556</v>
      </c>
      <c r="AG224" s="80" t="s">
        <v>1821</v>
      </c>
      <c r="AH224" s="80" t="s">
        <v>2124</v>
      </c>
      <c r="AI224" s="80">
        <v>2642</v>
      </c>
      <c r="AJ224" s="80">
        <v>1</v>
      </c>
      <c r="AK224" s="80">
        <v>54</v>
      </c>
      <c r="AL224" s="80">
        <v>2</v>
      </c>
      <c r="AM224" s="80" t="s">
        <v>2317</v>
      </c>
      <c r="AN224" s="98" t="str">
        <f>HYPERLINK("https://www.youtube.com/watch?v=ZhuBb6j0oGI")</f>
        <v>https://www.youtube.com/watch?v=ZhuBb6j0oGI</v>
      </c>
      <c r="AO224" s="80" t="str">
        <f>REPLACE(INDEX(GroupVertices[Group],MATCH(Vertices[[#This Row],[Vertex]],GroupVertices[Vertex],0)),1,1,"")</f>
        <v>4</v>
      </c>
      <c r="AP224" s="49">
        <v>0</v>
      </c>
      <c r="AQ224" s="50">
        <v>0</v>
      </c>
      <c r="AR224" s="49">
        <v>0</v>
      </c>
      <c r="AS224" s="50">
        <v>0</v>
      </c>
      <c r="AT224" s="49">
        <v>0</v>
      </c>
      <c r="AU224" s="50">
        <v>0</v>
      </c>
      <c r="AV224" s="49">
        <v>3</v>
      </c>
      <c r="AW224" s="50">
        <v>100</v>
      </c>
      <c r="AX224" s="49">
        <v>3</v>
      </c>
      <c r="AY224" s="49"/>
      <c r="AZ224" s="49"/>
      <c r="BA224" s="49"/>
      <c r="BB224" s="49"/>
      <c r="BC224" s="2"/>
      <c r="BD224" s="3"/>
      <c r="BE224" s="3"/>
      <c r="BF224" s="3"/>
      <c r="BG224" s="3"/>
    </row>
    <row r="225" spans="1:59" ht="15">
      <c r="A225" s="65" t="s">
        <v>424</v>
      </c>
      <c r="B225" s="66" t="s">
        <v>3536</v>
      </c>
      <c r="C225" s="66"/>
      <c r="D225" s="67">
        <v>212.5</v>
      </c>
      <c r="E225" s="69">
        <v>50</v>
      </c>
      <c r="F225" s="96" t="str">
        <f>HYPERLINK("https://i.ytimg.com/vi/DS2JxnKKTxI/default.jpg")</f>
        <v>https://i.ytimg.com/vi/DS2JxnKKTxI/default.jpg</v>
      </c>
      <c r="G225" s="66"/>
      <c r="H225" s="70" t="s">
        <v>832</v>
      </c>
      <c r="I225" s="71"/>
      <c r="J225" s="71" t="s">
        <v>159</v>
      </c>
      <c r="K225" s="70" t="s">
        <v>832</v>
      </c>
      <c r="L225" s="74">
        <v>1.0316479491172221</v>
      </c>
      <c r="M225" s="75">
        <v>2401.68798828125</v>
      </c>
      <c r="N225" s="75">
        <v>4486.89599609375</v>
      </c>
      <c r="O225" s="76"/>
      <c r="P225" s="77"/>
      <c r="Q225" s="77"/>
      <c r="R225" s="82"/>
      <c r="S225" s="49">
        <v>1</v>
      </c>
      <c r="T225" s="49">
        <v>0</v>
      </c>
      <c r="U225" s="50">
        <v>0</v>
      </c>
      <c r="V225" s="50">
        <v>0.000915</v>
      </c>
      <c r="W225" s="50">
        <v>0.001655</v>
      </c>
      <c r="X225" s="50">
        <v>0.408323</v>
      </c>
      <c r="Y225" s="50">
        <v>0</v>
      </c>
      <c r="Z225" s="50">
        <v>0</v>
      </c>
      <c r="AA225" s="72">
        <v>213</v>
      </c>
      <c r="AB225" s="72"/>
      <c r="AC225" s="73"/>
      <c r="AD225" s="80" t="s">
        <v>832</v>
      </c>
      <c r="AE225" s="80" t="s">
        <v>1215</v>
      </c>
      <c r="AF225" s="80"/>
      <c r="AG225" s="80" t="s">
        <v>1822</v>
      </c>
      <c r="AH225" s="80" t="s">
        <v>2125</v>
      </c>
      <c r="AI225" s="80">
        <v>731</v>
      </c>
      <c r="AJ225" s="80">
        <v>0</v>
      </c>
      <c r="AK225" s="80">
        <v>11</v>
      </c>
      <c r="AL225" s="80">
        <v>1</v>
      </c>
      <c r="AM225" s="80" t="s">
        <v>2317</v>
      </c>
      <c r="AN225" s="98" t="str">
        <f>HYPERLINK("https://www.youtube.com/watch?v=DS2JxnKKTxI")</f>
        <v>https://www.youtube.com/watch?v=DS2JxnKKTxI</v>
      </c>
      <c r="AO225" s="80" t="str">
        <f>REPLACE(INDEX(GroupVertices[Group],MATCH(Vertices[[#This Row],[Vertex]],GroupVertices[Vertex],0)),1,1,"")</f>
        <v>2</v>
      </c>
      <c r="AP225" s="49"/>
      <c r="AQ225" s="50"/>
      <c r="AR225" s="49"/>
      <c r="AS225" s="50"/>
      <c r="AT225" s="49"/>
      <c r="AU225" s="50"/>
      <c r="AV225" s="49"/>
      <c r="AW225" s="50"/>
      <c r="AX225" s="49"/>
      <c r="AY225" s="49"/>
      <c r="AZ225" s="49"/>
      <c r="BA225" s="49"/>
      <c r="BB225" s="49"/>
      <c r="BC225" s="2"/>
      <c r="BD225" s="3"/>
      <c r="BE225" s="3"/>
      <c r="BF225" s="3"/>
      <c r="BG225" s="3"/>
    </row>
    <row r="226" spans="1:59" ht="15">
      <c r="A226" s="65" t="s">
        <v>425</v>
      </c>
      <c r="B226" s="66" t="s">
        <v>3536</v>
      </c>
      <c r="C226" s="66"/>
      <c r="D226" s="67">
        <v>325</v>
      </c>
      <c r="E226" s="69">
        <v>100</v>
      </c>
      <c r="F226" s="96" t="str">
        <f>HYPERLINK("https://i.ytimg.com/vi/ALyLxfqOL5A/default.jpg")</f>
        <v>https://i.ytimg.com/vi/ALyLxfqOL5A/default.jpg</v>
      </c>
      <c r="G226" s="66"/>
      <c r="H226" s="70" t="s">
        <v>833</v>
      </c>
      <c r="I226" s="71"/>
      <c r="J226" s="71" t="s">
        <v>75</v>
      </c>
      <c r="K226" s="70" t="s">
        <v>833</v>
      </c>
      <c r="L226" s="74">
        <v>1.0165712178016566</v>
      </c>
      <c r="M226" s="75">
        <v>1703.6195068359375</v>
      </c>
      <c r="N226" s="75">
        <v>4486.89599609375</v>
      </c>
      <c r="O226" s="76"/>
      <c r="P226" s="77"/>
      <c r="Q226" s="77"/>
      <c r="R226" s="82"/>
      <c r="S226" s="49">
        <v>2</v>
      </c>
      <c r="T226" s="49">
        <v>0</v>
      </c>
      <c r="U226" s="50">
        <v>0</v>
      </c>
      <c r="V226" s="50">
        <v>0.000971</v>
      </c>
      <c r="W226" s="50">
        <v>0.003511</v>
      </c>
      <c r="X226" s="50">
        <v>0.657789</v>
      </c>
      <c r="Y226" s="50">
        <v>1</v>
      </c>
      <c r="Z226" s="50">
        <v>0</v>
      </c>
      <c r="AA226" s="72">
        <v>214</v>
      </c>
      <c r="AB226" s="72"/>
      <c r="AC226" s="73"/>
      <c r="AD226" s="80" t="s">
        <v>833</v>
      </c>
      <c r="AE226" s="80" t="s">
        <v>1216</v>
      </c>
      <c r="AF226" s="80"/>
      <c r="AG226" s="80" t="s">
        <v>1823</v>
      </c>
      <c r="AH226" s="80" t="s">
        <v>2126</v>
      </c>
      <c r="AI226" s="80">
        <v>388</v>
      </c>
      <c r="AJ226" s="80">
        <v>2</v>
      </c>
      <c r="AK226" s="80">
        <v>7</v>
      </c>
      <c r="AL226" s="80">
        <v>0</v>
      </c>
      <c r="AM226" s="80" t="s">
        <v>2317</v>
      </c>
      <c r="AN226" s="98" t="str">
        <f>HYPERLINK("https://www.youtube.com/watch?v=ALyLxfqOL5A")</f>
        <v>https://www.youtube.com/watch?v=ALyLxfqOL5A</v>
      </c>
      <c r="AO226" s="80" t="str">
        <f>REPLACE(INDEX(GroupVertices[Group],MATCH(Vertices[[#This Row],[Vertex]],GroupVertices[Vertex],0)),1,1,"")</f>
        <v>2</v>
      </c>
      <c r="AP226" s="49"/>
      <c r="AQ226" s="50"/>
      <c r="AR226" s="49"/>
      <c r="AS226" s="50"/>
      <c r="AT226" s="49"/>
      <c r="AU226" s="50"/>
      <c r="AV226" s="49"/>
      <c r="AW226" s="50"/>
      <c r="AX226" s="49"/>
      <c r="AY226" s="49"/>
      <c r="AZ226" s="49"/>
      <c r="BA226" s="49"/>
      <c r="BB226" s="49"/>
      <c r="BC226" s="2"/>
      <c r="BD226" s="3"/>
      <c r="BE226" s="3"/>
      <c r="BF226" s="3"/>
      <c r="BG226" s="3"/>
    </row>
    <row r="227" spans="1:59" ht="15">
      <c r="A227" s="65" t="s">
        <v>426</v>
      </c>
      <c r="B227" s="66" t="s">
        <v>3536</v>
      </c>
      <c r="C227" s="66"/>
      <c r="D227" s="67">
        <v>212.5</v>
      </c>
      <c r="E227" s="69">
        <v>50</v>
      </c>
      <c r="F227" s="96" t="str">
        <f>HYPERLINK("https://i.ytimg.com/vi/b7K5i44m1U8/default.jpg")</f>
        <v>https://i.ytimg.com/vi/b7K5i44m1U8/default.jpg</v>
      </c>
      <c r="G227" s="66"/>
      <c r="H227" s="70" t="s">
        <v>834</v>
      </c>
      <c r="I227" s="71"/>
      <c r="J227" s="71" t="s">
        <v>159</v>
      </c>
      <c r="K227" s="70" t="s">
        <v>834</v>
      </c>
      <c r="L227" s="74">
        <v>1.0091866963409715</v>
      </c>
      <c r="M227" s="75">
        <v>1354.5853271484375</v>
      </c>
      <c r="N227" s="75">
        <v>4486.89599609375</v>
      </c>
      <c r="O227" s="76"/>
      <c r="P227" s="77"/>
      <c r="Q227" s="77"/>
      <c r="R227" s="82"/>
      <c r="S227" s="49">
        <v>1</v>
      </c>
      <c r="T227" s="49">
        <v>0</v>
      </c>
      <c r="U227" s="50">
        <v>0</v>
      </c>
      <c r="V227" s="50">
        <v>0.000915</v>
      </c>
      <c r="W227" s="50">
        <v>0.001655</v>
      </c>
      <c r="X227" s="50">
        <v>0.408323</v>
      </c>
      <c r="Y227" s="50">
        <v>0</v>
      </c>
      <c r="Z227" s="50">
        <v>0</v>
      </c>
      <c r="AA227" s="72">
        <v>215</v>
      </c>
      <c r="AB227" s="72"/>
      <c r="AC227" s="73"/>
      <c r="AD227" s="80" t="s">
        <v>834</v>
      </c>
      <c r="AE227" s="80" t="s">
        <v>834</v>
      </c>
      <c r="AF227" s="80" t="s">
        <v>1557</v>
      </c>
      <c r="AG227" s="80" t="s">
        <v>1824</v>
      </c>
      <c r="AH227" s="80" t="s">
        <v>2127</v>
      </c>
      <c r="AI227" s="80">
        <v>220</v>
      </c>
      <c r="AJ227" s="80">
        <v>0</v>
      </c>
      <c r="AK227" s="80">
        <v>4</v>
      </c>
      <c r="AL227" s="80">
        <v>0</v>
      </c>
      <c r="AM227" s="80" t="s">
        <v>2317</v>
      </c>
      <c r="AN227" s="98" t="str">
        <f>HYPERLINK("https://www.youtube.com/watch?v=b7K5i44m1U8")</f>
        <v>https://www.youtube.com/watch?v=b7K5i44m1U8</v>
      </c>
      <c r="AO227" s="80" t="str">
        <f>REPLACE(INDEX(GroupVertices[Group],MATCH(Vertices[[#This Row],[Vertex]],GroupVertices[Vertex],0)),1,1,"")</f>
        <v>2</v>
      </c>
      <c r="AP227" s="49">
        <v>0</v>
      </c>
      <c r="AQ227" s="50">
        <v>0</v>
      </c>
      <c r="AR227" s="49">
        <v>0</v>
      </c>
      <c r="AS227" s="50">
        <v>0</v>
      </c>
      <c r="AT227" s="49">
        <v>0</v>
      </c>
      <c r="AU227" s="50">
        <v>0</v>
      </c>
      <c r="AV227" s="49">
        <v>10</v>
      </c>
      <c r="AW227" s="50">
        <v>100</v>
      </c>
      <c r="AX227" s="49">
        <v>10</v>
      </c>
      <c r="AY227" s="49"/>
      <c r="AZ227" s="49"/>
      <c r="BA227" s="49"/>
      <c r="BB227" s="49"/>
      <c r="BC227" s="2"/>
      <c r="BD227" s="3"/>
      <c r="BE227" s="3"/>
      <c r="BF227" s="3"/>
      <c r="BG227" s="3"/>
    </row>
    <row r="228" spans="1:59" ht="15">
      <c r="A228" s="65" t="s">
        <v>427</v>
      </c>
      <c r="B228" s="66" t="s">
        <v>3536</v>
      </c>
      <c r="C228" s="66"/>
      <c r="D228" s="67">
        <v>212.5</v>
      </c>
      <c r="E228" s="69">
        <v>50</v>
      </c>
      <c r="F228" s="96" t="str">
        <f>HYPERLINK("https://i.ytimg.com/vi/hbkpqYhHfsc/default.jpg")</f>
        <v>https://i.ytimg.com/vi/hbkpqYhHfsc/default.jpg</v>
      </c>
      <c r="G228" s="66"/>
      <c r="H228" s="70" t="s">
        <v>835</v>
      </c>
      <c r="I228" s="71"/>
      <c r="J228" s="71" t="s">
        <v>159</v>
      </c>
      <c r="K228" s="70" t="s">
        <v>835</v>
      </c>
      <c r="L228" s="74">
        <v>135.45112507730184</v>
      </c>
      <c r="M228" s="75">
        <v>1703.6195068359375</v>
      </c>
      <c r="N228" s="75">
        <v>1062.6519775390625</v>
      </c>
      <c r="O228" s="76"/>
      <c r="P228" s="77"/>
      <c r="Q228" s="77"/>
      <c r="R228" s="82"/>
      <c r="S228" s="49">
        <v>1</v>
      </c>
      <c r="T228" s="49">
        <v>0</v>
      </c>
      <c r="U228" s="50">
        <v>0</v>
      </c>
      <c r="V228" s="50">
        <v>0.000915</v>
      </c>
      <c r="W228" s="50">
        <v>0.001655</v>
      </c>
      <c r="X228" s="50">
        <v>0.408323</v>
      </c>
      <c r="Y228" s="50">
        <v>0</v>
      </c>
      <c r="Z228" s="50">
        <v>0</v>
      </c>
      <c r="AA228" s="72">
        <v>216</v>
      </c>
      <c r="AB228" s="72"/>
      <c r="AC228" s="73"/>
      <c r="AD228" s="80" t="s">
        <v>835</v>
      </c>
      <c r="AE228" s="80" t="s">
        <v>1217</v>
      </c>
      <c r="AF228" s="80" t="s">
        <v>1558</v>
      </c>
      <c r="AG228" s="80" t="s">
        <v>1825</v>
      </c>
      <c r="AH228" s="80" t="s">
        <v>2128</v>
      </c>
      <c r="AI228" s="80">
        <v>3058813</v>
      </c>
      <c r="AJ228" s="80">
        <v>4778</v>
      </c>
      <c r="AK228" s="80">
        <v>74228</v>
      </c>
      <c r="AL228" s="80">
        <v>992</v>
      </c>
      <c r="AM228" s="80" t="s">
        <v>2317</v>
      </c>
      <c r="AN228" s="98" t="str">
        <f>HYPERLINK("https://www.youtube.com/watch?v=hbkpqYhHfsc")</f>
        <v>https://www.youtube.com/watch?v=hbkpqYhHfsc</v>
      </c>
      <c r="AO228" s="80" t="str">
        <f>REPLACE(INDEX(GroupVertices[Group],MATCH(Vertices[[#This Row],[Vertex]],GroupVertices[Vertex],0)),1,1,"")</f>
        <v>2</v>
      </c>
      <c r="AP228" s="49">
        <v>1</v>
      </c>
      <c r="AQ228" s="50">
        <v>0.8771929824561403</v>
      </c>
      <c r="AR228" s="49">
        <v>2</v>
      </c>
      <c r="AS228" s="50">
        <v>1.7543859649122806</v>
      </c>
      <c r="AT228" s="49">
        <v>0</v>
      </c>
      <c r="AU228" s="50">
        <v>0</v>
      </c>
      <c r="AV228" s="49">
        <v>111</v>
      </c>
      <c r="AW228" s="50">
        <v>97.36842105263158</v>
      </c>
      <c r="AX228" s="49">
        <v>114</v>
      </c>
      <c r="AY228" s="49"/>
      <c r="AZ228" s="49"/>
      <c r="BA228" s="49"/>
      <c r="BB228" s="49"/>
      <c r="BC228" s="2"/>
      <c r="BD228" s="3"/>
      <c r="BE228" s="3"/>
      <c r="BF228" s="3"/>
      <c r="BG228" s="3"/>
    </row>
    <row r="229" spans="1:59" ht="15">
      <c r="A229" s="65" t="s">
        <v>428</v>
      </c>
      <c r="B229" s="66" t="s">
        <v>3536</v>
      </c>
      <c r="C229" s="66"/>
      <c r="D229" s="67">
        <v>212.5</v>
      </c>
      <c r="E229" s="69">
        <v>50</v>
      </c>
      <c r="F229" s="96" t="str">
        <f>HYPERLINK("https://i.ytimg.com/vi/4uxjhGIlHMM/default.jpg")</f>
        <v>https://i.ytimg.com/vi/4uxjhGIlHMM/default.jpg</v>
      </c>
      <c r="G229" s="66"/>
      <c r="H229" s="70" t="s">
        <v>836</v>
      </c>
      <c r="I229" s="71"/>
      <c r="J229" s="71" t="s">
        <v>159</v>
      </c>
      <c r="K229" s="70" t="s">
        <v>836</v>
      </c>
      <c r="L229" s="74">
        <v>3.700009614547899</v>
      </c>
      <c r="M229" s="75">
        <v>2750.72216796875</v>
      </c>
      <c r="N229" s="75">
        <v>2774.774169921875</v>
      </c>
      <c r="O229" s="76"/>
      <c r="P229" s="77"/>
      <c r="Q229" s="77"/>
      <c r="R229" s="82"/>
      <c r="S229" s="49">
        <v>1</v>
      </c>
      <c r="T229" s="49">
        <v>0</v>
      </c>
      <c r="U229" s="50">
        <v>0</v>
      </c>
      <c r="V229" s="50">
        <v>0.000915</v>
      </c>
      <c r="W229" s="50">
        <v>0.001655</v>
      </c>
      <c r="X229" s="50">
        <v>0.408323</v>
      </c>
      <c r="Y229" s="50">
        <v>0</v>
      </c>
      <c r="Z229" s="50">
        <v>0</v>
      </c>
      <c r="AA229" s="72">
        <v>217</v>
      </c>
      <c r="AB229" s="72"/>
      <c r="AC229" s="73"/>
      <c r="AD229" s="80" t="s">
        <v>836</v>
      </c>
      <c r="AE229" s="80" t="s">
        <v>1218</v>
      </c>
      <c r="AF229" s="80" t="s">
        <v>1559</v>
      </c>
      <c r="AG229" s="80" t="s">
        <v>1778</v>
      </c>
      <c r="AH229" s="80" t="s">
        <v>2129</v>
      </c>
      <c r="AI229" s="80">
        <v>61437</v>
      </c>
      <c r="AJ229" s="80">
        <v>0</v>
      </c>
      <c r="AK229" s="80">
        <v>673</v>
      </c>
      <c r="AL229" s="80">
        <v>122</v>
      </c>
      <c r="AM229" s="80" t="s">
        <v>2317</v>
      </c>
      <c r="AN229" s="98" t="str">
        <f>HYPERLINK("https://www.youtube.com/watch?v=4uxjhGIlHMM")</f>
        <v>https://www.youtube.com/watch?v=4uxjhGIlHMM</v>
      </c>
      <c r="AO229" s="80" t="str">
        <f>REPLACE(INDEX(GroupVertices[Group],MATCH(Vertices[[#This Row],[Vertex]],GroupVertices[Vertex],0)),1,1,"")</f>
        <v>2</v>
      </c>
      <c r="AP229" s="49">
        <v>0</v>
      </c>
      <c r="AQ229" s="50">
        <v>0</v>
      </c>
      <c r="AR229" s="49">
        <v>0</v>
      </c>
      <c r="AS229" s="50">
        <v>0</v>
      </c>
      <c r="AT229" s="49">
        <v>0</v>
      </c>
      <c r="AU229" s="50">
        <v>0</v>
      </c>
      <c r="AV229" s="49">
        <v>7</v>
      </c>
      <c r="AW229" s="50">
        <v>100</v>
      </c>
      <c r="AX229" s="49">
        <v>7</v>
      </c>
      <c r="AY229" s="49"/>
      <c r="AZ229" s="49"/>
      <c r="BA229" s="49"/>
      <c r="BB229" s="49"/>
      <c r="BC229" s="2"/>
      <c r="BD229" s="3"/>
      <c r="BE229" s="3"/>
      <c r="BF229" s="3"/>
      <c r="BG229" s="3"/>
    </row>
    <row r="230" spans="1:59" ht="15">
      <c r="A230" s="65" t="s">
        <v>429</v>
      </c>
      <c r="B230" s="66" t="s">
        <v>3536</v>
      </c>
      <c r="C230" s="66"/>
      <c r="D230" s="67">
        <v>212.5</v>
      </c>
      <c r="E230" s="69">
        <v>50</v>
      </c>
      <c r="F230" s="96" t="str">
        <f>HYPERLINK("https://i.ytimg.com/vi/-IyF29A-DIw/default.jpg")</f>
        <v>https://i.ytimg.com/vi/-IyF29A-DIw/default.jpg</v>
      </c>
      <c r="G230" s="66"/>
      <c r="H230" s="70" t="s">
        <v>837</v>
      </c>
      <c r="I230" s="71"/>
      <c r="J230" s="71" t="s">
        <v>159</v>
      </c>
      <c r="K230" s="70" t="s">
        <v>837</v>
      </c>
      <c r="L230" s="74">
        <v>1.5544105308548928</v>
      </c>
      <c r="M230" s="75">
        <v>2052.65380859375</v>
      </c>
      <c r="N230" s="75">
        <v>3345.4814453125</v>
      </c>
      <c r="O230" s="76"/>
      <c r="P230" s="77"/>
      <c r="Q230" s="77"/>
      <c r="R230" s="82"/>
      <c r="S230" s="49">
        <v>1</v>
      </c>
      <c r="T230" s="49">
        <v>0</v>
      </c>
      <c r="U230" s="50">
        <v>0</v>
      </c>
      <c r="V230" s="50">
        <v>0.000915</v>
      </c>
      <c r="W230" s="50">
        <v>0.001655</v>
      </c>
      <c r="X230" s="50">
        <v>0.408323</v>
      </c>
      <c r="Y230" s="50">
        <v>0</v>
      </c>
      <c r="Z230" s="50">
        <v>0</v>
      </c>
      <c r="AA230" s="72">
        <v>218</v>
      </c>
      <c r="AB230" s="72"/>
      <c r="AC230" s="73"/>
      <c r="AD230" s="80" t="s">
        <v>837</v>
      </c>
      <c r="AE230" s="80"/>
      <c r="AF230" s="80"/>
      <c r="AG230" s="80" t="s">
        <v>1826</v>
      </c>
      <c r="AH230" s="80" t="s">
        <v>2130</v>
      </c>
      <c r="AI230" s="80">
        <v>12624</v>
      </c>
      <c r="AJ230" s="80">
        <v>6</v>
      </c>
      <c r="AK230" s="80">
        <v>270</v>
      </c>
      <c r="AL230" s="80">
        <v>3</v>
      </c>
      <c r="AM230" s="80" t="s">
        <v>2317</v>
      </c>
      <c r="AN230" s="98" t="str">
        <f>HYPERLINK("https://www.youtube.com/watch?v=-IyF29A-DIw")</f>
        <v>https://www.youtube.com/watch?v=-IyF29A-DIw</v>
      </c>
      <c r="AO230" s="80" t="str">
        <f>REPLACE(INDEX(GroupVertices[Group],MATCH(Vertices[[#This Row],[Vertex]],GroupVertices[Vertex],0)),1,1,"")</f>
        <v>2</v>
      </c>
      <c r="AP230" s="49"/>
      <c r="AQ230" s="50"/>
      <c r="AR230" s="49"/>
      <c r="AS230" s="50"/>
      <c r="AT230" s="49"/>
      <c r="AU230" s="50"/>
      <c r="AV230" s="49"/>
      <c r="AW230" s="50"/>
      <c r="AX230" s="49"/>
      <c r="AY230" s="49"/>
      <c r="AZ230" s="49"/>
      <c r="BA230" s="49"/>
      <c r="BB230" s="49"/>
      <c r="BC230" s="2"/>
      <c r="BD230" s="3"/>
      <c r="BE230" s="3"/>
      <c r="BF230" s="3"/>
      <c r="BG230" s="3"/>
    </row>
    <row r="231" spans="1:59" ht="15">
      <c r="A231" s="65" t="s">
        <v>430</v>
      </c>
      <c r="B231" s="66" t="s">
        <v>3536</v>
      </c>
      <c r="C231" s="66"/>
      <c r="D231" s="67">
        <v>212.5</v>
      </c>
      <c r="E231" s="69">
        <v>50</v>
      </c>
      <c r="F231" s="96" t="str">
        <f>HYPERLINK("https://i.ytimg.com/vi/NY_JNh_duKc/default.jpg")</f>
        <v>https://i.ytimg.com/vi/NY_JNh_duKc/default.jpg</v>
      </c>
      <c r="G231" s="66"/>
      <c r="H231" s="70" t="s">
        <v>838</v>
      </c>
      <c r="I231" s="71"/>
      <c r="J231" s="71" t="s">
        <v>159</v>
      </c>
      <c r="K231" s="70" t="s">
        <v>838</v>
      </c>
      <c r="L231" s="74">
        <v>2.0825796372334224</v>
      </c>
      <c r="M231" s="75">
        <v>1354.5853271484375</v>
      </c>
      <c r="N231" s="75">
        <v>2774.774169921875</v>
      </c>
      <c r="O231" s="76"/>
      <c r="P231" s="77"/>
      <c r="Q231" s="77"/>
      <c r="R231" s="82"/>
      <c r="S231" s="49">
        <v>1</v>
      </c>
      <c r="T231" s="49">
        <v>0</v>
      </c>
      <c r="U231" s="50">
        <v>0</v>
      </c>
      <c r="V231" s="50">
        <v>0.000915</v>
      </c>
      <c r="W231" s="50">
        <v>0.001655</v>
      </c>
      <c r="X231" s="50">
        <v>0.408323</v>
      </c>
      <c r="Y231" s="50">
        <v>0</v>
      </c>
      <c r="Z231" s="50">
        <v>0</v>
      </c>
      <c r="AA231" s="72">
        <v>219</v>
      </c>
      <c r="AB231" s="72"/>
      <c r="AC231" s="73"/>
      <c r="AD231" s="80" t="s">
        <v>838</v>
      </c>
      <c r="AE231" s="80" t="s">
        <v>1219</v>
      </c>
      <c r="AF231" s="80" t="s">
        <v>1560</v>
      </c>
      <c r="AG231" s="80" t="s">
        <v>1827</v>
      </c>
      <c r="AH231" s="80" t="s">
        <v>2131</v>
      </c>
      <c r="AI231" s="80">
        <v>24640</v>
      </c>
      <c r="AJ231" s="80">
        <v>105</v>
      </c>
      <c r="AK231" s="80">
        <v>377</v>
      </c>
      <c r="AL231" s="80">
        <v>52</v>
      </c>
      <c r="AM231" s="80" t="s">
        <v>2317</v>
      </c>
      <c r="AN231" s="98" t="str">
        <f>HYPERLINK("https://www.youtube.com/watch?v=NY_JNh_duKc")</f>
        <v>https://www.youtube.com/watch?v=NY_JNh_duKc</v>
      </c>
      <c r="AO231" s="80" t="str">
        <f>REPLACE(INDEX(GroupVertices[Group],MATCH(Vertices[[#This Row],[Vertex]],GroupVertices[Vertex],0)),1,1,"")</f>
        <v>2</v>
      </c>
      <c r="AP231" s="49">
        <v>0</v>
      </c>
      <c r="AQ231" s="50">
        <v>0</v>
      </c>
      <c r="AR231" s="49">
        <v>0</v>
      </c>
      <c r="AS231" s="50">
        <v>0</v>
      </c>
      <c r="AT231" s="49">
        <v>0</v>
      </c>
      <c r="AU231" s="50">
        <v>0</v>
      </c>
      <c r="AV231" s="49">
        <v>2</v>
      </c>
      <c r="AW231" s="50">
        <v>100</v>
      </c>
      <c r="AX231" s="49">
        <v>2</v>
      </c>
      <c r="AY231" s="49"/>
      <c r="AZ231" s="49"/>
      <c r="BA231" s="49"/>
      <c r="BB231" s="49"/>
      <c r="BC231" s="2"/>
      <c r="BD231" s="3"/>
      <c r="BE231" s="3"/>
      <c r="BF231" s="3"/>
      <c r="BG231" s="3"/>
    </row>
    <row r="232" spans="1:59" ht="15">
      <c r="A232" s="65" t="s">
        <v>431</v>
      </c>
      <c r="B232" s="66" t="s">
        <v>3536</v>
      </c>
      <c r="C232" s="66"/>
      <c r="D232" s="67">
        <v>212.5</v>
      </c>
      <c r="E232" s="69">
        <v>50</v>
      </c>
      <c r="F232" s="96" t="str">
        <f>HYPERLINK("https://i.ytimg.com/vi/BTH4DqOMp94/default.jpg")</f>
        <v>https://i.ytimg.com/vi/BTH4DqOMp94/default.jpg</v>
      </c>
      <c r="G232" s="66"/>
      <c r="H232" s="70" t="s">
        <v>839</v>
      </c>
      <c r="I232" s="71"/>
      <c r="J232" s="71" t="s">
        <v>159</v>
      </c>
      <c r="K232" s="70" t="s">
        <v>839</v>
      </c>
      <c r="L232" s="74">
        <v>1.1925689792813197</v>
      </c>
      <c r="M232" s="75">
        <v>2750.72216796875</v>
      </c>
      <c r="N232" s="75">
        <v>3916.18896484375</v>
      </c>
      <c r="O232" s="76"/>
      <c r="P232" s="77"/>
      <c r="Q232" s="77"/>
      <c r="R232" s="82"/>
      <c r="S232" s="49">
        <v>1</v>
      </c>
      <c r="T232" s="49">
        <v>0</v>
      </c>
      <c r="U232" s="50">
        <v>0</v>
      </c>
      <c r="V232" s="50">
        <v>0.000915</v>
      </c>
      <c r="W232" s="50">
        <v>0.001655</v>
      </c>
      <c r="X232" s="50">
        <v>0.408323</v>
      </c>
      <c r="Y232" s="50">
        <v>0</v>
      </c>
      <c r="Z232" s="50">
        <v>0</v>
      </c>
      <c r="AA232" s="72">
        <v>220</v>
      </c>
      <c r="AB232" s="72"/>
      <c r="AC232" s="73"/>
      <c r="AD232" s="80" t="s">
        <v>839</v>
      </c>
      <c r="AE232" s="80"/>
      <c r="AF232" s="80" t="s">
        <v>1561</v>
      </c>
      <c r="AG232" s="80" t="s">
        <v>1828</v>
      </c>
      <c r="AH232" s="80" t="s">
        <v>2132</v>
      </c>
      <c r="AI232" s="80">
        <v>4392</v>
      </c>
      <c r="AJ232" s="80">
        <v>5</v>
      </c>
      <c r="AK232" s="80">
        <v>33</v>
      </c>
      <c r="AL232" s="80">
        <v>2</v>
      </c>
      <c r="AM232" s="80" t="s">
        <v>2317</v>
      </c>
      <c r="AN232" s="98" t="str">
        <f>HYPERLINK("https://www.youtube.com/watch?v=BTH4DqOMp94")</f>
        <v>https://www.youtube.com/watch?v=BTH4DqOMp94</v>
      </c>
      <c r="AO232" s="80" t="str">
        <f>REPLACE(INDEX(GroupVertices[Group],MATCH(Vertices[[#This Row],[Vertex]],GroupVertices[Vertex],0)),1,1,"")</f>
        <v>2</v>
      </c>
      <c r="AP232" s="49">
        <v>0</v>
      </c>
      <c r="AQ232" s="50">
        <v>0</v>
      </c>
      <c r="AR232" s="49">
        <v>2</v>
      </c>
      <c r="AS232" s="50">
        <v>20</v>
      </c>
      <c r="AT232" s="49">
        <v>0</v>
      </c>
      <c r="AU232" s="50">
        <v>0</v>
      </c>
      <c r="AV232" s="49">
        <v>8</v>
      </c>
      <c r="AW232" s="50">
        <v>80</v>
      </c>
      <c r="AX232" s="49">
        <v>10</v>
      </c>
      <c r="AY232" s="49"/>
      <c r="AZ232" s="49"/>
      <c r="BA232" s="49"/>
      <c r="BB232" s="49"/>
      <c r="BC232" s="2"/>
      <c r="BD232" s="3"/>
      <c r="BE232" s="3"/>
      <c r="BF232" s="3"/>
      <c r="BG232" s="3"/>
    </row>
    <row r="233" spans="1:59" ht="15">
      <c r="A233" s="65" t="s">
        <v>432</v>
      </c>
      <c r="B233" s="66" t="s">
        <v>3536</v>
      </c>
      <c r="C233" s="66"/>
      <c r="D233" s="67">
        <v>212.5</v>
      </c>
      <c r="E233" s="69">
        <v>50</v>
      </c>
      <c r="F233" s="96" t="str">
        <f>HYPERLINK("https://i.ytimg.com/vi/qI0ZJNl-2KE/default.jpg")</f>
        <v>https://i.ytimg.com/vi/qI0ZJNl-2KE/default.jpg</v>
      </c>
      <c r="G233" s="66"/>
      <c r="H233" s="70" t="s">
        <v>840</v>
      </c>
      <c r="I233" s="71"/>
      <c r="J233" s="71" t="s">
        <v>159</v>
      </c>
      <c r="K233" s="70" t="s">
        <v>840</v>
      </c>
      <c r="L233" s="74">
        <v>11.735116207016405</v>
      </c>
      <c r="M233" s="75">
        <v>2750.72216796875</v>
      </c>
      <c r="N233" s="75">
        <v>2204.066650390625</v>
      </c>
      <c r="O233" s="76"/>
      <c r="P233" s="77"/>
      <c r="Q233" s="77"/>
      <c r="R233" s="82"/>
      <c r="S233" s="49">
        <v>1</v>
      </c>
      <c r="T233" s="49">
        <v>0</v>
      </c>
      <c r="U233" s="50">
        <v>0</v>
      </c>
      <c r="V233" s="50">
        <v>0.000915</v>
      </c>
      <c r="W233" s="50">
        <v>0.001655</v>
      </c>
      <c r="X233" s="50">
        <v>0.408323</v>
      </c>
      <c r="Y233" s="50">
        <v>0</v>
      </c>
      <c r="Z233" s="50">
        <v>0</v>
      </c>
      <c r="AA233" s="72">
        <v>221</v>
      </c>
      <c r="AB233" s="72"/>
      <c r="AC233" s="73"/>
      <c r="AD233" s="80" t="s">
        <v>840</v>
      </c>
      <c r="AE233" s="80" t="s">
        <v>1132</v>
      </c>
      <c r="AF233" s="80" t="s">
        <v>1562</v>
      </c>
      <c r="AG233" s="80" t="s">
        <v>1755</v>
      </c>
      <c r="AH233" s="80" t="s">
        <v>2133</v>
      </c>
      <c r="AI233" s="80">
        <v>244238</v>
      </c>
      <c r="AJ233" s="80">
        <v>204</v>
      </c>
      <c r="AK233" s="80">
        <v>4432</v>
      </c>
      <c r="AL233" s="80">
        <v>104</v>
      </c>
      <c r="AM233" s="80" t="s">
        <v>2317</v>
      </c>
      <c r="AN233" s="98" t="str">
        <f>HYPERLINK("https://www.youtube.com/watch?v=qI0ZJNl-2KE")</f>
        <v>https://www.youtube.com/watch?v=qI0ZJNl-2KE</v>
      </c>
      <c r="AO233" s="80" t="str">
        <f>REPLACE(INDEX(GroupVertices[Group],MATCH(Vertices[[#This Row],[Vertex]],GroupVertices[Vertex],0)),1,1,"")</f>
        <v>2</v>
      </c>
      <c r="AP233" s="49">
        <v>0</v>
      </c>
      <c r="AQ233" s="50">
        <v>0</v>
      </c>
      <c r="AR233" s="49">
        <v>0</v>
      </c>
      <c r="AS233" s="50">
        <v>0</v>
      </c>
      <c r="AT233" s="49">
        <v>0</v>
      </c>
      <c r="AU233" s="50">
        <v>0</v>
      </c>
      <c r="AV233" s="49">
        <v>55</v>
      </c>
      <c r="AW233" s="50">
        <v>100</v>
      </c>
      <c r="AX233" s="49">
        <v>55</v>
      </c>
      <c r="AY233" s="49"/>
      <c r="AZ233" s="49"/>
      <c r="BA233" s="49"/>
      <c r="BB233" s="49"/>
      <c r="BC233" s="2"/>
      <c r="BD233" s="3"/>
      <c r="BE233" s="3"/>
      <c r="BF233" s="3"/>
      <c r="BG233" s="3"/>
    </row>
    <row r="234" spans="1:59" ht="15">
      <c r="A234" s="65" t="s">
        <v>433</v>
      </c>
      <c r="B234" s="66" t="s">
        <v>3536</v>
      </c>
      <c r="C234" s="66"/>
      <c r="D234" s="67">
        <v>212.5</v>
      </c>
      <c r="E234" s="69">
        <v>50</v>
      </c>
      <c r="F234" s="96" t="str">
        <f>HYPERLINK("https://i.ytimg.com/vi/fGcNhs_r_Xc/default.jpg")</f>
        <v>https://i.ytimg.com/vi/fGcNhs_r_Xc/default.jpg</v>
      </c>
      <c r="G234" s="66"/>
      <c r="H234" s="70" t="s">
        <v>841</v>
      </c>
      <c r="I234" s="71"/>
      <c r="J234" s="71" t="s">
        <v>159</v>
      </c>
      <c r="K234" s="70" t="s">
        <v>841</v>
      </c>
      <c r="L234" s="74">
        <v>1.3205673512665292</v>
      </c>
      <c r="M234" s="75">
        <v>1005.551025390625</v>
      </c>
      <c r="N234" s="75">
        <v>3345.4814453125</v>
      </c>
      <c r="O234" s="76"/>
      <c r="P234" s="77"/>
      <c r="Q234" s="77"/>
      <c r="R234" s="82"/>
      <c r="S234" s="49">
        <v>1</v>
      </c>
      <c r="T234" s="49">
        <v>0</v>
      </c>
      <c r="U234" s="50">
        <v>0</v>
      </c>
      <c r="V234" s="50">
        <v>0.000915</v>
      </c>
      <c r="W234" s="50">
        <v>0.001655</v>
      </c>
      <c r="X234" s="50">
        <v>0.408323</v>
      </c>
      <c r="Y234" s="50">
        <v>0</v>
      </c>
      <c r="Z234" s="50">
        <v>0</v>
      </c>
      <c r="AA234" s="72">
        <v>222</v>
      </c>
      <c r="AB234" s="72"/>
      <c r="AC234" s="73"/>
      <c r="AD234" s="80" t="s">
        <v>841</v>
      </c>
      <c r="AE234" s="80" t="s">
        <v>1220</v>
      </c>
      <c r="AF234" s="80" t="s">
        <v>1563</v>
      </c>
      <c r="AG234" s="80" t="s">
        <v>1829</v>
      </c>
      <c r="AH234" s="80" t="s">
        <v>2134</v>
      </c>
      <c r="AI234" s="80">
        <v>7304</v>
      </c>
      <c r="AJ234" s="80">
        <v>1</v>
      </c>
      <c r="AK234" s="80">
        <v>0</v>
      </c>
      <c r="AL234" s="80">
        <v>0</v>
      </c>
      <c r="AM234" s="80" t="s">
        <v>2317</v>
      </c>
      <c r="AN234" s="98" t="str">
        <f>HYPERLINK("https://www.youtube.com/watch?v=fGcNhs_r_Xc")</f>
        <v>https://www.youtube.com/watch?v=fGcNhs_r_Xc</v>
      </c>
      <c r="AO234" s="80" t="str">
        <f>REPLACE(INDEX(GroupVertices[Group],MATCH(Vertices[[#This Row],[Vertex]],GroupVertices[Vertex],0)),1,1,"")</f>
        <v>2</v>
      </c>
      <c r="AP234" s="49">
        <v>0</v>
      </c>
      <c r="AQ234" s="50">
        <v>0</v>
      </c>
      <c r="AR234" s="49">
        <v>0</v>
      </c>
      <c r="AS234" s="50">
        <v>0</v>
      </c>
      <c r="AT234" s="49">
        <v>0</v>
      </c>
      <c r="AU234" s="50">
        <v>0</v>
      </c>
      <c r="AV234" s="49">
        <v>8</v>
      </c>
      <c r="AW234" s="50">
        <v>100</v>
      </c>
      <c r="AX234" s="49">
        <v>8</v>
      </c>
      <c r="AY234" s="49"/>
      <c r="AZ234" s="49"/>
      <c r="BA234" s="49"/>
      <c r="BB234" s="49"/>
      <c r="BC234" s="2"/>
      <c r="BD234" s="3"/>
      <c r="BE234" s="3"/>
      <c r="BF234" s="3"/>
      <c r="BG234" s="3"/>
    </row>
    <row r="235" spans="1:59" ht="15">
      <c r="A235" s="65" t="s">
        <v>434</v>
      </c>
      <c r="B235" s="66" t="s">
        <v>3536</v>
      </c>
      <c r="C235" s="66"/>
      <c r="D235" s="67">
        <v>212.5</v>
      </c>
      <c r="E235" s="69">
        <v>50</v>
      </c>
      <c r="F235" s="96" t="str">
        <f>HYPERLINK("https://i.ytimg.com/vi/Ie2j7GpC4JU/default.jpg")</f>
        <v>https://i.ytimg.com/vi/Ie2j7GpC4JU/default.jpg</v>
      </c>
      <c r="G235" s="66"/>
      <c r="H235" s="70" t="s">
        <v>842</v>
      </c>
      <c r="I235" s="71"/>
      <c r="J235" s="71" t="s">
        <v>159</v>
      </c>
      <c r="K235" s="70" t="s">
        <v>842</v>
      </c>
      <c r="L235" s="74">
        <v>102.20003151535286</v>
      </c>
      <c r="M235" s="75">
        <v>656.5167846679688</v>
      </c>
      <c r="N235" s="75">
        <v>1062.6519775390625</v>
      </c>
      <c r="O235" s="76"/>
      <c r="P235" s="77"/>
      <c r="Q235" s="77"/>
      <c r="R235" s="82"/>
      <c r="S235" s="49">
        <v>1</v>
      </c>
      <c r="T235" s="49">
        <v>0</v>
      </c>
      <c r="U235" s="50">
        <v>0</v>
      </c>
      <c r="V235" s="50">
        <v>0.000915</v>
      </c>
      <c r="W235" s="50">
        <v>0.001655</v>
      </c>
      <c r="X235" s="50">
        <v>0.408323</v>
      </c>
      <c r="Y235" s="50">
        <v>0</v>
      </c>
      <c r="Z235" s="50">
        <v>0</v>
      </c>
      <c r="AA235" s="72">
        <v>223</v>
      </c>
      <c r="AB235" s="72"/>
      <c r="AC235" s="73"/>
      <c r="AD235" s="80" t="s">
        <v>842</v>
      </c>
      <c r="AE235" s="80" t="s">
        <v>1221</v>
      </c>
      <c r="AF235" s="80" t="s">
        <v>1564</v>
      </c>
      <c r="AG235" s="80" t="s">
        <v>1830</v>
      </c>
      <c r="AH235" s="80" t="s">
        <v>2135</v>
      </c>
      <c r="AI235" s="80">
        <v>2302341</v>
      </c>
      <c r="AJ235" s="80">
        <v>984</v>
      </c>
      <c r="AK235" s="80">
        <v>27909</v>
      </c>
      <c r="AL235" s="80">
        <v>461</v>
      </c>
      <c r="AM235" s="80" t="s">
        <v>2317</v>
      </c>
      <c r="AN235" s="98" t="str">
        <f>HYPERLINK("https://www.youtube.com/watch?v=Ie2j7GpC4JU")</f>
        <v>https://www.youtube.com/watch?v=Ie2j7GpC4JU</v>
      </c>
      <c r="AO235" s="80" t="str">
        <f>REPLACE(INDEX(GroupVertices[Group],MATCH(Vertices[[#This Row],[Vertex]],GroupVertices[Vertex],0)),1,1,"")</f>
        <v>2</v>
      </c>
      <c r="AP235" s="49">
        <v>0</v>
      </c>
      <c r="AQ235" s="50">
        <v>0</v>
      </c>
      <c r="AR235" s="49">
        <v>1</v>
      </c>
      <c r="AS235" s="50">
        <v>4.166666666666667</v>
      </c>
      <c r="AT235" s="49">
        <v>0</v>
      </c>
      <c r="AU235" s="50">
        <v>0</v>
      </c>
      <c r="AV235" s="49">
        <v>23</v>
      </c>
      <c r="AW235" s="50">
        <v>95.83333333333333</v>
      </c>
      <c r="AX235" s="49">
        <v>24</v>
      </c>
      <c r="AY235" s="49"/>
      <c r="AZ235" s="49"/>
      <c r="BA235" s="49"/>
      <c r="BB235" s="49"/>
      <c r="BC235" s="2"/>
      <c r="BD235" s="3"/>
      <c r="BE235" s="3"/>
      <c r="BF235" s="3"/>
      <c r="BG235" s="3"/>
    </row>
    <row r="236" spans="1:59" ht="15">
      <c r="A236" s="65" t="s">
        <v>435</v>
      </c>
      <c r="B236" s="66" t="s">
        <v>3536</v>
      </c>
      <c r="C236" s="66"/>
      <c r="D236" s="67">
        <v>212.5</v>
      </c>
      <c r="E236" s="69">
        <v>50</v>
      </c>
      <c r="F236" s="96" t="str">
        <f>HYPERLINK("https://i.ytimg.com/vi/INmIcOPKo_M/default.jpg")</f>
        <v>https://i.ytimg.com/vi/INmIcOPKo_M/default.jpg</v>
      </c>
      <c r="G236" s="66"/>
      <c r="H236" s="70" t="s">
        <v>843</v>
      </c>
      <c r="I236" s="71"/>
      <c r="J236" s="71" t="s">
        <v>159</v>
      </c>
      <c r="K236" s="70" t="s">
        <v>843</v>
      </c>
      <c r="L236" s="74">
        <v>1.8392420729098922</v>
      </c>
      <c r="M236" s="75">
        <v>1005.551025390625</v>
      </c>
      <c r="N236" s="75">
        <v>2774.774169921875</v>
      </c>
      <c r="O236" s="76"/>
      <c r="P236" s="77"/>
      <c r="Q236" s="77"/>
      <c r="R236" s="82"/>
      <c r="S236" s="49">
        <v>1</v>
      </c>
      <c r="T236" s="49">
        <v>0</v>
      </c>
      <c r="U236" s="50">
        <v>0</v>
      </c>
      <c r="V236" s="50">
        <v>0.000915</v>
      </c>
      <c r="W236" s="50">
        <v>0.001655</v>
      </c>
      <c r="X236" s="50">
        <v>0.408323</v>
      </c>
      <c r="Y236" s="50">
        <v>0</v>
      </c>
      <c r="Z236" s="50">
        <v>0</v>
      </c>
      <c r="AA236" s="72">
        <v>224</v>
      </c>
      <c r="AB236" s="72"/>
      <c r="AC236" s="73"/>
      <c r="AD236" s="80" t="s">
        <v>843</v>
      </c>
      <c r="AE236" s="80" t="s">
        <v>1222</v>
      </c>
      <c r="AF236" s="80" t="s">
        <v>1565</v>
      </c>
      <c r="AG236" s="80" t="s">
        <v>1695</v>
      </c>
      <c r="AH236" s="80" t="s">
        <v>2136</v>
      </c>
      <c r="AI236" s="80">
        <v>19104</v>
      </c>
      <c r="AJ236" s="80">
        <v>7</v>
      </c>
      <c r="AK236" s="80">
        <v>137</v>
      </c>
      <c r="AL236" s="80">
        <v>4</v>
      </c>
      <c r="AM236" s="80" t="s">
        <v>2317</v>
      </c>
      <c r="AN236" s="98" t="str">
        <f>HYPERLINK("https://www.youtube.com/watch?v=INmIcOPKo_M")</f>
        <v>https://www.youtube.com/watch?v=INmIcOPKo_M</v>
      </c>
      <c r="AO236" s="80" t="str">
        <f>REPLACE(INDEX(GroupVertices[Group],MATCH(Vertices[[#This Row],[Vertex]],GroupVertices[Vertex],0)),1,1,"")</f>
        <v>2</v>
      </c>
      <c r="AP236" s="49">
        <v>0</v>
      </c>
      <c r="AQ236" s="50">
        <v>0</v>
      </c>
      <c r="AR236" s="49">
        <v>0</v>
      </c>
      <c r="AS236" s="50">
        <v>0</v>
      </c>
      <c r="AT236" s="49">
        <v>0</v>
      </c>
      <c r="AU236" s="50">
        <v>0</v>
      </c>
      <c r="AV236" s="49">
        <v>7</v>
      </c>
      <c r="AW236" s="50">
        <v>100</v>
      </c>
      <c r="AX236" s="49">
        <v>7</v>
      </c>
      <c r="AY236" s="49"/>
      <c r="AZ236" s="49"/>
      <c r="BA236" s="49"/>
      <c r="BB236" s="49"/>
      <c r="BC236" s="2"/>
      <c r="BD236" s="3"/>
      <c r="BE236" s="3"/>
      <c r="BF236" s="3"/>
      <c r="BG236" s="3"/>
    </row>
    <row r="237" spans="1:59" ht="15">
      <c r="A237" s="65" t="s">
        <v>436</v>
      </c>
      <c r="B237" s="66" t="s">
        <v>3536</v>
      </c>
      <c r="C237" s="66"/>
      <c r="D237" s="67">
        <v>212.5</v>
      </c>
      <c r="E237" s="69">
        <v>50</v>
      </c>
      <c r="F237" s="96" t="str">
        <f>HYPERLINK("https://i.ytimg.com/vi/mUriOQDfRn4/default.jpg")</f>
        <v>https://i.ytimg.com/vi/mUriOQDfRn4/default.jpg</v>
      </c>
      <c r="G237" s="66"/>
      <c r="H237" s="70" t="s">
        <v>844</v>
      </c>
      <c r="I237" s="71"/>
      <c r="J237" s="71" t="s">
        <v>159</v>
      </c>
      <c r="K237" s="70" t="s">
        <v>844</v>
      </c>
      <c r="L237" s="74">
        <v>1.0905482988631634</v>
      </c>
      <c r="M237" s="75">
        <v>1005.551025390625</v>
      </c>
      <c r="N237" s="75">
        <v>3916.18896484375</v>
      </c>
      <c r="O237" s="76"/>
      <c r="P237" s="77"/>
      <c r="Q237" s="77"/>
      <c r="R237" s="82"/>
      <c r="S237" s="49">
        <v>1</v>
      </c>
      <c r="T237" s="49">
        <v>0</v>
      </c>
      <c r="U237" s="50">
        <v>0</v>
      </c>
      <c r="V237" s="50">
        <v>0.000915</v>
      </c>
      <c r="W237" s="50">
        <v>0.001655</v>
      </c>
      <c r="X237" s="50">
        <v>0.408323</v>
      </c>
      <c r="Y237" s="50">
        <v>0</v>
      </c>
      <c r="Z237" s="50">
        <v>0</v>
      </c>
      <c r="AA237" s="72">
        <v>225</v>
      </c>
      <c r="AB237" s="72"/>
      <c r="AC237" s="73"/>
      <c r="AD237" s="80" t="s">
        <v>844</v>
      </c>
      <c r="AE237" s="80" t="s">
        <v>1223</v>
      </c>
      <c r="AF237" s="80" t="s">
        <v>1566</v>
      </c>
      <c r="AG237" s="80" t="s">
        <v>1831</v>
      </c>
      <c r="AH237" s="80" t="s">
        <v>2137</v>
      </c>
      <c r="AI237" s="80">
        <v>2071</v>
      </c>
      <c r="AJ237" s="80">
        <v>0</v>
      </c>
      <c r="AK237" s="80">
        <v>0</v>
      </c>
      <c r="AL237" s="80">
        <v>0</v>
      </c>
      <c r="AM237" s="80" t="s">
        <v>2317</v>
      </c>
      <c r="AN237" s="98" t="str">
        <f>HYPERLINK("https://www.youtube.com/watch?v=mUriOQDfRn4")</f>
        <v>https://www.youtube.com/watch?v=mUriOQDfRn4</v>
      </c>
      <c r="AO237" s="80" t="str">
        <f>REPLACE(INDEX(GroupVertices[Group],MATCH(Vertices[[#This Row],[Vertex]],GroupVertices[Vertex],0)),1,1,"")</f>
        <v>2</v>
      </c>
      <c r="AP237" s="49">
        <v>0</v>
      </c>
      <c r="AQ237" s="50">
        <v>0</v>
      </c>
      <c r="AR237" s="49">
        <v>0</v>
      </c>
      <c r="AS237" s="50">
        <v>0</v>
      </c>
      <c r="AT237" s="49">
        <v>0</v>
      </c>
      <c r="AU237" s="50">
        <v>0</v>
      </c>
      <c r="AV237" s="49">
        <v>4</v>
      </c>
      <c r="AW237" s="50">
        <v>100</v>
      </c>
      <c r="AX237" s="49">
        <v>4</v>
      </c>
      <c r="AY237" s="49"/>
      <c r="AZ237" s="49"/>
      <c r="BA237" s="49"/>
      <c r="BB237" s="49"/>
      <c r="BC237" s="2"/>
      <c r="BD237" s="3"/>
      <c r="BE237" s="3"/>
      <c r="BF237" s="3"/>
      <c r="BG237" s="3"/>
    </row>
    <row r="238" spans="1:59" ht="15">
      <c r="A238" s="65" t="s">
        <v>437</v>
      </c>
      <c r="B238" s="66" t="s">
        <v>3536</v>
      </c>
      <c r="C238" s="66"/>
      <c r="D238" s="67">
        <v>212.5</v>
      </c>
      <c r="E238" s="69">
        <v>50</v>
      </c>
      <c r="F238" s="96" t="str">
        <f>HYPERLINK("https://i.ytimg.com/vi/hAXnQgU4bsg/default.jpg")</f>
        <v>https://i.ytimg.com/vi/hAXnQgU4bsg/default.jpg</v>
      </c>
      <c r="G238" s="66"/>
      <c r="H238" s="70" t="s">
        <v>845</v>
      </c>
      <c r="I238" s="71"/>
      <c r="J238" s="71" t="s">
        <v>159</v>
      </c>
      <c r="K238" s="70" t="s">
        <v>845</v>
      </c>
      <c r="L238" s="74">
        <v>3.010787611550617</v>
      </c>
      <c r="M238" s="75">
        <v>2401.68798828125</v>
      </c>
      <c r="N238" s="75">
        <v>2774.774169921875</v>
      </c>
      <c r="O238" s="76"/>
      <c r="P238" s="77"/>
      <c r="Q238" s="77"/>
      <c r="R238" s="82"/>
      <c r="S238" s="49">
        <v>1</v>
      </c>
      <c r="T238" s="49">
        <v>0</v>
      </c>
      <c r="U238" s="50">
        <v>0</v>
      </c>
      <c r="V238" s="50">
        <v>0.000915</v>
      </c>
      <c r="W238" s="50">
        <v>0.001655</v>
      </c>
      <c r="X238" s="50">
        <v>0.408323</v>
      </c>
      <c r="Y238" s="50">
        <v>0</v>
      </c>
      <c r="Z238" s="50">
        <v>0</v>
      </c>
      <c r="AA238" s="72">
        <v>226</v>
      </c>
      <c r="AB238" s="72"/>
      <c r="AC238" s="73"/>
      <c r="AD238" s="80" t="s">
        <v>845</v>
      </c>
      <c r="AE238" s="80" t="s">
        <v>1224</v>
      </c>
      <c r="AF238" s="80" t="s">
        <v>1567</v>
      </c>
      <c r="AG238" s="80" t="s">
        <v>1695</v>
      </c>
      <c r="AH238" s="80" t="s">
        <v>2138</v>
      </c>
      <c r="AI238" s="80">
        <v>45757</v>
      </c>
      <c r="AJ238" s="80">
        <v>13</v>
      </c>
      <c r="AK238" s="80">
        <v>197</v>
      </c>
      <c r="AL238" s="80">
        <v>11</v>
      </c>
      <c r="AM238" s="80" t="s">
        <v>2317</v>
      </c>
      <c r="AN238" s="98" t="str">
        <f>HYPERLINK("https://www.youtube.com/watch?v=hAXnQgU4bsg")</f>
        <v>https://www.youtube.com/watch?v=hAXnQgU4bsg</v>
      </c>
      <c r="AO238" s="80" t="str">
        <f>REPLACE(INDEX(GroupVertices[Group],MATCH(Vertices[[#This Row],[Vertex]],GroupVertices[Vertex],0)),1,1,"")</f>
        <v>2</v>
      </c>
      <c r="AP238" s="49">
        <v>0</v>
      </c>
      <c r="AQ238" s="50">
        <v>0</v>
      </c>
      <c r="AR238" s="49">
        <v>3</v>
      </c>
      <c r="AS238" s="50">
        <v>9.67741935483871</v>
      </c>
      <c r="AT238" s="49">
        <v>0</v>
      </c>
      <c r="AU238" s="50">
        <v>0</v>
      </c>
      <c r="AV238" s="49">
        <v>28</v>
      </c>
      <c r="AW238" s="50">
        <v>90.3225806451613</v>
      </c>
      <c r="AX238" s="49">
        <v>31</v>
      </c>
      <c r="AY238" s="49"/>
      <c r="AZ238" s="49"/>
      <c r="BA238" s="49"/>
      <c r="BB238" s="49"/>
      <c r="BC238" s="2"/>
      <c r="BD238" s="3"/>
      <c r="BE238" s="3"/>
      <c r="BF238" s="3"/>
      <c r="BG238" s="3"/>
    </row>
    <row r="239" spans="1:59" ht="15">
      <c r="A239" s="65" t="s">
        <v>438</v>
      </c>
      <c r="B239" s="66" t="s">
        <v>3536</v>
      </c>
      <c r="C239" s="66"/>
      <c r="D239" s="67">
        <v>212.5</v>
      </c>
      <c r="E239" s="69">
        <v>50</v>
      </c>
      <c r="F239" s="96" t="str">
        <f>HYPERLINK("https://i.ytimg.com/vi/I2L1NXhZOEE/default.jpg")</f>
        <v>https://i.ytimg.com/vi/I2L1NXhZOEE/default.jpg</v>
      </c>
      <c r="G239" s="66"/>
      <c r="H239" s="70" t="s">
        <v>846</v>
      </c>
      <c r="I239" s="71"/>
      <c r="J239" s="71" t="s">
        <v>159</v>
      </c>
      <c r="K239" s="70" t="s">
        <v>846</v>
      </c>
      <c r="L239" s="74">
        <v>18.541139531129684</v>
      </c>
      <c r="M239" s="75">
        <v>1703.6195068359375</v>
      </c>
      <c r="N239" s="75">
        <v>1633.359375</v>
      </c>
      <c r="O239" s="76"/>
      <c r="P239" s="77"/>
      <c r="Q239" s="77"/>
      <c r="R239" s="82"/>
      <c r="S239" s="49">
        <v>1</v>
      </c>
      <c r="T239" s="49">
        <v>0</v>
      </c>
      <c r="U239" s="50">
        <v>0</v>
      </c>
      <c r="V239" s="50">
        <v>0.000915</v>
      </c>
      <c r="W239" s="50">
        <v>0.001655</v>
      </c>
      <c r="X239" s="50">
        <v>0.408323</v>
      </c>
      <c r="Y239" s="50">
        <v>0</v>
      </c>
      <c r="Z239" s="50">
        <v>0</v>
      </c>
      <c r="AA239" s="72">
        <v>227</v>
      </c>
      <c r="AB239" s="72"/>
      <c r="AC239" s="73"/>
      <c r="AD239" s="80" t="s">
        <v>846</v>
      </c>
      <c r="AE239" s="80" t="s">
        <v>1225</v>
      </c>
      <c r="AF239" s="80" t="s">
        <v>1568</v>
      </c>
      <c r="AG239" s="80" t="s">
        <v>1757</v>
      </c>
      <c r="AH239" s="80" t="s">
        <v>2139</v>
      </c>
      <c r="AI239" s="80">
        <v>399077</v>
      </c>
      <c r="AJ239" s="80">
        <v>289</v>
      </c>
      <c r="AK239" s="80">
        <v>6028</v>
      </c>
      <c r="AL239" s="80">
        <v>134</v>
      </c>
      <c r="AM239" s="80" t="s">
        <v>2317</v>
      </c>
      <c r="AN239" s="98" t="str">
        <f>HYPERLINK("https://www.youtube.com/watch?v=I2L1NXhZOEE")</f>
        <v>https://www.youtube.com/watch?v=I2L1NXhZOEE</v>
      </c>
      <c r="AO239" s="80" t="str">
        <f>REPLACE(INDEX(GroupVertices[Group],MATCH(Vertices[[#This Row],[Vertex]],GroupVertices[Vertex],0)),1,1,"")</f>
        <v>2</v>
      </c>
      <c r="AP239" s="49">
        <v>1</v>
      </c>
      <c r="AQ239" s="50">
        <v>1.8867924528301887</v>
      </c>
      <c r="AR239" s="49">
        <v>2</v>
      </c>
      <c r="AS239" s="50">
        <v>3.7735849056603774</v>
      </c>
      <c r="AT239" s="49">
        <v>0</v>
      </c>
      <c r="AU239" s="50">
        <v>0</v>
      </c>
      <c r="AV239" s="49">
        <v>50</v>
      </c>
      <c r="AW239" s="50">
        <v>94.33962264150944</v>
      </c>
      <c r="AX239" s="49">
        <v>53</v>
      </c>
      <c r="AY239" s="49"/>
      <c r="AZ239" s="49"/>
      <c r="BA239" s="49"/>
      <c r="BB239" s="49"/>
      <c r="BC239" s="2"/>
      <c r="BD239" s="3"/>
      <c r="BE239" s="3"/>
      <c r="BF239" s="3"/>
      <c r="BG239" s="3"/>
    </row>
    <row r="240" spans="1:59" ht="15">
      <c r="A240" s="65" t="s">
        <v>439</v>
      </c>
      <c r="B240" s="66" t="s">
        <v>3536</v>
      </c>
      <c r="C240" s="66"/>
      <c r="D240" s="67">
        <v>437.5</v>
      </c>
      <c r="E240" s="69">
        <v>100</v>
      </c>
      <c r="F240" s="96" t="str">
        <f>HYPERLINK("https://i.ytimg.com/vi/ZxUmspb1DmY/default.jpg")</f>
        <v>https://i.ytimg.com/vi/ZxUmspb1DmY/default.jpg</v>
      </c>
      <c r="G240" s="66"/>
      <c r="H240" s="70" t="s">
        <v>847</v>
      </c>
      <c r="I240" s="71"/>
      <c r="J240" s="71" t="s">
        <v>75</v>
      </c>
      <c r="K240" s="70" t="s">
        <v>847</v>
      </c>
      <c r="L240" s="74">
        <v>1.0032527058814922</v>
      </c>
      <c r="M240" s="75">
        <v>5916.01123046875</v>
      </c>
      <c r="N240" s="75">
        <v>3774.711181640625</v>
      </c>
      <c r="O240" s="76"/>
      <c r="P240" s="77"/>
      <c r="Q240" s="77"/>
      <c r="R240" s="82"/>
      <c r="S240" s="49">
        <v>3</v>
      </c>
      <c r="T240" s="49">
        <v>0</v>
      </c>
      <c r="U240" s="50">
        <v>0</v>
      </c>
      <c r="V240" s="50">
        <v>0.001015</v>
      </c>
      <c r="W240" s="50">
        <v>0.005065</v>
      </c>
      <c r="X240" s="50">
        <v>0.902339</v>
      </c>
      <c r="Y240" s="50">
        <v>1</v>
      </c>
      <c r="Z240" s="50">
        <v>0</v>
      </c>
      <c r="AA240" s="72">
        <v>228</v>
      </c>
      <c r="AB240" s="72"/>
      <c r="AC240" s="73"/>
      <c r="AD240" s="80" t="s">
        <v>847</v>
      </c>
      <c r="AE240" s="80"/>
      <c r="AF240" s="80"/>
      <c r="AG240" s="80" t="s">
        <v>1832</v>
      </c>
      <c r="AH240" s="80" t="s">
        <v>2140</v>
      </c>
      <c r="AI240" s="80">
        <v>85</v>
      </c>
      <c r="AJ240" s="80">
        <v>0</v>
      </c>
      <c r="AK240" s="80">
        <v>1</v>
      </c>
      <c r="AL240" s="80">
        <v>0</v>
      </c>
      <c r="AM240" s="80" t="s">
        <v>2317</v>
      </c>
      <c r="AN240" s="98" t="str">
        <f>HYPERLINK("https://www.youtube.com/watch?v=ZxUmspb1DmY")</f>
        <v>https://www.youtube.com/watch?v=ZxUmspb1DmY</v>
      </c>
      <c r="AO240" s="80" t="str">
        <f>REPLACE(INDEX(GroupVertices[Group],MATCH(Vertices[[#This Row],[Vertex]],GroupVertices[Vertex],0)),1,1,"")</f>
        <v>7</v>
      </c>
      <c r="AP240" s="49"/>
      <c r="AQ240" s="50"/>
      <c r="AR240" s="49"/>
      <c r="AS240" s="50"/>
      <c r="AT240" s="49"/>
      <c r="AU240" s="50"/>
      <c r="AV240" s="49"/>
      <c r="AW240" s="50"/>
      <c r="AX240" s="49"/>
      <c r="AY240" s="49"/>
      <c r="AZ240" s="49"/>
      <c r="BA240" s="49"/>
      <c r="BB240" s="49"/>
      <c r="BC240" s="2"/>
      <c r="BD240" s="3"/>
      <c r="BE240" s="3"/>
      <c r="BF240" s="3"/>
      <c r="BG240" s="3"/>
    </row>
    <row r="241" spans="1:59" ht="15">
      <c r="A241" s="65" t="s">
        <v>440</v>
      </c>
      <c r="B241" s="66" t="s">
        <v>3536</v>
      </c>
      <c r="C241" s="66"/>
      <c r="D241" s="67">
        <v>212.5</v>
      </c>
      <c r="E241" s="69">
        <v>50</v>
      </c>
      <c r="F241" s="96" t="str">
        <f>HYPERLINK("https://i.ytimg.com/vi/UopUxkeC4Ls/default.jpg")</f>
        <v>https://i.ytimg.com/vi/UopUxkeC4Ls/default.jpg</v>
      </c>
      <c r="G241" s="66"/>
      <c r="H241" s="70" t="s">
        <v>848</v>
      </c>
      <c r="I241" s="71"/>
      <c r="J241" s="71" t="s">
        <v>159</v>
      </c>
      <c r="K241" s="70" t="s">
        <v>848</v>
      </c>
      <c r="L241" s="74">
        <v>11.86175195897018</v>
      </c>
      <c r="M241" s="75">
        <v>307.4825439453125</v>
      </c>
      <c r="N241" s="75">
        <v>1633.359375</v>
      </c>
      <c r="O241" s="76"/>
      <c r="P241" s="77"/>
      <c r="Q241" s="77"/>
      <c r="R241" s="82"/>
      <c r="S241" s="49">
        <v>1</v>
      </c>
      <c r="T241" s="49">
        <v>0</v>
      </c>
      <c r="U241" s="50">
        <v>0</v>
      </c>
      <c r="V241" s="50">
        <v>0.000915</v>
      </c>
      <c r="W241" s="50">
        <v>0.001655</v>
      </c>
      <c r="X241" s="50">
        <v>0.408323</v>
      </c>
      <c r="Y241" s="50">
        <v>0</v>
      </c>
      <c r="Z241" s="50">
        <v>0</v>
      </c>
      <c r="AA241" s="72">
        <v>229</v>
      </c>
      <c r="AB241" s="72"/>
      <c r="AC241" s="73"/>
      <c r="AD241" s="80" t="s">
        <v>848</v>
      </c>
      <c r="AE241" s="80" t="s">
        <v>1226</v>
      </c>
      <c r="AF241" s="80" t="s">
        <v>1569</v>
      </c>
      <c r="AG241" s="80" t="s">
        <v>1833</v>
      </c>
      <c r="AH241" s="80" t="s">
        <v>2141</v>
      </c>
      <c r="AI241" s="80">
        <v>247119</v>
      </c>
      <c r="AJ241" s="80">
        <v>189</v>
      </c>
      <c r="AK241" s="80">
        <v>2707</v>
      </c>
      <c r="AL241" s="80">
        <v>78</v>
      </c>
      <c r="AM241" s="80" t="s">
        <v>2317</v>
      </c>
      <c r="AN241" s="98" t="str">
        <f>HYPERLINK("https://www.youtube.com/watch?v=UopUxkeC4Ls")</f>
        <v>https://www.youtube.com/watch?v=UopUxkeC4Ls</v>
      </c>
      <c r="AO241" s="80" t="str">
        <f>REPLACE(INDEX(GroupVertices[Group],MATCH(Vertices[[#This Row],[Vertex]],GroupVertices[Vertex],0)),1,1,"")</f>
        <v>2</v>
      </c>
      <c r="AP241" s="49">
        <v>0</v>
      </c>
      <c r="AQ241" s="50">
        <v>0</v>
      </c>
      <c r="AR241" s="49">
        <v>2</v>
      </c>
      <c r="AS241" s="50">
        <v>9.090909090909092</v>
      </c>
      <c r="AT241" s="49">
        <v>0</v>
      </c>
      <c r="AU241" s="50">
        <v>0</v>
      </c>
      <c r="AV241" s="49">
        <v>20</v>
      </c>
      <c r="AW241" s="50">
        <v>90.9090909090909</v>
      </c>
      <c r="AX241" s="49">
        <v>22</v>
      </c>
      <c r="AY241" s="49"/>
      <c r="AZ241" s="49"/>
      <c r="BA241" s="49"/>
      <c r="BB241" s="49"/>
      <c r="BC241" s="2"/>
      <c r="BD241" s="3"/>
      <c r="BE241" s="3"/>
      <c r="BF241" s="3"/>
      <c r="BG241" s="3"/>
    </row>
    <row r="242" spans="1:59" ht="15">
      <c r="A242" s="65" t="s">
        <v>441</v>
      </c>
      <c r="B242" s="66" t="s">
        <v>3536</v>
      </c>
      <c r="C242" s="66"/>
      <c r="D242" s="67">
        <v>212.5</v>
      </c>
      <c r="E242" s="69">
        <v>50</v>
      </c>
      <c r="F242" s="96" t="str">
        <f>HYPERLINK("https://i.ytimg.com/vi/qG_YmIPFO68/default.jpg")</f>
        <v>https://i.ytimg.com/vi/qG_YmIPFO68/default.jpg</v>
      </c>
      <c r="G242" s="66"/>
      <c r="H242" s="70" t="s">
        <v>849</v>
      </c>
      <c r="I242" s="71"/>
      <c r="J242" s="71" t="s">
        <v>159</v>
      </c>
      <c r="K242" s="70" t="s">
        <v>849</v>
      </c>
      <c r="L242" s="74">
        <v>11.974585688670054</v>
      </c>
      <c r="M242" s="75">
        <v>1005.551025390625</v>
      </c>
      <c r="N242" s="75">
        <v>1633.359375</v>
      </c>
      <c r="O242" s="76"/>
      <c r="P242" s="77"/>
      <c r="Q242" s="77"/>
      <c r="R242" s="82"/>
      <c r="S242" s="49">
        <v>1</v>
      </c>
      <c r="T242" s="49">
        <v>0</v>
      </c>
      <c r="U242" s="50">
        <v>0</v>
      </c>
      <c r="V242" s="50">
        <v>0.000915</v>
      </c>
      <c r="W242" s="50">
        <v>0.001655</v>
      </c>
      <c r="X242" s="50">
        <v>0.408323</v>
      </c>
      <c r="Y242" s="50">
        <v>0</v>
      </c>
      <c r="Z242" s="50">
        <v>0</v>
      </c>
      <c r="AA242" s="72">
        <v>230</v>
      </c>
      <c r="AB242" s="72"/>
      <c r="AC242" s="73"/>
      <c r="AD242" s="80" t="s">
        <v>849</v>
      </c>
      <c r="AE242" s="80" t="s">
        <v>1227</v>
      </c>
      <c r="AF242" s="80" t="s">
        <v>1570</v>
      </c>
      <c r="AG242" s="80" t="s">
        <v>1756</v>
      </c>
      <c r="AH242" s="80" t="s">
        <v>2142</v>
      </c>
      <c r="AI242" s="80">
        <v>249686</v>
      </c>
      <c r="AJ242" s="80">
        <v>317</v>
      </c>
      <c r="AK242" s="80">
        <v>4596</v>
      </c>
      <c r="AL242" s="80">
        <v>100</v>
      </c>
      <c r="AM242" s="80" t="s">
        <v>2317</v>
      </c>
      <c r="AN242" s="98" t="str">
        <f>HYPERLINK("https://www.youtube.com/watch?v=qG_YmIPFO68")</f>
        <v>https://www.youtube.com/watch?v=qG_YmIPFO68</v>
      </c>
      <c r="AO242" s="80" t="str">
        <f>REPLACE(INDEX(GroupVertices[Group],MATCH(Vertices[[#This Row],[Vertex]],GroupVertices[Vertex],0)),1,1,"")</f>
        <v>2</v>
      </c>
      <c r="AP242" s="49">
        <v>0</v>
      </c>
      <c r="AQ242" s="50">
        <v>0</v>
      </c>
      <c r="AR242" s="49">
        <v>1</v>
      </c>
      <c r="AS242" s="50">
        <v>5.555555555555555</v>
      </c>
      <c r="AT242" s="49">
        <v>0</v>
      </c>
      <c r="AU242" s="50">
        <v>0</v>
      </c>
      <c r="AV242" s="49">
        <v>17</v>
      </c>
      <c r="AW242" s="50">
        <v>94.44444444444444</v>
      </c>
      <c r="AX242" s="49">
        <v>18</v>
      </c>
      <c r="AY242" s="49"/>
      <c r="AZ242" s="49"/>
      <c r="BA242" s="49"/>
      <c r="BB242" s="49"/>
      <c r="BC242" s="2"/>
      <c r="BD242" s="3"/>
      <c r="BE242" s="3"/>
      <c r="BF242" s="3"/>
      <c r="BG242" s="3"/>
    </row>
    <row r="243" spans="1:59" ht="15">
      <c r="A243" s="65" t="s">
        <v>442</v>
      </c>
      <c r="B243" s="66" t="s">
        <v>3536</v>
      </c>
      <c r="C243" s="66"/>
      <c r="D243" s="67">
        <v>212.5</v>
      </c>
      <c r="E243" s="69">
        <v>50</v>
      </c>
      <c r="F243" s="96" t="str">
        <f>HYPERLINK("https://i.ytimg.com/vi/WJUcZPqgEXU/default.jpg")</f>
        <v>https://i.ytimg.com/vi/WJUcZPqgEXU/default.jpg</v>
      </c>
      <c r="G243" s="66"/>
      <c r="H243" s="70" t="s">
        <v>850</v>
      </c>
      <c r="I243" s="71"/>
      <c r="J243" s="71" t="s">
        <v>159</v>
      </c>
      <c r="K243" s="70" t="s">
        <v>850</v>
      </c>
      <c r="L243" s="74">
        <v>9.886919934055518</v>
      </c>
      <c r="M243" s="75">
        <v>2401.68798828125</v>
      </c>
      <c r="N243" s="75">
        <v>2204.066650390625</v>
      </c>
      <c r="O243" s="76"/>
      <c r="P243" s="77"/>
      <c r="Q243" s="77"/>
      <c r="R243" s="82"/>
      <c r="S243" s="49">
        <v>1</v>
      </c>
      <c r="T243" s="49">
        <v>0</v>
      </c>
      <c r="U243" s="50">
        <v>0</v>
      </c>
      <c r="V243" s="50">
        <v>0.000915</v>
      </c>
      <c r="W243" s="50">
        <v>0.001655</v>
      </c>
      <c r="X243" s="50">
        <v>0.408323</v>
      </c>
      <c r="Y243" s="50">
        <v>0</v>
      </c>
      <c r="Z243" s="50">
        <v>0</v>
      </c>
      <c r="AA243" s="72">
        <v>231</v>
      </c>
      <c r="AB243" s="72"/>
      <c r="AC243" s="73"/>
      <c r="AD243" s="80" t="s">
        <v>850</v>
      </c>
      <c r="AE243" s="80" t="s">
        <v>1228</v>
      </c>
      <c r="AF243" s="80" t="s">
        <v>1571</v>
      </c>
      <c r="AG243" s="80" t="s">
        <v>1695</v>
      </c>
      <c r="AH243" s="80" t="s">
        <v>2143</v>
      </c>
      <c r="AI243" s="80">
        <v>202191</v>
      </c>
      <c r="AJ243" s="80">
        <v>174</v>
      </c>
      <c r="AK243" s="80">
        <v>860</v>
      </c>
      <c r="AL243" s="80">
        <v>52</v>
      </c>
      <c r="AM243" s="80" t="s">
        <v>2317</v>
      </c>
      <c r="AN243" s="98" t="str">
        <f>HYPERLINK("https://www.youtube.com/watch?v=WJUcZPqgEXU")</f>
        <v>https://www.youtube.com/watch?v=WJUcZPqgEXU</v>
      </c>
      <c r="AO243" s="80" t="str">
        <f>REPLACE(INDEX(GroupVertices[Group],MATCH(Vertices[[#This Row],[Vertex]],GroupVertices[Vertex],0)),1,1,"")</f>
        <v>2</v>
      </c>
      <c r="AP243" s="49">
        <v>0</v>
      </c>
      <c r="AQ243" s="50">
        <v>0</v>
      </c>
      <c r="AR243" s="49">
        <v>0</v>
      </c>
      <c r="AS243" s="50">
        <v>0</v>
      </c>
      <c r="AT243" s="49">
        <v>0</v>
      </c>
      <c r="AU243" s="50">
        <v>0</v>
      </c>
      <c r="AV243" s="49">
        <v>3</v>
      </c>
      <c r="AW243" s="50">
        <v>100</v>
      </c>
      <c r="AX243" s="49">
        <v>3</v>
      </c>
      <c r="AY243" s="49"/>
      <c r="AZ243" s="49"/>
      <c r="BA243" s="49"/>
      <c r="BB243" s="49"/>
      <c r="BC243" s="2"/>
      <c r="BD243" s="3"/>
      <c r="BE243" s="3"/>
      <c r="BF243" s="3"/>
      <c r="BG243" s="3"/>
    </row>
    <row r="244" spans="1:59" ht="15">
      <c r="A244" s="65" t="s">
        <v>443</v>
      </c>
      <c r="B244" s="66" t="s">
        <v>3536</v>
      </c>
      <c r="C244" s="66"/>
      <c r="D244" s="67">
        <v>212.5</v>
      </c>
      <c r="E244" s="69">
        <v>50</v>
      </c>
      <c r="F244" s="96" t="str">
        <f>HYPERLINK("https://i.ytimg.com/vi/GEmuEWjHr5c/default.jpg")</f>
        <v>https://i.ytimg.com/vi/GEmuEWjHr5c/default.jpg</v>
      </c>
      <c r="G244" s="66"/>
      <c r="H244" s="70" t="s">
        <v>851</v>
      </c>
      <c r="I244" s="71"/>
      <c r="J244" s="71" t="s">
        <v>159</v>
      </c>
      <c r="K244" s="70" t="s">
        <v>851</v>
      </c>
      <c r="L244" s="74">
        <v>84.26975407653599</v>
      </c>
      <c r="M244" s="75">
        <v>2750.72216796875</v>
      </c>
      <c r="N244" s="75">
        <v>1633.359375</v>
      </c>
      <c r="O244" s="76"/>
      <c r="P244" s="77"/>
      <c r="Q244" s="77"/>
      <c r="R244" s="82"/>
      <c r="S244" s="49">
        <v>1</v>
      </c>
      <c r="T244" s="49">
        <v>0</v>
      </c>
      <c r="U244" s="50">
        <v>0</v>
      </c>
      <c r="V244" s="50">
        <v>0.000915</v>
      </c>
      <c r="W244" s="50">
        <v>0.001655</v>
      </c>
      <c r="X244" s="50">
        <v>0.408323</v>
      </c>
      <c r="Y244" s="50">
        <v>0</v>
      </c>
      <c r="Z244" s="50">
        <v>0</v>
      </c>
      <c r="AA244" s="72">
        <v>232</v>
      </c>
      <c r="AB244" s="72"/>
      <c r="AC244" s="73"/>
      <c r="AD244" s="80" t="s">
        <v>851</v>
      </c>
      <c r="AE244" s="80" t="s">
        <v>1229</v>
      </c>
      <c r="AF244" s="80" t="s">
        <v>1572</v>
      </c>
      <c r="AG244" s="80" t="s">
        <v>1834</v>
      </c>
      <c r="AH244" s="80" t="s">
        <v>2144</v>
      </c>
      <c r="AI244" s="80">
        <v>1894422</v>
      </c>
      <c r="AJ244" s="80">
        <v>4184</v>
      </c>
      <c r="AK244" s="80">
        <v>56645</v>
      </c>
      <c r="AL244" s="80">
        <v>907</v>
      </c>
      <c r="AM244" s="80" t="s">
        <v>2317</v>
      </c>
      <c r="AN244" s="98" t="str">
        <f>HYPERLINK("https://www.youtube.com/watch?v=GEmuEWjHr5c")</f>
        <v>https://www.youtube.com/watch?v=GEmuEWjHr5c</v>
      </c>
      <c r="AO244" s="80" t="str">
        <f>REPLACE(INDEX(GroupVertices[Group],MATCH(Vertices[[#This Row],[Vertex]],GroupVertices[Vertex],0)),1,1,"")</f>
        <v>2</v>
      </c>
      <c r="AP244" s="49">
        <v>2</v>
      </c>
      <c r="AQ244" s="50">
        <v>10.526315789473685</v>
      </c>
      <c r="AR244" s="49">
        <v>0</v>
      </c>
      <c r="AS244" s="50">
        <v>0</v>
      </c>
      <c r="AT244" s="49">
        <v>0</v>
      </c>
      <c r="AU244" s="50">
        <v>0</v>
      </c>
      <c r="AV244" s="49">
        <v>17</v>
      </c>
      <c r="AW244" s="50">
        <v>89.47368421052632</v>
      </c>
      <c r="AX244" s="49">
        <v>19</v>
      </c>
      <c r="AY244" s="49"/>
      <c r="AZ244" s="49"/>
      <c r="BA244" s="49"/>
      <c r="BB244" s="49"/>
      <c r="BC244" s="2"/>
      <c r="BD244" s="3"/>
      <c r="BE244" s="3"/>
      <c r="BF244" s="3"/>
      <c r="BG244" s="3"/>
    </row>
    <row r="245" spans="1:59" ht="15">
      <c r="A245" s="65" t="s">
        <v>444</v>
      </c>
      <c r="B245" s="66" t="s">
        <v>3536</v>
      </c>
      <c r="C245" s="66"/>
      <c r="D245" s="67">
        <v>212.5</v>
      </c>
      <c r="E245" s="69">
        <v>50</v>
      </c>
      <c r="F245" s="96" t="str">
        <f>HYPERLINK("https://i.ytimg.com/vi/d5wfMNNr3ak/default.jpg")</f>
        <v>https://i.ytimg.com/vi/d5wfMNNr3ak/default.jpg</v>
      </c>
      <c r="G245" s="66"/>
      <c r="H245" s="70" t="s">
        <v>852</v>
      </c>
      <c r="I245" s="71"/>
      <c r="J245" s="71" t="s">
        <v>159</v>
      </c>
      <c r="K245" s="70" t="s">
        <v>852</v>
      </c>
      <c r="L245" s="74">
        <v>147.25629360835944</v>
      </c>
      <c r="M245" s="75">
        <v>2052.65380859375</v>
      </c>
      <c r="N245" s="75">
        <v>1062.6519775390625</v>
      </c>
      <c r="O245" s="76"/>
      <c r="P245" s="77"/>
      <c r="Q245" s="77"/>
      <c r="R245" s="82"/>
      <c r="S245" s="49">
        <v>1</v>
      </c>
      <c r="T245" s="49">
        <v>0</v>
      </c>
      <c r="U245" s="50">
        <v>0</v>
      </c>
      <c r="V245" s="50">
        <v>0.000915</v>
      </c>
      <c r="W245" s="50">
        <v>0.001655</v>
      </c>
      <c r="X245" s="50">
        <v>0.408323</v>
      </c>
      <c r="Y245" s="50">
        <v>0</v>
      </c>
      <c r="Z245" s="50">
        <v>0</v>
      </c>
      <c r="AA245" s="72">
        <v>233</v>
      </c>
      <c r="AB245" s="72"/>
      <c r="AC245" s="73"/>
      <c r="AD245" s="80" t="s">
        <v>852</v>
      </c>
      <c r="AE245" s="80" t="s">
        <v>1230</v>
      </c>
      <c r="AF245" s="80" t="s">
        <v>1573</v>
      </c>
      <c r="AG245" s="80" t="s">
        <v>1698</v>
      </c>
      <c r="AH245" s="80" t="s">
        <v>2145</v>
      </c>
      <c r="AI245" s="80">
        <v>3327384</v>
      </c>
      <c r="AJ245" s="80">
        <v>8549</v>
      </c>
      <c r="AK245" s="80">
        <v>41076</v>
      </c>
      <c r="AL245" s="80">
        <v>5007</v>
      </c>
      <c r="AM245" s="80" t="s">
        <v>2317</v>
      </c>
      <c r="AN245" s="98" t="str">
        <f>HYPERLINK("https://www.youtube.com/watch?v=d5wfMNNr3ak")</f>
        <v>https://www.youtube.com/watch?v=d5wfMNNr3ak</v>
      </c>
      <c r="AO245" s="80" t="str">
        <f>REPLACE(INDEX(GroupVertices[Group],MATCH(Vertices[[#This Row],[Vertex]],GroupVertices[Vertex],0)),1,1,"")</f>
        <v>2</v>
      </c>
      <c r="AP245" s="49">
        <v>0</v>
      </c>
      <c r="AQ245" s="50">
        <v>0</v>
      </c>
      <c r="AR245" s="49">
        <v>0</v>
      </c>
      <c r="AS245" s="50">
        <v>0</v>
      </c>
      <c r="AT245" s="49">
        <v>0</v>
      </c>
      <c r="AU245" s="50">
        <v>0</v>
      </c>
      <c r="AV245" s="49">
        <v>21</v>
      </c>
      <c r="AW245" s="50">
        <v>100</v>
      </c>
      <c r="AX245" s="49">
        <v>21</v>
      </c>
      <c r="AY245" s="49"/>
      <c r="AZ245" s="49"/>
      <c r="BA245" s="49"/>
      <c r="BB245" s="49"/>
      <c r="BC245" s="2"/>
      <c r="BD245" s="3"/>
      <c r="BE245" s="3"/>
      <c r="BF245" s="3"/>
      <c r="BG245" s="3"/>
    </row>
    <row r="246" spans="1:59" ht="15">
      <c r="A246" s="65" t="s">
        <v>445</v>
      </c>
      <c r="B246" s="66" t="s">
        <v>3536</v>
      </c>
      <c r="C246" s="66"/>
      <c r="D246" s="67">
        <v>212.5</v>
      </c>
      <c r="E246" s="69">
        <v>50</v>
      </c>
      <c r="F246" s="96" t="str">
        <f>HYPERLINK("https://i.ytimg.com/vi/ZqWB25yUWnc/default.jpg")</f>
        <v>https://i.ytimg.com/vi/ZqWB25yUWnc/default.jpg</v>
      </c>
      <c r="G246" s="66"/>
      <c r="H246" s="70" t="s">
        <v>853</v>
      </c>
      <c r="I246" s="71"/>
      <c r="J246" s="71" t="s">
        <v>159</v>
      </c>
      <c r="K246" s="70" t="s">
        <v>853</v>
      </c>
      <c r="L246" s="74">
        <v>4.049763407778089</v>
      </c>
      <c r="M246" s="75">
        <v>307.4825439453125</v>
      </c>
      <c r="N246" s="75">
        <v>2204.066650390625</v>
      </c>
      <c r="O246" s="76"/>
      <c r="P246" s="77"/>
      <c r="Q246" s="77"/>
      <c r="R246" s="82"/>
      <c r="S246" s="49">
        <v>1</v>
      </c>
      <c r="T246" s="49">
        <v>0</v>
      </c>
      <c r="U246" s="50">
        <v>0</v>
      </c>
      <c r="V246" s="50">
        <v>0.000915</v>
      </c>
      <c r="W246" s="50">
        <v>0.001655</v>
      </c>
      <c r="X246" s="50">
        <v>0.408323</v>
      </c>
      <c r="Y246" s="50">
        <v>0</v>
      </c>
      <c r="Z246" s="50">
        <v>0</v>
      </c>
      <c r="AA246" s="72">
        <v>234</v>
      </c>
      <c r="AB246" s="72"/>
      <c r="AC246" s="73"/>
      <c r="AD246" s="80" t="s">
        <v>853</v>
      </c>
      <c r="AE246" s="80" t="s">
        <v>1231</v>
      </c>
      <c r="AF246" s="80" t="s">
        <v>1574</v>
      </c>
      <c r="AG246" s="80" t="s">
        <v>1695</v>
      </c>
      <c r="AH246" s="80" t="s">
        <v>2146</v>
      </c>
      <c r="AI246" s="80">
        <v>69394</v>
      </c>
      <c r="AJ246" s="80">
        <v>16</v>
      </c>
      <c r="AK246" s="80">
        <v>326</v>
      </c>
      <c r="AL246" s="80">
        <v>8</v>
      </c>
      <c r="AM246" s="80" t="s">
        <v>2317</v>
      </c>
      <c r="AN246" s="98" t="str">
        <f>HYPERLINK("https://www.youtube.com/watch?v=ZqWB25yUWnc")</f>
        <v>https://www.youtube.com/watch?v=ZqWB25yUWnc</v>
      </c>
      <c r="AO246" s="80" t="str">
        <f>REPLACE(INDEX(GroupVertices[Group],MATCH(Vertices[[#This Row],[Vertex]],GroupVertices[Vertex],0)),1,1,"")</f>
        <v>2</v>
      </c>
      <c r="AP246" s="49">
        <v>0</v>
      </c>
      <c r="AQ246" s="50">
        <v>0</v>
      </c>
      <c r="AR246" s="49">
        <v>1</v>
      </c>
      <c r="AS246" s="50">
        <v>8.333333333333334</v>
      </c>
      <c r="AT246" s="49">
        <v>0</v>
      </c>
      <c r="AU246" s="50">
        <v>0</v>
      </c>
      <c r="AV246" s="49">
        <v>11</v>
      </c>
      <c r="AW246" s="50">
        <v>91.66666666666667</v>
      </c>
      <c r="AX246" s="49">
        <v>12</v>
      </c>
      <c r="AY246" s="49"/>
      <c r="AZ246" s="49"/>
      <c r="BA246" s="49"/>
      <c r="BB246" s="49"/>
      <c r="BC246" s="2"/>
      <c r="BD246" s="3"/>
      <c r="BE246" s="3"/>
      <c r="BF246" s="3"/>
      <c r="BG246" s="3"/>
    </row>
    <row r="247" spans="1:59" ht="15">
      <c r="A247" s="65" t="s">
        <v>446</v>
      </c>
      <c r="B247" s="66" t="s">
        <v>3536</v>
      </c>
      <c r="C247" s="66"/>
      <c r="D247" s="67">
        <v>325</v>
      </c>
      <c r="E247" s="69">
        <v>100</v>
      </c>
      <c r="F247" s="96" t="str">
        <f>HYPERLINK("https://i.ytimg.com/vi/xfZCFME4Gsw/default.jpg")</f>
        <v>https://i.ytimg.com/vi/xfZCFME4Gsw/default.jpg</v>
      </c>
      <c r="G247" s="66"/>
      <c r="H247" s="70" t="s">
        <v>854</v>
      </c>
      <c r="I247" s="71"/>
      <c r="J247" s="71" t="s">
        <v>75</v>
      </c>
      <c r="K247" s="70" t="s">
        <v>854</v>
      </c>
      <c r="L247" s="74">
        <v>71.55466305287338</v>
      </c>
      <c r="M247" s="75">
        <v>2052.65380859375</v>
      </c>
      <c r="N247" s="75">
        <v>1633.359375</v>
      </c>
      <c r="O247" s="76"/>
      <c r="P247" s="77"/>
      <c r="Q247" s="77"/>
      <c r="R247" s="82"/>
      <c r="S247" s="49">
        <v>2</v>
      </c>
      <c r="T247" s="49">
        <v>0</v>
      </c>
      <c r="U247" s="50">
        <v>0</v>
      </c>
      <c r="V247" s="50">
        <v>0.000964</v>
      </c>
      <c r="W247" s="50">
        <v>0.003357</v>
      </c>
      <c r="X247" s="50">
        <v>0.659378</v>
      </c>
      <c r="Y247" s="50">
        <v>1</v>
      </c>
      <c r="Z247" s="50">
        <v>0</v>
      </c>
      <c r="AA247" s="72">
        <v>235</v>
      </c>
      <c r="AB247" s="72"/>
      <c r="AC247" s="73"/>
      <c r="AD247" s="80" t="s">
        <v>854</v>
      </c>
      <c r="AE247" s="80" t="s">
        <v>1232</v>
      </c>
      <c r="AF247" s="80" t="s">
        <v>1575</v>
      </c>
      <c r="AG247" s="80" t="s">
        <v>1835</v>
      </c>
      <c r="AH247" s="80" t="s">
        <v>2147</v>
      </c>
      <c r="AI247" s="80">
        <v>1605150</v>
      </c>
      <c r="AJ247" s="80">
        <v>644</v>
      </c>
      <c r="AK247" s="80">
        <v>28817</v>
      </c>
      <c r="AL247" s="80">
        <v>726</v>
      </c>
      <c r="AM247" s="80" t="s">
        <v>2317</v>
      </c>
      <c r="AN247" s="98" t="str">
        <f>HYPERLINK("https://www.youtube.com/watch?v=xfZCFME4Gsw")</f>
        <v>https://www.youtube.com/watch?v=xfZCFME4Gsw</v>
      </c>
      <c r="AO247" s="80" t="str">
        <f>REPLACE(INDEX(GroupVertices[Group],MATCH(Vertices[[#This Row],[Vertex]],GroupVertices[Vertex],0)),1,1,"")</f>
        <v>2</v>
      </c>
      <c r="AP247" s="49">
        <v>1</v>
      </c>
      <c r="AQ247" s="50">
        <v>6.25</v>
      </c>
      <c r="AR247" s="49">
        <v>1</v>
      </c>
      <c r="AS247" s="50">
        <v>6.25</v>
      </c>
      <c r="AT247" s="49">
        <v>0</v>
      </c>
      <c r="AU247" s="50">
        <v>0</v>
      </c>
      <c r="AV247" s="49">
        <v>14</v>
      </c>
      <c r="AW247" s="50">
        <v>87.5</v>
      </c>
      <c r="AX247" s="49">
        <v>16</v>
      </c>
      <c r="AY247" s="49"/>
      <c r="AZ247" s="49"/>
      <c r="BA247" s="49"/>
      <c r="BB247" s="49"/>
      <c r="BC247" s="2"/>
      <c r="BD247" s="3"/>
      <c r="BE247" s="3"/>
      <c r="BF247" s="3"/>
      <c r="BG247" s="3"/>
    </row>
    <row r="248" spans="1:59" ht="15">
      <c r="A248" s="65" t="s">
        <v>447</v>
      </c>
      <c r="B248" s="66" t="s">
        <v>3536</v>
      </c>
      <c r="C248" s="66"/>
      <c r="D248" s="67">
        <v>212.5</v>
      </c>
      <c r="E248" s="69">
        <v>50</v>
      </c>
      <c r="F248" s="96" t="str">
        <f>HYPERLINK("https://i.ytimg.com/vi/v8-UK8yRsi4/default.jpg")</f>
        <v>https://i.ytimg.com/vi/v8-UK8yRsi4/default.jpg</v>
      </c>
      <c r="G248" s="66"/>
      <c r="H248" s="70" t="s">
        <v>856</v>
      </c>
      <c r="I248" s="71"/>
      <c r="J248" s="71" t="s">
        <v>159</v>
      </c>
      <c r="K248" s="70" t="s">
        <v>856</v>
      </c>
      <c r="L248" s="74">
        <v>1.0009230651825856</v>
      </c>
      <c r="M248" s="75">
        <v>1130.2061767578125</v>
      </c>
      <c r="N248" s="75">
        <v>9524.98828125</v>
      </c>
      <c r="O248" s="76"/>
      <c r="P248" s="77"/>
      <c r="Q248" s="77"/>
      <c r="R248" s="82"/>
      <c r="S248" s="49">
        <v>1</v>
      </c>
      <c r="T248" s="49">
        <v>0</v>
      </c>
      <c r="U248" s="50">
        <v>0</v>
      </c>
      <c r="V248" s="50">
        <v>0.000837</v>
      </c>
      <c r="W248" s="50">
        <v>0.000797</v>
      </c>
      <c r="X248" s="50">
        <v>0.406293</v>
      </c>
      <c r="Y248" s="50">
        <v>0</v>
      </c>
      <c r="Z248" s="50">
        <v>0</v>
      </c>
      <c r="AA248" s="72">
        <v>237</v>
      </c>
      <c r="AB248" s="72"/>
      <c r="AC248" s="73"/>
      <c r="AD248" s="80" t="s">
        <v>856</v>
      </c>
      <c r="AE248" s="80" t="s">
        <v>1234</v>
      </c>
      <c r="AF248" s="80"/>
      <c r="AG248" s="80" t="s">
        <v>1837</v>
      </c>
      <c r="AH248" s="80" t="s">
        <v>2149</v>
      </c>
      <c r="AI248" s="80">
        <v>32</v>
      </c>
      <c r="AJ248" s="80">
        <v>0</v>
      </c>
      <c r="AK248" s="80">
        <v>1</v>
      </c>
      <c r="AL248" s="80">
        <v>0</v>
      </c>
      <c r="AM248" s="80" t="s">
        <v>2317</v>
      </c>
      <c r="AN248" s="98" t="str">
        <f>HYPERLINK("https://www.youtube.com/watch?v=v8-UK8yRsi4")</f>
        <v>https://www.youtube.com/watch?v=v8-UK8yRsi4</v>
      </c>
      <c r="AO248" s="80" t="str">
        <f>REPLACE(INDEX(GroupVertices[Group],MATCH(Vertices[[#This Row],[Vertex]],GroupVertices[Vertex],0)),1,1,"")</f>
        <v>1</v>
      </c>
      <c r="AP248" s="49"/>
      <c r="AQ248" s="50"/>
      <c r="AR248" s="49"/>
      <c r="AS248" s="50"/>
      <c r="AT248" s="49"/>
      <c r="AU248" s="50"/>
      <c r="AV248" s="49"/>
      <c r="AW248" s="50"/>
      <c r="AX248" s="49"/>
      <c r="AY248" s="49"/>
      <c r="AZ248" s="49"/>
      <c r="BA248" s="49"/>
      <c r="BB248" s="49"/>
      <c r="BC248" s="2"/>
      <c r="BD248" s="3"/>
      <c r="BE248" s="3"/>
      <c r="BF248" s="3"/>
      <c r="BG248" s="3"/>
    </row>
    <row r="249" spans="1:59" ht="15">
      <c r="A249" s="65" t="s">
        <v>448</v>
      </c>
      <c r="B249" s="66" t="s">
        <v>3536</v>
      </c>
      <c r="C249" s="66"/>
      <c r="D249" s="67">
        <v>212.5</v>
      </c>
      <c r="E249" s="69">
        <v>50</v>
      </c>
      <c r="F249" s="96" t="str">
        <f>HYPERLINK("https://i.ytimg.com/vi/90i3XI1x_dI/default.jpg")</f>
        <v>https://i.ytimg.com/vi/90i3XI1x_dI/default.jpg</v>
      </c>
      <c r="G249" s="66"/>
      <c r="H249" s="70" t="s">
        <v>857</v>
      </c>
      <c r="I249" s="71"/>
      <c r="J249" s="71" t="s">
        <v>159</v>
      </c>
      <c r="K249" s="70" t="s">
        <v>857</v>
      </c>
      <c r="L249" s="74">
        <v>1.5632016278318992</v>
      </c>
      <c r="M249" s="75">
        <v>2725.791259765625</v>
      </c>
      <c r="N249" s="75">
        <v>6850.7841796875</v>
      </c>
      <c r="O249" s="76"/>
      <c r="P249" s="77"/>
      <c r="Q249" s="77"/>
      <c r="R249" s="82"/>
      <c r="S249" s="49">
        <v>1</v>
      </c>
      <c r="T249" s="49">
        <v>0</v>
      </c>
      <c r="U249" s="50">
        <v>0</v>
      </c>
      <c r="V249" s="50">
        <v>0.000837</v>
      </c>
      <c r="W249" s="50">
        <v>0.000797</v>
      </c>
      <c r="X249" s="50">
        <v>0.406293</v>
      </c>
      <c r="Y249" s="50">
        <v>0</v>
      </c>
      <c r="Z249" s="50">
        <v>0</v>
      </c>
      <c r="AA249" s="72">
        <v>238</v>
      </c>
      <c r="AB249" s="72"/>
      <c r="AC249" s="73"/>
      <c r="AD249" s="80" t="s">
        <v>857</v>
      </c>
      <c r="AE249" s="80" t="s">
        <v>1235</v>
      </c>
      <c r="AF249" s="80" t="s">
        <v>677</v>
      </c>
      <c r="AG249" s="80" t="s">
        <v>1838</v>
      </c>
      <c r="AH249" s="80" t="s">
        <v>2150</v>
      </c>
      <c r="AI249" s="80">
        <v>12824</v>
      </c>
      <c r="AJ249" s="80">
        <v>0</v>
      </c>
      <c r="AK249" s="80">
        <v>6</v>
      </c>
      <c r="AL249" s="80">
        <v>7</v>
      </c>
      <c r="AM249" s="80" t="s">
        <v>2317</v>
      </c>
      <c r="AN249" s="98" t="str">
        <f>HYPERLINK("https://www.youtube.com/watch?v=90i3XI1x_dI")</f>
        <v>https://www.youtube.com/watch?v=90i3XI1x_dI</v>
      </c>
      <c r="AO249" s="80" t="str">
        <f>REPLACE(INDEX(GroupVertices[Group],MATCH(Vertices[[#This Row],[Vertex]],GroupVertices[Vertex],0)),1,1,"")</f>
        <v>1</v>
      </c>
      <c r="AP249" s="49">
        <v>0</v>
      </c>
      <c r="AQ249" s="50">
        <v>0</v>
      </c>
      <c r="AR249" s="49">
        <v>0</v>
      </c>
      <c r="AS249" s="50">
        <v>0</v>
      </c>
      <c r="AT249" s="49">
        <v>0</v>
      </c>
      <c r="AU249" s="50">
        <v>0</v>
      </c>
      <c r="AV249" s="49">
        <v>3</v>
      </c>
      <c r="AW249" s="50">
        <v>100</v>
      </c>
      <c r="AX249" s="49">
        <v>3</v>
      </c>
      <c r="AY249" s="49"/>
      <c r="AZ249" s="49"/>
      <c r="BA249" s="49"/>
      <c r="BB249" s="49"/>
      <c r="BC249" s="2"/>
      <c r="BD249" s="3"/>
      <c r="BE249" s="3"/>
      <c r="BF249" s="3"/>
      <c r="BG249" s="3"/>
    </row>
    <row r="250" spans="1:59" ht="15">
      <c r="A250" s="65" t="s">
        <v>449</v>
      </c>
      <c r="B250" s="66" t="s">
        <v>3536</v>
      </c>
      <c r="C250" s="66"/>
      <c r="D250" s="67">
        <v>212.5</v>
      </c>
      <c r="E250" s="69">
        <v>50</v>
      </c>
      <c r="F250" s="96" t="str">
        <f>HYPERLINK("https://i.ytimg.com/vi/9sPyKjhWaD4/default.jpg")</f>
        <v>https://i.ytimg.com/vi/9sPyKjhWaD4/default.jpg</v>
      </c>
      <c r="G250" s="66"/>
      <c r="H250" s="70" t="s">
        <v>858</v>
      </c>
      <c r="I250" s="71"/>
      <c r="J250" s="71" t="s">
        <v>159</v>
      </c>
      <c r="K250" s="70" t="s">
        <v>858</v>
      </c>
      <c r="L250" s="74">
        <v>1.0051867472164335</v>
      </c>
      <c r="M250" s="75">
        <v>1130.2061767578125</v>
      </c>
      <c r="N250" s="75">
        <v>8990.1474609375</v>
      </c>
      <c r="O250" s="76"/>
      <c r="P250" s="77"/>
      <c r="Q250" s="77"/>
      <c r="R250" s="82"/>
      <c r="S250" s="49">
        <v>1</v>
      </c>
      <c r="T250" s="49">
        <v>0</v>
      </c>
      <c r="U250" s="50">
        <v>0</v>
      </c>
      <c r="V250" s="50">
        <v>0.000837</v>
      </c>
      <c r="W250" s="50">
        <v>0.000797</v>
      </c>
      <c r="X250" s="50">
        <v>0.406293</v>
      </c>
      <c r="Y250" s="50">
        <v>0</v>
      </c>
      <c r="Z250" s="50">
        <v>0</v>
      </c>
      <c r="AA250" s="72">
        <v>239</v>
      </c>
      <c r="AB250" s="72"/>
      <c r="AC250" s="73"/>
      <c r="AD250" s="80" t="s">
        <v>858</v>
      </c>
      <c r="AE250" s="80"/>
      <c r="AF250" s="80"/>
      <c r="AG250" s="80" t="s">
        <v>1839</v>
      </c>
      <c r="AH250" s="80" t="s">
        <v>2151</v>
      </c>
      <c r="AI250" s="80">
        <v>129</v>
      </c>
      <c r="AJ250" s="80">
        <v>0</v>
      </c>
      <c r="AK250" s="80">
        <v>3</v>
      </c>
      <c r="AL250" s="80">
        <v>0</v>
      </c>
      <c r="AM250" s="80" t="s">
        <v>2317</v>
      </c>
      <c r="AN250" s="98" t="str">
        <f>HYPERLINK("https://www.youtube.com/watch?v=9sPyKjhWaD4")</f>
        <v>https://www.youtube.com/watch?v=9sPyKjhWaD4</v>
      </c>
      <c r="AO250" s="80" t="str">
        <f>REPLACE(INDEX(GroupVertices[Group],MATCH(Vertices[[#This Row],[Vertex]],GroupVertices[Vertex],0)),1,1,"")</f>
        <v>1</v>
      </c>
      <c r="AP250" s="49"/>
      <c r="AQ250" s="50"/>
      <c r="AR250" s="49"/>
      <c r="AS250" s="50"/>
      <c r="AT250" s="49"/>
      <c r="AU250" s="50"/>
      <c r="AV250" s="49"/>
      <c r="AW250" s="50"/>
      <c r="AX250" s="49"/>
      <c r="AY250" s="49"/>
      <c r="AZ250" s="49"/>
      <c r="BA250" s="49"/>
      <c r="BB250" s="49"/>
      <c r="BC250" s="2"/>
      <c r="BD250" s="3"/>
      <c r="BE250" s="3"/>
      <c r="BF250" s="3"/>
      <c r="BG250" s="3"/>
    </row>
    <row r="251" spans="1:59" ht="15">
      <c r="A251" s="65" t="s">
        <v>450</v>
      </c>
      <c r="B251" s="66" t="s">
        <v>3536</v>
      </c>
      <c r="C251" s="66"/>
      <c r="D251" s="67">
        <v>212.5</v>
      </c>
      <c r="E251" s="69">
        <v>50</v>
      </c>
      <c r="F251" s="96" t="str">
        <f>HYPERLINK("https://i.ytimg.com/vi/y1oJZ8TXy2A/default.jpg")</f>
        <v>https://i.ytimg.com/vi/y1oJZ8TXy2A/default.jpg</v>
      </c>
      <c r="G251" s="66"/>
      <c r="H251" s="70" t="s">
        <v>859</v>
      </c>
      <c r="I251" s="71"/>
      <c r="J251" s="71" t="s">
        <v>159</v>
      </c>
      <c r="K251" s="70" t="s">
        <v>859</v>
      </c>
      <c r="L251" s="74">
        <v>1.0002197774244252</v>
      </c>
      <c r="M251" s="75">
        <v>731.309814453125</v>
      </c>
      <c r="N251" s="75">
        <v>9524.98828125</v>
      </c>
      <c r="O251" s="76"/>
      <c r="P251" s="77"/>
      <c r="Q251" s="77"/>
      <c r="R251" s="82"/>
      <c r="S251" s="49">
        <v>1</v>
      </c>
      <c r="T251" s="49">
        <v>0</v>
      </c>
      <c r="U251" s="50">
        <v>0</v>
      </c>
      <c r="V251" s="50">
        <v>0.000837</v>
      </c>
      <c r="W251" s="50">
        <v>0.000797</v>
      </c>
      <c r="X251" s="50">
        <v>0.406293</v>
      </c>
      <c r="Y251" s="50">
        <v>0</v>
      </c>
      <c r="Z251" s="50">
        <v>0</v>
      </c>
      <c r="AA251" s="72">
        <v>240</v>
      </c>
      <c r="AB251" s="72"/>
      <c r="AC251" s="73"/>
      <c r="AD251" s="80" t="s">
        <v>859</v>
      </c>
      <c r="AE251" s="80"/>
      <c r="AF251" s="80"/>
      <c r="AG251" s="80" t="s">
        <v>1836</v>
      </c>
      <c r="AH251" s="80" t="s">
        <v>2152</v>
      </c>
      <c r="AI251" s="80">
        <v>16</v>
      </c>
      <c r="AJ251" s="80">
        <v>0</v>
      </c>
      <c r="AK251" s="80">
        <v>0</v>
      </c>
      <c r="AL251" s="80">
        <v>0</v>
      </c>
      <c r="AM251" s="80" t="s">
        <v>2317</v>
      </c>
      <c r="AN251" s="98" t="str">
        <f>HYPERLINK("https://www.youtube.com/watch?v=y1oJZ8TXy2A")</f>
        <v>https://www.youtube.com/watch?v=y1oJZ8TXy2A</v>
      </c>
      <c r="AO251" s="80" t="str">
        <f>REPLACE(INDEX(GroupVertices[Group],MATCH(Vertices[[#This Row],[Vertex]],GroupVertices[Vertex],0)),1,1,"")</f>
        <v>1</v>
      </c>
      <c r="AP251" s="49"/>
      <c r="AQ251" s="50"/>
      <c r="AR251" s="49"/>
      <c r="AS251" s="50"/>
      <c r="AT251" s="49"/>
      <c r="AU251" s="50"/>
      <c r="AV251" s="49"/>
      <c r="AW251" s="50"/>
      <c r="AX251" s="49"/>
      <c r="AY251" s="49"/>
      <c r="AZ251" s="49"/>
      <c r="BA251" s="49"/>
      <c r="BB251" s="49"/>
      <c r="BC251" s="2"/>
      <c r="BD251" s="3"/>
      <c r="BE251" s="3"/>
      <c r="BF251" s="3"/>
      <c r="BG251" s="3"/>
    </row>
    <row r="252" spans="1:59" ht="15">
      <c r="A252" s="65" t="s">
        <v>451</v>
      </c>
      <c r="B252" s="66" t="s">
        <v>3536</v>
      </c>
      <c r="C252" s="66"/>
      <c r="D252" s="67">
        <v>212.5</v>
      </c>
      <c r="E252" s="69">
        <v>50</v>
      </c>
      <c r="F252" s="96" t="str">
        <f>HYPERLINK("https://i.ytimg.com/vi/fwmF9F44t3Q/default.jpg")</f>
        <v>https://i.ytimg.com/vi/fwmF9F44t3Q/default.jpg</v>
      </c>
      <c r="G252" s="66"/>
      <c r="H252" s="70" t="s">
        <v>860</v>
      </c>
      <c r="I252" s="71"/>
      <c r="J252" s="71" t="s">
        <v>159</v>
      </c>
      <c r="K252" s="70" t="s">
        <v>860</v>
      </c>
      <c r="L252" s="74">
        <v>1.107339294089245</v>
      </c>
      <c r="M252" s="75">
        <v>1927.9986572265625</v>
      </c>
      <c r="N252" s="75">
        <v>7920.4658203125</v>
      </c>
      <c r="O252" s="76"/>
      <c r="P252" s="77"/>
      <c r="Q252" s="77"/>
      <c r="R252" s="82"/>
      <c r="S252" s="49">
        <v>1</v>
      </c>
      <c r="T252" s="49">
        <v>0</v>
      </c>
      <c r="U252" s="50">
        <v>0</v>
      </c>
      <c r="V252" s="50">
        <v>0.000837</v>
      </c>
      <c r="W252" s="50">
        <v>0.000797</v>
      </c>
      <c r="X252" s="50">
        <v>0.406293</v>
      </c>
      <c r="Y252" s="50">
        <v>0</v>
      </c>
      <c r="Z252" s="50">
        <v>0</v>
      </c>
      <c r="AA252" s="72">
        <v>241</v>
      </c>
      <c r="AB252" s="72"/>
      <c r="AC252" s="73"/>
      <c r="AD252" s="80" t="s">
        <v>860</v>
      </c>
      <c r="AE252" s="80" t="s">
        <v>1236</v>
      </c>
      <c r="AF252" s="80" t="s">
        <v>1576</v>
      </c>
      <c r="AG252" s="80" t="s">
        <v>1840</v>
      </c>
      <c r="AH252" s="80" t="s">
        <v>2153</v>
      </c>
      <c r="AI252" s="80">
        <v>2453</v>
      </c>
      <c r="AJ252" s="80">
        <v>0</v>
      </c>
      <c r="AK252" s="80">
        <v>3</v>
      </c>
      <c r="AL252" s="80">
        <v>0</v>
      </c>
      <c r="AM252" s="80" t="s">
        <v>2317</v>
      </c>
      <c r="AN252" s="98" t="str">
        <f>HYPERLINK("https://www.youtube.com/watch?v=fwmF9F44t3Q")</f>
        <v>https://www.youtube.com/watch?v=fwmF9F44t3Q</v>
      </c>
      <c r="AO252" s="80" t="str">
        <f>REPLACE(INDEX(GroupVertices[Group],MATCH(Vertices[[#This Row],[Vertex]],GroupVertices[Vertex],0)),1,1,"")</f>
        <v>1</v>
      </c>
      <c r="AP252" s="49">
        <v>0</v>
      </c>
      <c r="AQ252" s="50">
        <v>0</v>
      </c>
      <c r="AR252" s="49">
        <v>0</v>
      </c>
      <c r="AS252" s="50">
        <v>0</v>
      </c>
      <c r="AT252" s="49">
        <v>0</v>
      </c>
      <c r="AU252" s="50">
        <v>0</v>
      </c>
      <c r="AV252" s="49">
        <v>3</v>
      </c>
      <c r="AW252" s="50">
        <v>100</v>
      </c>
      <c r="AX252" s="49">
        <v>3</v>
      </c>
      <c r="AY252" s="49"/>
      <c r="AZ252" s="49"/>
      <c r="BA252" s="49"/>
      <c r="BB252" s="49"/>
      <c r="BC252" s="2"/>
      <c r="BD252" s="3"/>
      <c r="BE252" s="3"/>
      <c r="BF252" s="3"/>
      <c r="BG252" s="3"/>
    </row>
    <row r="253" spans="1:59" ht="15">
      <c r="A253" s="65" t="s">
        <v>452</v>
      </c>
      <c r="B253" s="66" t="s">
        <v>3536</v>
      </c>
      <c r="C253" s="66"/>
      <c r="D253" s="67">
        <v>212.5</v>
      </c>
      <c r="E253" s="69">
        <v>50</v>
      </c>
      <c r="F253" s="96" t="str">
        <f>HYPERLINK("https://i.ytimg.com/vi/FRUt9Vxl0wY/default.jpg")</f>
        <v>https://i.ytimg.com/vi/FRUt9Vxl0wY/default.jpg</v>
      </c>
      <c r="G253" s="66"/>
      <c r="H253" s="70" t="s">
        <v>861</v>
      </c>
      <c r="I253" s="71"/>
      <c r="J253" s="71" t="s">
        <v>159</v>
      </c>
      <c r="K253" s="70" t="s">
        <v>861</v>
      </c>
      <c r="L253" s="74">
        <v>1.039955535760493</v>
      </c>
      <c r="M253" s="75">
        <v>332.41357421875</v>
      </c>
      <c r="N253" s="75">
        <v>7920.4658203125</v>
      </c>
      <c r="O253" s="76"/>
      <c r="P253" s="77"/>
      <c r="Q253" s="77"/>
      <c r="R253" s="82"/>
      <c r="S253" s="49">
        <v>1</v>
      </c>
      <c r="T253" s="49">
        <v>0</v>
      </c>
      <c r="U253" s="50">
        <v>0</v>
      </c>
      <c r="V253" s="50">
        <v>0.000837</v>
      </c>
      <c r="W253" s="50">
        <v>0.000797</v>
      </c>
      <c r="X253" s="50">
        <v>0.406293</v>
      </c>
      <c r="Y253" s="50">
        <v>0</v>
      </c>
      <c r="Z253" s="50">
        <v>0</v>
      </c>
      <c r="AA253" s="72">
        <v>242</v>
      </c>
      <c r="AB253" s="72"/>
      <c r="AC253" s="73"/>
      <c r="AD253" s="80" t="s">
        <v>861</v>
      </c>
      <c r="AE253" s="80" t="s">
        <v>1237</v>
      </c>
      <c r="AF253" s="80"/>
      <c r="AG253" s="80" t="s">
        <v>1841</v>
      </c>
      <c r="AH253" s="80" t="s">
        <v>2154</v>
      </c>
      <c r="AI253" s="80">
        <v>920</v>
      </c>
      <c r="AJ253" s="80">
        <v>0</v>
      </c>
      <c r="AK253" s="80">
        <v>7</v>
      </c>
      <c r="AL253" s="80">
        <v>1</v>
      </c>
      <c r="AM253" s="80" t="s">
        <v>2317</v>
      </c>
      <c r="AN253" s="98" t="str">
        <f>HYPERLINK("https://www.youtube.com/watch?v=FRUt9Vxl0wY")</f>
        <v>https://www.youtube.com/watch?v=FRUt9Vxl0wY</v>
      </c>
      <c r="AO253" s="80" t="str">
        <f>REPLACE(INDEX(GroupVertices[Group],MATCH(Vertices[[#This Row],[Vertex]],GroupVertices[Vertex],0)),1,1,"")</f>
        <v>1</v>
      </c>
      <c r="AP253" s="49"/>
      <c r="AQ253" s="50"/>
      <c r="AR253" s="49"/>
      <c r="AS253" s="50"/>
      <c r="AT253" s="49"/>
      <c r="AU253" s="50"/>
      <c r="AV253" s="49"/>
      <c r="AW253" s="50"/>
      <c r="AX253" s="49"/>
      <c r="AY253" s="49"/>
      <c r="AZ253" s="49"/>
      <c r="BA253" s="49"/>
      <c r="BB253" s="49"/>
      <c r="BC253" s="2"/>
      <c r="BD253" s="3"/>
      <c r="BE253" s="3"/>
      <c r="BF253" s="3"/>
      <c r="BG253" s="3"/>
    </row>
    <row r="254" spans="1:59" ht="15">
      <c r="A254" s="65" t="s">
        <v>454</v>
      </c>
      <c r="B254" s="66" t="s">
        <v>3536</v>
      </c>
      <c r="C254" s="66"/>
      <c r="D254" s="67">
        <v>212.5</v>
      </c>
      <c r="E254" s="69">
        <v>50</v>
      </c>
      <c r="F254" s="96" t="str">
        <f>HYPERLINK("https://i.ytimg.com/vi/lLvpSdXRFXg/default.jpg")</f>
        <v>https://i.ytimg.com/vi/lLvpSdXRFXg/default.jpg</v>
      </c>
      <c r="G254" s="66"/>
      <c r="H254" s="70" t="s">
        <v>863</v>
      </c>
      <c r="I254" s="71"/>
      <c r="J254" s="71" t="s">
        <v>159</v>
      </c>
      <c r="K254" s="70" t="s">
        <v>863</v>
      </c>
      <c r="L254" s="74">
        <v>1.0222854308367106</v>
      </c>
      <c r="M254" s="75">
        <v>1927.9986572265625</v>
      </c>
      <c r="N254" s="75">
        <v>8455.306640625</v>
      </c>
      <c r="O254" s="76"/>
      <c r="P254" s="77"/>
      <c r="Q254" s="77"/>
      <c r="R254" s="82"/>
      <c r="S254" s="49">
        <v>1</v>
      </c>
      <c r="T254" s="49">
        <v>0</v>
      </c>
      <c r="U254" s="50">
        <v>0</v>
      </c>
      <c r="V254" s="50">
        <v>0.000837</v>
      </c>
      <c r="W254" s="50">
        <v>0.000797</v>
      </c>
      <c r="X254" s="50">
        <v>0.406293</v>
      </c>
      <c r="Y254" s="50">
        <v>0</v>
      </c>
      <c r="Z254" s="50">
        <v>0</v>
      </c>
      <c r="AA254" s="72">
        <v>244</v>
      </c>
      <c r="AB254" s="72"/>
      <c r="AC254" s="73"/>
      <c r="AD254" s="80" t="s">
        <v>863</v>
      </c>
      <c r="AE254" s="80" t="s">
        <v>1238</v>
      </c>
      <c r="AF254" s="80"/>
      <c r="AG254" s="80" t="s">
        <v>1836</v>
      </c>
      <c r="AH254" s="80" t="s">
        <v>2156</v>
      </c>
      <c r="AI254" s="80">
        <v>518</v>
      </c>
      <c r="AJ254" s="80">
        <v>1</v>
      </c>
      <c r="AK254" s="80">
        <v>13</v>
      </c>
      <c r="AL254" s="80">
        <v>1</v>
      </c>
      <c r="AM254" s="80" t="s">
        <v>2317</v>
      </c>
      <c r="AN254" s="98" t="str">
        <f>HYPERLINK("https://www.youtube.com/watch?v=lLvpSdXRFXg")</f>
        <v>https://www.youtube.com/watch?v=lLvpSdXRFXg</v>
      </c>
      <c r="AO254" s="80" t="str">
        <f>REPLACE(INDEX(GroupVertices[Group],MATCH(Vertices[[#This Row],[Vertex]],GroupVertices[Vertex],0)),1,1,"")</f>
        <v>1</v>
      </c>
      <c r="AP254" s="49"/>
      <c r="AQ254" s="50"/>
      <c r="AR254" s="49"/>
      <c r="AS254" s="50"/>
      <c r="AT254" s="49"/>
      <c r="AU254" s="50"/>
      <c r="AV254" s="49"/>
      <c r="AW254" s="50"/>
      <c r="AX254" s="49"/>
      <c r="AY254" s="49"/>
      <c r="AZ254" s="49"/>
      <c r="BA254" s="49"/>
      <c r="BB254" s="49"/>
      <c r="BC254" s="2"/>
      <c r="BD254" s="3"/>
      <c r="BE254" s="3"/>
      <c r="BF254" s="3"/>
      <c r="BG254" s="3"/>
    </row>
    <row r="255" spans="1:59" ht="15">
      <c r="A255" s="65" t="s">
        <v>455</v>
      </c>
      <c r="B255" s="66" t="s">
        <v>3536</v>
      </c>
      <c r="C255" s="66"/>
      <c r="D255" s="67">
        <v>212.5</v>
      </c>
      <c r="E255" s="69">
        <v>50</v>
      </c>
      <c r="F255" s="96" t="str">
        <f>HYPERLINK("https://i.ytimg.com/vi/YLqoDYG67jA/default.jpg")</f>
        <v>https://i.ytimg.com/vi/YLqoDYG67jA/default.jpg</v>
      </c>
      <c r="G255" s="66"/>
      <c r="H255" s="70" t="s">
        <v>864</v>
      </c>
      <c r="I255" s="71"/>
      <c r="J255" s="71" t="s">
        <v>159</v>
      </c>
      <c r="K255" s="70" t="s">
        <v>864</v>
      </c>
      <c r="L255" s="74">
        <v>1.009933939584017</v>
      </c>
      <c r="M255" s="75">
        <v>332.41357421875</v>
      </c>
      <c r="N255" s="75">
        <v>8455.306640625</v>
      </c>
      <c r="O255" s="76"/>
      <c r="P255" s="77"/>
      <c r="Q255" s="77"/>
      <c r="R255" s="82"/>
      <c r="S255" s="49">
        <v>1</v>
      </c>
      <c r="T255" s="49">
        <v>0</v>
      </c>
      <c r="U255" s="50">
        <v>0</v>
      </c>
      <c r="V255" s="50">
        <v>0.000837</v>
      </c>
      <c r="W255" s="50">
        <v>0.000797</v>
      </c>
      <c r="X255" s="50">
        <v>0.406293</v>
      </c>
      <c r="Y255" s="50">
        <v>0</v>
      </c>
      <c r="Z255" s="50">
        <v>0</v>
      </c>
      <c r="AA255" s="72">
        <v>245</v>
      </c>
      <c r="AB255" s="72"/>
      <c r="AC255" s="73"/>
      <c r="AD255" s="80" t="s">
        <v>864</v>
      </c>
      <c r="AE255" s="80" t="s">
        <v>1239</v>
      </c>
      <c r="AF255" s="80"/>
      <c r="AG255" s="80" t="s">
        <v>1836</v>
      </c>
      <c r="AH255" s="80" t="s">
        <v>2157</v>
      </c>
      <c r="AI255" s="80">
        <v>237</v>
      </c>
      <c r="AJ255" s="80">
        <v>0</v>
      </c>
      <c r="AK255" s="80">
        <v>2</v>
      </c>
      <c r="AL255" s="80">
        <v>1</v>
      </c>
      <c r="AM255" s="80" t="s">
        <v>2317</v>
      </c>
      <c r="AN255" s="98" t="str">
        <f>HYPERLINK("https://www.youtube.com/watch?v=YLqoDYG67jA")</f>
        <v>https://www.youtube.com/watch?v=YLqoDYG67jA</v>
      </c>
      <c r="AO255" s="80" t="str">
        <f>REPLACE(INDEX(GroupVertices[Group],MATCH(Vertices[[#This Row],[Vertex]],GroupVertices[Vertex],0)),1,1,"")</f>
        <v>1</v>
      </c>
      <c r="AP255" s="49"/>
      <c r="AQ255" s="50"/>
      <c r="AR255" s="49"/>
      <c r="AS255" s="50"/>
      <c r="AT255" s="49"/>
      <c r="AU255" s="50"/>
      <c r="AV255" s="49"/>
      <c r="AW255" s="50"/>
      <c r="AX255" s="49"/>
      <c r="AY255" s="49"/>
      <c r="AZ255" s="49"/>
      <c r="BA255" s="49"/>
      <c r="BB255" s="49"/>
      <c r="BC255" s="2"/>
      <c r="BD255" s="3"/>
      <c r="BE255" s="3"/>
      <c r="BF255" s="3"/>
      <c r="BG255" s="3"/>
    </row>
    <row r="256" spans="1:59" ht="15">
      <c r="A256" s="65" t="s">
        <v>456</v>
      </c>
      <c r="B256" s="66" t="s">
        <v>3536</v>
      </c>
      <c r="C256" s="66"/>
      <c r="D256" s="67">
        <v>212.5</v>
      </c>
      <c r="E256" s="69">
        <v>50</v>
      </c>
      <c r="F256" s="96" t="str">
        <f>HYPERLINK("https://i.ytimg.com/vi/gq5PoLLITmE/default.jpg")</f>
        <v>https://i.ytimg.com/vi/gq5PoLLITmE/default.jpg</v>
      </c>
      <c r="G256" s="66"/>
      <c r="H256" s="70" t="s">
        <v>865</v>
      </c>
      <c r="I256" s="71"/>
      <c r="J256" s="71" t="s">
        <v>159</v>
      </c>
      <c r="K256" s="70" t="s">
        <v>865</v>
      </c>
      <c r="L256" s="74">
        <v>1.005802124004824</v>
      </c>
      <c r="M256" s="75">
        <v>1529.1024169921875</v>
      </c>
      <c r="N256" s="75">
        <v>8990.1474609375</v>
      </c>
      <c r="O256" s="76"/>
      <c r="P256" s="77"/>
      <c r="Q256" s="77"/>
      <c r="R256" s="82"/>
      <c r="S256" s="49">
        <v>1</v>
      </c>
      <c r="T256" s="49">
        <v>0</v>
      </c>
      <c r="U256" s="50">
        <v>0</v>
      </c>
      <c r="V256" s="50">
        <v>0.000837</v>
      </c>
      <c r="W256" s="50">
        <v>0.000797</v>
      </c>
      <c r="X256" s="50">
        <v>0.406293</v>
      </c>
      <c r="Y256" s="50">
        <v>0</v>
      </c>
      <c r="Z256" s="50">
        <v>0</v>
      </c>
      <c r="AA256" s="72">
        <v>246</v>
      </c>
      <c r="AB256" s="72"/>
      <c r="AC256" s="73"/>
      <c r="AD256" s="80" t="s">
        <v>865</v>
      </c>
      <c r="AE256" s="80" t="s">
        <v>1240</v>
      </c>
      <c r="AF256" s="80"/>
      <c r="AG256" s="80" t="s">
        <v>1836</v>
      </c>
      <c r="AH256" s="80" t="s">
        <v>2158</v>
      </c>
      <c r="AI256" s="80">
        <v>143</v>
      </c>
      <c r="AJ256" s="80">
        <v>0</v>
      </c>
      <c r="AK256" s="80">
        <v>1</v>
      </c>
      <c r="AL256" s="80">
        <v>0</v>
      </c>
      <c r="AM256" s="80" t="s">
        <v>2317</v>
      </c>
      <c r="AN256" s="98" t="str">
        <f>HYPERLINK("https://www.youtube.com/watch?v=gq5PoLLITmE")</f>
        <v>https://www.youtube.com/watch?v=gq5PoLLITmE</v>
      </c>
      <c r="AO256" s="80" t="str">
        <f>REPLACE(INDEX(GroupVertices[Group],MATCH(Vertices[[#This Row],[Vertex]],GroupVertices[Vertex],0)),1,1,"")</f>
        <v>1</v>
      </c>
      <c r="AP256" s="49"/>
      <c r="AQ256" s="50"/>
      <c r="AR256" s="49"/>
      <c r="AS256" s="50"/>
      <c r="AT256" s="49"/>
      <c r="AU256" s="50"/>
      <c r="AV256" s="49"/>
      <c r="AW256" s="50"/>
      <c r="AX256" s="49"/>
      <c r="AY256" s="49"/>
      <c r="AZ256" s="49"/>
      <c r="BA256" s="49"/>
      <c r="BB256" s="49"/>
      <c r="BC256" s="2"/>
      <c r="BD256" s="3"/>
      <c r="BE256" s="3"/>
      <c r="BF256" s="3"/>
      <c r="BG256" s="3"/>
    </row>
    <row r="257" spans="1:59" ht="15">
      <c r="A257" s="65" t="s">
        <v>457</v>
      </c>
      <c r="B257" s="66" t="s">
        <v>3536</v>
      </c>
      <c r="C257" s="66"/>
      <c r="D257" s="67">
        <v>212.5</v>
      </c>
      <c r="E257" s="69">
        <v>50</v>
      </c>
      <c r="F257" s="96" t="str">
        <f>HYPERLINK("https://i.ytimg.com/vi/DY2fB_fusEM/default.jpg")</f>
        <v>https://i.ytimg.com/vi/DY2fB_fusEM/default.jpg</v>
      </c>
      <c r="G257" s="66"/>
      <c r="H257" s="70" t="s">
        <v>866</v>
      </c>
      <c r="I257" s="71"/>
      <c r="J257" s="71" t="s">
        <v>159</v>
      </c>
      <c r="K257" s="70" t="s">
        <v>866</v>
      </c>
      <c r="L257" s="74">
        <v>1.0096702066747067</v>
      </c>
      <c r="M257" s="75">
        <v>2725.791259765625</v>
      </c>
      <c r="N257" s="75">
        <v>8990.1474609375</v>
      </c>
      <c r="O257" s="76"/>
      <c r="P257" s="77"/>
      <c r="Q257" s="77"/>
      <c r="R257" s="82"/>
      <c r="S257" s="49">
        <v>1</v>
      </c>
      <c r="T257" s="49">
        <v>0</v>
      </c>
      <c r="U257" s="50">
        <v>0</v>
      </c>
      <c r="V257" s="50">
        <v>0.000837</v>
      </c>
      <c r="W257" s="50">
        <v>0.000797</v>
      </c>
      <c r="X257" s="50">
        <v>0.406293</v>
      </c>
      <c r="Y257" s="50">
        <v>0</v>
      </c>
      <c r="Z257" s="50">
        <v>0</v>
      </c>
      <c r="AA257" s="72">
        <v>247</v>
      </c>
      <c r="AB257" s="72"/>
      <c r="AC257" s="73"/>
      <c r="AD257" s="80" t="s">
        <v>866</v>
      </c>
      <c r="AE257" s="80" t="s">
        <v>1241</v>
      </c>
      <c r="AF257" s="80"/>
      <c r="AG257" s="80" t="s">
        <v>1836</v>
      </c>
      <c r="AH257" s="80" t="s">
        <v>2159</v>
      </c>
      <c r="AI257" s="80">
        <v>231</v>
      </c>
      <c r="AJ257" s="80">
        <v>0</v>
      </c>
      <c r="AK257" s="80">
        <v>4</v>
      </c>
      <c r="AL257" s="80">
        <v>0</v>
      </c>
      <c r="AM257" s="80" t="s">
        <v>2317</v>
      </c>
      <c r="AN257" s="98" t="str">
        <f>HYPERLINK("https://www.youtube.com/watch?v=DY2fB_fusEM")</f>
        <v>https://www.youtube.com/watch?v=DY2fB_fusEM</v>
      </c>
      <c r="AO257" s="80" t="str">
        <f>REPLACE(INDEX(GroupVertices[Group],MATCH(Vertices[[#This Row],[Vertex]],GroupVertices[Vertex],0)),1,1,"")</f>
        <v>1</v>
      </c>
      <c r="AP257" s="49"/>
      <c r="AQ257" s="50"/>
      <c r="AR257" s="49"/>
      <c r="AS257" s="50"/>
      <c r="AT257" s="49"/>
      <c r="AU257" s="50"/>
      <c r="AV257" s="49"/>
      <c r="AW257" s="50"/>
      <c r="AX257" s="49"/>
      <c r="AY257" s="49"/>
      <c r="AZ257" s="49"/>
      <c r="BA257" s="49"/>
      <c r="BB257" s="49"/>
      <c r="BC257" s="2"/>
      <c r="BD257" s="3"/>
      <c r="BE257" s="3"/>
      <c r="BF257" s="3"/>
      <c r="BG257" s="3"/>
    </row>
    <row r="258" spans="1:59" ht="15">
      <c r="A258" s="65" t="s">
        <v>458</v>
      </c>
      <c r="B258" s="66" t="s">
        <v>3536</v>
      </c>
      <c r="C258" s="66"/>
      <c r="D258" s="67">
        <v>212.5</v>
      </c>
      <c r="E258" s="69">
        <v>50</v>
      </c>
      <c r="F258" s="96" t="str">
        <f>HYPERLINK("https://i.ytimg.com/vi/fO0qz8fSw-s/default.jpg")</f>
        <v>https://i.ytimg.com/vi/fO0qz8fSw-s/default.jpg</v>
      </c>
      <c r="G258" s="66"/>
      <c r="H258" s="70" t="s">
        <v>867</v>
      </c>
      <c r="I258" s="71"/>
      <c r="J258" s="71" t="s">
        <v>159</v>
      </c>
      <c r="K258" s="70" t="s">
        <v>867</v>
      </c>
      <c r="L258" s="74">
        <v>1.0009230651825856</v>
      </c>
      <c r="M258" s="75">
        <v>1529.1024169921875</v>
      </c>
      <c r="N258" s="75">
        <v>9524.98828125</v>
      </c>
      <c r="O258" s="76"/>
      <c r="P258" s="77"/>
      <c r="Q258" s="77"/>
      <c r="R258" s="82"/>
      <c r="S258" s="49">
        <v>1</v>
      </c>
      <c r="T258" s="49">
        <v>0</v>
      </c>
      <c r="U258" s="50">
        <v>0</v>
      </c>
      <c r="V258" s="50">
        <v>0.000837</v>
      </c>
      <c r="W258" s="50">
        <v>0.000797</v>
      </c>
      <c r="X258" s="50">
        <v>0.406293</v>
      </c>
      <c r="Y258" s="50">
        <v>0</v>
      </c>
      <c r="Z258" s="50">
        <v>0</v>
      </c>
      <c r="AA258" s="72">
        <v>248</v>
      </c>
      <c r="AB258" s="72"/>
      <c r="AC258" s="73"/>
      <c r="AD258" s="80" t="s">
        <v>867</v>
      </c>
      <c r="AE258" s="80" t="s">
        <v>1242</v>
      </c>
      <c r="AF258" s="80"/>
      <c r="AG258" s="80" t="s">
        <v>1836</v>
      </c>
      <c r="AH258" s="80" t="s">
        <v>2160</v>
      </c>
      <c r="AI258" s="80">
        <v>32</v>
      </c>
      <c r="AJ258" s="80">
        <v>0</v>
      </c>
      <c r="AK258" s="80">
        <v>0</v>
      </c>
      <c r="AL258" s="80">
        <v>0</v>
      </c>
      <c r="AM258" s="80" t="s">
        <v>2317</v>
      </c>
      <c r="AN258" s="98" t="str">
        <f>HYPERLINK("https://www.youtube.com/watch?v=fO0qz8fSw-s")</f>
        <v>https://www.youtube.com/watch?v=fO0qz8fSw-s</v>
      </c>
      <c r="AO258" s="80" t="str">
        <f>REPLACE(INDEX(GroupVertices[Group],MATCH(Vertices[[#This Row],[Vertex]],GroupVertices[Vertex],0)),1,1,"")</f>
        <v>1</v>
      </c>
      <c r="AP258" s="49"/>
      <c r="AQ258" s="50"/>
      <c r="AR258" s="49"/>
      <c r="AS258" s="50"/>
      <c r="AT258" s="49"/>
      <c r="AU258" s="50"/>
      <c r="AV258" s="49"/>
      <c r="AW258" s="50"/>
      <c r="AX258" s="49"/>
      <c r="AY258" s="49"/>
      <c r="AZ258" s="49"/>
      <c r="BA258" s="49"/>
      <c r="BB258" s="49"/>
      <c r="BC258" s="2"/>
      <c r="BD258" s="3"/>
      <c r="BE258" s="3"/>
      <c r="BF258" s="3"/>
      <c r="BG258" s="3"/>
    </row>
    <row r="259" spans="1:59" ht="15">
      <c r="A259" s="65" t="s">
        <v>459</v>
      </c>
      <c r="B259" s="66" t="s">
        <v>3536</v>
      </c>
      <c r="C259" s="66"/>
      <c r="D259" s="67">
        <v>212.5</v>
      </c>
      <c r="E259" s="69">
        <v>50</v>
      </c>
      <c r="F259" s="96" t="str">
        <f>HYPERLINK("https://i.ytimg.com/vi/OfwtI_2mpTc/default.jpg")</f>
        <v>https://i.ytimg.com/vi/OfwtI_2mpTc/default.jpg</v>
      </c>
      <c r="G259" s="66"/>
      <c r="H259" s="70" t="s">
        <v>868</v>
      </c>
      <c r="I259" s="71"/>
      <c r="J259" s="71" t="s">
        <v>159</v>
      </c>
      <c r="K259" s="70" t="s">
        <v>868</v>
      </c>
      <c r="L259" s="74">
        <v>3.6094173601998505</v>
      </c>
      <c r="M259" s="75">
        <v>1130.2061767578125</v>
      </c>
      <c r="N259" s="75">
        <v>5781.1015625</v>
      </c>
      <c r="O259" s="76"/>
      <c r="P259" s="77"/>
      <c r="Q259" s="77"/>
      <c r="R259" s="82"/>
      <c r="S259" s="49">
        <v>1</v>
      </c>
      <c r="T259" s="49">
        <v>0</v>
      </c>
      <c r="U259" s="50">
        <v>0</v>
      </c>
      <c r="V259" s="50">
        <v>0.000837</v>
      </c>
      <c r="W259" s="50">
        <v>0.000797</v>
      </c>
      <c r="X259" s="50">
        <v>0.406293</v>
      </c>
      <c r="Y259" s="50">
        <v>0</v>
      </c>
      <c r="Z259" s="50">
        <v>0</v>
      </c>
      <c r="AA259" s="72">
        <v>249</v>
      </c>
      <c r="AB259" s="72"/>
      <c r="AC259" s="73"/>
      <c r="AD259" s="80" t="s">
        <v>868</v>
      </c>
      <c r="AE259" s="80" t="s">
        <v>1243</v>
      </c>
      <c r="AF259" s="80" t="s">
        <v>1577</v>
      </c>
      <c r="AG259" s="80" t="s">
        <v>1843</v>
      </c>
      <c r="AH259" s="80" t="s">
        <v>2161</v>
      </c>
      <c r="AI259" s="80">
        <v>59376</v>
      </c>
      <c r="AJ259" s="80">
        <v>12</v>
      </c>
      <c r="AK259" s="80">
        <v>422</v>
      </c>
      <c r="AL259" s="80">
        <v>10</v>
      </c>
      <c r="AM259" s="80" t="s">
        <v>2317</v>
      </c>
      <c r="AN259" s="98" t="str">
        <f>HYPERLINK("https://www.youtube.com/watch?v=OfwtI_2mpTc")</f>
        <v>https://www.youtube.com/watch?v=OfwtI_2mpTc</v>
      </c>
      <c r="AO259" s="80" t="str">
        <f>REPLACE(INDEX(GroupVertices[Group],MATCH(Vertices[[#This Row],[Vertex]],GroupVertices[Vertex],0)),1,1,"")</f>
        <v>1</v>
      </c>
      <c r="AP259" s="49">
        <v>0</v>
      </c>
      <c r="AQ259" s="50">
        <v>0</v>
      </c>
      <c r="AR259" s="49">
        <v>2</v>
      </c>
      <c r="AS259" s="50">
        <v>15.384615384615385</v>
      </c>
      <c r="AT259" s="49">
        <v>0</v>
      </c>
      <c r="AU259" s="50">
        <v>0</v>
      </c>
      <c r="AV259" s="49">
        <v>11</v>
      </c>
      <c r="AW259" s="50">
        <v>84.61538461538461</v>
      </c>
      <c r="AX259" s="49">
        <v>13</v>
      </c>
      <c r="AY259" s="49"/>
      <c r="AZ259" s="49"/>
      <c r="BA259" s="49"/>
      <c r="BB259" s="49"/>
      <c r="BC259" s="2"/>
      <c r="BD259" s="3"/>
      <c r="BE259" s="3"/>
      <c r="BF259" s="3"/>
      <c r="BG259" s="3"/>
    </row>
    <row r="260" spans="1:59" ht="15">
      <c r="A260" s="65" t="s">
        <v>460</v>
      </c>
      <c r="B260" s="66" t="s">
        <v>3536</v>
      </c>
      <c r="C260" s="66"/>
      <c r="D260" s="67">
        <v>212.5</v>
      </c>
      <c r="E260" s="69">
        <v>50</v>
      </c>
      <c r="F260" s="96" t="str">
        <f>HYPERLINK("https://i.ytimg.com/vi/5PfJMfx_D18/default.jpg")</f>
        <v>https://i.ytimg.com/vi/5PfJMfx_D18/default.jpg</v>
      </c>
      <c r="G260" s="66"/>
      <c r="H260" s="70" t="s">
        <v>869</v>
      </c>
      <c r="I260" s="71"/>
      <c r="J260" s="71" t="s">
        <v>159</v>
      </c>
      <c r="K260" s="70" t="s">
        <v>869</v>
      </c>
      <c r="L260" s="74">
        <v>1</v>
      </c>
      <c r="M260" s="75">
        <v>332.41357421875</v>
      </c>
      <c r="N260" s="75">
        <v>9524.98828125</v>
      </c>
      <c r="O260" s="76"/>
      <c r="P260" s="77"/>
      <c r="Q260" s="77"/>
      <c r="R260" s="82"/>
      <c r="S260" s="49">
        <v>1</v>
      </c>
      <c r="T260" s="49">
        <v>0</v>
      </c>
      <c r="U260" s="50">
        <v>0</v>
      </c>
      <c r="V260" s="50">
        <v>0.000837</v>
      </c>
      <c r="W260" s="50">
        <v>0.000797</v>
      </c>
      <c r="X260" s="50">
        <v>0.406293</v>
      </c>
      <c r="Y260" s="50">
        <v>0</v>
      </c>
      <c r="Z260" s="50">
        <v>0</v>
      </c>
      <c r="AA260" s="72">
        <v>250</v>
      </c>
      <c r="AB260" s="72"/>
      <c r="AC260" s="73"/>
      <c r="AD260" s="80" t="s">
        <v>869</v>
      </c>
      <c r="AE260" s="80" t="s">
        <v>1244</v>
      </c>
      <c r="AF260" s="80"/>
      <c r="AG260" s="80" t="s">
        <v>1836</v>
      </c>
      <c r="AH260" s="80" t="s">
        <v>2162</v>
      </c>
      <c r="AI260" s="80">
        <v>11</v>
      </c>
      <c r="AJ260" s="80">
        <v>0</v>
      </c>
      <c r="AK260" s="80">
        <v>1</v>
      </c>
      <c r="AL260" s="80">
        <v>0</v>
      </c>
      <c r="AM260" s="80" t="s">
        <v>2317</v>
      </c>
      <c r="AN260" s="98" t="str">
        <f>HYPERLINK("https://www.youtube.com/watch?v=5PfJMfx_D18")</f>
        <v>https://www.youtube.com/watch?v=5PfJMfx_D18</v>
      </c>
      <c r="AO260" s="80" t="str">
        <f>REPLACE(INDEX(GroupVertices[Group],MATCH(Vertices[[#This Row],[Vertex]],GroupVertices[Vertex],0)),1,1,"")</f>
        <v>1</v>
      </c>
      <c r="AP260" s="49"/>
      <c r="AQ260" s="50"/>
      <c r="AR260" s="49"/>
      <c r="AS260" s="50"/>
      <c r="AT260" s="49"/>
      <c r="AU260" s="50"/>
      <c r="AV260" s="49"/>
      <c r="AW260" s="50"/>
      <c r="AX260" s="49"/>
      <c r="AY260" s="49"/>
      <c r="AZ260" s="49"/>
      <c r="BA260" s="49"/>
      <c r="BB260" s="49"/>
      <c r="BC260" s="2"/>
      <c r="BD260" s="3"/>
      <c r="BE260" s="3"/>
      <c r="BF260" s="3"/>
      <c r="BG260" s="3"/>
    </row>
    <row r="261" spans="1:59" ht="15">
      <c r="A261" s="65" t="s">
        <v>461</v>
      </c>
      <c r="B261" s="66" t="s">
        <v>3536</v>
      </c>
      <c r="C261" s="66"/>
      <c r="D261" s="67">
        <v>212.5</v>
      </c>
      <c r="E261" s="69">
        <v>50</v>
      </c>
      <c r="F261" s="96" t="str">
        <f>HYPERLINK("https://i.ytimg.com/vi/1H2iCibm8hs/default.jpg")</f>
        <v>https://i.ytimg.com/vi/1H2iCibm8hs/default.jpg</v>
      </c>
      <c r="G261" s="66"/>
      <c r="H261" s="70" t="s">
        <v>870</v>
      </c>
      <c r="I261" s="71"/>
      <c r="J261" s="71" t="s">
        <v>159</v>
      </c>
      <c r="K261" s="70" t="s">
        <v>870</v>
      </c>
      <c r="L261" s="74">
        <v>2.7285933985887194</v>
      </c>
      <c r="M261" s="75">
        <v>731.309814453125</v>
      </c>
      <c r="N261" s="75">
        <v>5781.1015625</v>
      </c>
      <c r="O261" s="76"/>
      <c r="P261" s="77"/>
      <c r="Q261" s="77"/>
      <c r="R261" s="82"/>
      <c r="S261" s="49">
        <v>1</v>
      </c>
      <c r="T261" s="49">
        <v>0</v>
      </c>
      <c r="U261" s="50">
        <v>0</v>
      </c>
      <c r="V261" s="50">
        <v>0.000837</v>
      </c>
      <c r="W261" s="50">
        <v>0.000797</v>
      </c>
      <c r="X261" s="50">
        <v>0.406293</v>
      </c>
      <c r="Y261" s="50">
        <v>0</v>
      </c>
      <c r="Z261" s="50">
        <v>0</v>
      </c>
      <c r="AA261" s="72">
        <v>251</v>
      </c>
      <c r="AB261" s="72"/>
      <c r="AC261" s="73"/>
      <c r="AD261" s="80" t="s">
        <v>870</v>
      </c>
      <c r="AE261" s="80" t="s">
        <v>1245</v>
      </c>
      <c r="AF261" s="80" t="s">
        <v>1578</v>
      </c>
      <c r="AG261" s="80" t="s">
        <v>1694</v>
      </c>
      <c r="AH261" s="80" t="s">
        <v>2163</v>
      </c>
      <c r="AI261" s="80">
        <v>39337</v>
      </c>
      <c r="AJ261" s="80">
        <v>1</v>
      </c>
      <c r="AK261" s="80">
        <v>136</v>
      </c>
      <c r="AL261" s="80">
        <v>12</v>
      </c>
      <c r="AM261" s="80" t="s">
        <v>2317</v>
      </c>
      <c r="AN261" s="98" t="str">
        <f>HYPERLINK("https://www.youtube.com/watch?v=1H2iCibm8hs")</f>
        <v>https://www.youtube.com/watch?v=1H2iCibm8hs</v>
      </c>
      <c r="AO261" s="80" t="str">
        <f>REPLACE(INDEX(GroupVertices[Group],MATCH(Vertices[[#This Row],[Vertex]],GroupVertices[Vertex],0)),1,1,"")</f>
        <v>1</v>
      </c>
      <c r="AP261" s="49">
        <v>0</v>
      </c>
      <c r="AQ261" s="50">
        <v>0</v>
      </c>
      <c r="AR261" s="49">
        <v>2</v>
      </c>
      <c r="AS261" s="50">
        <v>6.896551724137931</v>
      </c>
      <c r="AT261" s="49">
        <v>0</v>
      </c>
      <c r="AU261" s="50">
        <v>0</v>
      </c>
      <c r="AV261" s="49">
        <v>27</v>
      </c>
      <c r="AW261" s="50">
        <v>93.10344827586206</v>
      </c>
      <c r="AX261" s="49">
        <v>29</v>
      </c>
      <c r="AY261" s="49"/>
      <c r="AZ261" s="49"/>
      <c r="BA261" s="49"/>
      <c r="BB261" s="49"/>
      <c r="BC261" s="2"/>
      <c r="BD261" s="3"/>
      <c r="BE261" s="3"/>
      <c r="BF261" s="3"/>
      <c r="BG261" s="3"/>
    </row>
    <row r="262" spans="1:59" ht="15">
      <c r="A262" s="65" t="s">
        <v>462</v>
      </c>
      <c r="B262" s="66" t="s">
        <v>3536</v>
      </c>
      <c r="C262" s="66"/>
      <c r="D262" s="67">
        <v>212.5</v>
      </c>
      <c r="E262" s="69">
        <v>50</v>
      </c>
      <c r="F262" s="96" t="str">
        <f>HYPERLINK("https://i.ytimg.com/vi/3jW6A2lt31E/default.jpg")</f>
        <v>https://i.ytimg.com/vi/3jW6A2lt31E/default.jpg</v>
      </c>
      <c r="G262" s="66"/>
      <c r="H262" s="70" t="s">
        <v>871</v>
      </c>
      <c r="I262" s="71"/>
      <c r="J262" s="71" t="s">
        <v>159</v>
      </c>
      <c r="K262" s="70" t="s">
        <v>871</v>
      </c>
      <c r="L262" s="74">
        <v>1.0030768839419522</v>
      </c>
      <c r="M262" s="75">
        <v>2725.791259765625</v>
      </c>
      <c r="N262" s="75">
        <v>9524.98828125</v>
      </c>
      <c r="O262" s="76"/>
      <c r="P262" s="77"/>
      <c r="Q262" s="77"/>
      <c r="R262" s="82"/>
      <c r="S262" s="49">
        <v>1</v>
      </c>
      <c r="T262" s="49">
        <v>0</v>
      </c>
      <c r="U262" s="50">
        <v>0</v>
      </c>
      <c r="V262" s="50">
        <v>0.000837</v>
      </c>
      <c r="W262" s="50">
        <v>0.000797</v>
      </c>
      <c r="X262" s="50">
        <v>0.406293</v>
      </c>
      <c r="Y262" s="50">
        <v>0</v>
      </c>
      <c r="Z262" s="50">
        <v>0</v>
      </c>
      <c r="AA262" s="72">
        <v>252</v>
      </c>
      <c r="AB262" s="72"/>
      <c r="AC262" s="73"/>
      <c r="AD262" s="80" t="s">
        <v>871</v>
      </c>
      <c r="AE262" s="80" t="s">
        <v>1246</v>
      </c>
      <c r="AF262" s="80"/>
      <c r="AG262" s="80" t="s">
        <v>1836</v>
      </c>
      <c r="AH262" s="80" t="s">
        <v>2164</v>
      </c>
      <c r="AI262" s="80">
        <v>81</v>
      </c>
      <c r="AJ262" s="80">
        <v>0</v>
      </c>
      <c r="AK262" s="80">
        <v>6</v>
      </c>
      <c r="AL262" s="80">
        <v>0</v>
      </c>
      <c r="AM262" s="80" t="s">
        <v>2317</v>
      </c>
      <c r="AN262" s="98" t="str">
        <f>HYPERLINK("https://www.youtube.com/watch?v=3jW6A2lt31E")</f>
        <v>https://www.youtube.com/watch?v=3jW6A2lt31E</v>
      </c>
      <c r="AO262" s="80" t="str">
        <f>REPLACE(INDEX(GroupVertices[Group],MATCH(Vertices[[#This Row],[Vertex]],GroupVertices[Vertex],0)),1,1,"")</f>
        <v>1</v>
      </c>
      <c r="AP262" s="49"/>
      <c r="AQ262" s="50"/>
      <c r="AR262" s="49"/>
      <c r="AS262" s="50"/>
      <c r="AT262" s="49"/>
      <c r="AU262" s="50"/>
      <c r="AV262" s="49"/>
      <c r="AW262" s="50"/>
      <c r="AX262" s="49"/>
      <c r="AY262" s="49"/>
      <c r="AZ262" s="49"/>
      <c r="BA262" s="49"/>
      <c r="BB262" s="49"/>
      <c r="BC262" s="2"/>
      <c r="BD262" s="3"/>
      <c r="BE262" s="3"/>
      <c r="BF262" s="3"/>
      <c r="BG262" s="3"/>
    </row>
    <row r="263" spans="1:59" ht="15">
      <c r="A263" s="65" t="s">
        <v>463</v>
      </c>
      <c r="B263" s="66" t="s">
        <v>3536</v>
      </c>
      <c r="C263" s="66"/>
      <c r="D263" s="67">
        <v>212.5</v>
      </c>
      <c r="E263" s="69">
        <v>50</v>
      </c>
      <c r="F263" s="96" t="str">
        <f>HYPERLINK("https://i.ytimg.com/vi/QWW0pqrv7rk/default.jpg")</f>
        <v>https://i.ytimg.com/vi/QWW0pqrv7rk/default.jpg</v>
      </c>
      <c r="G263" s="66"/>
      <c r="H263" s="70" t="s">
        <v>872</v>
      </c>
      <c r="I263" s="71"/>
      <c r="J263" s="71" t="s">
        <v>159</v>
      </c>
      <c r="K263" s="70" t="s">
        <v>872</v>
      </c>
      <c r="L263" s="74">
        <v>19.424512910864145</v>
      </c>
      <c r="M263" s="75">
        <v>1130.2061767578125</v>
      </c>
      <c r="N263" s="75">
        <v>5246.26123046875</v>
      </c>
      <c r="O263" s="76"/>
      <c r="P263" s="77"/>
      <c r="Q263" s="77"/>
      <c r="R263" s="82"/>
      <c r="S263" s="49">
        <v>1</v>
      </c>
      <c r="T263" s="49">
        <v>0</v>
      </c>
      <c r="U263" s="50">
        <v>0</v>
      </c>
      <c r="V263" s="50">
        <v>0.000837</v>
      </c>
      <c r="W263" s="50">
        <v>0.000797</v>
      </c>
      <c r="X263" s="50">
        <v>0.406293</v>
      </c>
      <c r="Y263" s="50">
        <v>0</v>
      </c>
      <c r="Z263" s="50">
        <v>0</v>
      </c>
      <c r="AA263" s="72">
        <v>253</v>
      </c>
      <c r="AB263" s="72"/>
      <c r="AC263" s="73"/>
      <c r="AD263" s="80" t="s">
        <v>872</v>
      </c>
      <c r="AE263" s="80" t="s">
        <v>1247</v>
      </c>
      <c r="AF263" s="80" t="s">
        <v>1579</v>
      </c>
      <c r="AG263" s="80" t="s">
        <v>1844</v>
      </c>
      <c r="AH263" s="80" t="s">
        <v>2165</v>
      </c>
      <c r="AI263" s="80">
        <v>419174</v>
      </c>
      <c r="AJ263" s="80">
        <v>224</v>
      </c>
      <c r="AK263" s="80">
        <v>4234</v>
      </c>
      <c r="AL263" s="80">
        <v>118</v>
      </c>
      <c r="AM263" s="80" t="s">
        <v>2317</v>
      </c>
      <c r="AN263" s="98" t="str">
        <f>HYPERLINK("https://www.youtube.com/watch?v=QWW0pqrv7rk")</f>
        <v>https://www.youtube.com/watch?v=QWW0pqrv7rk</v>
      </c>
      <c r="AO263" s="80" t="str">
        <f>REPLACE(INDEX(GroupVertices[Group],MATCH(Vertices[[#This Row],[Vertex]],GroupVertices[Vertex],0)),1,1,"")</f>
        <v>1</v>
      </c>
      <c r="AP263" s="49">
        <v>1</v>
      </c>
      <c r="AQ263" s="50">
        <v>2.0833333333333335</v>
      </c>
      <c r="AR263" s="49">
        <v>4</v>
      </c>
      <c r="AS263" s="50">
        <v>8.333333333333334</v>
      </c>
      <c r="AT263" s="49">
        <v>0</v>
      </c>
      <c r="AU263" s="50">
        <v>0</v>
      </c>
      <c r="AV263" s="49">
        <v>43</v>
      </c>
      <c r="AW263" s="50">
        <v>89.58333333333333</v>
      </c>
      <c r="AX263" s="49">
        <v>48</v>
      </c>
      <c r="AY263" s="49"/>
      <c r="AZ263" s="49"/>
      <c r="BA263" s="49"/>
      <c r="BB263" s="49"/>
      <c r="BC263" s="2"/>
      <c r="BD263" s="3"/>
      <c r="BE263" s="3"/>
      <c r="BF263" s="3"/>
      <c r="BG263" s="3"/>
    </row>
    <row r="264" spans="1:59" ht="15">
      <c r="A264" s="65" t="s">
        <v>464</v>
      </c>
      <c r="B264" s="66" t="s">
        <v>3536</v>
      </c>
      <c r="C264" s="66"/>
      <c r="D264" s="67">
        <v>212.5</v>
      </c>
      <c r="E264" s="69">
        <v>50</v>
      </c>
      <c r="F264" s="96" t="str">
        <f>HYPERLINK("https://i.ytimg.com/vi/UTSf09Huz70/default.jpg")</f>
        <v>https://i.ytimg.com/vi/UTSf09Huz70/default.jpg</v>
      </c>
      <c r="G264" s="66"/>
      <c r="H264" s="70" t="s">
        <v>873</v>
      </c>
      <c r="I264" s="71"/>
      <c r="J264" s="71" t="s">
        <v>159</v>
      </c>
      <c r="K264" s="70" t="s">
        <v>873</v>
      </c>
      <c r="L264" s="74">
        <v>1.2835568329933333</v>
      </c>
      <c r="M264" s="75">
        <v>2326.89501953125</v>
      </c>
      <c r="N264" s="75">
        <v>7385.625</v>
      </c>
      <c r="O264" s="76"/>
      <c r="P264" s="77"/>
      <c r="Q264" s="77"/>
      <c r="R264" s="82"/>
      <c r="S264" s="49">
        <v>1</v>
      </c>
      <c r="T264" s="49">
        <v>0</v>
      </c>
      <c r="U264" s="50">
        <v>0</v>
      </c>
      <c r="V264" s="50">
        <v>0.000837</v>
      </c>
      <c r="W264" s="50">
        <v>0.000797</v>
      </c>
      <c r="X264" s="50">
        <v>0.406293</v>
      </c>
      <c r="Y264" s="50">
        <v>0</v>
      </c>
      <c r="Z264" s="50">
        <v>0</v>
      </c>
      <c r="AA264" s="72">
        <v>254</v>
      </c>
      <c r="AB264" s="72"/>
      <c r="AC264" s="73"/>
      <c r="AD264" s="80" t="s">
        <v>873</v>
      </c>
      <c r="AE264" s="80" t="s">
        <v>1248</v>
      </c>
      <c r="AF264" s="80" t="s">
        <v>1580</v>
      </c>
      <c r="AG264" s="80" t="s">
        <v>1694</v>
      </c>
      <c r="AH264" s="80" t="s">
        <v>2166</v>
      </c>
      <c r="AI264" s="80">
        <v>6462</v>
      </c>
      <c r="AJ264" s="80">
        <v>0</v>
      </c>
      <c r="AK264" s="80">
        <v>35</v>
      </c>
      <c r="AL264" s="80">
        <v>3</v>
      </c>
      <c r="AM264" s="80" t="s">
        <v>2317</v>
      </c>
      <c r="AN264" s="98" t="str">
        <f>HYPERLINK("https://www.youtube.com/watch?v=UTSf09Huz70")</f>
        <v>https://www.youtube.com/watch?v=UTSf09Huz70</v>
      </c>
      <c r="AO264" s="80" t="str">
        <f>REPLACE(INDEX(GroupVertices[Group],MATCH(Vertices[[#This Row],[Vertex]],GroupVertices[Vertex],0)),1,1,"")</f>
        <v>1</v>
      </c>
      <c r="AP264" s="49">
        <v>1</v>
      </c>
      <c r="AQ264" s="50">
        <v>3.5714285714285716</v>
      </c>
      <c r="AR264" s="49">
        <v>3</v>
      </c>
      <c r="AS264" s="50">
        <v>10.714285714285714</v>
      </c>
      <c r="AT264" s="49">
        <v>0</v>
      </c>
      <c r="AU264" s="50">
        <v>0</v>
      </c>
      <c r="AV264" s="49">
        <v>24</v>
      </c>
      <c r="AW264" s="50">
        <v>85.71428571428571</v>
      </c>
      <c r="AX264" s="49">
        <v>28</v>
      </c>
      <c r="AY264" s="49"/>
      <c r="AZ264" s="49"/>
      <c r="BA264" s="49"/>
      <c r="BB264" s="49"/>
      <c r="BC264" s="2"/>
      <c r="BD264" s="3"/>
      <c r="BE264" s="3"/>
      <c r="BF264" s="3"/>
      <c r="BG264" s="3"/>
    </row>
    <row r="265" spans="1:59" ht="15">
      <c r="A265" s="65" t="s">
        <v>465</v>
      </c>
      <c r="B265" s="66" t="s">
        <v>3536</v>
      </c>
      <c r="C265" s="66"/>
      <c r="D265" s="67">
        <v>325</v>
      </c>
      <c r="E265" s="69">
        <v>100</v>
      </c>
      <c r="F265" s="96" t="str">
        <f>HYPERLINK("https://i.ytimg.com/vi/FykP2NNEHwM/default.jpg")</f>
        <v>https://i.ytimg.com/vi/FykP2NNEHwM/default.jpg</v>
      </c>
      <c r="G265" s="66"/>
      <c r="H265" s="70" t="s">
        <v>874</v>
      </c>
      <c r="I265" s="71"/>
      <c r="J265" s="71" t="s">
        <v>75</v>
      </c>
      <c r="K265" s="70" t="s">
        <v>874</v>
      </c>
      <c r="L265" s="74">
        <v>1.1407894180867535</v>
      </c>
      <c r="M265" s="75">
        <v>2326.89501953125</v>
      </c>
      <c r="N265" s="75">
        <v>7920.4658203125</v>
      </c>
      <c r="O265" s="76"/>
      <c r="P265" s="77"/>
      <c r="Q265" s="77"/>
      <c r="R265" s="82"/>
      <c r="S265" s="49">
        <v>2</v>
      </c>
      <c r="T265" s="49">
        <v>0</v>
      </c>
      <c r="U265" s="50">
        <v>0</v>
      </c>
      <c r="V265" s="50">
        <v>0.000945</v>
      </c>
      <c r="W265" s="50">
        <v>0.002453</v>
      </c>
      <c r="X265" s="50">
        <v>0.664616</v>
      </c>
      <c r="Y265" s="50">
        <v>0.5</v>
      </c>
      <c r="Z265" s="50">
        <v>0</v>
      </c>
      <c r="AA265" s="72">
        <v>255</v>
      </c>
      <c r="AB265" s="72"/>
      <c r="AC265" s="73"/>
      <c r="AD265" s="80" t="s">
        <v>874</v>
      </c>
      <c r="AE265" s="80" t="s">
        <v>1249</v>
      </c>
      <c r="AF265" s="80" t="s">
        <v>1581</v>
      </c>
      <c r="AG265" s="80" t="s">
        <v>1845</v>
      </c>
      <c r="AH265" s="80" t="s">
        <v>2167</v>
      </c>
      <c r="AI265" s="80">
        <v>3214</v>
      </c>
      <c r="AJ265" s="80">
        <v>3</v>
      </c>
      <c r="AK265" s="80">
        <v>13</v>
      </c>
      <c r="AL265" s="80">
        <v>0</v>
      </c>
      <c r="AM265" s="80" t="s">
        <v>2317</v>
      </c>
      <c r="AN265" s="98" t="str">
        <f>HYPERLINK("https://www.youtube.com/watch?v=FykP2NNEHwM")</f>
        <v>https://www.youtube.com/watch?v=FykP2NNEHwM</v>
      </c>
      <c r="AO265" s="80" t="str">
        <f>REPLACE(INDEX(GroupVertices[Group],MATCH(Vertices[[#This Row],[Vertex]],GroupVertices[Vertex],0)),1,1,"")</f>
        <v>1</v>
      </c>
      <c r="AP265" s="49">
        <v>0</v>
      </c>
      <c r="AQ265" s="50">
        <v>0</v>
      </c>
      <c r="AR265" s="49">
        <v>0</v>
      </c>
      <c r="AS265" s="50">
        <v>0</v>
      </c>
      <c r="AT265" s="49">
        <v>0</v>
      </c>
      <c r="AU265" s="50">
        <v>0</v>
      </c>
      <c r="AV265" s="49">
        <v>11</v>
      </c>
      <c r="AW265" s="50">
        <v>100</v>
      </c>
      <c r="AX265" s="49">
        <v>11</v>
      </c>
      <c r="AY265" s="49"/>
      <c r="AZ265" s="49"/>
      <c r="BA265" s="49"/>
      <c r="BB265" s="49"/>
      <c r="BC265" s="2"/>
      <c r="BD265" s="3"/>
      <c r="BE265" s="3"/>
      <c r="BF265" s="3"/>
      <c r="BG265" s="3"/>
    </row>
    <row r="266" spans="1:59" ht="15">
      <c r="A266" s="65" t="s">
        <v>466</v>
      </c>
      <c r="B266" s="66" t="s">
        <v>3536</v>
      </c>
      <c r="C266" s="66"/>
      <c r="D266" s="67">
        <v>212.5</v>
      </c>
      <c r="E266" s="69">
        <v>50</v>
      </c>
      <c r="F266" s="96" t="str">
        <f>HYPERLINK("https://i.ytimg.com/vi/lwCKZpjpnf0/default.jpg")</f>
        <v>https://i.ytimg.com/vi/lwCKZpjpnf0/default.jpg</v>
      </c>
      <c r="G266" s="66"/>
      <c r="H266" s="70" t="s">
        <v>875</v>
      </c>
      <c r="I266" s="71"/>
      <c r="J266" s="71" t="s">
        <v>159</v>
      </c>
      <c r="K266" s="70" t="s">
        <v>875</v>
      </c>
      <c r="L266" s="74">
        <v>1.0350764769382546</v>
      </c>
      <c r="M266" s="75">
        <v>2725.791259765625</v>
      </c>
      <c r="N266" s="75">
        <v>8455.306640625</v>
      </c>
      <c r="O266" s="76"/>
      <c r="P266" s="77"/>
      <c r="Q266" s="77"/>
      <c r="R266" s="82"/>
      <c r="S266" s="49">
        <v>1</v>
      </c>
      <c r="T266" s="49">
        <v>0</v>
      </c>
      <c r="U266" s="50">
        <v>0</v>
      </c>
      <c r="V266" s="50">
        <v>0.000837</v>
      </c>
      <c r="W266" s="50">
        <v>0.000797</v>
      </c>
      <c r="X266" s="50">
        <v>0.406293</v>
      </c>
      <c r="Y266" s="50">
        <v>0</v>
      </c>
      <c r="Z266" s="50">
        <v>0</v>
      </c>
      <c r="AA266" s="72">
        <v>256</v>
      </c>
      <c r="AB266" s="72"/>
      <c r="AC266" s="73"/>
      <c r="AD266" s="80" t="s">
        <v>875</v>
      </c>
      <c r="AE266" s="80" t="s">
        <v>1250</v>
      </c>
      <c r="AF266" s="80" t="s">
        <v>1582</v>
      </c>
      <c r="AG266" s="80" t="s">
        <v>1846</v>
      </c>
      <c r="AH266" s="80" t="s">
        <v>2168</v>
      </c>
      <c r="AI266" s="80">
        <v>809</v>
      </c>
      <c r="AJ266" s="80">
        <v>1</v>
      </c>
      <c r="AK266" s="80">
        <v>6</v>
      </c>
      <c r="AL266" s="80">
        <v>0</v>
      </c>
      <c r="AM266" s="80" t="s">
        <v>2317</v>
      </c>
      <c r="AN266" s="98" t="str">
        <f>HYPERLINK("https://www.youtube.com/watch?v=lwCKZpjpnf0")</f>
        <v>https://www.youtube.com/watch?v=lwCKZpjpnf0</v>
      </c>
      <c r="AO266" s="80" t="str">
        <f>REPLACE(INDEX(GroupVertices[Group],MATCH(Vertices[[#This Row],[Vertex]],GroupVertices[Vertex],0)),1,1,"")</f>
        <v>1</v>
      </c>
      <c r="AP266" s="49">
        <v>0</v>
      </c>
      <c r="AQ266" s="50">
        <v>0</v>
      </c>
      <c r="AR266" s="49">
        <v>2</v>
      </c>
      <c r="AS266" s="50">
        <v>11.764705882352942</v>
      </c>
      <c r="AT266" s="49">
        <v>0</v>
      </c>
      <c r="AU266" s="50">
        <v>0</v>
      </c>
      <c r="AV266" s="49">
        <v>15</v>
      </c>
      <c r="AW266" s="50">
        <v>88.23529411764706</v>
      </c>
      <c r="AX266" s="49">
        <v>17</v>
      </c>
      <c r="AY266" s="49"/>
      <c r="AZ266" s="49"/>
      <c r="BA266" s="49"/>
      <c r="BB266" s="49"/>
      <c r="BC266" s="2"/>
      <c r="BD266" s="3"/>
      <c r="BE266" s="3"/>
      <c r="BF266" s="3"/>
      <c r="BG266" s="3"/>
    </row>
    <row r="267" spans="1:59" ht="15">
      <c r="A267" s="65" t="s">
        <v>473</v>
      </c>
      <c r="B267" s="66" t="s">
        <v>3536</v>
      </c>
      <c r="C267" s="66"/>
      <c r="D267" s="67">
        <v>212.5</v>
      </c>
      <c r="E267" s="69">
        <v>50</v>
      </c>
      <c r="F267" s="96" t="str">
        <f>HYPERLINK("https://i.ytimg.com/vi/LmfYPJoX_38/default.jpg")</f>
        <v>https://i.ytimg.com/vi/LmfYPJoX_38/default.jpg</v>
      </c>
      <c r="G267" s="66"/>
      <c r="H267" s="70" t="s">
        <v>883</v>
      </c>
      <c r="I267" s="71"/>
      <c r="J267" s="71" t="s">
        <v>159</v>
      </c>
      <c r="K267" s="70" t="s">
        <v>883</v>
      </c>
      <c r="L267" s="74">
        <v>1.0019779968198264</v>
      </c>
      <c r="M267" s="75">
        <v>5043.1884765625</v>
      </c>
      <c r="N267" s="75">
        <v>9494.1435546875</v>
      </c>
      <c r="O267" s="76"/>
      <c r="P267" s="77"/>
      <c r="Q267" s="77"/>
      <c r="R267" s="82"/>
      <c r="S267" s="49">
        <v>1</v>
      </c>
      <c r="T267" s="49">
        <v>0</v>
      </c>
      <c r="U267" s="50">
        <v>0</v>
      </c>
      <c r="V267" s="50">
        <v>0.000728</v>
      </c>
      <c r="W267" s="50">
        <v>0.000215</v>
      </c>
      <c r="X267" s="50">
        <v>0.466523</v>
      </c>
      <c r="Y267" s="50">
        <v>0</v>
      </c>
      <c r="Z267" s="50">
        <v>0</v>
      </c>
      <c r="AA267" s="72">
        <v>264</v>
      </c>
      <c r="AB267" s="72"/>
      <c r="AC267" s="73"/>
      <c r="AD267" s="80" t="s">
        <v>883</v>
      </c>
      <c r="AE267" s="80" t="s">
        <v>1258</v>
      </c>
      <c r="AF267" s="80" t="s">
        <v>1589</v>
      </c>
      <c r="AG267" s="80" t="s">
        <v>1851</v>
      </c>
      <c r="AH267" s="80" t="s">
        <v>2176</v>
      </c>
      <c r="AI267" s="80">
        <v>56</v>
      </c>
      <c r="AJ267" s="80">
        <v>0</v>
      </c>
      <c r="AK267" s="80">
        <v>0</v>
      </c>
      <c r="AL267" s="80">
        <v>0</v>
      </c>
      <c r="AM267" s="80" t="s">
        <v>2317</v>
      </c>
      <c r="AN267" s="98" t="str">
        <f>HYPERLINK("https://www.youtube.com/watch?v=LmfYPJoX_38")</f>
        <v>https://www.youtube.com/watch?v=LmfYPJoX_38</v>
      </c>
      <c r="AO267" s="80" t="str">
        <f>REPLACE(INDEX(GroupVertices[Group],MATCH(Vertices[[#This Row],[Vertex]],GroupVertices[Vertex],0)),1,1,"")</f>
        <v>3</v>
      </c>
      <c r="AP267" s="49">
        <v>0</v>
      </c>
      <c r="AQ267" s="50">
        <v>0</v>
      </c>
      <c r="AR267" s="49">
        <v>0</v>
      </c>
      <c r="AS267" s="50">
        <v>0</v>
      </c>
      <c r="AT267" s="49">
        <v>0</v>
      </c>
      <c r="AU267" s="50">
        <v>0</v>
      </c>
      <c r="AV267" s="49">
        <v>8</v>
      </c>
      <c r="AW267" s="50">
        <v>100</v>
      </c>
      <c r="AX267" s="49">
        <v>8</v>
      </c>
      <c r="AY267" s="49"/>
      <c r="AZ267" s="49"/>
      <c r="BA267" s="49"/>
      <c r="BB267" s="49"/>
      <c r="BC267" s="2"/>
      <c r="BD267" s="3"/>
      <c r="BE267" s="3"/>
      <c r="BF267" s="3"/>
      <c r="BG267" s="3"/>
    </row>
    <row r="268" spans="1:59" ht="15">
      <c r="A268" s="65" t="s">
        <v>474</v>
      </c>
      <c r="B268" s="66" t="s">
        <v>3536</v>
      </c>
      <c r="C268" s="66"/>
      <c r="D268" s="67">
        <v>212.5</v>
      </c>
      <c r="E268" s="69">
        <v>50</v>
      </c>
      <c r="F268" s="96" t="str">
        <f>HYPERLINK("https://i.ytimg.com/vi/HVS2a5FU4yA/default.jpg")</f>
        <v>https://i.ytimg.com/vi/HVS2a5FU4yA/default.jpg</v>
      </c>
      <c r="G268" s="66"/>
      <c r="H268" s="70" t="s">
        <v>884</v>
      </c>
      <c r="I268" s="71"/>
      <c r="J268" s="71" t="s">
        <v>159</v>
      </c>
      <c r="K268" s="70" t="s">
        <v>884</v>
      </c>
      <c r="L268" s="74">
        <v>1.0006593322732755</v>
      </c>
      <c r="M268" s="75">
        <v>3599.564208984375</v>
      </c>
      <c r="N268" s="75">
        <v>9494.1435546875</v>
      </c>
      <c r="O268" s="76"/>
      <c r="P268" s="77"/>
      <c r="Q268" s="77"/>
      <c r="R268" s="82"/>
      <c r="S268" s="49">
        <v>1</v>
      </c>
      <c r="T268" s="49">
        <v>0</v>
      </c>
      <c r="U268" s="50">
        <v>0</v>
      </c>
      <c r="V268" s="50">
        <v>0.000728</v>
      </c>
      <c r="W268" s="50">
        <v>0.000215</v>
      </c>
      <c r="X268" s="50">
        <v>0.466523</v>
      </c>
      <c r="Y268" s="50">
        <v>0</v>
      </c>
      <c r="Z268" s="50">
        <v>0</v>
      </c>
      <c r="AA268" s="72">
        <v>265</v>
      </c>
      <c r="AB268" s="72"/>
      <c r="AC268" s="73"/>
      <c r="AD268" s="80" t="s">
        <v>884</v>
      </c>
      <c r="AE268" s="80" t="s">
        <v>1259</v>
      </c>
      <c r="AF268" s="80" t="s">
        <v>1589</v>
      </c>
      <c r="AG268" s="80" t="s">
        <v>1851</v>
      </c>
      <c r="AH268" s="80" t="s">
        <v>2177</v>
      </c>
      <c r="AI268" s="80">
        <v>26</v>
      </c>
      <c r="AJ268" s="80">
        <v>0</v>
      </c>
      <c r="AK268" s="80">
        <v>0</v>
      </c>
      <c r="AL268" s="80">
        <v>1</v>
      </c>
      <c r="AM268" s="80" t="s">
        <v>2317</v>
      </c>
      <c r="AN268" s="98" t="str">
        <f>HYPERLINK("https://www.youtube.com/watch?v=HVS2a5FU4yA")</f>
        <v>https://www.youtube.com/watch?v=HVS2a5FU4yA</v>
      </c>
      <c r="AO268" s="80" t="str">
        <f>REPLACE(INDEX(GroupVertices[Group],MATCH(Vertices[[#This Row],[Vertex]],GroupVertices[Vertex],0)),1,1,"")</f>
        <v>3</v>
      </c>
      <c r="AP268" s="49">
        <v>0</v>
      </c>
      <c r="AQ268" s="50">
        <v>0</v>
      </c>
      <c r="AR268" s="49">
        <v>0</v>
      </c>
      <c r="AS268" s="50">
        <v>0</v>
      </c>
      <c r="AT268" s="49">
        <v>0</v>
      </c>
      <c r="AU268" s="50">
        <v>0</v>
      </c>
      <c r="AV268" s="49">
        <v>8</v>
      </c>
      <c r="AW268" s="50">
        <v>100</v>
      </c>
      <c r="AX268" s="49">
        <v>8</v>
      </c>
      <c r="AY268" s="49"/>
      <c r="AZ268" s="49"/>
      <c r="BA268" s="49"/>
      <c r="BB268" s="49"/>
      <c r="BC268" s="2"/>
      <c r="BD268" s="3"/>
      <c r="BE268" s="3"/>
      <c r="BF268" s="3"/>
      <c r="BG268" s="3"/>
    </row>
    <row r="269" spans="1:59" ht="15">
      <c r="A269" s="65" t="s">
        <v>475</v>
      </c>
      <c r="B269" s="66" t="s">
        <v>3536</v>
      </c>
      <c r="C269" s="66"/>
      <c r="D269" s="67">
        <v>212.5</v>
      </c>
      <c r="E269" s="69">
        <v>50</v>
      </c>
      <c r="F269" s="96" t="str">
        <f>HYPERLINK("https://i.ytimg.com/vi/0m0nw_hz1M8/default.jpg")</f>
        <v>https://i.ytimg.com/vi/0m0nw_hz1M8/default.jpg</v>
      </c>
      <c r="G269" s="66"/>
      <c r="H269" s="70" t="s">
        <v>885</v>
      </c>
      <c r="I269" s="71"/>
      <c r="J269" s="71" t="s">
        <v>159</v>
      </c>
      <c r="K269" s="70" t="s">
        <v>885</v>
      </c>
      <c r="L269" s="74">
        <v>1.0023296406989066</v>
      </c>
      <c r="M269" s="75">
        <v>5404.0947265625</v>
      </c>
      <c r="N269" s="75">
        <v>9494.1435546875</v>
      </c>
      <c r="O269" s="76"/>
      <c r="P269" s="77"/>
      <c r="Q269" s="77"/>
      <c r="R269" s="82"/>
      <c r="S269" s="49">
        <v>1</v>
      </c>
      <c r="T269" s="49">
        <v>0</v>
      </c>
      <c r="U269" s="50">
        <v>0</v>
      </c>
      <c r="V269" s="50">
        <v>0.000728</v>
      </c>
      <c r="W269" s="50">
        <v>0.000215</v>
      </c>
      <c r="X269" s="50">
        <v>0.466523</v>
      </c>
      <c r="Y269" s="50">
        <v>0</v>
      </c>
      <c r="Z269" s="50">
        <v>0</v>
      </c>
      <c r="AA269" s="72">
        <v>266</v>
      </c>
      <c r="AB269" s="72"/>
      <c r="AC269" s="73"/>
      <c r="AD269" s="80" t="s">
        <v>885</v>
      </c>
      <c r="AE269" s="80" t="s">
        <v>1260</v>
      </c>
      <c r="AF269" s="80" t="s">
        <v>1589</v>
      </c>
      <c r="AG269" s="80" t="s">
        <v>1851</v>
      </c>
      <c r="AH269" s="80" t="s">
        <v>2178</v>
      </c>
      <c r="AI269" s="80">
        <v>64</v>
      </c>
      <c r="AJ269" s="80">
        <v>0</v>
      </c>
      <c r="AK269" s="80">
        <v>0</v>
      </c>
      <c r="AL269" s="80">
        <v>1</v>
      </c>
      <c r="AM269" s="80" t="s">
        <v>2317</v>
      </c>
      <c r="AN269" s="98" t="str">
        <f>HYPERLINK("https://www.youtube.com/watch?v=0m0nw_hz1M8")</f>
        <v>https://www.youtube.com/watch?v=0m0nw_hz1M8</v>
      </c>
      <c r="AO269" s="80" t="str">
        <f>REPLACE(INDEX(GroupVertices[Group],MATCH(Vertices[[#This Row],[Vertex]],GroupVertices[Vertex],0)),1,1,"")</f>
        <v>3</v>
      </c>
      <c r="AP269" s="49">
        <v>0</v>
      </c>
      <c r="AQ269" s="50">
        <v>0</v>
      </c>
      <c r="AR269" s="49">
        <v>0</v>
      </c>
      <c r="AS269" s="50">
        <v>0</v>
      </c>
      <c r="AT269" s="49">
        <v>0</v>
      </c>
      <c r="AU269" s="50">
        <v>0</v>
      </c>
      <c r="AV269" s="49">
        <v>8</v>
      </c>
      <c r="AW269" s="50">
        <v>100</v>
      </c>
      <c r="AX269" s="49">
        <v>8</v>
      </c>
      <c r="AY269" s="49"/>
      <c r="AZ269" s="49"/>
      <c r="BA269" s="49"/>
      <c r="BB269" s="49"/>
      <c r="BC269" s="2"/>
      <c r="BD269" s="3"/>
      <c r="BE269" s="3"/>
      <c r="BF269" s="3"/>
      <c r="BG269" s="3"/>
    </row>
    <row r="270" spans="1:59" ht="15">
      <c r="A270" s="65" t="s">
        <v>476</v>
      </c>
      <c r="B270" s="66" t="s">
        <v>3536</v>
      </c>
      <c r="C270" s="66"/>
      <c r="D270" s="67">
        <v>212.5</v>
      </c>
      <c r="E270" s="69">
        <v>50</v>
      </c>
      <c r="F270" s="96" t="str">
        <f>HYPERLINK("https://i.ytimg.com/vi/w-JxR-7FpGU/default.jpg")</f>
        <v>https://i.ytimg.com/vi/w-JxR-7FpGU/default.jpg</v>
      </c>
      <c r="G270" s="66"/>
      <c r="H270" s="70" t="s">
        <v>886</v>
      </c>
      <c r="I270" s="71"/>
      <c r="J270" s="71" t="s">
        <v>159</v>
      </c>
      <c r="K270" s="70" t="s">
        <v>886</v>
      </c>
      <c r="L270" s="74">
        <v>1.7128700538654287</v>
      </c>
      <c r="M270" s="75">
        <v>5404.0947265625</v>
      </c>
      <c r="N270" s="75">
        <v>7704.5498046875</v>
      </c>
      <c r="O270" s="76"/>
      <c r="P270" s="77"/>
      <c r="Q270" s="77"/>
      <c r="R270" s="82"/>
      <c r="S270" s="49">
        <v>1</v>
      </c>
      <c r="T270" s="49">
        <v>0</v>
      </c>
      <c r="U270" s="50">
        <v>0</v>
      </c>
      <c r="V270" s="50">
        <v>0.000728</v>
      </c>
      <c r="W270" s="50">
        <v>0.000215</v>
      </c>
      <c r="X270" s="50">
        <v>0.466523</v>
      </c>
      <c r="Y270" s="50">
        <v>0</v>
      </c>
      <c r="Z270" s="50">
        <v>0</v>
      </c>
      <c r="AA270" s="72">
        <v>267</v>
      </c>
      <c r="AB270" s="72"/>
      <c r="AC270" s="73"/>
      <c r="AD270" s="80" t="s">
        <v>886</v>
      </c>
      <c r="AE270" s="80" t="s">
        <v>1261</v>
      </c>
      <c r="AF270" s="80" t="s">
        <v>1590</v>
      </c>
      <c r="AG270" s="80" t="s">
        <v>1852</v>
      </c>
      <c r="AH270" s="80" t="s">
        <v>2179</v>
      </c>
      <c r="AI270" s="80">
        <v>16229</v>
      </c>
      <c r="AJ270" s="80">
        <v>240</v>
      </c>
      <c r="AK270" s="80">
        <v>1836</v>
      </c>
      <c r="AL270" s="80">
        <v>27</v>
      </c>
      <c r="AM270" s="80" t="s">
        <v>2317</v>
      </c>
      <c r="AN270" s="98" t="str">
        <f>HYPERLINK("https://www.youtube.com/watch?v=w-JxR-7FpGU")</f>
        <v>https://www.youtube.com/watch?v=w-JxR-7FpGU</v>
      </c>
      <c r="AO270" s="80" t="str">
        <f>REPLACE(INDEX(GroupVertices[Group],MATCH(Vertices[[#This Row],[Vertex]],GroupVertices[Vertex],0)),1,1,"")</f>
        <v>3</v>
      </c>
      <c r="AP270" s="49">
        <v>0</v>
      </c>
      <c r="AQ270" s="50">
        <v>0</v>
      </c>
      <c r="AR270" s="49">
        <v>0</v>
      </c>
      <c r="AS270" s="50">
        <v>0</v>
      </c>
      <c r="AT270" s="49">
        <v>0</v>
      </c>
      <c r="AU270" s="50">
        <v>0</v>
      </c>
      <c r="AV270" s="49">
        <v>57</v>
      </c>
      <c r="AW270" s="50">
        <v>100</v>
      </c>
      <c r="AX270" s="49">
        <v>57</v>
      </c>
      <c r="AY270" s="49"/>
      <c r="AZ270" s="49"/>
      <c r="BA270" s="49"/>
      <c r="BB270" s="49"/>
      <c r="BC270" s="2"/>
      <c r="BD270" s="3"/>
      <c r="BE270" s="3"/>
      <c r="BF270" s="3"/>
      <c r="BG270" s="3"/>
    </row>
    <row r="271" spans="1:59" ht="15">
      <c r="A271" s="65" t="s">
        <v>477</v>
      </c>
      <c r="B271" s="66" t="s">
        <v>3536</v>
      </c>
      <c r="C271" s="66"/>
      <c r="D271" s="67">
        <v>212.5</v>
      </c>
      <c r="E271" s="69">
        <v>50</v>
      </c>
      <c r="F271" s="96" t="str">
        <f>HYPERLINK("https://i.ytimg.com/vi/md5MwcXv_Iw/default.jpg")</f>
        <v>https://i.ytimg.com/vi/md5MwcXv_Iw/default.jpg</v>
      </c>
      <c r="G271" s="66"/>
      <c r="H271" s="70" t="s">
        <v>887</v>
      </c>
      <c r="I271" s="71"/>
      <c r="J271" s="71" t="s">
        <v>159</v>
      </c>
      <c r="K271" s="70" t="s">
        <v>887</v>
      </c>
      <c r="L271" s="74">
        <v>1.0063295898234443</v>
      </c>
      <c r="M271" s="75">
        <v>4321.37646484375</v>
      </c>
      <c r="N271" s="75">
        <v>8897.6123046875</v>
      </c>
      <c r="O271" s="76"/>
      <c r="P271" s="77"/>
      <c r="Q271" s="77"/>
      <c r="R271" s="82"/>
      <c r="S271" s="49">
        <v>1</v>
      </c>
      <c r="T271" s="49">
        <v>0</v>
      </c>
      <c r="U271" s="50">
        <v>0</v>
      </c>
      <c r="V271" s="50">
        <v>0.000728</v>
      </c>
      <c r="W271" s="50">
        <v>0.000215</v>
      </c>
      <c r="X271" s="50">
        <v>0.466523</v>
      </c>
      <c r="Y271" s="50">
        <v>0</v>
      </c>
      <c r="Z271" s="50">
        <v>0</v>
      </c>
      <c r="AA271" s="72">
        <v>268</v>
      </c>
      <c r="AB271" s="72"/>
      <c r="AC271" s="73"/>
      <c r="AD271" s="80" t="s">
        <v>887</v>
      </c>
      <c r="AE271" s="80" t="s">
        <v>1262</v>
      </c>
      <c r="AF271" s="80" t="s">
        <v>1589</v>
      </c>
      <c r="AG271" s="80" t="s">
        <v>1851</v>
      </c>
      <c r="AH271" s="80" t="s">
        <v>2180</v>
      </c>
      <c r="AI271" s="80">
        <v>155</v>
      </c>
      <c r="AJ271" s="80">
        <v>2</v>
      </c>
      <c r="AK271" s="80">
        <v>1</v>
      </c>
      <c r="AL271" s="80">
        <v>1</v>
      </c>
      <c r="AM271" s="80" t="s">
        <v>2317</v>
      </c>
      <c r="AN271" s="98" t="str">
        <f>HYPERLINK("https://www.youtube.com/watch?v=md5MwcXv_Iw")</f>
        <v>https://www.youtube.com/watch?v=md5MwcXv_Iw</v>
      </c>
      <c r="AO271" s="80" t="str">
        <f>REPLACE(INDEX(GroupVertices[Group],MATCH(Vertices[[#This Row],[Vertex]],GroupVertices[Vertex],0)),1,1,"")</f>
        <v>3</v>
      </c>
      <c r="AP271" s="49">
        <v>0</v>
      </c>
      <c r="AQ271" s="50">
        <v>0</v>
      </c>
      <c r="AR271" s="49">
        <v>0</v>
      </c>
      <c r="AS271" s="50">
        <v>0</v>
      </c>
      <c r="AT271" s="49">
        <v>0</v>
      </c>
      <c r="AU271" s="50">
        <v>0</v>
      </c>
      <c r="AV271" s="49">
        <v>8</v>
      </c>
      <c r="AW271" s="50">
        <v>100</v>
      </c>
      <c r="AX271" s="49">
        <v>8</v>
      </c>
      <c r="AY271" s="49"/>
      <c r="AZ271" s="49"/>
      <c r="BA271" s="49"/>
      <c r="BB271" s="49"/>
      <c r="BC271" s="2"/>
      <c r="BD271" s="3"/>
      <c r="BE271" s="3"/>
      <c r="BF271" s="3"/>
      <c r="BG271" s="3"/>
    </row>
    <row r="272" spans="1:59" ht="15">
      <c r="A272" s="65" t="s">
        <v>478</v>
      </c>
      <c r="B272" s="66" t="s">
        <v>3536</v>
      </c>
      <c r="C272" s="66"/>
      <c r="D272" s="67">
        <v>212.5</v>
      </c>
      <c r="E272" s="69">
        <v>50</v>
      </c>
      <c r="F272" s="96" t="str">
        <f>HYPERLINK("https://i.ytimg.com/vi/_A-pZH-S4jk/default.jpg")</f>
        <v>https://i.ytimg.com/vi/_A-pZH-S4jk/default.jpg</v>
      </c>
      <c r="G272" s="66"/>
      <c r="H272" s="70" t="s">
        <v>888</v>
      </c>
      <c r="I272" s="71"/>
      <c r="J272" s="71" t="s">
        <v>159</v>
      </c>
      <c r="K272" s="70" t="s">
        <v>888</v>
      </c>
      <c r="L272" s="74">
        <v>15.831679487331503</v>
      </c>
      <c r="M272" s="75">
        <v>3960.469970703125</v>
      </c>
      <c r="N272" s="75">
        <v>5914.9560546875</v>
      </c>
      <c r="O272" s="76"/>
      <c r="P272" s="77"/>
      <c r="Q272" s="77"/>
      <c r="R272" s="82"/>
      <c r="S272" s="49">
        <v>1</v>
      </c>
      <c r="T272" s="49">
        <v>0</v>
      </c>
      <c r="U272" s="50">
        <v>0</v>
      </c>
      <c r="V272" s="50">
        <v>0.000728</v>
      </c>
      <c r="W272" s="50">
        <v>0.000215</v>
      </c>
      <c r="X272" s="50">
        <v>0.466523</v>
      </c>
      <c r="Y272" s="50">
        <v>0</v>
      </c>
      <c r="Z272" s="50">
        <v>0</v>
      </c>
      <c r="AA272" s="72">
        <v>269</v>
      </c>
      <c r="AB272" s="72"/>
      <c r="AC272" s="73"/>
      <c r="AD272" s="80" t="s">
        <v>888</v>
      </c>
      <c r="AE272" s="80" t="s">
        <v>1263</v>
      </c>
      <c r="AF272" s="80" t="s">
        <v>1591</v>
      </c>
      <c r="AG272" s="80" t="s">
        <v>1853</v>
      </c>
      <c r="AH272" s="80" t="s">
        <v>2181</v>
      </c>
      <c r="AI272" s="80">
        <v>337436</v>
      </c>
      <c r="AJ272" s="80">
        <v>0</v>
      </c>
      <c r="AK272" s="80">
        <v>0</v>
      </c>
      <c r="AL272" s="80">
        <v>0</v>
      </c>
      <c r="AM272" s="80" t="s">
        <v>2317</v>
      </c>
      <c r="AN272" s="98" t="str">
        <f>HYPERLINK("https://www.youtube.com/watch?v=_A-pZH-S4jk")</f>
        <v>https://www.youtube.com/watch?v=_A-pZH-S4jk</v>
      </c>
      <c r="AO272" s="80" t="str">
        <f>REPLACE(INDEX(GroupVertices[Group],MATCH(Vertices[[#This Row],[Vertex]],GroupVertices[Vertex],0)),1,1,"")</f>
        <v>3</v>
      </c>
      <c r="AP272" s="49">
        <v>0</v>
      </c>
      <c r="AQ272" s="50">
        <v>0</v>
      </c>
      <c r="AR272" s="49">
        <v>0</v>
      </c>
      <c r="AS272" s="50">
        <v>0</v>
      </c>
      <c r="AT272" s="49">
        <v>0</v>
      </c>
      <c r="AU272" s="50">
        <v>0</v>
      </c>
      <c r="AV272" s="49">
        <v>5</v>
      </c>
      <c r="AW272" s="50">
        <v>100</v>
      </c>
      <c r="AX272" s="49">
        <v>5</v>
      </c>
      <c r="AY272" s="49"/>
      <c r="AZ272" s="49"/>
      <c r="BA272" s="49"/>
      <c r="BB272" s="49"/>
      <c r="BC272" s="2"/>
      <c r="BD272" s="3"/>
      <c r="BE272" s="3"/>
      <c r="BF272" s="3"/>
      <c r="BG272" s="3"/>
    </row>
    <row r="273" spans="1:59" ht="15">
      <c r="A273" s="65" t="s">
        <v>479</v>
      </c>
      <c r="B273" s="66" t="s">
        <v>3536</v>
      </c>
      <c r="C273" s="66"/>
      <c r="D273" s="67">
        <v>212.5</v>
      </c>
      <c r="E273" s="69">
        <v>50</v>
      </c>
      <c r="F273" s="96" t="str">
        <f>HYPERLINK("https://i.ytimg.com/vi/a2-6F2zOk30/default.jpg")</f>
        <v>https://i.ytimg.com/vi/a2-6F2zOk30/default.jpg</v>
      </c>
      <c r="G273" s="66"/>
      <c r="H273" s="70" t="s">
        <v>889</v>
      </c>
      <c r="I273" s="71"/>
      <c r="J273" s="71" t="s">
        <v>159</v>
      </c>
      <c r="K273" s="70" t="s">
        <v>889</v>
      </c>
      <c r="L273" s="74">
        <v>734.1525651223832</v>
      </c>
      <c r="M273" s="75">
        <v>4682.28271484375</v>
      </c>
      <c r="N273" s="75">
        <v>5318.4248046875</v>
      </c>
      <c r="O273" s="76"/>
      <c r="P273" s="77"/>
      <c r="Q273" s="77"/>
      <c r="R273" s="82"/>
      <c r="S273" s="49">
        <v>1</v>
      </c>
      <c r="T273" s="49">
        <v>0</v>
      </c>
      <c r="U273" s="50">
        <v>0</v>
      </c>
      <c r="V273" s="50">
        <v>0.000728</v>
      </c>
      <c r="W273" s="50">
        <v>0.000215</v>
      </c>
      <c r="X273" s="50">
        <v>0.466523</v>
      </c>
      <c r="Y273" s="50">
        <v>0</v>
      </c>
      <c r="Z273" s="50">
        <v>0</v>
      </c>
      <c r="AA273" s="72">
        <v>270</v>
      </c>
      <c r="AB273" s="72"/>
      <c r="AC273" s="73"/>
      <c r="AD273" s="80" t="s">
        <v>889</v>
      </c>
      <c r="AE273" s="80" t="s">
        <v>1264</v>
      </c>
      <c r="AF273" s="80" t="s">
        <v>1592</v>
      </c>
      <c r="AG273" s="80" t="s">
        <v>1732</v>
      </c>
      <c r="AH273" s="80" t="s">
        <v>2182</v>
      </c>
      <c r="AI273" s="80">
        <v>16679444</v>
      </c>
      <c r="AJ273" s="80">
        <v>7829</v>
      </c>
      <c r="AK273" s="80">
        <v>128504</v>
      </c>
      <c r="AL273" s="80">
        <v>10699</v>
      </c>
      <c r="AM273" s="80" t="s">
        <v>2317</v>
      </c>
      <c r="AN273" s="98" t="str">
        <f>HYPERLINK("https://www.youtube.com/watch?v=a2-6F2zOk30")</f>
        <v>https://www.youtube.com/watch?v=a2-6F2zOk30</v>
      </c>
      <c r="AO273" s="80" t="str">
        <f>REPLACE(INDEX(GroupVertices[Group],MATCH(Vertices[[#This Row],[Vertex]],GroupVertices[Vertex],0)),1,1,"")</f>
        <v>3</v>
      </c>
      <c r="AP273" s="49">
        <v>2</v>
      </c>
      <c r="AQ273" s="50">
        <v>4.651162790697675</v>
      </c>
      <c r="AR273" s="49">
        <v>5</v>
      </c>
      <c r="AS273" s="50">
        <v>11.627906976744185</v>
      </c>
      <c r="AT273" s="49">
        <v>0</v>
      </c>
      <c r="AU273" s="50">
        <v>0</v>
      </c>
      <c r="AV273" s="49">
        <v>36</v>
      </c>
      <c r="AW273" s="50">
        <v>83.72093023255815</v>
      </c>
      <c r="AX273" s="49">
        <v>43</v>
      </c>
      <c r="AY273" s="49"/>
      <c r="AZ273" s="49"/>
      <c r="BA273" s="49"/>
      <c r="BB273" s="49"/>
      <c r="BC273" s="2"/>
      <c r="BD273" s="3"/>
      <c r="BE273" s="3"/>
      <c r="BF273" s="3"/>
      <c r="BG273" s="3"/>
    </row>
    <row r="274" spans="1:59" ht="15">
      <c r="A274" s="65" t="s">
        <v>480</v>
      </c>
      <c r="B274" s="66" t="s">
        <v>3536</v>
      </c>
      <c r="C274" s="66"/>
      <c r="D274" s="67">
        <v>212.5</v>
      </c>
      <c r="E274" s="69">
        <v>50</v>
      </c>
      <c r="F274" s="96" t="str">
        <f>HYPERLINK("https://i.ytimg.com/vi/jG1VNSCsP5Q/default.jpg")</f>
        <v>https://i.ytimg.com/vi/jG1VNSCsP5Q/default.jpg</v>
      </c>
      <c r="G274" s="66"/>
      <c r="H274" s="70" t="s">
        <v>890</v>
      </c>
      <c r="I274" s="71"/>
      <c r="J274" s="71" t="s">
        <v>159</v>
      </c>
      <c r="K274" s="70" t="s">
        <v>890</v>
      </c>
      <c r="L274" s="74">
        <v>1795.0675548321262</v>
      </c>
      <c r="M274" s="75">
        <v>5043.1884765625</v>
      </c>
      <c r="N274" s="75">
        <v>5318.4248046875</v>
      </c>
      <c r="O274" s="76"/>
      <c r="P274" s="77"/>
      <c r="Q274" s="77"/>
      <c r="R274" s="82"/>
      <c r="S274" s="49">
        <v>1</v>
      </c>
      <c r="T274" s="49">
        <v>0</v>
      </c>
      <c r="U274" s="50">
        <v>0</v>
      </c>
      <c r="V274" s="50">
        <v>0.000728</v>
      </c>
      <c r="W274" s="50">
        <v>0.000215</v>
      </c>
      <c r="X274" s="50">
        <v>0.466523</v>
      </c>
      <c r="Y274" s="50">
        <v>0</v>
      </c>
      <c r="Z274" s="50">
        <v>0</v>
      </c>
      <c r="AA274" s="72">
        <v>271</v>
      </c>
      <c r="AB274" s="72"/>
      <c r="AC274" s="73"/>
      <c r="AD274" s="80" t="s">
        <v>890</v>
      </c>
      <c r="AE274" s="80" t="s">
        <v>1265</v>
      </c>
      <c r="AF274" s="80" t="s">
        <v>1593</v>
      </c>
      <c r="AG274" s="80" t="s">
        <v>1854</v>
      </c>
      <c r="AH274" s="80" t="s">
        <v>2183</v>
      </c>
      <c r="AI274" s="80">
        <v>40815567</v>
      </c>
      <c r="AJ274" s="80">
        <v>356</v>
      </c>
      <c r="AK274" s="80">
        <v>511665</v>
      </c>
      <c r="AL274" s="80">
        <v>19279</v>
      </c>
      <c r="AM274" s="80" t="s">
        <v>2317</v>
      </c>
      <c r="AN274" s="98" t="str">
        <f>HYPERLINK("https://www.youtube.com/watch?v=jG1VNSCsP5Q")</f>
        <v>https://www.youtube.com/watch?v=jG1VNSCsP5Q</v>
      </c>
      <c r="AO274" s="80" t="str">
        <f>REPLACE(INDEX(GroupVertices[Group],MATCH(Vertices[[#This Row],[Vertex]],GroupVertices[Vertex],0)),1,1,"")</f>
        <v>3</v>
      </c>
      <c r="AP274" s="49">
        <v>0</v>
      </c>
      <c r="AQ274" s="50">
        <v>0</v>
      </c>
      <c r="AR274" s="49">
        <v>1</v>
      </c>
      <c r="AS274" s="50">
        <v>4.166666666666667</v>
      </c>
      <c r="AT274" s="49">
        <v>0</v>
      </c>
      <c r="AU274" s="50">
        <v>0</v>
      </c>
      <c r="AV274" s="49">
        <v>23</v>
      </c>
      <c r="AW274" s="50">
        <v>95.83333333333333</v>
      </c>
      <c r="AX274" s="49">
        <v>24</v>
      </c>
      <c r="AY274" s="49"/>
      <c r="AZ274" s="49"/>
      <c r="BA274" s="49"/>
      <c r="BB274" s="49"/>
      <c r="BC274" s="2"/>
      <c r="BD274" s="3"/>
      <c r="BE274" s="3"/>
      <c r="BF274" s="3"/>
      <c r="BG274" s="3"/>
    </row>
    <row r="275" spans="1:59" ht="15">
      <c r="A275" s="65" t="s">
        <v>481</v>
      </c>
      <c r="B275" s="66" t="s">
        <v>3536</v>
      </c>
      <c r="C275" s="66"/>
      <c r="D275" s="67">
        <v>212.5</v>
      </c>
      <c r="E275" s="69">
        <v>50</v>
      </c>
      <c r="F275" s="96" t="str">
        <f>HYPERLINK("https://i.ytimg.com/vi/to5qRLRSS7g/default.jpg")</f>
        <v>https://i.ytimg.com/vi/to5qRLRSS7g/default.jpg</v>
      </c>
      <c r="G275" s="66"/>
      <c r="H275" s="70" t="s">
        <v>891</v>
      </c>
      <c r="I275" s="71"/>
      <c r="J275" s="71" t="s">
        <v>159</v>
      </c>
      <c r="K275" s="70" t="s">
        <v>891</v>
      </c>
      <c r="L275" s="74">
        <v>374.1324848869608</v>
      </c>
      <c r="M275" s="75">
        <v>4321.37646484375</v>
      </c>
      <c r="N275" s="75">
        <v>5318.4248046875</v>
      </c>
      <c r="O275" s="76"/>
      <c r="P275" s="77"/>
      <c r="Q275" s="77"/>
      <c r="R275" s="82"/>
      <c r="S275" s="49">
        <v>1</v>
      </c>
      <c r="T275" s="49">
        <v>0</v>
      </c>
      <c r="U275" s="50">
        <v>0</v>
      </c>
      <c r="V275" s="50">
        <v>0.000728</v>
      </c>
      <c r="W275" s="50">
        <v>0.000215</v>
      </c>
      <c r="X275" s="50">
        <v>0.466523</v>
      </c>
      <c r="Y275" s="50">
        <v>0</v>
      </c>
      <c r="Z275" s="50">
        <v>0</v>
      </c>
      <c r="AA275" s="72">
        <v>272</v>
      </c>
      <c r="AB275" s="72"/>
      <c r="AC275" s="73"/>
      <c r="AD275" s="80" t="s">
        <v>891</v>
      </c>
      <c r="AE275" s="80" t="s">
        <v>1266</v>
      </c>
      <c r="AF275" s="80" t="s">
        <v>1594</v>
      </c>
      <c r="AG275" s="80" t="s">
        <v>1855</v>
      </c>
      <c r="AH275" s="80" t="s">
        <v>2184</v>
      </c>
      <c r="AI275" s="80">
        <v>8488883</v>
      </c>
      <c r="AJ275" s="80">
        <v>26930</v>
      </c>
      <c r="AK275" s="80">
        <v>161106</v>
      </c>
      <c r="AL275" s="80">
        <v>5831</v>
      </c>
      <c r="AM275" s="80" t="s">
        <v>2317</v>
      </c>
      <c r="AN275" s="98" t="str">
        <f>HYPERLINK("https://www.youtube.com/watch?v=to5qRLRSS7g")</f>
        <v>https://www.youtube.com/watch?v=to5qRLRSS7g</v>
      </c>
      <c r="AO275" s="80" t="str">
        <f>REPLACE(INDEX(GroupVertices[Group],MATCH(Vertices[[#This Row],[Vertex]],GroupVertices[Vertex],0)),1,1,"")</f>
        <v>3</v>
      </c>
      <c r="AP275" s="49">
        <v>1</v>
      </c>
      <c r="AQ275" s="50">
        <v>1.7543859649122806</v>
      </c>
      <c r="AR275" s="49">
        <v>11</v>
      </c>
      <c r="AS275" s="50">
        <v>19.29824561403509</v>
      </c>
      <c r="AT275" s="49">
        <v>0</v>
      </c>
      <c r="AU275" s="50">
        <v>0</v>
      </c>
      <c r="AV275" s="49">
        <v>45</v>
      </c>
      <c r="AW275" s="50">
        <v>78.94736842105263</v>
      </c>
      <c r="AX275" s="49">
        <v>57</v>
      </c>
      <c r="AY275" s="49"/>
      <c r="AZ275" s="49"/>
      <c r="BA275" s="49"/>
      <c r="BB275" s="49"/>
      <c r="BC275" s="2"/>
      <c r="BD275" s="3"/>
      <c r="BE275" s="3"/>
      <c r="BF275" s="3"/>
      <c r="BG275" s="3"/>
    </row>
    <row r="276" spans="1:59" ht="15">
      <c r="A276" s="65" t="s">
        <v>482</v>
      </c>
      <c r="B276" s="66" t="s">
        <v>3536</v>
      </c>
      <c r="C276" s="66"/>
      <c r="D276" s="67">
        <v>212.5</v>
      </c>
      <c r="E276" s="69">
        <v>50</v>
      </c>
      <c r="F276" s="96" t="str">
        <f>HYPERLINK("https://i.ytimg.com/vi/PdoDDxd5Br8/default.jpg")</f>
        <v>https://i.ytimg.com/vi/PdoDDxd5Br8/default.jpg</v>
      </c>
      <c r="G276" s="66"/>
      <c r="H276" s="70" t="s">
        <v>892</v>
      </c>
      <c r="I276" s="71"/>
      <c r="J276" s="71" t="s">
        <v>159</v>
      </c>
      <c r="K276" s="70" t="s">
        <v>892</v>
      </c>
      <c r="L276" s="74">
        <v>1.001450531001206</v>
      </c>
      <c r="M276" s="75">
        <v>3960.469970703125</v>
      </c>
      <c r="N276" s="75">
        <v>9494.1435546875</v>
      </c>
      <c r="O276" s="76"/>
      <c r="P276" s="77"/>
      <c r="Q276" s="77"/>
      <c r="R276" s="82"/>
      <c r="S276" s="49">
        <v>1</v>
      </c>
      <c r="T276" s="49">
        <v>0</v>
      </c>
      <c r="U276" s="50">
        <v>0</v>
      </c>
      <c r="V276" s="50">
        <v>0.000728</v>
      </c>
      <c r="W276" s="50">
        <v>0.000215</v>
      </c>
      <c r="X276" s="50">
        <v>0.466523</v>
      </c>
      <c r="Y276" s="50">
        <v>0</v>
      </c>
      <c r="Z276" s="50">
        <v>0</v>
      </c>
      <c r="AA276" s="72">
        <v>273</v>
      </c>
      <c r="AB276" s="72"/>
      <c r="AC276" s="73"/>
      <c r="AD276" s="80" t="s">
        <v>892</v>
      </c>
      <c r="AE276" s="80" t="s">
        <v>1267</v>
      </c>
      <c r="AF276" s="80" t="s">
        <v>1589</v>
      </c>
      <c r="AG276" s="80" t="s">
        <v>1851</v>
      </c>
      <c r="AH276" s="80" t="s">
        <v>2185</v>
      </c>
      <c r="AI276" s="80">
        <v>44</v>
      </c>
      <c r="AJ276" s="80">
        <v>0</v>
      </c>
      <c r="AK276" s="80">
        <v>0</v>
      </c>
      <c r="AL276" s="80">
        <v>0</v>
      </c>
      <c r="AM276" s="80" t="s">
        <v>2317</v>
      </c>
      <c r="AN276" s="98" t="str">
        <f>HYPERLINK("https://www.youtube.com/watch?v=PdoDDxd5Br8")</f>
        <v>https://www.youtube.com/watch?v=PdoDDxd5Br8</v>
      </c>
      <c r="AO276" s="80" t="str">
        <f>REPLACE(INDEX(GroupVertices[Group],MATCH(Vertices[[#This Row],[Vertex]],GroupVertices[Vertex],0)),1,1,"")</f>
        <v>3</v>
      </c>
      <c r="AP276" s="49">
        <v>0</v>
      </c>
      <c r="AQ276" s="50">
        <v>0</v>
      </c>
      <c r="AR276" s="49">
        <v>0</v>
      </c>
      <c r="AS276" s="50">
        <v>0</v>
      </c>
      <c r="AT276" s="49">
        <v>0</v>
      </c>
      <c r="AU276" s="50">
        <v>0</v>
      </c>
      <c r="AV276" s="49">
        <v>8</v>
      </c>
      <c r="AW276" s="50">
        <v>100</v>
      </c>
      <c r="AX276" s="49">
        <v>8</v>
      </c>
      <c r="AY276" s="49"/>
      <c r="AZ276" s="49"/>
      <c r="BA276" s="49"/>
      <c r="BB276" s="49"/>
      <c r="BC276" s="2"/>
      <c r="BD276" s="3"/>
      <c r="BE276" s="3"/>
      <c r="BF276" s="3"/>
      <c r="BG276" s="3"/>
    </row>
    <row r="277" spans="1:59" ht="15">
      <c r="A277" s="65" t="s">
        <v>483</v>
      </c>
      <c r="B277" s="66" t="s">
        <v>3536</v>
      </c>
      <c r="C277" s="66"/>
      <c r="D277" s="67">
        <v>212.5</v>
      </c>
      <c r="E277" s="69">
        <v>50</v>
      </c>
      <c r="F277" s="96" t="str">
        <f>HYPERLINK("https://i.ytimg.com/vi/fc3ewveAMaM/default.jpg")</f>
        <v>https://i.ytimg.com/vi/fc3ewveAMaM/default.jpg</v>
      </c>
      <c r="G277" s="66"/>
      <c r="H277" s="70" t="s">
        <v>893</v>
      </c>
      <c r="I277" s="71"/>
      <c r="J277" s="71" t="s">
        <v>159</v>
      </c>
      <c r="K277" s="70" t="s">
        <v>893</v>
      </c>
      <c r="L277" s="74">
        <v>1.000131866454655</v>
      </c>
      <c r="M277" s="75">
        <v>3238.657958984375</v>
      </c>
      <c r="N277" s="75">
        <v>9494.1435546875</v>
      </c>
      <c r="O277" s="76"/>
      <c r="P277" s="77"/>
      <c r="Q277" s="77"/>
      <c r="R277" s="82"/>
      <c r="S277" s="49">
        <v>1</v>
      </c>
      <c r="T277" s="49">
        <v>0</v>
      </c>
      <c r="U277" s="50">
        <v>0</v>
      </c>
      <c r="V277" s="50">
        <v>0.000728</v>
      </c>
      <c r="W277" s="50">
        <v>0.000215</v>
      </c>
      <c r="X277" s="50">
        <v>0.466523</v>
      </c>
      <c r="Y277" s="50">
        <v>0</v>
      </c>
      <c r="Z277" s="50">
        <v>0</v>
      </c>
      <c r="AA277" s="72">
        <v>274</v>
      </c>
      <c r="AB277" s="72"/>
      <c r="AC277" s="73"/>
      <c r="AD277" s="80" t="s">
        <v>893</v>
      </c>
      <c r="AE277" s="80" t="s">
        <v>1268</v>
      </c>
      <c r="AF277" s="80" t="s">
        <v>1589</v>
      </c>
      <c r="AG277" s="80" t="s">
        <v>1851</v>
      </c>
      <c r="AH277" s="80" t="s">
        <v>2186</v>
      </c>
      <c r="AI277" s="80">
        <v>14</v>
      </c>
      <c r="AJ277" s="80">
        <v>0</v>
      </c>
      <c r="AK277" s="80">
        <v>0</v>
      </c>
      <c r="AL277" s="80">
        <v>0</v>
      </c>
      <c r="AM277" s="80" t="s">
        <v>2317</v>
      </c>
      <c r="AN277" s="98" t="str">
        <f>HYPERLINK("https://www.youtube.com/watch?v=fc3ewveAMaM")</f>
        <v>https://www.youtube.com/watch?v=fc3ewveAMaM</v>
      </c>
      <c r="AO277" s="80" t="str">
        <f>REPLACE(INDEX(GroupVertices[Group],MATCH(Vertices[[#This Row],[Vertex]],GroupVertices[Vertex],0)),1,1,"")</f>
        <v>3</v>
      </c>
      <c r="AP277" s="49">
        <v>0</v>
      </c>
      <c r="AQ277" s="50">
        <v>0</v>
      </c>
      <c r="AR277" s="49">
        <v>0</v>
      </c>
      <c r="AS277" s="50">
        <v>0</v>
      </c>
      <c r="AT277" s="49">
        <v>0</v>
      </c>
      <c r="AU277" s="50">
        <v>0</v>
      </c>
      <c r="AV277" s="49">
        <v>8</v>
      </c>
      <c r="AW277" s="50">
        <v>100</v>
      </c>
      <c r="AX277" s="49">
        <v>8</v>
      </c>
      <c r="AY277" s="49"/>
      <c r="AZ277" s="49"/>
      <c r="BA277" s="49"/>
      <c r="BB277" s="49"/>
      <c r="BC277" s="2"/>
      <c r="BD277" s="3"/>
      <c r="BE277" s="3"/>
      <c r="BF277" s="3"/>
      <c r="BG277" s="3"/>
    </row>
    <row r="278" spans="1:59" ht="15">
      <c r="A278" s="65" t="s">
        <v>484</v>
      </c>
      <c r="B278" s="66" t="s">
        <v>3536</v>
      </c>
      <c r="C278" s="66"/>
      <c r="D278" s="67">
        <v>212.5</v>
      </c>
      <c r="E278" s="69">
        <v>50</v>
      </c>
      <c r="F278" s="96" t="str">
        <f>HYPERLINK("https://i.ytimg.com/vi/bmQwMllhCUM/default.jpg")</f>
        <v>https://i.ytimg.com/vi/bmQwMllhCUM/default.jpg</v>
      </c>
      <c r="G278" s="66"/>
      <c r="H278" s="70" t="s">
        <v>894</v>
      </c>
      <c r="I278" s="71"/>
      <c r="J278" s="71" t="s">
        <v>159</v>
      </c>
      <c r="K278" s="70" t="s">
        <v>894</v>
      </c>
      <c r="L278" s="74">
        <v>139.72759815725138</v>
      </c>
      <c r="M278" s="75">
        <v>3960.469970703125</v>
      </c>
      <c r="N278" s="75">
        <v>5318.4248046875</v>
      </c>
      <c r="O278" s="76"/>
      <c r="P278" s="77"/>
      <c r="Q278" s="77"/>
      <c r="R278" s="82"/>
      <c r="S278" s="49">
        <v>1</v>
      </c>
      <c r="T278" s="49">
        <v>0</v>
      </c>
      <c r="U278" s="50">
        <v>0</v>
      </c>
      <c r="V278" s="50">
        <v>0.000728</v>
      </c>
      <c r="W278" s="50">
        <v>0.000215</v>
      </c>
      <c r="X278" s="50">
        <v>0.466523</v>
      </c>
      <c r="Y278" s="50">
        <v>0</v>
      </c>
      <c r="Z278" s="50">
        <v>0</v>
      </c>
      <c r="AA278" s="72">
        <v>275</v>
      </c>
      <c r="AB278" s="72"/>
      <c r="AC278" s="73"/>
      <c r="AD278" s="80" t="s">
        <v>894</v>
      </c>
      <c r="AE278" s="80" t="s">
        <v>1269</v>
      </c>
      <c r="AF278" s="80" t="s">
        <v>1595</v>
      </c>
      <c r="AG278" s="80" t="s">
        <v>1856</v>
      </c>
      <c r="AH278" s="80" t="s">
        <v>2187</v>
      </c>
      <c r="AI278" s="80">
        <v>3156104</v>
      </c>
      <c r="AJ278" s="80">
        <v>24</v>
      </c>
      <c r="AK278" s="80">
        <v>18417</v>
      </c>
      <c r="AL278" s="80">
        <v>1468</v>
      </c>
      <c r="AM278" s="80" t="s">
        <v>2317</v>
      </c>
      <c r="AN278" s="98" t="str">
        <f>HYPERLINK("https://www.youtube.com/watch?v=bmQwMllhCUM")</f>
        <v>https://www.youtube.com/watch?v=bmQwMllhCUM</v>
      </c>
      <c r="AO278" s="80" t="str">
        <f>REPLACE(INDEX(GroupVertices[Group],MATCH(Vertices[[#This Row],[Vertex]],GroupVertices[Vertex],0)),1,1,"")</f>
        <v>3</v>
      </c>
      <c r="AP278" s="49">
        <v>0</v>
      </c>
      <c r="AQ278" s="50">
        <v>0</v>
      </c>
      <c r="AR278" s="49">
        <v>9</v>
      </c>
      <c r="AS278" s="50">
        <v>14.285714285714286</v>
      </c>
      <c r="AT278" s="49">
        <v>0</v>
      </c>
      <c r="AU278" s="50">
        <v>0</v>
      </c>
      <c r="AV278" s="49">
        <v>54</v>
      </c>
      <c r="AW278" s="50">
        <v>85.71428571428571</v>
      </c>
      <c r="AX278" s="49">
        <v>63</v>
      </c>
      <c r="AY278" s="49"/>
      <c r="AZ278" s="49"/>
      <c r="BA278" s="49"/>
      <c r="BB278" s="49"/>
      <c r="BC278" s="2"/>
      <c r="BD278" s="3"/>
      <c r="BE278" s="3"/>
      <c r="BF278" s="3"/>
      <c r="BG278" s="3"/>
    </row>
    <row r="279" spans="1:59" ht="15">
      <c r="A279" s="65" t="s">
        <v>485</v>
      </c>
      <c r="B279" s="66" t="s">
        <v>3536</v>
      </c>
      <c r="C279" s="66"/>
      <c r="D279" s="67">
        <v>212.5</v>
      </c>
      <c r="E279" s="69">
        <v>50</v>
      </c>
      <c r="F279" s="96" t="str">
        <f>HYPERLINK("https://i.ytimg.com/vi/QihFN3Uzp10/default.jpg")</f>
        <v>https://i.ytimg.com/vi/QihFN3Uzp10/default.jpg</v>
      </c>
      <c r="G279" s="66"/>
      <c r="H279" s="70" t="s">
        <v>895</v>
      </c>
      <c r="I279" s="71"/>
      <c r="J279" s="71" t="s">
        <v>159</v>
      </c>
      <c r="K279" s="70" t="s">
        <v>895</v>
      </c>
      <c r="L279" s="74">
        <v>1.001582397455861</v>
      </c>
      <c r="M279" s="75">
        <v>4321.37646484375</v>
      </c>
      <c r="N279" s="75">
        <v>9494.1435546875</v>
      </c>
      <c r="O279" s="76"/>
      <c r="P279" s="77"/>
      <c r="Q279" s="77"/>
      <c r="R279" s="82"/>
      <c r="S279" s="49">
        <v>1</v>
      </c>
      <c r="T279" s="49">
        <v>0</v>
      </c>
      <c r="U279" s="50">
        <v>0</v>
      </c>
      <c r="V279" s="50">
        <v>0.000728</v>
      </c>
      <c r="W279" s="50">
        <v>0.000215</v>
      </c>
      <c r="X279" s="50">
        <v>0.466523</v>
      </c>
      <c r="Y279" s="50">
        <v>0</v>
      </c>
      <c r="Z279" s="50">
        <v>0</v>
      </c>
      <c r="AA279" s="72">
        <v>276</v>
      </c>
      <c r="AB279" s="72"/>
      <c r="AC279" s="73"/>
      <c r="AD279" s="80" t="s">
        <v>895</v>
      </c>
      <c r="AE279" s="80" t="s">
        <v>1270</v>
      </c>
      <c r="AF279" s="80" t="s">
        <v>1589</v>
      </c>
      <c r="AG279" s="80" t="s">
        <v>1851</v>
      </c>
      <c r="AH279" s="80" t="s">
        <v>2188</v>
      </c>
      <c r="AI279" s="80">
        <v>47</v>
      </c>
      <c r="AJ279" s="80">
        <v>0</v>
      </c>
      <c r="AK279" s="80">
        <v>0</v>
      </c>
      <c r="AL279" s="80">
        <v>0</v>
      </c>
      <c r="AM279" s="80" t="s">
        <v>2317</v>
      </c>
      <c r="AN279" s="98" t="str">
        <f>HYPERLINK("https://www.youtube.com/watch?v=QihFN3Uzp10")</f>
        <v>https://www.youtube.com/watch?v=QihFN3Uzp10</v>
      </c>
      <c r="AO279" s="80" t="str">
        <f>REPLACE(INDEX(GroupVertices[Group],MATCH(Vertices[[#This Row],[Vertex]],GroupVertices[Vertex],0)),1,1,"")</f>
        <v>3</v>
      </c>
      <c r="AP279" s="49">
        <v>0</v>
      </c>
      <c r="AQ279" s="50">
        <v>0</v>
      </c>
      <c r="AR279" s="49">
        <v>0</v>
      </c>
      <c r="AS279" s="50">
        <v>0</v>
      </c>
      <c r="AT279" s="49">
        <v>0</v>
      </c>
      <c r="AU279" s="50">
        <v>0</v>
      </c>
      <c r="AV279" s="49">
        <v>8</v>
      </c>
      <c r="AW279" s="50">
        <v>100</v>
      </c>
      <c r="AX279" s="49">
        <v>8</v>
      </c>
      <c r="AY279" s="49"/>
      <c r="AZ279" s="49"/>
      <c r="BA279" s="49"/>
      <c r="BB279" s="49"/>
      <c r="BC279" s="2"/>
      <c r="BD279" s="3"/>
      <c r="BE279" s="3"/>
      <c r="BF279" s="3"/>
      <c r="BG279" s="3"/>
    </row>
    <row r="280" spans="1:59" ht="15">
      <c r="A280" s="65" t="s">
        <v>486</v>
      </c>
      <c r="B280" s="66" t="s">
        <v>3536</v>
      </c>
      <c r="C280" s="66"/>
      <c r="D280" s="67">
        <v>212.5</v>
      </c>
      <c r="E280" s="69">
        <v>50</v>
      </c>
      <c r="F280" s="96" t="str">
        <f>HYPERLINK("https://i.ytimg.com/vi/VkZDiaMAj34/default.jpg")</f>
        <v>https://i.ytimg.com/vi/VkZDiaMAj34/default.jpg</v>
      </c>
      <c r="G280" s="66"/>
      <c r="H280" s="70" t="s">
        <v>896</v>
      </c>
      <c r="I280" s="71"/>
      <c r="J280" s="71" t="s">
        <v>159</v>
      </c>
      <c r="K280" s="70" t="s">
        <v>896</v>
      </c>
      <c r="L280" s="74">
        <v>1.0025933736082169</v>
      </c>
      <c r="M280" s="75">
        <v>3238.657958984375</v>
      </c>
      <c r="N280" s="75">
        <v>8897.6123046875</v>
      </c>
      <c r="O280" s="76"/>
      <c r="P280" s="77"/>
      <c r="Q280" s="77"/>
      <c r="R280" s="82"/>
      <c r="S280" s="49">
        <v>1</v>
      </c>
      <c r="T280" s="49">
        <v>0</v>
      </c>
      <c r="U280" s="50">
        <v>0</v>
      </c>
      <c r="V280" s="50">
        <v>0.000728</v>
      </c>
      <c r="W280" s="50">
        <v>0.000215</v>
      </c>
      <c r="X280" s="50">
        <v>0.466523</v>
      </c>
      <c r="Y280" s="50">
        <v>0</v>
      </c>
      <c r="Z280" s="50">
        <v>0</v>
      </c>
      <c r="AA280" s="72">
        <v>277</v>
      </c>
      <c r="AB280" s="72"/>
      <c r="AC280" s="73"/>
      <c r="AD280" s="80" t="s">
        <v>896</v>
      </c>
      <c r="AE280" s="80" t="s">
        <v>1271</v>
      </c>
      <c r="AF280" s="80" t="s">
        <v>1589</v>
      </c>
      <c r="AG280" s="80" t="s">
        <v>1851</v>
      </c>
      <c r="AH280" s="80" t="s">
        <v>2189</v>
      </c>
      <c r="AI280" s="80">
        <v>70</v>
      </c>
      <c r="AJ280" s="80">
        <v>0</v>
      </c>
      <c r="AK280" s="80">
        <v>0</v>
      </c>
      <c r="AL280" s="80">
        <v>1</v>
      </c>
      <c r="AM280" s="80" t="s">
        <v>2317</v>
      </c>
      <c r="AN280" s="98" t="str">
        <f>HYPERLINK("https://www.youtube.com/watch?v=VkZDiaMAj34")</f>
        <v>https://www.youtube.com/watch?v=VkZDiaMAj34</v>
      </c>
      <c r="AO280" s="80" t="str">
        <f>REPLACE(INDEX(GroupVertices[Group],MATCH(Vertices[[#This Row],[Vertex]],GroupVertices[Vertex],0)),1,1,"")</f>
        <v>3</v>
      </c>
      <c r="AP280" s="49">
        <v>0</v>
      </c>
      <c r="AQ280" s="50">
        <v>0</v>
      </c>
      <c r="AR280" s="49">
        <v>0</v>
      </c>
      <c r="AS280" s="50">
        <v>0</v>
      </c>
      <c r="AT280" s="49">
        <v>0</v>
      </c>
      <c r="AU280" s="50">
        <v>0</v>
      </c>
      <c r="AV280" s="49">
        <v>8</v>
      </c>
      <c r="AW280" s="50">
        <v>100</v>
      </c>
      <c r="AX280" s="49">
        <v>8</v>
      </c>
      <c r="AY280" s="49"/>
      <c r="AZ280" s="49"/>
      <c r="BA280" s="49"/>
      <c r="BB280" s="49"/>
      <c r="BC280" s="2"/>
      <c r="BD280" s="3"/>
      <c r="BE280" s="3"/>
      <c r="BF280" s="3"/>
      <c r="BG280" s="3"/>
    </row>
    <row r="281" spans="1:59" ht="15">
      <c r="A281" s="65" t="s">
        <v>487</v>
      </c>
      <c r="B281" s="66" t="s">
        <v>3536</v>
      </c>
      <c r="C281" s="66"/>
      <c r="D281" s="67">
        <v>212.5</v>
      </c>
      <c r="E281" s="69">
        <v>50</v>
      </c>
      <c r="F281" s="96" t="str">
        <f>HYPERLINK("https://i.ytimg.com/vi/xbyUDF1WAH8/default.jpg")</f>
        <v>https://i.ytimg.com/vi/xbyUDF1WAH8/default.jpg</v>
      </c>
      <c r="G281" s="66"/>
      <c r="H281" s="70" t="s">
        <v>897</v>
      </c>
      <c r="I281" s="71"/>
      <c r="J281" s="71" t="s">
        <v>159</v>
      </c>
      <c r="K281" s="70" t="s">
        <v>897</v>
      </c>
      <c r="L281" s="74">
        <v>1.0061098123990193</v>
      </c>
      <c r="M281" s="75">
        <v>3960.469970703125</v>
      </c>
      <c r="N281" s="75">
        <v>8897.6123046875</v>
      </c>
      <c r="O281" s="76"/>
      <c r="P281" s="77"/>
      <c r="Q281" s="77"/>
      <c r="R281" s="82"/>
      <c r="S281" s="49">
        <v>1</v>
      </c>
      <c r="T281" s="49">
        <v>0</v>
      </c>
      <c r="U281" s="50">
        <v>0</v>
      </c>
      <c r="V281" s="50">
        <v>0.000728</v>
      </c>
      <c r="W281" s="50">
        <v>0.000215</v>
      </c>
      <c r="X281" s="50">
        <v>0.466523</v>
      </c>
      <c r="Y281" s="50">
        <v>0</v>
      </c>
      <c r="Z281" s="50">
        <v>0</v>
      </c>
      <c r="AA281" s="72">
        <v>278</v>
      </c>
      <c r="AB281" s="72"/>
      <c r="AC281" s="73"/>
      <c r="AD281" s="80" t="s">
        <v>897</v>
      </c>
      <c r="AE281" s="80" t="s">
        <v>1272</v>
      </c>
      <c r="AF281" s="80" t="s">
        <v>1589</v>
      </c>
      <c r="AG281" s="80" t="s">
        <v>1851</v>
      </c>
      <c r="AH281" s="80" t="s">
        <v>2190</v>
      </c>
      <c r="AI281" s="80">
        <v>150</v>
      </c>
      <c r="AJ281" s="80">
        <v>1</v>
      </c>
      <c r="AK281" s="80">
        <v>1</v>
      </c>
      <c r="AL281" s="80">
        <v>2</v>
      </c>
      <c r="AM281" s="80" t="s">
        <v>2317</v>
      </c>
      <c r="AN281" s="98" t="str">
        <f>HYPERLINK("https://www.youtube.com/watch?v=xbyUDF1WAH8")</f>
        <v>https://www.youtube.com/watch?v=xbyUDF1WAH8</v>
      </c>
      <c r="AO281" s="80" t="str">
        <f>REPLACE(INDEX(GroupVertices[Group],MATCH(Vertices[[#This Row],[Vertex]],GroupVertices[Vertex],0)),1,1,"")</f>
        <v>3</v>
      </c>
      <c r="AP281" s="49">
        <v>0</v>
      </c>
      <c r="AQ281" s="50">
        <v>0</v>
      </c>
      <c r="AR281" s="49">
        <v>0</v>
      </c>
      <c r="AS281" s="50">
        <v>0</v>
      </c>
      <c r="AT281" s="49">
        <v>0</v>
      </c>
      <c r="AU281" s="50">
        <v>0</v>
      </c>
      <c r="AV281" s="49">
        <v>8</v>
      </c>
      <c r="AW281" s="50">
        <v>100</v>
      </c>
      <c r="AX281" s="49">
        <v>8</v>
      </c>
      <c r="AY281" s="49"/>
      <c r="AZ281" s="49"/>
      <c r="BA281" s="49"/>
      <c r="BB281" s="49"/>
      <c r="BC281" s="2"/>
      <c r="BD281" s="3"/>
      <c r="BE281" s="3"/>
      <c r="BF281" s="3"/>
      <c r="BG281" s="3"/>
    </row>
    <row r="282" spans="1:59" ht="15">
      <c r="A282" s="65" t="s">
        <v>488</v>
      </c>
      <c r="B282" s="66" t="s">
        <v>3536</v>
      </c>
      <c r="C282" s="66"/>
      <c r="D282" s="67">
        <v>212.5</v>
      </c>
      <c r="E282" s="69">
        <v>50</v>
      </c>
      <c r="F282" s="96" t="str">
        <f>HYPERLINK("https://i.ytimg.com/vi/2h09oj26_H0/default.jpg")</f>
        <v>https://i.ytimg.com/vi/2h09oj26_H0/default.jpg</v>
      </c>
      <c r="G282" s="66"/>
      <c r="H282" s="70" t="s">
        <v>898</v>
      </c>
      <c r="I282" s="71"/>
      <c r="J282" s="71" t="s">
        <v>159</v>
      </c>
      <c r="K282" s="70" t="s">
        <v>898</v>
      </c>
      <c r="L282" s="74">
        <v>3.6775483617716485</v>
      </c>
      <c r="M282" s="75">
        <v>3599.564208984375</v>
      </c>
      <c r="N282" s="75">
        <v>6511.4873046875</v>
      </c>
      <c r="O282" s="76"/>
      <c r="P282" s="77"/>
      <c r="Q282" s="77"/>
      <c r="R282" s="82"/>
      <c r="S282" s="49">
        <v>1</v>
      </c>
      <c r="T282" s="49">
        <v>0</v>
      </c>
      <c r="U282" s="50">
        <v>0</v>
      </c>
      <c r="V282" s="50">
        <v>0.000728</v>
      </c>
      <c r="W282" s="50">
        <v>0.000215</v>
      </c>
      <c r="X282" s="50">
        <v>0.466523</v>
      </c>
      <c r="Y282" s="50">
        <v>0</v>
      </c>
      <c r="Z282" s="50">
        <v>0</v>
      </c>
      <c r="AA282" s="72">
        <v>279</v>
      </c>
      <c r="AB282" s="72"/>
      <c r="AC282" s="73"/>
      <c r="AD282" s="80" t="s">
        <v>898</v>
      </c>
      <c r="AE282" s="80" t="s">
        <v>1273</v>
      </c>
      <c r="AF282" s="80" t="s">
        <v>1596</v>
      </c>
      <c r="AG282" s="80" t="s">
        <v>1695</v>
      </c>
      <c r="AH282" s="80" t="s">
        <v>2191</v>
      </c>
      <c r="AI282" s="80">
        <v>60926</v>
      </c>
      <c r="AJ282" s="80">
        <v>121</v>
      </c>
      <c r="AK282" s="80">
        <v>296</v>
      </c>
      <c r="AL282" s="80">
        <v>100</v>
      </c>
      <c r="AM282" s="80" t="s">
        <v>2317</v>
      </c>
      <c r="AN282" s="98" t="str">
        <f>HYPERLINK("https://www.youtube.com/watch?v=2h09oj26_H0")</f>
        <v>https://www.youtube.com/watch?v=2h09oj26_H0</v>
      </c>
      <c r="AO282" s="80" t="str">
        <f>REPLACE(INDEX(GroupVertices[Group],MATCH(Vertices[[#This Row],[Vertex]],GroupVertices[Vertex],0)),1,1,"")</f>
        <v>3</v>
      </c>
      <c r="AP282" s="49">
        <v>1</v>
      </c>
      <c r="AQ282" s="50">
        <v>3.4482758620689653</v>
      </c>
      <c r="AR282" s="49">
        <v>4</v>
      </c>
      <c r="AS282" s="50">
        <v>13.793103448275861</v>
      </c>
      <c r="AT282" s="49">
        <v>0</v>
      </c>
      <c r="AU282" s="50">
        <v>0</v>
      </c>
      <c r="AV282" s="49">
        <v>24</v>
      </c>
      <c r="AW282" s="50">
        <v>82.75862068965517</v>
      </c>
      <c r="AX282" s="49">
        <v>29</v>
      </c>
      <c r="AY282" s="49"/>
      <c r="AZ282" s="49"/>
      <c r="BA282" s="49"/>
      <c r="BB282" s="49"/>
      <c r="BC282" s="2"/>
      <c r="BD282" s="3"/>
      <c r="BE282" s="3"/>
      <c r="BF282" s="3"/>
      <c r="BG282" s="3"/>
    </row>
    <row r="283" spans="1:59" ht="15">
      <c r="A283" s="65" t="s">
        <v>489</v>
      </c>
      <c r="B283" s="66" t="s">
        <v>3536</v>
      </c>
      <c r="C283" s="66"/>
      <c r="D283" s="67">
        <v>212.5</v>
      </c>
      <c r="E283" s="69">
        <v>50</v>
      </c>
      <c r="F283" s="96" t="str">
        <f>HYPERLINK("https://i.ytimg.com/vi/cXFJOieR0BE/default.jpg")</f>
        <v>https://i.ytimg.com/vi/cXFJOieR0BE/default.jpg</v>
      </c>
      <c r="G283" s="66"/>
      <c r="H283" s="70" t="s">
        <v>899</v>
      </c>
      <c r="I283" s="71"/>
      <c r="J283" s="71" t="s">
        <v>159</v>
      </c>
      <c r="K283" s="70" t="s">
        <v>899</v>
      </c>
      <c r="L283" s="74">
        <v>1.0069010111269499</v>
      </c>
      <c r="M283" s="75">
        <v>4682.28271484375</v>
      </c>
      <c r="N283" s="75">
        <v>8897.6123046875</v>
      </c>
      <c r="O283" s="76"/>
      <c r="P283" s="77"/>
      <c r="Q283" s="77"/>
      <c r="R283" s="82"/>
      <c r="S283" s="49">
        <v>1</v>
      </c>
      <c r="T283" s="49">
        <v>0</v>
      </c>
      <c r="U283" s="50">
        <v>0</v>
      </c>
      <c r="V283" s="50">
        <v>0.000728</v>
      </c>
      <c r="W283" s="50">
        <v>0.000215</v>
      </c>
      <c r="X283" s="50">
        <v>0.466523</v>
      </c>
      <c r="Y283" s="50">
        <v>0</v>
      </c>
      <c r="Z283" s="50">
        <v>0</v>
      </c>
      <c r="AA283" s="72">
        <v>280</v>
      </c>
      <c r="AB283" s="72"/>
      <c r="AC283" s="73"/>
      <c r="AD283" s="80" t="s">
        <v>899</v>
      </c>
      <c r="AE283" s="80" t="s">
        <v>1274</v>
      </c>
      <c r="AF283" s="80" t="s">
        <v>1589</v>
      </c>
      <c r="AG283" s="80" t="s">
        <v>1851</v>
      </c>
      <c r="AH283" s="80" t="s">
        <v>2192</v>
      </c>
      <c r="AI283" s="80">
        <v>168</v>
      </c>
      <c r="AJ283" s="80">
        <v>2</v>
      </c>
      <c r="AK283" s="80">
        <v>3</v>
      </c>
      <c r="AL283" s="80">
        <v>1</v>
      </c>
      <c r="AM283" s="80" t="s">
        <v>2317</v>
      </c>
      <c r="AN283" s="98" t="str">
        <f>HYPERLINK("https://www.youtube.com/watch?v=cXFJOieR0BE")</f>
        <v>https://www.youtube.com/watch?v=cXFJOieR0BE</v>
      </c>
      <c r="AO283" s="80" t="str">
        <f>REPLACE(INDEX(GroupVertices[Group],MATCH(Vertices[[#This Row],[Vertex]],GroupVertices[Vertex],0)),1,1,"")</f>
        <v>3</v>
      </c>
      <c r="AP283" s="49">
        <v>0</v>
      </c>
      <c r="AQ283" s="50">
        <v>0</v>
      </c>
      <c r="AR283" s="49">
        <v>0</v>
      </c>
      <c r="AS283" s="50">
        <v>0</v>
      </c>
      <c r="AT283" s="49">
        <v>0</v>
      </c>
      <c r="AU283" s="50">
        <v>0</v>
      </c>
      <c r="AV283" s="49">
        <v>8</v>
      </c>
      <c r="AW283" s="50">
        <v>100</v>
      </c>
      <c r="AX283" s="49">
        <v>8</v>
      </c>
      <c r="AY283" s="49"/>
      <c r="AZ283" s="49"/>
      <c r="BA283" s="49"/>
      <c r="BB283" s="49"/>
      <c r="BC283" s="2"/>
      <c r="BD283" s="3"/>
      <c r="BE283" s="3"/>
      <c r="BF283" s="3"/>
      <c r="BG283" s="3"/>
    </row>
    <row r="284" spans="1:59" ht="15">
      <c r="A284" s="65" t="s">
        <v>490</v>
      </c>
      <c r="B284" s="66" t="s">
        <v>3536</v>
      </c>
      <c r="C284" s="66"/>
      <c r="D284" s="67">
        <v>212.5</v>
      </c>
      <c r="E284" s="69">
        <v>50</v>
      </c>
      <c r="F284" s="96" t="str">
        <f>HYPERLINK("https://i.ytimg.com/vi/Y43xJh1q1dU/default.jpg")</f>
        <v>https://i.ytimg.com/vi/Y43xJh1q1dU/default.jpg</v>
      </c>
      <c r="G284" s="66"/>
      <c r="H284" s="70" t="s">
        <v>900</v>
      </c>
      <c r="I284" s="71"/>
      <c r="J284" s="71" t="s">
        <v>159</v>
      </c>
      <c r="K284" s="70" t="s">
        <v>900</v>
      </c>
      <c r="L284" s="74">
        <v>2.102227738977031</v>
      </c>
      <c r="M284" s="75">
        <v>3960.469970703125</v>
      </c>
      <c r="N284" s="75">
        <v>7108.0185546875</v>
      </c>
      <c r="O284" s="76"/>
      <c r="P284" s="77"/>
      <c r="Q284" s="77"/>
      <c r="R284" s="82"/>
      <c r="S284" s="49">
        <v>1</v>
      </c>
      <c r="T284" s="49">
        <v>0</v>
      </c>
      <c r="U284" s="50">
        <v>0</v>
      </c>
      <c r="V284" s="50">
        <v>0.000728</v>
      </c>
      <c r="W284" s="50">
        <v>0.000215</v>
      </c>
      <c r="X284" s="50">
        <v>0.466523</v>
      </c>
      <c r="Y284" s="50">
        <v>0</v>
      </c>
      <c r="Z284" s="50">
        <v>0</v>
      </c>
      <c r="AA284" s="72">
        <v>281</v>
      </c>
      <c r="AB284" s="72"/>
      <c r="AC284" s="73"/>
      <c r="AD284" s="80" t="s">
        <v>900</v>
      </c>
      <c r="AE284" s="80" t="s">
        <v>1275</v>
      </c>
      <c r="AF284" s="80"/>
      <c r="AG284" s="80" t="s">
        <v>1857</v>
      </c>
      <c r="AH284" s="80" t="s">
        <v>2193</v>
      </c>
      <c r="AI284" s="80">
        <v>25087</v>
      </c>
      <c r="AJ284" s="80">
        <v>18</v>
      </c>
      <c r="AK284" s="80">
        <v>191</v>
      </c>
      <c r="AL284" s="80">
        <v>26</v>
      </c>
      <c r="AM284" s="80" t="s">
        <v>2317</v>
      </c>
      <c r="AN284" s="98" t="str">
        <f>HYPERLINK("https://www.youtube.com/watch?v=Y43xJh1q1dU")</f>
        <v>https://www.youtube.com/watch?v=Y43xJh1q1dU</v>
      </c>
      <c r="AO284" s="80" t="str">
        <f>REPLACE(INDEX(GroupVertices[Group],MATCH(Vertices[[#This Row],[Vertex]],GroupVertices[Vertex],0)),1,1,"")</f>
        <v>3</v>
      </c>
      <c r="AP284" s="49"/>
      <c r="AQ284" s="50"/>
      <c r="AR284" s="49"/>
      <c r="AS284" s="50"/>
      <c r="AT284" s="49"/>
      <c r="AU284" s="50"/>
      <c r="AV284" s="49"/>
      <c r="AW284" s="50"/>
      <c r="AX284" s="49"/>
      <c r="AY284" s="49"/>
      <c r="AZ284" s="49"/>
      <c r="BA284" s="49"/>
      <c r="BB284" s="49"/>
      <c r="BC284" s="2"/>
      <c r="BD284" s="3"/>
      <c r="BE284" s="3"/>
      <c r="BF284" s="3"/>
      <c r="BG284" s="3"/>
    </row>
    <row r="285" spans="1:59" ht="15">
      <c r="A285" s="65" t="s">
        <v>491</v>
      </c>
      <c r="B285" s="66" t="s">
        <v>3536</v>
      </c>
      <c r="C285" s="66"/>
      <c r="D285" s="67">
        <v>212.5</v>
      </c>
      <c r="E285" s="69">
        <v>50</v>
      </c>
      <c r="F285" s="96" t="str">
        <f>HYPERLINK("https://i.ytimg.com/vi/AAfXqtlipyk/default.jpg")</f>
        <v>https://i.ytimg.com/vi/AAfXqtlipyk/default.jpg</v>
      </c>
      <c r="G285" s="66"/>
      <c r="H285" s="70" t="s">
        <v>901</v>
      </c>
      <c r="I285" s="71"/>
      <c r="J285" s="71" t="s">
        <v>159</v>
      </c>
      <c r="K285" s="70" t="s">
        <v>901</v>
      </c>
      <c r="L285" s="74">
        <v>2.751098606849855</v>
      </c>
      <c r="M285" s="75">
        <v>5043.1884765625</v>
      </c>
      <c r="N285" s="75">
        <v>7108.0185546875</v>
      </c>
      <c r="O285" s="76"/>
      <c r="P285" s="77"/>
      <c r="Q285" s="77"/>
      <c r="R285" s="82"/>
      <c r="S285" s="49">
        <v>1</v>
      </c>
      <c r="T285" s="49">
        <v>0</v>
      </c>
      <c r="U285" s="50">
        <v>0</v>
      </c>
      <c r="V285" s="50">
        <v>0.000728</v>
      </c>
      <c r="W285" s="50">
        <v>0.000215</v>
      </c>
      <c r="X285" s="50">
        <v>0.466523</v>
      </c>
      <c r="Y285" s="50">
        <v>0</v>
      </c>
      <c r="Z285" s="50">
        <v>0</v>
      </c>
      <c r="AA285" s="72">
        <v>282</v>
      </c>
      <c r="AB285" s="72"/>
      <c r="AC285" s="73"/>
      <c r="AD285" s="80" t="s">
        <v>901</v>
      </c>
      <c r="AE285" s="80" t="s">
        <v>1276</v>
      </c>
      <c r="AF285" s="80" t="s">
        <v>1597</v>
      </c>
      <c r="AG285" s="80" t="s">
        <v>1858</v>
      </c>
      <c r="AH285" s="80" t="s">
        <v>2194</v>
      </c>
      <c r="AI285" s="80">
        <v>39849</v>
      </c>
      <c r="AJ285" s="80">
        <v>52</v>
      </c>
      <c r="AK285" s="80">
        <v>917</v>
      </c>
      <c r="AL285" s="80">
        <v>65</v>
      </c>
      <c r="AM285" s="80" t="s">
        <v>2317</v>
      </c>
      <c r="AN285" s="98" t="str">
        <f>HYPERLINK("https://www.youtube.com/watch?v=AAfXqtlipyk")</f>
        <v>https://www.youtube.com/watch?v=AAfXqtlipyk</v>
      </c>
      <c r="AO285" s="80" t="str">
        <f>REPLACE(INDEX(GroupVertices[Group],MATCH(Vertices[[#This Row],[Vertex]],GroupVertices[Vertex],0)),1,1,"")</f>
        <v>3</v>
      </c>
      <c r="AP285" s="49">
        <v>0</v>
      </c>
      <c r="AQ285" s="50">
        <v>0</v>
      </c>
      <c r="AR285" s="49">
        <v>0</v>
      </c>
      <c r="AS285" s="50">
        <v>0</v>
      </c>
      <c r="AT285" s="49">
        <v>0</v>
      </c>
      <c r="AU285" s="50">
        <v>0</v>
      </c>
      <c r="AV285" s="49">
        <v>21</v>
      </c>
      <c r="AW285" s="50">
        <v>100</v>
      </c>
      <c r="AX285" s="49">
        <v>21</v>
      </c>
      <c r="AY285" s="49"/>
      <c r="AZ285" s="49"/>
      <c r="BA285" s="49"/>
      <c r="BB285" s="49"/>
      <c r="BC285" s="2"/>
      <c r="BD285" s="3"/>
      <c r="BE285" s="3"/>
      <c r="BF285" s="3"/>
      <c r="BG285" s="3"/>
    </row>
    <row r="286" spans="1:59" ht="15">
      <c r="A286" s="65" t="s">
        <v>492</v>
      </c>
      <c r="B286" s="66" t="s">
        <v>3536</v>
      </c>
      <c r="C286" s="66"/>
      <c r="D286" s="67">
        <v>212.5</v>
      </c>
      <c r="E286" s="69">
        <v>50</v>
      </c>
      <c r="F286" s="96" t="str">
        <f>HYPERLINK("https://i.ytimg.com/vi/K6BGJN_i4MQ/default.jpg")</f>
        <v>https://i.ytimg.com/vi/K6BGJN_i4MQ/default.jpg</v>
      </c>
      <c r="G286" s="66"/>
      <c r="H286" s="70" t="s">
        <v>902</v>
      </c>
      <c r="I286" s="71"/>
      <c r="J286" s="71" t="s">
        <v>159</v>
      </c>
      <c r="K286" s="70" t="s">
        <v>902</v>
      </c>
      <c r="L286" s="74">
        <v>2.3573014177648646</v>
      </c>
      <c r="M286" s="75">
        <v>4682.28271484375</v>
      </c>
      <c r="N286" s="75">
        <v>7108.0185546875</v>
      </c>
      <c r="O286" s="76"/>
      <c r="P286" s="77"/>
      <c r="Q286" s="77"/>
      <c r="R286" s="82"/>
      <c r="S286" s="49">
        <v>1</v>
      </c>
      <c r="T286" s="49">
        <v>0</v>
      </c>
      <c r="U286" s="50">
        <v>0</v>
      </c>
      <c r="V286" s="50">
        <v>0.000728</v>
      </c>
      <c r="W286" s="50">
        <v>0.000215</v>
      </c>
      <c r="X286" s="50">
        <v>0.466523</v>
      </c>
      <c r="Y286" s="50">
        <v>0</v>
      </c>
      <c r="Z286" s="50">
        <v>0</v>
      </c>
      <c r="AA286" s="72">
        <v>283</v>
      </c>
      <c r="AB286" s="72"/>
      <c r="AC286" s="73"/>
      <c r="AD286" s="80" t="s">
        <v>902</v>
      </c>
      <c r="AE286" s="80"/>
      <c r="AF286" s="80"/>
      <c r="AG286" s="80" t="s">
        <v>1859</v>
      </c>
      <c r="AH286" s="80" t="s">
        <v>2195</v>
      </c>
      <c r="AI286" s="80">
        <v>30890</v>
      </c>
      <c r="AJ286" s="80">
        <v>32</v>
      </c>
      <c r="AK286" s="80">
        <v>417</v>
      </c>
      <c r="AL286" s="80">
        <v>19</v>
      </c>
      <c r="AM286" s="80" t="s">
        <v>2317</v>
      </c>
      <c r="AN286" s="98" t="str">
        <f>HYPERLINK("https://www.youtube.com/watch?v=K6BGJN_i4MQ")</f>
        <v>https://www.youtube.com/watch?v=K6BGJN_i4MQ</v>
      </c>
      <c r="AO286" s="80" t="str">
        <f>REPLACE(INDEX(GroupVertices[Group],MATCH(Vertices[[#This Row],[Vertex]],GroupVertices[Vertex],0)),1,1,"")</f>
        <v>3</v>
      </c>
      <c r="AP286" s="49"/>
      <c r="AQ286" s="50"/>
      <c r="AR286" s="49"/>
      <c r="AS286" s="50"/>
      <c r="AT286" s="49"/>
      <c r="AU286" s="50"/>
      <c r="AV286" s="49"/>
      <c r="AW286" s="50"/>
      <c r="AX286" s="49"/>
      <c r="AY286" s="49"/>
      <c r="AZ286" s="49"/>
      <c r="BA286" s="49"/>
      <c r="BB286" s="49"/>
      <c r="BC286" s="2"/>
      <c r="BD286" s="3"/>
      <c r="BE286" s="3"/>
      <c r="BF286" s="3"/>
      <c r="BG286" s="3"/>
    </row>
    <row r="287" spans="1:59" ht="15">
      <c r="A287" s="65" t="s">
        <v>493</v>
      </c>
      <c r="B287" s="66" t="s">
        <v>3536</v>
      </c>
      <c r="C287" s="66"/>
      <c r="D287" s="67">
        <v>212.5</v>
      </c>
      <c r="E287" s="69">
        <v>50</v>
      </c>
      <c r="F287" s="96" t="str">
        <f>HYPERLINK("https://i.ytimg.com/vi/mKC1FnpOL7w/default.jpg")</f>
        <v>https://i.ytimg.com/vi/mKC1FnpOL7w/default.jpg</v>
      </c>
      <c r="G287" s="66"/>
      <c r="H287" s="70" t="s">
        <v>903</v>
      </c>
      <c r="I287" s="71"/>
      <c r="J287" s="71" t="s">
        <v>159</v>
      </c>
      <c r="K287" s="70" t="s">
        <v>903</v>
      </c>
      <c r="L287" s="74">
        <v>4.230508361625335</v>
      </c>
      <c r="M287" s="75">
        <v>3960.469970703125</v>
      </c>
      <c r="N287" s="75">
        <v>6511.4873046875</v>
      </c>
      <c r="O287" s="76"/>
      <c r="P287" s="77"/>
      <c r="Q287" s="77"/>
      <c r="R287" s="82"/>
      <c r="S287" s="49">
        <v>1</v>
      </c>
      <c r="T287" s="49">
        <v>0</v>
      </c>
      <c r="U287" s="50">
        <v>0</v>
      </c>
      <c r="V287" s="50">
        <v>0.000728</v>
      </c>
      <c r="W287" s="50">
        <v>0.000215</v>
      </c>
      <c r="X287" s="50">
        <v>0.466523</v>
      </c>
      <c r="Y287" s="50">
        <v>0</v>
      </c>
      <c r="Z287" s="50">
        <v>0</v>
      </c>
      <c r="AA287" s="72">
        <v>284</v>
      </c>
      <c r="AB287" s="72"/>
      <c r="AC287" s="73"/>
      <c r="AD287" s="80" t="s">
        <v>903</v>
      </c>
      <c r="AE287" s="80" t="s">
        <v>1277</v>
      </c>
      <c r="AF287" s="80" t="s">
        <v>1598</v>
      </c>
      <c r="AG287" s="80" t="s">
        <v>1774</v>
      </c>
      <c r="AH287" s="80" t="s">
        <v>2196</v>
      </c>
      <c r="AI287" s="80">
        <v>73506</v>
      </c>
      <c r="AJ287" s="80">
        <v>0</v>
      </c>
      <c r="AK287" s="80">
        <v>921</v>
      </c>
      <c r="AL287" s="80">
        <v>46</v>
      </c>
      <c r="AM287" s="80" t="s">
        <v>2317</v>
      </c>
      <c r="AN287" s="98" t="str">
        <f>HYPERLINK("https://www.youtube.com/watch?v=mKC1FnpOL7w")</f>
        <v>https://www.youtube.com/watch?v=mKC1FnpOL7w</v>
      </c>
      <c r="AO287" s="80" t="str">
        <f>REPLACE(INDEX(GroupVertices[Group],MATCH(Vertices[[#This Row],[Vertex]],GroupVertices[Vertex],0)),1,1,"")</f>
        <v>3</v>
      </c>
      <c r="AP287" s="49">
        <v>0</v>
      </c>
      <c r="AQ287" s="50">
        <v>0</v>
      </c>
      <c r="AR287" s="49">
        <v>1</v>
      </c>
      <c r="AS287" s="50">
        <v>5.2631578947368425</v>
      </c>
      <c r="AT287" s="49">
        <v>0</v>
      </c>
      <c r="AU287" s="50">
        <v>0</v>
      </c>
      <c r="AV287" s="49">
        <v>18</v>
      </c>
      <c r="AW287" s="50">
        <v>94.73684210526316</v>
      </c>
      <c r="AX287" s="49">
        <v>19</v>
      </c>
      <c r="AY287" s="49"/>
      <c r="AZ287" s="49"/>
      <c r="BA287" s="49"/>
      <c r="BB287" s="49"/>
      <c r="BC287" s="2"/>
      <c r="BD287" s="3"/>
      <c r="BE287" s="3"/>
      <c r="BF287" s="3"/>
      <c r="BG287" s="3"/>
    </row>
    <row r="288" spans="1:59" ht="15">
      <c r="A288" s="65" t="s">
        <v>494</v>
      </c>
      <c r="B288" s="66" t="s">
        <v>3536</v>
      </c>
      <c r="C288" s="66"/>
      <c r="D288" s="67">
        <v>212.5</v>
      </c>
      <c r="E288" s="69">
        <v>50</v>
      </c>
      <c r="F288" s="96" t="str">
        <f>HYPERLINK("https://i.ytimg.com/vi/p28aXeRnF44/default.jpg")</f>
        <v>https://i.ytimg.com/vi/p28aXeRnF44/default.jpg</v>
      </c>
      <c r="G288" s="66"/>
      <c r="H288" s="70" t="s">
        <v>904</v>
      </c>
      <c r="I288" s="71"/>
      <c r="J288" s="71" t="s">
        <v>159</v>
      </c>
      <c r="K288" s="70" t="s">
        <v>904</v>
      </c>
      <c r="L288" s="74">
        <v>1.248744088964389</v>
      </c>
      <c r="M288" s="75">
        <v>5043.1884765625</v>
      </c>
      <c r="N288" s="75">
        <v>8301.0810546875</v>
      </c>
      <c r="O288" s="76"/>
      <c r="P288" s="77"/>
      <c r="Q288" s="77"/>
      <c r="R288" s="82"/>
      <c r="S288" s="49">
        <v>1</v>
      </c>
      <c r="T288" s="49">
        <v>0</v>
      </c>
      <c r="U288" s="50">
        <v>0</v>
      </c>
      <c r="V288" s="50">
        <v>0.000728</v>
      </c>
      <c r="W288" s="50">
        <v>0.000215</v>
      </c>
      <c r="X288" s="50">
        <v>0.466523</v>
      </c>
      <c r="Y288" s="50">
        <v>0</v>
      </c>
      <c r="Z288" s="50">
        <v>0</v>
      </c>
      <c r="AA288" s="72">
        <v>285</v>
      </c>
      <c r="AB288" s="72"/>
      <c r="AC288" s="73"/>
      <c r="AD288" s="80" t="s">
        <v>904</v>
      </c>
      <c r="AE288" s="80" t="s">
        <v>1278</v>
      </c>
      <c r="AF288" s="80" t="s">
        <v>1599</v>
      </c>
      <c r="AG288" s="80" t="s">
        <v>1860</v>
      </c>
      <c r="AH288" s="80" t="s">
        <v>2197</v>
      </c>
      <c r="AI288" s="80">
        <v>5670</v>
      </c>
      <c r="AJ288" s="80">
        <v>152</v>
      </c>
      <c r="AK288" s="80">
        <v>210</v>
      </c>
      <c r="AL288" s="80">
        <v>4</v>
      </c>
      <c r="AM288" s="80" t="s">
        <v>2317</v>
      </c>
      <c r="AN288" s="98" t="str">
        <f>HYPERLINK("https://www.youtube.com/watch?v=p28aXeRnF44")</f>
        <v>https://www.youtube.com/watch?v=p28aXeRnF44</v>
      </c>
      <c r="AO288" s="80" t="str">
        <f>REPLACE(INDEX(GroupVertices[Group],MATCH(Vertices[[#This Row],[Vertex]],GroupVertices[Vertex],0)),1,1,"")</f>
        <v>3</v>
      </c>
      <c r="AP288" s="49">
        <v>3</v>
      </c>
      <c r="AQ288" s="50">
        <v>3.9473684210526314</v>
      </c>
      <c r="AR288" s="49">
        <v>0</v>
      </c>
      <c r="AS288" s="50">
        <v>0</v>
      </c>
      <c r="AT288" s="49">
        <v>0</v>
      </c>
      <c r="AU288" s="50">
        <v>0</v>
      </c>
      <c r="AV288" s="49">
        <v>73</v>
      </c>
      <c r="AW288" s="50">
        <v>96.05263157894737</v>
      </c>
      <c r="AX288" s="49">
        <v>76</v>
      </c>
      <c r="AY288" s="49"/>
      <c r="AZ288" s="49"/>
      <c r="BA288" s="49"/>
      <c r="BB288" s="49"/>
      <c r="BC288" s="2"/>
      <c r="BD288" s="3"/>
      <c r="BE288" s="3"/>
      <c r="BF288" s="3"/>
      <c r="BG288" s="3"/>
    </row>
    <row r="289" spans="1:59" ht="15">
      <c r="A289" s="65" t="s">
        <v>495</v>
      </c>
      <c r="B289" s="66" t="s">
        <v>3536</v>
      </c>
      <c r="C289" s="66"/>
      <c r="D289" s="67">
        <v>212.5</v>
      </c>
      <c r="E289" s="69">
        <v>50</v>
      </c>
      <c r="F289" s="96" t="str">
        <f>HYPERLINK("https://i.ytimg.com/vi/ybECwY-Npz4/default.jpg")</f>
        <v>https://i.ytimg.com/vi/ybECwY-Npz4/default.jpg</v>
      </c>
      <c r="G289" s="66"/>
      <c r="H289" s="70" t="s">
        <v>905</v>
      </c>
      <c r="I289" s="71"/>
      <c r="J289" s="71" t="s">
        <v>159</v>
      </c>
      <c r="K289" s="70" t="s">
        <v>905</v>
      </c>
      <c r="L289" s="74">
        <v>1.0171865945900471</v>
      </c>
      <c r="M289" s="75">
        <v>3599.564208984375</v>
      </c>
      <c r="N289" s="75">
        <v>8301.0810546875</v>
      </c>
      <c r="O289" s="76"/>
      <c r="P289" s="77"/>
      <c r="Q289" s="77"/>
      <c r="R289" s="82"/>
      <c r="S289" s="49">
        <v>1</v>
      </c>
      <c r="T289" s="49">
        <v>0</v>
      </c>
      <c r="U289" s="50">
        <v>0</v>
      </c>
      <c r="V289" s="50">
        <v>0.000728</v>
      </c>
      <c r="W289" s="50">
        <v>0.000215</v>
      </c>
      <c r="X289" s="50">
        <v>0.466523</v>
      </c>
      <c r="Y289" s="50">
        <v>0</v>
      </c>
      <c r="Z289" s="50">
        <v>0</v>
      </c>
      <c r="AA289" s="72">
        <v>286</v>
      </c>
      <c r="AB289" s="72"/>
      <c r="AC289" s="73"/>
      <c r="AD289" s="80" t="s">
        <v>905</v>
      </c>
      <c r="AE289" s="80" t="s">
        <v>1279</v>
      </c>
      <c r="AF289" s="80" t="s">
        <v>1589</v>
      </c>
      <c r="AG289" s="80" t="s">
        <v>1851</v>
      </c>
      <c r="AH289" s="80" t="s">
        <v>2198</v>
      </c>
      <c r="AI289" s="80">
        <v>402</v>
      </c>
      <c r="AJ289" s="80">
        <v>3</v>
      </c>
      <c r="AK289" s="80">
        <v>5</v>
      </c>
      <c r="AL289" s="80">
        <v>3</v>
      </c>
      <c r="AM289" s="80" t="s">
        <v>2317</v>
      </c>
      <c r="AN289" s="98" t="str">
        <f>HYPERLINK("https://www.youtube.com/watch?v=ybECwY-Npz4")</f>
        <v>https://www.youtube.com/watch?v=ybECwY-Npz4</v>
      </c>
      <c r="AO289" s="80" t="str">
        <f>REPLACE(INDEX(GroupVertices[Group],MATCH(Vertices[[#This Row],[Vertex]],GroupVertices[Vertex],0)),1,1,"")</f>
        <v>3</v>
      </c>
      <c r="AP289" s="49">
        <v>0</v>
      </c>
      <c r="AQ289" s="50">
        <v>0</v>
      </c>
      <c r="AR289" s="49">
        <v>0</v>
      </c>
      <c r="AS289" s="50">
        <v>0</v>
      </c>
      <c r="AT289" s="49">
        <v>0</v>
      </c>
      <c r="AU289" s="50">
        <v>0</v>
      </c>
      <c r="AV289" s="49">
        <v>8</v>
      </c>
      <c r="AW289" s="50">
        <v>100</v>
      </c>
      <c r="AX289" s="49">
        <v>8</v>
      </c>
      <c r="AY289" s="49"/>
      <c r="AZ289" s="49"/>
      <c r="BA289" s="49"/>
      <c r="BB289" s="49"/>
      <c r="BC289" s="2"/>
      <c r="BD289" s="3"/>
      <c r="BE289" s="3"/>
      <c r="BF289" s="3"/>
      <c r="BG289" s="3"/>
    </row>
    <row r="290" spans="1:59" ht="15">
      <c r="A290" s="65" t="s">
        <v>496</v>
      </c>
      <c r="B290" s="66" t="s">
        <v>3536</v>
      </c>
      <c r="C290" s="66"/>
      <c r="D290" s="67">
        <v>212.5</v>
      </c>
      <c r="E290" s="69">
        <v>50</v>
      </c>
      <c r="F290" s="96" t="str">
        <f>HYPERLINK("https://i.ytimg.com/vi/YF-opsAdMnk/default.jpg")</f>
        <v>https://i.ytimg.com/vi/YF-opsAdMnk/default.jpg</v>
      </c>
      <c r="G290" s="66"/>
      <c r="H290" s="70" t="s">
        <v>906</v>
      </c>
      <c r="I290" s="71"/>
      <c r="J290" s="71" t="s">
        <v>159</v>
      </c>
      <c r="K290" s="70" t="s">
        <v>906</v>
      </c>
      <c r="L290" s="74">
        <v>1.001714263910516</v>
      </c>
      <c r="M290" s="75">
        <v>4682.28271484375</v>
      </c>
      <c r="N290" s="75">
        <v>9494.1435546875</v>
      </c>
      <c r="O290" s="76"/>
      <c r="P290" s="77"/>
      <c r="Q290" s="77"/>
      <c r="R290" s="82"/>
      <c r="S290" s="49">
        <v>1</v>
      </c>
      <c r="T290" s="49">
        <v>0</v>
      </c>
      <c r="U290" s="50">
        <v>0</v>
      </c>
      <c r="V290" s="50">
        <v>0.000728</v>
      </c>
      <c r="W290" s="50">
        <v>0.000215</v>
      </c>
      <c r="X290" s="50">
        <v>0.466523</v>
      </c>
      <c r="Y290" s="50">
        <v>0</v>
      </c>
      <c r="Z290" s="50">
        <v>0</v>
      </c>
      <c r="AA290" s="72">
        <v>287</v>
      </c>
      <c r="AB290" s="72"/>
      <c r="AC290" s="73"/>
      <c r="AD290" s="80" t="s">
        <v>906</v>
      </c>
      <c r="AE290" s="80" t="s">
        <v>1280</v>
      </c>
      <c r="AF290" s="80" t="s">
        <v>1589</v>
      </c>
      <c r="AG290" s="80" t="s">
        <v>1851</v>
      </c>
      <c r="AH290" s="80" t="s">
        <v>2199</v>
      </c>
      <c r="AI290" s="80">
        <v>50</v>
      </c>
      <c r="AJ290" s="80">
        <v>0</v>
      </c>
      <c r="AK290" s="80">
        <v>0</v>
      </c>
      <c r="AL290" s="80">
        <v>0</v>
      </c>
      <c r="AM290" s="80" t="s">
        <v>2317</v>
      </c>
      <c r="AN290" s="98" t="str">
        <f>HYPERLINK("https://www.youtube.com/watch?v=YF-opsAdMnk")</f>
        <v>https://www.youtube.com/watch?v=YF-opsAdMnk</v>
      </c>
      <c r="AO290" s="80" t="str">
        <f>REPLACE(INDEX(GroupVertices[Group],MATCH(Vertices[[#This Row],[Vertex]],GroupVertices[Vertex],0)),1,1,"")</f>
        <v>3</v>
      </c>
      <c r="AP290" s="49">
        <v>0</v>
      </c>
      <c r="AQ290" s="50">
        <v>0</v>
      </c>
      <c r="AR290" s="49">
        <v>0</v>
      </c>
      <c r="AS290" s="50">
        <v>0</v>
      </c>
      <c r="AT290" s="49">
        <v>0</v>
      </c>
      <c r="AU290" s="50">
        <v>0</v>
      </c>
      <c r="AV290" s="49">
        <v>8</v>
      </c>
      <c r="AW290" s="50">
        <v>100</v>
      </c>
      <c r="AX290" s="49">
        <v>8</v>
      </c>
      <c r="AY290" s="49"/>
      <c r="AZ290" s="49"/>
      <c r="BA290" s="49"/>
      <c r="BB290" s="49"/>
      <c r="BC290" s="2"/>
      <c r="BD290" s="3"/>
      <c r="BE290" s="3"/>
      <c r="BF290" s="3"/>
      <c r="BG290" s="3"/>
    </row>
    <row r="291" spans="1:59" ht="15">
      <c r="A291" s="65" t="s">
        <v>497</v>
      </c>
      <c r="B291" s="66" t="s">
        <v>3536</v>
      </c>
      <c r="C291" s="66"/>
      <c r="D291" s="67">
        <v>212.5</v>
      </c>
      <c r="E291" s="69">
        <v>50</v>
      </c>
      <c r="F291" s="96" t="str">
        <f>HYPERLINK("https://i.ytimg.com/vi/fYFD0GFFlpM/default.jpg")</f>
        <v>https://i.ytimg.com/vi/fYFD0GFFlpM/default.jpg</v>
      </c>
      <c r="G291" s="66"/>
      <c r="H291" s="70" t="s">
        <v>907</v>
      </c>
      <c r="I291" s="71"/>
      <c r="J291" s="71" t="s">
        <v>159</v>
      </c>
      <c r="K291" s="70" t="s">
        <v>907</v>
      </c>
      <c r="L291" s="74">
        <v>3.335530733881224</v>
      </c>
      <c r="M291" s="75">
        <v>3238.657958984375</v>
      </c>
      <c r="N291" s="75">
        <v>6511.4873046875</v>
      </c>
      <c r="O291" s="76"/>
      <c r="P291" s="77"/>
      <c r="Q291" s="77"/>
      <c r="R291" s="82"/>
      <c r="S291" s="49">
        <v>1</v>
      </c>
      <c r="T291" s="49">
        <v>0</v>
      </c>
      <c r="U291" s="50">
        <v>0</v>
      </c>
      <c r="V291" s="50">
        <v>0.000728</v>
      </c>
      <c r="W291" s="50">
        <v>0.000215</v>
      </c>
      <c r="X291" s="50">
        <v>0.466523</v>
      </c>
      <c r="Y291" s="50">
        <v>0</v>
      </c>
      <c r="Z291" s="50">
        <v>0</v>
      </c>
      <c r="AA291" s="72">
        <v>288</v>
      </c>
      <c r="AB291" s="72"/>
      <c r="AC291" s="73"/>
      <c r="AD291" s="80" t="s">
        <v>907</v>
      </c>
      <c r="AE291" s="80" t="s">
        <v>1281</v>
      </c>
      <c r="AF291" s="80" t="s">
        <v>1600</v>
      </c>
      <c r="AG291" s="80" t="s">
        <v>1861</v>
      </c>
      <c r="AH291" s="80" t="s">
        <v>2200</v>
      </c>
      <c r="AI291" s="80">
        <v>53145</v>
      </c>
      <c r="AJ291" s="80">
        <v>38</v>
      </c>
      <c r="AK291" s="80">
        <v>300</v>
      </c>
      <c r="AL291" s="80">
        <v>18</v>
      </c>
      <c r="AM291" s="80" t="s">
        <v>2317</v>
      </c>
      <c r="AN291" s="98" t="str">
        <f>HYPERLINK("https://www.youtube.com/watch?v=fYFD0GFFlpM")</f>
        <v>https://www.youtube.com/watch?v=fYFD0GFFlpM</v>
      </c>
      <c r="AO291" s="80" t="str">
        <f>REPLACE(INDEX(GroupVertices[Group],MATCH(Vertices[[#This Row],[Vertex]],GroupVertices[Vertex],0)),1,1,"")</f>
        <v>3</v>
      </c>
      <c r="AP291" s="49">
        <v>1</v>
      </c>
      <c r="AQ291" s="50">
        <v>1.6666666666666667</v>
      </c>
      <c r="AR291" s="49">
        <v>0</v>
      </c>
      <c r="AS291" s="50">
        <v>0</v>
      </c>
      <c r="AT291" s="49">
        <v>0</v>
      </c>
      <c r="AU291" s="50">
        <v>0</v>
      </c>
      <c r="AV291" s="49">
        <v>59</v>
      </c>
      <c r="AW291" s="50">
        <v>98.33333333333333</v>
      </c>
      <c r="AX291" s="49">
        <v>60</v>
      </c>
      <c r="AY291" s="49"/>
      <c r="AZ291" s="49"/>
      <c r="BA291" s="49"/>
      <c r="BB291" s="49"/>
      <c r="BC291" s="2"/>
      <c r="BD291" s="3"/>
      <c r="BE291" s="3"/>
      <c r="BF291" s="3"/>
      <c r="BG291" s="3"/>
    </row>
    <row r="292" spans="1:59" ht="15">
      <c r="A292" s="65" t="s">
        <v>498</v>
      </c>
      <c r="B292" s="66" t="s">
        <v>3536</v>
      </c>
      <c r="C292" s="66"/>
      <c r="D292" s="67">
        <v>212.5</v>
      </c>
      <c r="E292" s="69">
        <v>50</v>
      </c>
      <c r="F292" s="96" t="str">
        <f>HYPERLINK("https://i.ytimg.com/vi/pvcV7kixo1Y/default.jpg")</f>
        <v>https://i.ytimg.com/vi/pvcV7kixo1Y/default.jpg</v>
      </c>
      <c r="G292" s="66"/>
      <c r="H292" s="70" t="s">
        <v>908</v>
      </c>
      <c r="I292" s="71"/>
      <c r="J292" s="71" t="s">
        <v>159</v>
      </c>
      <c r="K292" s="70" t="s">
        <v>908</v>
      </c>
      <c r="L292" s="74">
        <v>100.15601355722916</v>
      </c>
      <c r="M292" s="75">
        <v>3238.657958984375</v>
      </c>
      <c r="N292" s="75">
        <v>5318.4248046875</v>
      </c>
      <c r="O292" s="76"/>
      <c r="P292" s="77"/>
      <c r="Q292" s="77"/>
      <c r="R292" s="82"/>
      <c r="S292" s="49">
        <v>1</v>
      </c>
      <c r="T292" s="49">
        <v>0</v>
      </c>
      <c r="U292" s="50">
        <v>0</v>
      </c>
      <c r="V292" s="50">
        <v>0.000728</v>
      </c>
      <c r="W292" s="50">
        <v>0.000215</v>
      </c>
      <c r="X292" s="50">
        <v>0.466523</v>
      </c>
      <c r="Y292" s="50">
        <v>0</v>
      </c>
      <c r="Z292" s="50">
        <v>0</v>
      </c>
      <c r="AA292" s="72">
        <v>289</v>
      </c>
      <c r="AB292" s="72"/>
      <c r="AC292" s="73"/>
      <c r="AD292" s="80" t="s">
        <v>908</v>
      </c>
      <c r="AE292" s="80" t="s">
        <v>1282</v>
      </c>
      <c r="AF292" s="80" t="s">
        <v>1601</v>
      </c>
      <c r="AG292" s="80" t="s">
        <v>1835</v>
      </c>
      <c r="AH292" s="80" t="s">
        <v>2201</v>
      </c>
      <c r="AI292" s="80">
        <v>2255839</v>
      </c>
      <c r="AJ292" s="80">
        <v>2481</v>
      </c>
      <c r="AK292" s="80">
        <v>41094</v>
      </c>
      <c r="AL292" s="80">
        <v>1582</v>
      </c>
      <c r="AM292" s="80" t="s">
        <v>2317</v>
      </c>
      <c r="AN292" s="98" t="str">
        <f>HYPERLINK("https://www.youtube.com/watch?v=pvcV7kixo1Y")</f>
        <v>https://www.youtube.com/watch?v=pvcV7kixo1Y</v>
      </c>
      <c r="AO292" s="80" t="str">
        <f>REPLACE(INDEX(GroupVertices[Group],MATCH(Vertices[[#This Row],[Vertex]],GroupVertices[Vertex],0)),1,1,"")</f>
        <v>3</v>
      </c>
      <c r="AP292" s="49">
        <v>1</v>
      </c>
      <c r="AQ292" s="50">
        <v>3.7037037037037037</v>
      </c>
      <c r="AR292" s="49">
        <v>1</v>
      </c>
      <c r="AS292" s="50">
        <v>3.7037037037037037</v>
      </c>
      <c r="AT292" s="49">
        <v>0</v>
      </c>
      <c r="AU292" s="50">
        <v>0</v>
      </c>
      <c r="AV292" s="49">
        <v>25</v>
      </c>
      <c r="AW292" s="50">
        <v>92.5925925925926</v>
      </c>
      <c r="AX292" s="49">
        <v>27</v>
      </c>
      <c r="AY292" s="49"/>
      <c r="AZ292" s="49"/>
      <c r="BA292" s="49"/>
      <c r="BB292" s="49"/>
      <c r="BC292" s="2"/>
      <c r="BD292" s="3"/>
      <c r="BE292" s="3"/>
      <c r="BF292" s="3"/>
      <c r="BG292" s="3"/>
    </row>
    <row r="293" spans="1:59" ht="15">
      <c r="A293" s="65" t="s">
        <v>499</v>
      </c>
      <c r="B293" s="66" t="s">
        <v>3536</v>
      </c>
      <c r="C293" s="66"/>
      <c r="D293" s="67">
        <v>212.5</v>
      </c>
      <c r="E293" s="69">
        <v>50</v>
      </c>
      <c r="F293" s="96" t="str">
        <f>HYPERLINK("https://i.ytimg.com/vi/XCdvo5fv-W0/default.jpg")</f>
        <v>https://i.ytimg.com/vi/XCdvo5fv-W0/default.jpg</v>
      </c>
      <c r="G293" s="66"/>
      <c r="H293" s="70" t="s">
        <v>909</v>
      </c>
      <c r="I293" s="71"/>
      <c r="J293" s="71" t="s">
        <v>159</v>
      </c>
      <c r="K293" s="70" t="s">
        <v>909</v>
      </c>
      <c r="L293" s="74">
        <v>5.569392431223372</v>
      </c>
      <c r="M293" s="75">
        <v>4321.37646484375</v>
      </c>
      <c r="N293" s="75">
        <v>6511.4873046875</v>
      </c>
      <c r="O293" s="76"/>
      <c r="P293" s="77"/>
      <c r="Q293" s="77"/>
      <c r="R293" s="82"/>
      <c r="S293" s="49">
        <v>1</v>
      </c>
      <c r="T293" s="49">
        <v>0</v>
      </c>
      <c r="U293" s="50">
        <v>0</v>
      </c>
      <c r="V293" s="50">
        <v>0.000728</v>
      </c>
      <c r="W293" s="50">
        <v>0.000215</v>
      </c>
      <c r="X293" s="50">
        <v>0.466523</v>
      </c>
      <c r="Y293" s="50">
        <v>0</v>
      </c>
      <c r="Z293" s="50">
        <v>0</v>
      </c>
      <c r="AA293" s="72">
        <v>290</v>
      </c>
      <c r="AB293" s="72"/>
      <c r="AC293" s="73"/>
      <c r="AD293" s="80" t="s">
        <v>909</v>
      </c>
      <c r="AE293" s="80" t="s">
        <v>1283</v>
      </c>
      <c r="AF293" s="80" t="s">
        <v>1602</v>
      </c>
      <c r="AG293" s="80" t="s">
        <v>1695</v>
      </c>
      <c r="AH293" s="80" t="s">
        <v>2202</v>
      </c>
      <c r="AI293" s="80">
        <v>103966</v>
      </c>
      <c r="AJ293" s="80">
        <v>108</v>
      </c>
      <c r="AK293" s="80">
        <v>675</v>
      </c>
      <c r="AL293" s="80">
        <v>32</v>
      </c>
      <c r="AM293" s="80" t="s">
        <v>2317</v>
      </c>
      <c r="AN293" s="98" t="str">
        <f>HYPERLINK("https://www.youtube.com/watch?v=XCdvo5fv-W0")</f>
        <v>https://www.youtube.com/watch?v=XCdvo5fv-W0</v>
      </c>
      <c r="AO293" s="80" t="str">
        <f>REPLACE(INDEX(GroupVertices[Group],MATCH(Vertices[[#This Row],[Vertex]],GroupVertices[Vertex],0)),1,1,"")</f>
        <v>3</v>
      </c>
      <c r="AP293" s="49">
        <v>0</v>
      </c>
      <c r="AQ293" s="50">
        <v>0</v>
      </c>
      <c r="AR293" s="49">
        <v>2</v>
      </c>
      <c r="AS293" s="50">
        <v>9.090909090909092</v>
      </c>
      <c r="AT293" s="49">
        <v>0</v>
      </c>
      <c r="AU293" s="50">
        <v>0</v>
      </c>
      <c r="AV293" s="49">
        <v>20</v>
      </c>
      <c r="AW293" s="50">
        <v>90.9090909090909</v>
      </c>
      <c r="AX293" s="49">
        <v>22</v>
      </c>
      <c r="AY293" s="49"/>
      <c r="AZ293" s="49"/>
      <c r="BA293" s="49"/>
      <c r="BB293" s="49"/>
      <c r="BC293" s="2"/>
      <c r="BD293" s="3"/>
      <c r="BE293" s="3"/>
      <c r="BF293" s="3"/>
      <c r="BG293" s="3"/>
    </row>
    <row r="294" spans="1:59" ht="15">
      <c r="A294" s="65" t="s">
        <v>500</v>
      </c>
      <c r="B294" s="66" t="s">
        <v>3536</v>
      </c>
      <c r="C294" s="66"/>
      <c r="D294" s="67">
        <v>212.5</v>
      </c>
      <c r="E294" s="69">
        <v>50</v>
      </c>
      <c r="F294" s="96" t="str">
        <f>HYPERLINK("https://i.ytimg.com/vi/R-6cYCpPXyw/default.jpg")</f>
        <v>https://i.ytimg.com/vi/R-6cYCpPXyw/default.jpg</v>
      </c>
      <c r="G294" s="66"/>
      <c r="H294" s="70" t="s">
        <v>910</v>
      </c>
      <c r="I294" s="71"/>
      <c r="J294" s="71" t="s">
        <v>159</v>
      </c>
      <c r="K294" s="70" t="s">
        <v>910</v>
      </c>
      <c r="L294" s="74">
        <v>1.1976238600430982</v>
      </c>
      <c r="M294" s="75">
        <v>4321.37646484375</v>
      </c>
      <c r="N294" s="75">
        <v>8301.0810546875</v>
      </c>
      <c r="O294" s="76"/>
      <c r="P294" s="77"/>
      <c r="Q294" s="77"/>
      <c r="R294" s="82"/>
      <c r="S294" s="49">
        <v>1</v>
      </c>
      <c r="T294" s="49">
        <v>0</v>
      </c>
      <c r="U294" s="50">
        <v>0</v>
      </c>
      <c r="V294" s="50">
        <v>0.000728</v>
      </c>
      <c r="W294" s="50">
        <v>0.000215</v>
      </c>
      <c r="X294" s="50">
        <v>0.466523</v>
      </c>
      <c r="Y294" s="50">
        <v>0</v>
      </c>
      <c r="Z294" s="50">
        <v>0</v>
      </c>
      <c r="AA294" s="72">
        <v>291</v>
      </c>
      <c r="AB294" s="72"/>
      <c r="AC294" s="73"/>
      <c r="AD294" s="80" t="s">
        <v>910</v>
      </c>
      <c r="AE294" s="80" t="s">
        <v>1284</v>
      </c>
      <c r="AF294" s="80" t="s">
        <v>1603</v>
      </c>
      <c r="AG294" s="80" t="s">
        <v>1862</v>
      </c>
      <c r="AH294" s="80" t="s">
        <v>2203</v>
      </c>
      <c r="AI294" s="80">
        <v>4507</v>
      </c>
      <c r="AJ294" s="80">
        <v>5</v>
      </c>
      <c r="AK294" s="80">
        <v>22</v>
      </c>
      <c r="AL294" s="80">
        <v>2</v>
      </c>
      <c r="AM294" s="80" t="s">
        <v>2317</v>
      </c>
      <c r="AN294" s="98" t="str">
        <f>HYPERLINK("https://www.youtube.com/watch?v=R-6cYCpPXyw")</f>
        <v>https://www.youtube.com/watch?v=R-6cYCpPXyw</v>
      </c>
      <c r="AO294" s="80" t="str">
        <f>REPLACE(INDEX(GroupVertices[Group],MATCH(Vertices[[#This Row],[Vertex]],GroupVertices[Vertex],0)),1,1,"")</f>
        <v>3</v>
      </c>
      <c r="AP294" s="49">
        <v>0</v>
      </c>
      <c r="AQ294" s="50">
        <v>0</v>
      </c>
      <c r="AR294" s="49">
        <v>0</v>
      </c>
      <c r="AS294" s="50">
        <v>0</v>
      </c>
      <c r="AT294" s="49">
        <v>0</v>
      </c>
      <c r="AU294" s="50">
        <v>0</v>
      </c>
      <c r="AV294" s="49">
        <v>13</v>
      </c>
      <c r="AW294" s="50">
        <v>100</v>
      </c>
      <c r="AX294" s="49">
        <v>13</v>
      </c>
      <c r="AY294" s="49"/>
      <c r="AZ294" s="49"/>
      <c r="BA294" s="49"/>
      <c r="BB294" s="49"/>
      <c r="BC294" s="2"/>
      <c r="BD294" s="3"/>
      <c r="BE294" s="3"/>
      <c r="BF294" s="3"/>
      <c r="BG294" s="3"/>
    </row>
    <row r="295" spans="1:59" ht="15">
      <c r="A295" s="65" t="s">
        <v>501</v>
      </c>
      <c r="B295" s="66" t="s">
        <v>3536</v>
      </c>
      <c r="C295" s="66"/>
      <c r="D295" s="67">
        <v>212.5</v>
      </c>
      <c r="E295" s="69">
        <v>50</v>
      </c>
      <c r="F295" s="96" t="str">
        <f>HYPERLINK("https://i.ytimg.com/vi/xDDFV7Sovvs/default.jpg")</f>
        <v>https://i.ytimg.com/vi/xDDFV7Sovvs/default.jpg</v>
      </c>
      <c r="G295" s="66"/>
      <c r="H295" s="70" t="s">
        <v>911</v>
      </c>
      <c r="I295" s="71"/>
      <c r="J295" s="71" t="s">
        <v>159</v>
      </c>
      <c r="K295" s="70" t="s">
        <v>911</v>
      </c>
      <c r="L295" s="74">
        <v>3.0320181107500868</v>
      </c>
      <c r="M295" s="75">
        <v>5404.0947265625</v>
      </c>
      <c r="N295" s="75">
        <v>7108.0185546875</v>
      </c>
      <c r="O295" s="76"/>
      <c r="P295" s="77"/>
      <c r="Q295" s="77"/>
      <c r="R295" s="82"/>
      <c r="S295" s="49">
        <v>1</v>
      </c>
      <c r="T295" s="49">
        <v>0</v>
      </c>
      <c r="U295" s="50">
        <v>0</v>
      </c>
      <c r="V295" s="50">
        <v>0.000728</v>
      </c>
      <c r="W295" s="50">
        <v>0.000215</v>
      </c>
      <c r="X295" s="50">
        <v>0.466523</v>
      </c>
      <c r="Y295" s="50">
        <v>0</v>
      </c>
      <c r="Z295" s="50">
        <v>0</v>
      </c>
      <c r="AA295" s="72">
        <v>292</v>
      </c>
      <c r="AB295" s="72"/>
      <c r="AC295" s="73"/>
      <c r="AD295" s="80" t="s">
        <v>911</v>
      </c>
      <c r="AE295" s="80" t="s">
        <v>1285</v>
      </c>
      <c r="AF295" s="80" t="s">
        <v>1604</v>
      </c>
      <c r="AG295" s="80" t="s">
        <v>1863</v>
      </c>
      <c r="AH295" s="80" t="s">
        <v>2204</v>
      </c>
      <c r="AI295" s="80">
        <v>46240</v>
      </c>
      <c r="AJ295" s="80">
        <v>0</v>
      </c>
      <c r="AK295" s="80">
        <v>555</v>
      </c>
      <c r="AL295" s="80">
        <v>23</v>
      </c>
      <c r="AM295" s="80" t="s">
        <v>2317</v>
      </c>
      <c r="AN295" s="98" t="str">
        <f>HYPERLINK("https://www.youtube.com/watch?v=xDDFV7Sovvs")</f>
        <v>https://www.youtube.com/watch?v=xDDFV7Sovvs</v>
      </c>
      <c r="AO295" s="80" t="str">
        <f>REPLACE(INDEX(GroupVertices[Group],MATCH(Vertices[[#This Row],[Vertex]],GroupVertices[Vertex],0)),1,1,"")</f>
        <v>3</v>
      </c>
      <c r="AP295" s="49">
        <v>0</v>
      </c>
      <c r="AQ295" s="50">
        <v>0</v>
      </c>
      <c r="AR295" s="49">
        <v>0</v>
      </c>
      <c r="AS295" s="50">
        <v>0</v>
      </c>
      <c r="AT295" s="49">
        <v>0</v>
      </c>
      <c r="AU295" s="50">
        <v>0</v>
      </c>
      <c r="AV295" s="49">
        <v>1</v>
      </c>
      <c r="AW295" s="50">
        <v>100</v>
      </c>
      <c r="AX295" s="49">
        <v>1</v>
      </c>
      <c r="AY295" s="49"/>
      <c r="AZ295" s="49"/>
      <c r="BA295" s="49"/>
      <c r="BB295" s="49"/>
      <c r="BC295" s="2"/>
      <c r="BD295" s="3"/>
      <c r="BE295" s="3"/>
      <c r="BF295" s="3"/>
      <c r="BG295" s="3"/>
    </row>
    <row r="296" spans="1:59" ht="15">
      <c r="A296" s="65" t="s">
        <v>502</v>
      </c>
      <c r="B296" s="66" t="s">
        <v>3536</v>
      </c>
      <c r="C296" s="66"/>
      <c r="D296" s="67">
        <v>212.5</v>
      </c>
      <c r="E296" s="69">
        <v>50</v>
      </c>
      <c r="F296" s="96" t="str">
        <f>HYPERLINK("https://i.ytimg.com/vi/ifhd_qXHPu0/default.jpg")</f>
        <v>https://i.ytimg.com/vi/ifhd_qXHPu0/default.jpg</v>
      </c>
      <c r="G296" s="66"/>
      <c r="H296" s="70" t="s">
        <v>912</v>
      </c>
      <c r="I296" s="71"/>
      <c r="J296" s="71" t="s">
        <v>159</v>
      </c>
      <c r="K296" s="70" t="s">
        <v>912</v>
      </c>
      <c r="L296" s="74">
        <v>1.004351593003618</v>
      </c>
      <c r="M296" s="75">
        <v>3599.564208984375</v>
      </c>
      <c r="N296" s="75">
        <v>8897.6123046875</v>
      </c>
      <c r="O296" s="76"/>
      <c r="P296" s="77"/>
      <c r="Q296" s="77"/>
      <c r="R296" s="82"/>
      <c r="S296" s="49">
        <v>1</v>
      </c>
      <c r="T296" s="49">
        <v>0</v>
      </c>
      <c r="U296" s="50">
        <v>0</v>
      </c>
      <c r="V296" s="50">
        <v>0.000728</v>
      </c>
      <c r="W296" s="50">
        <v>0.000215</v>
      </c>
      <c r="X296" s="50">
        <v>0.466523</v>
      </c>
      <c r="Y296" s="50">
        <v>0</v>
      </c>
      <c r="Z296" s="50">
        <v>0</v>
      </c>
      <c r="AA296" s="72">
        <v>293</v>
      </c>
      <c r="AB296" s="72"/>
      <c r="AC296" s="73"/>
      <c r="AD296" s="80" t="s">
        <v>912</v>
      </c>
      <c r="AE296" s="80" t="s">
        <v>1286</v>
      </c>
      <c r="AF296" s="80" t="s">
        <v>1589</v>
      </c>
      <c r="AG296" s="80" t="s">
        <v>1851</v>
      </c>
      <c r="AH296" s="80" t="s">
        <v>2205</v>
      </c>
      <c r="AI296" s="80">
        <v>110</v>
      </c>
      <c r="AJ296" s="80">
        <v>0</v>
      </c>
      <c r="AK296" s="80">
        <v>2</v>
      </c>
      <c r="AL296" s="80">
        <v>0</v>
      </c>
      <c r="AM296" s="80" t="s">
        <v>2317</v>
      </c>
      <c r="AN296" s="98" t="str">
        <f>HYPERLINK("https://www.youtube.com/watch?v=ifhd_qXHPu0")</f>
        <v>https://www.youtube.com/watch?v=ifhd_qXHPu0</v>
      </c>
      <c r="AO296" s="80" t="str">
        <f>REPLACE(INDEX(GroupVertices[Group],MATCH(Vertices[[#This Row],[Vertex]],GroupVertices[Vertex],0)),1,1,"")</f>
        <v>3</v>
      </c>
      <c r="AP296" s="49">
        <v>0</v>
      </c>
      <c r="AQ296" s="50">
        <v>0</v>
      </c>
      <c r="AR296" s="49">
        <v>0</v>
      </c>
      <c r="AS296" s="50">
        <v>0</v>
      </c>
      <c r="AT296" s="49">
        <v>0</v>
      </c>
      <c r="AU296" s="50">
        <v>0</v>
      </c>
      <c r="AV296" s="49">
        <v>8</v>
      </c>
      <c r="AW296" s="50">
        <v>100</v>
      </c>
      <c r="AX296" s="49">
        <v>8</v>
      </c>
      <c r="AY296" s="49"/>
      <c r="AZ296" s="49"/>
      <c r="BA296" s="49"/>
      <c r="BB296" s="49"/>
      <c r="BC296" s="2"/>
      <c r="BD296" s="3"/>
      <c r="BE296" s="3"/>
      <c r="BF296" s="3"/>
      <c r="BG296" s="3"/>
    </row>
    <row r="297" spans="1:59" ht="15">
      <c r="A297" s="65" t="s">
        <v>503</v>
      </c>
      <c r="B297" s="66" t="s">
        <v>3536</v>
      </c>
      <c r="C297" s="66"/>
      <c r="D297" s="67">
        <v>212.5</v>
      </c>
      <c r="E297" s="69">
        <v>50</v>
      </c>
      <c r="F297" s="96" t="str">
        <f>HYPERLINK("https://i.ytimg.com/vi/mBPJp7H4bo8/default.jpg")</f>
        <v>https://i.ytimg.com/vi/mBPJp7H4bo8/default.jpg</v>
      </c>
      <c r="G297" s="66"/>
      <c r="H297" s="70" t="s">
        <v>913</v>
      </c>
      <c r="I297" s="71"/>
      <c r="J297" s="71" t="s">
        <v>159</v>
      </c>
      <c r="K297" s="70" t="s">
        <v>913</v>
      </c>
      <c r="L297" s="74">
        <v>20.893329393782334</v>
      </c>
      <c r="M297" s="75">
        <v>4321.37646484375</v>
      </c>
      <c r="N297" s="75">
        <v>5914.9560546875</v>
      </c>
      <c r="O297" s="76"/>
      <c r="P297" s="77"/>
      <c r="Q297" s="77"/>
      <c r="R297" s="82"/>
      <c r="S297" s="49">
        <v>1</v>
      </c>
      <c r="T297" s="49">
        <v>0</v>
      </c>
      <c r="U297" s="50">
        <v>0</v>
      </c>
      <c r="V297" s="50">
        <v>0.000728</v>
      </c>
      <c r="W297" s="50">
        <v>0.000215</v>
      </c>
      <c r="X297" s="50">
        <v>0.466523</v>
      </c>
      <c r="Y297" s="50">
        <v>0</v>
      </c>
      <c r="Z297" s="50">
        <v>0</v>
      </c>
      <c r="AA297" s="72">
        <v>294</v>
      </c>
      <c r="AB297" s="72"/>
      <c r="AC297" s="73"/>
      <c r="AD297" s="80" t="s">
        <v>913</v>
      </c>
      <c r="AE297" s="80" t="s">
        <v>1287</v>
      </c>
      <c r="AF297" s="80" t="s">
        <v>1605</v>
      </c>
      <c r="AG297" s="80" t="s">
        <v>1864</v>
      </c>
      <c r="AH297" s="80" t="s">
        <v>2206</v>
      </c>
      <c r="AI297" s="80">
        <v>452590</v>
      </c>
      <c r="AJ297" s="80">
        <v>0</v>
      </c>
      <c r="AK297" s="80">
        <v>2599</v>
      </c>
      <c r="AL297" s="80">
        <v>206</v>
      </c>
      <c r="AM297" s="80" t="s">
        <v>2317</v>
      </c>
      <c r="AN297" s="98" t="str">
        <f>HYPERLINK("https://www.youtube.com/watch?v=mBPJp7H4bo8")</f>
        <v>https://www.youtube.com/watch?v=mBPJp7H4bo8</v>
      </c>
      <c r="AO297" s="80" t="str">
        <f>REPLACE(INDEX(GroupVertices[Group],MATCH(Vertices[[#This Row],[Vertex]],GroupVertices[Vertex],0)),1,1,"")</f>
        <v>3</v>
      </c>
      <c r="AP297" s="49">
        <v>0</v>
      </c>
      <c r="AQ297" s="50">
        <v>0</v>
      </c>
      <c r="AR297" s="49">
        <v>1</v>
      </c>
      <c r="AS297" s="50">
        <v>4</v>
      </c>
      <c r="AT297" s="49">
        <v>0</v>
      </c>
      <c r="AU297" s="50">
        <v>0</v>
      </c>
      <c r="AV297" s="49">
        <v>24</v>
      </c>
      <c r="AW297" s="50">
        <v>96</v>
      </c>
      <c r="AX297" s="49">
        <v>25</v>
      </c>
      <c r="AY297" s="49"/>
      <c r="AZ297" s="49"/>
      <c r="BA297" s="49"/>
      <c r="BB297" s="49"/>
      <c r="BC297" s="2"/>
      <c r="BD297" s="3"/>
      <c r="BE297" s="3"/>
      <c r="BF297" s="3"/>
      <c r="BG297" s="3"/>
    </row>
    <row r="298" spans="1:59" ht="15">
      <c r="A298" s="65" t="s">
        <v>504</v>
      </c>
      <c r="B298" s="66" t="s">
        <v>3536</v>
      </c>
      <c r="C298" s="66"/>
      <c r="D298" s="67">
        <v>212.5</v>
      </c>
      <c r="E298" s="69">
        <v>50</v>
      </c>
      <c r="F298" s="96" t="str">
        <f>HYPERLINK("https://i.ytimg.com/vi/JK8kbsPk32U/default.jpg")</f>
        <v>https://i.ytimg.com/vi/JK8kbsPk32U/default.jpg</v>
      </c>
      <c r="G298" s="66"/>
      <c r="H298" s="70" t="s">
        <v>914</v>
      </c>
      <c r="I298" s="71"/>
      <c r="J298" s="71" t="s">
        <v>159</v>
      </c>
      <c r="K298" s="70" t="s">
        <v>914</v>
      </c>
      <c r="L298" s="74">
        <v>1.0076922098548804</v>
      </c>
      <c r="M298" s="75">
        <v>5043.1884765625</v>
      </c>
      <c r="N298" s="75">
        <v>8897.6123046875</v>
      </c>
      <c r="O298" s="76"/>
      <c r="P298" s="77"/>
      <c r="Q298" s="77"/>
      <c r="R298" s="82"/>
      <c r="S298" s="49">
        <v>1</v>
      </c>
      <c r="T298" s="49">
        <v>0</v>
      </c>
      <c r="U298" s="50">
        <v>0</v>
      </c>
      <c r="V298" s="50">
        <v>0.000728</v>
      </c>
      <c r="W298" s="50">
        <v>0.000215</v>
      </c>
      <c r="X298" s="50">
        <v>0.466523</v>
      </c>
      <c r="Y298" s="50">
        <v>0</v>
      </c>
      <c r="Z298" s="50">
        <v>0</v>
      </c>
      <c r="AA298" s="72">
        <v>295</v>
      </c>
      <c r="AB298" s="72"/>
      <c r="AC298" s="73"/>
      <c r="AD298" s="80" t="s">
        <v>914</v>
      </c>
      <c r="AE298" s="80" t="s">
        <v>1288</v>
      </c>
      <c r="AF298" s="80" t="s">
        <v>1606</v>
      </c>
      <c r="AG298" s="80" t="s">
        <v>1851</v>
      </c>
      <c r="AH298" s="80" t="s">
        <v>2207</v>
      </c>
      <c r="AI298" s="80">
        <v>186</v>
      </c>
      <c r="AJ298" s="80">
        <v>0</v>
      </c>
      <c r="AK298" s="80">
        <v>1</v>
      </c>
      <c r="AL298" s="80">
        <v>0</v>
      </c>
      <c r="AM298" s="80" t="s">
        <v>2317</v>
      </c>
      <c r="AN298" s="98" t="str">
        <f>HYPERLINK("https://www.youtube.com/watch?v=JK8kbsPk32U")</f>
        <v>https://www.youtube.com/watch?v=JK8kbsPk32U</v>
      </c>
      <c r="AO298" s="80" t="str">
        <f>REPLACE(INDEX(GroupVertices[Group],MATCH(Vertices[[#This Row],[Vertex]],GroupVertices[Vertex],0)),1,1,"")</f>
        <v>3</v>
      </c>
      <c r="AP298" s="49">
        <v>2</v>
      </c>
      <c r="AQ298" s="50">
        <v>6.896551724137931</v>
      </c>
      <c r="AR298" s="49">
        <v>0</v>
      </c>
      <c r="AS298" s="50">
        <v>0</v>
      </c>
      <c r="AT298" s="49">
        <v>0</v>
      </c>
      <c r="AU298" s="50">
        <v>0</v>
      </c>
      <c r="AV298" s="49">
        <v>27</v>
      </c>
      <c r="AW298" s="50">
        <v>93.10344827586206</v>
      </c>
      <c r="AX298" s="49">
        <v>29</v>
      </c>
      <c r="AY298" s="49"/>
      <c r="AZ298" s="49"/>
      <c r="BA298" s="49"/>
      <c r="BB298" s="49"/>
      <c r="BC298" s="2"/>
      <c r="BD298" s="3"/>
      <c r="BE298" s="3"/>
      <c r="BF298" s="3"/>
      <c r="BG298" s="3"/>
    </row>
    <row r="299" spans="1:59" ht="15">
      <c r="A299" s="65" t="s">
        <v>505</v>
      </c>
      <c r="B299" s="66" t="s">
        <v>3536</v>
      </c>
      <c r="C299" s="66"/>
      <c r="D299" s="67">
        <v>212.5</v>
      </c>
      <c r="E299" s="69">
        <v>50</v>
      </c>
      <c r="F299" s="96" t="str">
        <f>HYPERLINK("https://i.ytimg.com/vi/NH-cgmesFa0/default.jpg")</f>
        <v>https://i.ytimg.com/vi/NH-cgmesFa0/default.jpg</v>
      </c>
      <c r="G299" s="66"/>
      <c r="H299" s="70" t="s">
        <v>915</v>
      </c>
      <c r="I299" s="71"/>
      <c r="J299" s="71" t="s">
        <v>159</v>
      </c>
      <c r="K299" s="70" t="s">
        <v>915</v>
      </c>
      <c r="L299" s="74">
        <v>1.521839516555085</v>
      </c>
      <c r="M299" s="75">
        <v>4682.28271484375</v>
      </c>
      <c r="N299" s="75">
        <v>7704.5498046875</v>
      </c>
      <c r="O299" s="76"/>
      <c r="P299" s="77"/>
      <c r="Q299" s="77"/>
      <c r="R299" s="82"/>
      <c r="S299" s="49">
        <v>1</v>
      </c>
      <c r="T299" s="49">
        <v>0</v>
      </c>
      <c r="U299" s="50">
        <v>0</v>
      </c>
      <c r="V299" s="50">
        <v>0.000728</v>
      </c>
      <c r="W299" s="50">
        <v>0.000215</v>
      </c>
      <c r="X299" s="50">
        <v>0.466523</v>
      </c>
      <c r="Y299" s="50">
        <v>0</v>
      </c>
      <c r="Z299" s="50">
        <v>0</v>
      </c>
      <c r="AA299" s="72">
        <v>296</v>
      </c>
      <c r="AB299" s="72"/>
      <c r="AC299" s="73"/>
      <c r="AD299" s="80" t="s">
        <v>915</v>
      </c>
      <c r="AE299" s="80" t="s">
        <v>1289</v>
      </c>
      <c r="AF299" s="80" t="s">
        <v>1607</v>
      </c>
      <c r="AG299" s="80" t="s">
        <v>1865</v>
      </c>
      <c r="AH299" s="80" t="s">
        <v>2208</v>
      </c>
      <c r="AI299" s="80">
        <v>11883</v>
      </c>
      <c r="AJ299" s="80">
        <v>10</v>
      </c>
      <c r="AK299" s="80">
        <v>84</v>
      </c>
      <c r="AL299" s="80">
        <v>12</v>
      </c>
      <c r="AM299" s="80" t="s">
        <v>2317</v>
      </c>
      <c r="AN299" s="98" t="str">
        <f>HYPERLINK("https://www.youtube.com/watch?v=NH-cgmesFa0")</f>
        <v>https://www.youtube.com/watch?v=NH-cgmesFa0</v>
      </c>
      <c r="AO299" s="80" t="str">
        <f>REPLACE(INDEX(GroupVertices[Group],MATCH(Vertices[[#This Row],[Vertex]],GroupVertices[Vertex],0)),1,1,"")</f>
        <v>3</v>
      </c>
      <c r="AP299" s="49">
        <v>0</v>
      </c>
      <c r="AQ299" s="50">
        <v>0</v>
      </c>
      <c r="AR299" s="49">
        <v>0</v>
      </c>
      <c r="AS299" s="50">
        <v>0</v>
      </c>
      <c r="AT299" s="49">
        <v>0</v>
      </c>
      <c r="AU299" s="50">
        <v>0</v>
      </c>
      <c r="AV299" s="49">
        <v>9</v>
      </c>
      <c r="AW299" s="50">
        <v>100</v>
      </c>
      <c r="AX299" s="49">
        <v>9</v>
      </c>
      <c r="AY299" s="49"/>
      <c r="AZ299" s="49"/>
      <c r="BA299" s="49"/>
      <c r="BB299" s="49"/>
      <c r="BC299" s="2"/>
      <c r="BD299" s="3"/>
      <c r="BE299" s="3"/>
      <c r="BF299" s="3"/>
      <c r="BG299" s="3"/>
    </row>
    <row r="300" spans="1:59" ht="15">
      <c r="A300" s="65" t="s">
        <v>506</v>
      </c>
      <c r="B300" s="66" t="s">
        <v>3536</v>
      </c>
      <c r="C300" s="66"/>
      <c r="D300" s="67">
        <v>212.5</v>
      </c>
      <c r="E300" s="69">
        <v>50</v>
      </c>
      <c r="F300" s="96" t="str">
        <f>HYPERLINK("https://i.ytimg.com/vi/qaznR55U-mg/default.jpg")</f>
        <v>https://i.ytimg.com/vi/qaznR55U-mg/default.jpg</v>
      </c>
      <c r="G300" s="66"/>
      <c r="H300" s="70" t="s">
        <v>916</v>
      </c>
      <c r="I300" s="71"/>
      <c r="J300" s="71" t="s">
        <v>159</v>
      </c>
      <c r="K300" s="70" t="s">
        <v>916</v>
      </c>
      <c r="L300" s="74">
        <v>2.2698300028436535</v>
      </c>
      <c r="M300" s="75">
        <v>4321.37646484375</v>
      </c>
      <c r="N300" s="75">
        <v>7108.0185546875</v>
      </c>
      <c r="O300" s="76"/>
      <c r="P300" s="77"/>
      <c r="Q300" s="77"/>
      <c r="R300" s="82"/>
      <c r="S300" s="49">
        <v>1</v>
      </c>
      <c r="T300" s="49">
        <v>0</v>
      </c>
      <c r="U300" s="50">
        <v>0</v>
      </c>
      <c r="V300" s="50">
        <v>0.000728</v>
      </c>
      <c r="W300" s="50">
        <v>0.000215</v>
      </c>
      <c r="X300" s="50">
        <v>0.466523</v>
      </c>
      <c r="Y300" s="50">
        <v>0</v>
      </c>
      <c r="Z300" s="50">
        <v>0</v>
      </c>
      <c r="AA300" s="72">
        <v>297</v>
      </c>
      <c r="AB300" s="72"/>
      <c r="AC300" s="73"/>
      <c r="AD300" s="80" t="s">
        <v>916</v>
      </c>
      <c r="AE300" s="80" t="s">
        <v>1290</v>
      </c>
      <c r="AF300" s="80" t="s">
        <v>1608</v>
      </c>
      <c r="AG300" s="80" t="s">
        <v>1866</v>
      </c>
      <c r="AH300" s="80" t="s">
        <v>2209</v>
      </c>
      <c r="AI300" s="80">
        <v>28900</v>
      </c>
      <c r="AJ300" s="80">
        <v>6</v>
      </c>
      <c r="AK300" s="80">
        <v>78</v>
      </c>
      <c r="AL300" s="80">
        <v>9</v>
      </c>
      <c r="AM300" s="80" t="s">
        <v>2317</v>
      </c>
      <c r="AN300" s="98" t="str">
        <f>HYPERLINK("https://www.youtube.com/watch?v=qaznR55U-mg")</f>
        <v>https://www.youtube.com/watch?v=qaznR55U-mg</v>
      </c>
      <c r="AO300" s="80" t="str">
        <f>REPLACE(INDEX(GroupVertices[Group],MATCH(Vertices[[#This Row],[Vertex]],GroupVertices[Vertex],0)),1,1,"")</f>
        <v>3</v>
      </c>
      <c r="AP300" s="49">
        <v>0</v>
      </c>
      <c r="AQ300" s="50">
        <v>0</v>
      </c>
      <c r="AR300" s="49">
        <v>4</v>
      </c>
      <c r="AS300" s="50">
        <v>40</v>
      </c>
      <c r="AT300" s="49">
        <v>0</v>
      </c>
      <c r="AU300" s="50">
        <v>0</v>
      </c>
      <c r="AV300" s="49">
        <v>6</v>
      </c>
      <c r="AW300" s="50">
        <v>60</v>
      </c>
      <c r="AX300" s="49">
        <v>10</v>
      </c>
      <c r="AY300" s="49"/>
      <c r="AZ300" s="49"/>
      <c r="BA300" s="49"/>
      <c r="BB300" s="49"/>
      <c r="BC300" s="2"/>
      <c r="BD300" s="3"/>
      <c r="BE300" s="3"/>
      <c r="BF300" s="3"/>
      <c r="BG300" s="3"/>
    </row>
    <row r="301" spans="1:59" ht="15">
      <c r="A301" s="65" t="s">
        <v>507</v>
      </c>
      <c r="B301" s="66" t="s">
        <v>3536</v>
      </c>
      <c r="C301" s="66"/>
      <c r="D301" s="67">
        <v>212.5</v>
      </c>
      <c r="E301" s="69">
        <v>50</v>
      </c>
      <c r="F301" s="96" t="str">
        <f>HYPERLINK("https://i.ytimg.com/vi/tVYp9Dv5iGc/default.jpg")</f>
        <v>https://i.ytimg.com/vi/tVYp9Dv5iGc/default.jpg</v>
      </c>
      <c r="G301" s="66"/>
      <c r="H301" s="70" t="s">
        <v>917</v>
      </c>
      <c r="I301" s="71"/>
      <c r="J301" s="71" t="s">
        <v>159</v>
      </c>
      <c r="K301" s="70" t="s">
        <v>917</v>
      </c>
      <c r="L301" s="74">
        <v>1.0162195739225763</v>
      </c>
      <c r="M301" s="75">
        <v>3238.657958984375</v>
      </c>
      <c r="N301" s="75">
        <v>8301.0810546875</v>
      </c>
      <c r="O301" s="76"/>
      <c r="P301" s="77"/>
      <c r="Q301" s="77"/>
      <c r="R301" s="82"/>
      <c r="S301" s="49">
        <v>1</v>
      </c>
      <c r="T301" s="49">
        <v>0</v>
      </c>
      <c r="U301" s="50">
        <v>0</v>
      </c>
      <c r="V301" s="50">
        <v>0.000728</v>
      </c>
      <c r="W301" s="50">
        <v>0.000215</v>
      </c>
      <c r="X301" s="50">
        <v>0.466523</v>
      </c>
      <c r="Y301" s="50">
        <v>0</v>
      </c>
      <c r="Z301" s="50">
        <v>0</v>
      </c>
      <c r="AA301" s="72">
        <v>298</v>
      </c>
      <c r="AB301" s="72"/>
      <c r="AC301" s="73"/>
      <c r="AD301" s="80" t="s">
        <v>917</v>
      </c>
      <c r="AE301" s="80" t="s">
        <v>1291</v>
      </c>
      <c r="AF301" s="80" t="s">
        <v>1589</v>
      </c>
      <c r="AG301" s="80" t="s">
        <v>1851</v>
      </c>
      <c r="AH301" s="80" t="s">
        <v>2210</v>
      </c>
      <c r="AI301" s="80">
        <v>380</v>
      </c>
      <c r="AJ301" s="80">
        <v>0</v>
      </c>
      <c r="AK301" s="80">
        <v>5</v>
      </c>
      <c r="AL301" s="80">
        <v>0</v>
      </c>
      <c r="AM301" s="80" t="s">
        <v>2317</v>
      </c>
      <c r="AN301" s="98" t="str">
        <f>HYPERLINK("https://www.youtube.com/watch?v=tVYp9Dv5iGc")</f>
        <v>https://www.youtube.com/watch?v=tVYp9Dv5iGc</v>
      </c>
      <c r="AO301" s="80" t="str">
        <f>REPLACE(INDEX(GroupVertices[Group],MATCH(Vertices[[#This Row],[Vertex]],GroupVertices[Vertex],0)),1,1,"")</f>
        <v>3</v>
      </c>
      <c r="AP301" s="49">
        <v>0</v>
      </c>
      <c r="AQ301" s="50">
        <v>0</v>
      </c>
      <c r="AR301" s="49">
        <v>0</v>
      </c>
      <c r="AS301" s="50">
        <v>0</v>
      </c>
      <c r="AT301" s="49">
        <v>0</v>
      </c>
      <c r="AU301" s="50">
        <v>0</v>
      </c>
      <c r="AV301" s="49">
        <v>8</v>
      </c>
      <c r="AW301" s="50">
        <v>100</v>
      </c>
      <c r="AX301" s="49">
        <v>8</v>
      </c>
      <c r="AY301" s="49"/>
      <c r="AZ301" s="49"/>
      <c r="BA301" s="49"/>
      <c r="BB301" s="49"/>
      <c r="BC301" s="2"/>
      <c r="BD301" s="3"/>
      <c r="BE301" s="3"/>
      <c r="BF301" s="3"/>
      <c r="BG301" s="3"/>
    </row>
    <row r="302" spans="1:59" ht="15">
      <c r="A302" s="65" t="s">
        <v>508</v>
      </c>
      <c r="B302" s="66" t="s">
        <v>3536</v>
      </c>
      <c r="C302" s="66"/>
      <c r="D302" s="67">
        <v>212.5</v>
      </c>
      <c r="E302" s="69">
        <v>50</v>
      </c>
      <c r="F302" s="96" t="str">
        <f>HYPERLINK("https://i.ytimg.com/vi/ggNZmbljWio/default.jpg")</f>
        <v>https://i.ytimg.com/vi/ggNZmbljWio/default.jpg</v>
      </c>
      <c r="G302" s="66"/>
      <c r="H302" s="70" t="s">
        <v>918</v>
      </c>
      <c r="I302" s="71"/>
      <c r="J302" s="71" t="s">
        <v>159</v>
      </c>
      <c r="K302" s="70" t="s">
        <v>918</v>
      </c>
      <c r="L302" s="74">
        <v>1.520476896523649</v>
      </c>
      <c r="M302" s="75">
        <v>4321.37646484375</v>
      </c>
      <c r="N302" s="75">
        <v>7704.5498046875</v>
      </c>
      <c r="O302" s="76"/>
      <c r="P302" s="77"/>
      <c r="Q302" s="77"/>
      <c r="R302" s="82"/>
      <c r="S302" s="49">
        <v>1</v>
      </c>
      <c r="T302" s="49">
        <v>0</v>
      </c>
      <c r="U302" s="50">
        <v>0</v>
      </c>
      <c r="V302" s="50">
        <v>0.000728</v>
      </c>
      <c r="W302" s="50">
        <v>0.000215</v>
      </c>
      <c r="X302" s="50">
        <v>0.466523</v>
      </c>
      <c r="Y302" s="50">
        <v>0</v>
      </c>
      <c r="Z302" s="50">
        <v>0</v>
      </c>
      <c r="AA302" s="72">
        <v>299</v>
      </c>
      <c r="AB302" s="72"/>
      <c r="AC302" s="73"/>
      <c r="AD302" s="80" t="s">
        <v>918</v>
      </c>
      <c r="AE302" s="80"/>
      <c r="AF302" s="80" t="s">
        <v>1609</v>
      </c>
      <c r="AG302" s="80" t="s">
        <v>1867</v>
      </c>
      <c r="AH302" s="80" t="s">
        <v>2211</v>
      </c>
      <c r="AI302" s="80">
        <v>11852</v>
      </c>
      <c r="AJ302" s="80">
        <v>21</v>
      </c>
      <c r="AK302" s="80">
        <v>60</v>
      </c>
      <c r="AL302" s="80">
        <v>8</v>
      </c>
      <c r="AM302" s="80" t="s">
        <v>2317</v>
      </c>
      <c r="AN302" s="98" t="str">
        <f>HYPERLINK("https://www.youtube.com/watch?v=ggNZmbljWio")</f>
        <v>https://www.youtube.com/watch?v=ggNZmbljWio</v>
      </c>
      <c r="AO302" s="80" t="str">
        <f>REPLACE(INDEX(GroupVertices[Group],MATCH(Vertices[[#This Row],[Vertex]],GroupVertices[Vertex],0)),1,1,"")</f>
        <v>3</v>
      </c>
      <c r="AP302" s="49">
        <v>1</v>
      </c>
      <c r="AQ302" s="50">
        <v>5</v>
      </c>
      <c r="AR302" s="49">
        <v>0</v>
      </c>
      <c r="AS302" s="50">
        <v>0</v>
      </c>
      <c r="AT302" s="49">
        <v>0</v>
      </c>
      <c r="AU302" s="50">
        <v>0</v>
      </c>
      <c r="AV302" s="49">
        <v>19</v>
      </c>
      <c r="AW302" s="50">
        <v>95</v>
      </c>
      <c r="AX302" s="49">
        <v>20</v>
      </c>
      <c r="AY302" s="49"/>
      <c r="AZ302" s="49"/>
      <c r="BA302" s="49"/>
      <c r="BB302" s="49"/>
      <c r="BC302" s="2"/>
      <c r="BD302" s="3"/>
      <c r="BE302" s="3"/>
      <c r="BF302" s="3"/>
      <c r="BG302" s="3"/>
    </row>
    <row r="303" spans="1:59" ht="15">
      <c r="A303" s="65" t="s">
        <v>509</v>
      </c>
      <c r="B303" s="66" t="s">
        <v>3536</v>
      </c>
      <c r="C303" s="66"/>
      <c r="D303" s="67">
        <v>212.5</v>
      </c>
      <c r="E303" s="69">
        <v>50</v>
      </c>
      <c r="F303" s="96" t="str">
        <f>HYPERLINK("https://i.ytimg.com/vi/3Bous2-OQtc/default.jpg")</f>
        <v>https://i.ytimg.com/vi/3Bous2-OQtc/default.jpg</v>
      </c>
      <c r="G303" s="66"/>
      <c r="H303" s="70" t="s">
        <v>919</v>
      </c>
      <c r="I303" s="71"/>
      <c r="J303" s="71" t="s">
        <v>159</v>
      </c>
      <c r="K303" s="70" t="s">
        <v>919</v>
      </c>
      <c r="L303" s="74">
        <v>43.525612961720704</v>
      </c>
      <c r="M303" s="75">
        <v>5404.0947265625</v>
      </c>
      <c r="N303" s="75">
        <v>5914.9560546875</v>
      </c>
      <c r="O303" s="76"/>
      <c r="P303" s="77"/>
      <c r="Q303" s="77"/>
      <c r="R303" s="82"/>
      <c r="S303" s="49">
        <v>1</v>
      </c>
      <c r="T303" s="49">
        <v>0</v>
      </c>
      <c r="U303" s="50">
        <v>0</v>
      </c>
      <c r="V303" s="50">
        <v>0.000728</v>
      </c>
      <c r="W303" s="50">
        <v>0.000215</v>
      </c>
      <c r="X303" s="50">
        <v>0.466523</v>
      </c>
      <c r="Y303" s="50">
        <v>0</v>
      </c>
      <c r="Z303" s="50">
        <v>0</v>
      </c>
      <c r="AA303" s="72">
        <v>300</v>
      </c>
      <c r="AB303" s="72"/>
      <c r="AC303" s="73"/>
      <c r="AD303" s="80" t="s">
        <v>919</v>
      </c>
      <c r="AE303" s="80" t="s">
        <v>1292</v>
      </c>
      <c r="AF303" s="80" t="s">
        <v>1610</v>
      </c>
      <c r="AG303" s="80" t="s">
        <v>1864</v>
      </c>
      <c r="AH303" s="80" t="s">
        <v>2212</v>
      </c>
      <c r="AI303" s="80">
        <v>967481</v>
      </c>
      <c r="AJ303" s="80">
        <v>0</v>
      </c>
      <c r="AK303" s="80">
        <v>8011</v>
      </c>
      <c r="AL303" s="80">
        <v>659</v>
      </c>
      <c r="AM303" s="80" t="s">
        <v>2317</v>
      </c>
      <c r="AN303" s="98" t="str">
        <f>HYPERLINK("https://www.youtube.com/watch?v=3Bous2-OQtc")</f>
        <v>https://www.youtube.com/watch?v=3Bous2-OQtc</v>
      </c>
      <c r="AO303" s="80" t="str">
        <f>REPLACE(INDEX(GroupVertices[Group],MATCH(Vertices[[#This Row],[Vertex]],GroupVertices[Vertex],0)),1,1,"")</f>
        <v>3</v>
      </c>
      <c r="AP303" s="49">
        <v>0</v>
      </c>
      <c r="AQ303" s="50">
        <v>0</v>
      </c>
      <c r="AR303" s="49">
        <v>1</v>
      </c>
      <c r="AS303" s="50">
        <v>2.9411764705882355</v>
      </c>
      <c r="AT303" s="49">
        <v>0</v>
      </c>
      <c r="AU303" s="50">
        <v>0</v>
      </c>
      <c r="AV303" s="49">
        <v>33</v>
      </c>
      <c r="AW303" s="50">
        <v>97.05882352941177</v>
      </c>
      <c r="AX303" s="49">
        <v>34</v>
      </c>
      <c r="AY303" s="49"/>
      <c r="AZ303" s="49"/>
      <c r="BA303" s="49"/>
      <c r="BB303" s="49"/>
      <c r="BC303" s="2"/>
      <c r="BD303" s="3"/>
      <c r="BE303" s="3"/>
      <c r="BF303" s="3"/>
      <c r="BG303" s="3"/>
    </row>
    <row r="304" spans="1:59" ht="15">
      <c r="A304" s="65" t="s">
        <v>510</v>
      </c>
      <c r="B304" s="66" t="s">
        <v>3536</v>
      </c>
      <c r="C304" s="66"/>
      <c r="D304" s="67">
        <v>212.5</v>
      </c>
      <c r="E304" s="69">
        <v>50</v>
      </c>
      <c r="F304" s="96" t="str">
        <f>HYPERLINK("https://i.ytimg.com/vi/R-AP27BfRJs/default.jpg")</f>
        <v>https://i.ytimg.com/vi/R-AP27BfRJs/default.jpg</v>
      </c>
      <c r="G304" s="66"/>
      <c r="H304" s="70" t="s">
        <v>920</v>
      </c>
      <c r="I304" s="71"/>
      <c r="J304" s="71" t="s">
        <v>159</v>
      </c>
      <c r="K304" s="70" t="s">
        <v>920</v>
      </c>
      <c r="L304" s="74">
        <v>1.515993437065376</v>
      </c>
      <c r="M304" s="75">
        <v>3960.469970703125</v>
      </c>
      <c r="N304" s="75">
        <v>7704.5498046875</v>
      </c>
      <c r="O304" s="76"/>
      <c r="P304" s="77"/>
      <c r="Q304" s="77"/>
      <c r="R304" s="82"/>
      <c r="S304" s="49">
        <v>1</v>
      </c>
      <c r="T304" s="49">
        <v>0</v>
      </c>
      <c r="U304" s="50">
        <v>0</v>
      </c>
      <c r="V304" s="50">
        <v>0.000728</v>
      </c>
      <c r="W304" s="50">
        <v>0.000215</v>
      </c>
      <c r="X304" s="50">
        <v>0.466523</v>
      </c>
      <c r="Y304" s="50">
        <v>0</v>
      </c>
      <c r="Z304" s="50">
        <v>0</v>
      </c>
      <c r="AA304" s="72">
        <v>301</v>
      </c>
      <c r="AB304" s="72"/>
      <c r="AC304" s="73"/>
      <c r="AD304" s="80" t="s">
        <v>920</v>
      </c>
      <c r="AE304" s="80"/>
      <c r="AF304" s="80"/>
      <c r="AG304" s="80" t="s">
        <v>1868</v>
      </c>
      <c r="AH304" s="80" t="s">
        <v>2213</v>
      </c>
      <c r="AI304" s="80">
        <v>11750</v>
      </c>
      <c r="AJ304" s="80">
        <v>6</v>
      </c>
      <c r="AK304" s="80">
        <v>165</v>
      </c>
      <c r="AL304" s="80">
        <v>3</v>
      </c>
      <c r="AM304" s="80" t="s">
        <v>2317</v>
      </c>
      <c r="AN304" s="98" t="str">
        <f>HYPERLINK("https://www.youtube.com/watch?v=R-AP27BfRJs")</f>
        <v>https://www.youtube.com/watch?v=R-AP27BfRJs</v>
      </c>
      <c r="AO304" s="80" t="str">
        <f>REPLACE(INDEX(GroupVertices[Group],MATCH(Vertices[[#This Row],[Vertex]],GroupVertices[Vertex],0)),1,1,"")</f>
        <v>3</v>
      </c>
      <c r="AP304" s="49"/>
      <c r="AQ304" s="50"/>
      <c r="AR304" s="49"/>
      <c r="AS304" s="50"/>
      <c r="AT304" s="49"/>
      <c r="AU304" s="50"/>
      <c r="AV304" s="49"/>
      <c r="AW304" s="50"/>
      <c r="AX304" s="49"/>
      <c r="AY304" s="49"/>
      <c r="AZ304" s="49"/>
      <c r="BA304" s="49"/>
      <c r="BB304" s="49"/>
      <c r="BC304" s="2"/>
      <c r="BD304" s="3"/>
      <c r="BE304" s="3"/>
      <c r="BF304" s="3"/>
      <c r="BG304" s="3"/>
    </row>
    <row r="305" spans="1:59" ht="15">
      <c r="A305" s="65" t="s">
        <v>511</v>
      </c>
      <c r="B305" s="66" t="s">
        <v>3536</v>
      </c>
      <c r="C305" s="66"/>
      <c r="D305" s="67">
        <v>212.5</v>
      </c>
      <c r="E305" s="69">
        <v>50</v>
      </c>
      <c r="F305" s="96" t="str">
        <f>HYPERLINK("https://i.ytimg.com/vi/H00n3RqAuZQ/default.jpg")</f>
        <v>https://i.ytimg.com/vi/H00n3RqAuZQ/default.jpg</v>
      </c>
      <c r="G305" s="66"/>
      <c r="H305" s="70" t="s">
        <v>921</v>
      </c>
      <c r="I305" s="71"/>
      <c r="J305" s="71" t="s">
        <v>159</v>
      </c>
      <c r="K305" s="70" t="s">
        <v>921</v>
      </c>
      <c r="L305" s="74">
        <v>1.391555459355854</v>
      </c>
      <c r="M305" s="75">
        <v>5404.0947265625</v>
      </c>
      <c r="N305" s="75">
        <v>8301.0810546875</v>
      </c>
      <c r="O305" s="76"/>
      <c r="P305" s="77"/>
      <c r="Q305" s="77"/>
      <c r="R305" s="82"/>
      <c r="S305" s="49">
        <v>1</v>
      </c>
      <c r="T305" s="49">
        <v>0</v>
      </c>
      <c r="U305" s="50">
        <v>0</v>
      </c>
      <c r="V305" s="50">
        <v>0.000728</v>
      </c>
      <c r="W305" s="50">
        <v>0.000215</v>
      </c>
      <c r="X305" s="50">
        <v>0.466523</v>
      </c>
      <c r="Y305" s="50">
        <v>0</v>
      </c>
      <c r="Z305" s="50">
        <v>0</v>
      </c>
      <c r="AA305" s="72">
        <v>302</v>
      </c>
      <c r="AB305" s="72"/>
      <c r="AC305" s="73"/>
      <c r="AD305" s="80" t="s">
        <v>921</v>
      </c>
      <c r="AE305" s="80" t="s">
        <v>1293</v>
      </c>
      <c r="AF305" s="80" t="s">
        <v>1611</v>
      </c>
      <c r="AG305" s="80" t="s">
        <v>1869</v>
      </c>
      <c r="AH305" s="80" t="s">
        <v>2214</v>
      </c>
      <c r="AI305" s="80">
        <v>8919</v>
      </c>
      <c r="AJ305" s="80">
        <v>11</v>
      </c>
      <c r="AK305" s="80">
        <v>103</v>
      </c>
      <c r="AL305" s="80">
        <v>5</v>
      </c>
      <c r="AM305" s="80" t="s">
        <v>2317</v>
      </c>
      <c r="AN305" s="98" t="str">
        <f>HYPERLINK("https://www.youtube.com/watch?v=H00n3RqAuZQ")</f>
        <v>https://www.youtube.com/watch?v=H00n3RqAuZQ</v>
      </c>
      <c r="AO305" s="80" t="str">
        <f>REPLACE(INDEX(GroupVertices[Group],MATCH(Vertices[[#This Row],[Vertex]],GroupVertices[Vertex],0)),1,1,"")</f>
        <v>3</v>
      </c>
      <c r="AP305" s="49">
        <v>0</v>
      </c>
      <c r="AQ305" s="50">
        <v>0</v>
      </c>
      <c r="AR305" s="49">
        <v>0</v>
      </c>
      <c r="AS305" s="50">
        <v>0</v>
      </c>
      <c r="AT305" s="49">
        <v>0</v>
      </c>
      <c r="AU305" s="50">
        <v>0</v>
      </c>
      <c r="AV305" s="49">
        <v>11</v>
      </c>
      <c r="AW305" s="50">
        <v>100</v>
      </c>
      <c r="AX305" s="49">
        <v>11</v>
      </c>
      <c r="AY305" s="49"/>
      <c r="AZ305" s="49"/>
      <c r="BA305" s="49"/>
      <c r="BB305" s="49"/>
      <c r="BC305" s="2"/>
      <c r="BD305" s="3"/>
      <c r="BE305" s="3"/>
      <c r="BF305" s="3"/>
      <c r="BG305" s="3"/>
    </row>
    <row r="306" spans="1:59" ht="15">
      <c r="A306" s="65" t="s">
        <v>512</v>
      </c>
      <c r="B306" s="66" t="s">
        <v>3536</v>
      </c>
      <c r="C306" s="66"/>
      <c r="D306" s="67">
        <v>212.5</v>
      </c>
      <c r="E306" s="69">
        <v>50</v>
      </c>
      <c r="F306" s="96" t="str">
        <f>HYPERLINK("https://i.ytimg.com/vi/BGTsyYQq0xs/default.jpg")</f>
        <v>https://i.ytimg.com/vi/BGTsyYQq0xs/default.jpg</v>
      </c>
      <c r="G306" s="66"/>
      <c r="H306" s="70" t="s">
        <v>922</v>
      </c>
      <c r="I306" s="71"/>
      <c r="J306" s="71" t="s">
        <v>159</v>
      </c>
      <c r="K306" s="70" t="s">
        <v>922</v>
      </c>
      <c r="L306" s="74">
        <v>36.558624651958446</v>
      </c>
      <c r="M306" s="75">
        <v>4682.28271484375</v>
      </c>
      <c r="N306" s="75">
        <v>5914.9560546875</v>
      </c>
      <c r="O306" s="76"/>
      <c r="P306" s="77"/>
      <c r="Q306" s="77"/>
      <c r="R306" s="82"/>
      <c r="S306" s="49">
        <v>1</v>
      </c>
      <c r="T306" s="49">
        <v>0</v>
      </c>
      <c r="U306" s="50">
        <v>0</v>
      </c>
      <c r="V306" s="50">
        <v>0.000728</v>
      </c>
      <c r="W306" s="50">
        <v>0.000215</v>
      </c>
      <c r="X306" s="50">
        <v>0.466523</v>
      </c>
      <c r="Y306" s="50">
        <v>0</v>
      </c>
      <c r="Z306" s="50">
        <v>0</v>
      </c>
      <c r="AA306" s="72">
        <v>303</v>
      </c>
      <c r="AB306" s="72"/>
      <c r="AC306" s="73"/>
      <c r="AD306" s="80" t="s">
        <v>922</v>
      </c>
      <c r="AE306" s="80" t="s">
        <v>1294</v>
      </c>
      <c r="AF306" s="80" t="s">
        <v>1612</v>
      </c>
      <c r="AG306" s="80" t="s">
        <v>1870</v>
      </c>
      <c r="AH306" s="80" t="s">
        <v>2215</v>
      </c>
      <c r="AI306" s="80">
        <v>808980</v>
      </c>
      <c r="AJ306" s="80">
        <v>963</v>
      </c>
      <c r="AK306" s="80">
        <v>9688</v>
      </c>
      <c r="AL306" s="80">
        <v>482</v>
      </c>
      <c r="AM306" s="80" t="s">
        <v>2317</v>
      </c>
      <c r="AN306" s="98" t="str">
        <f>HYPERLINK("https://www.youtube.com/watch?v=BGTsyYQq0xs")</f>
        <v>https://www.youtube.com/watch?v=BGTsyYQq0xs</v>
      </c>
      <c r="AO306" s="80" t="str">
        <f>REPLACE(INDEX(GroupVertices[Group],MATCH(Vertices[[#This Row],[Vertex]],GroupVertices[Vertex],0)),1,1,"")</f>
        <v>3</v>
      </c>
      <c r="AP306" s="49">
        <v>3</v>
      </c>
      <c r="AQ306" s="50">
        <v>3.1578947368421053</v>
      </c>
      <c r="AR306" s="49">
        <v>13</v>
      </c>
      <c r="AS306" s="50">
        <v>13.68421052631579</v>
      </c>
      <c r="AT306" s="49">
        <v>0</v>
      </c>
      <c r="AU306" s="50">
        <v>0</v>
      </c>
      <c r="AV306" s="49">
        <v>79</v>
      </c>
      <c r="AW306" s="50">
        <v>83.15789473684211</v>
      </c>
      <c r="AX306" s="49">
        <v>95</v>
      </c>
      <c r="AY306" s="49"/>
      <c r="AZ306" s="49"/>
      <c r="BA306" s="49"/>
      <c r="BB306" s="49"/>
      <c r="BC306" s="2"/>
      <c r="BD306" s="3"/>
      <c r="BE306" s="3"/>
      <c r="BF306" s="3"/>
      <c r="BG306" s="3"/>
    </row>
    <row r="307" spans="1:59" ht="15">
      <c r="A307" s="65" t="s">
        <v>513</v>
      </c>
      <c r="B307" s="66" t="s">
        <v>3536</v>
      </c>
      <c r="C307" s="66"/>
      <c r="D307" s="67">
        <v>212.5</v>
      </c>
      <c r="E307" s="69">
        <v>50</v>
      </c>
      <c r="F307" s="96" t="str">
        <f>HYPERLINK("https://i.ytimg.com/vi/fNaAisFiPdU/default.jpg")</f>
        <v>https://i.ytimg.com/vi/fNaAisFiPdU/default.jpg</v>
      </c>
      <c r="G307" s="66"/>
      <c r="H307" s="70" t="s">
        <v>923</v>
      </c>
      <c r="I307" s="71"/>
      <c r="J307" s="71" t="s">
        <v>159</v>
      </c>
      <c r="K307" s="70" t="s">
        <v>923</v>
      </c>
      <c r="L307" s="74">
        <v>7.307612081001913</v>
      </c>
      <c r="M307" s="75">
        <v>5043.1884765625</v>
      </c>
      <c r="N307" s="75">
        <v>6511.4873046875</v>
      </c>
      <c r="O307" s="76"/>
      <c r="P307" s="77"/>
      <c r="Q307" s="77"/>
      <c r="R307" s="82"/>
      <c r="S307" s="49">
        <v>1</v>
      </c>
      <c r="T307" s="49">
        <v>0</v>
      </c>
      <c r="U307" s="50">
        <v>0</v>
      </c>
      <c r="V307" s="50">
        <v>0.000728</v>
      </c>
      <c r="W307" s="50">
        <v>0.000215</v>
      </c>
      <c r="X307" s="50">
        <v>0.466523</v>
      </c>
      <c r="Y307" s="50">
        <v>0</v>
      </c>
      <c r="Z307" s="50">
        <v>0</v>
      </c>
      <c r="AA307" s="72">
        <v>304</v>
      </c>
      <c r="AB307" s="72"/>
      <c r="AC307" s="73"/>
      <c r="AD307" s="80" t="s">
        <v>923</v>
      </c>
      <c r="AE307" s="80" t="s">
        <v>1295</v>
      </c>
      <c r="AF307" s="80" t="s">
        <v>1613</v>
      </c>
      <c r="AG307" s="80" t="s">
        <v>1865</v>
      </c>
      <c r="AH307" s="80" t="s">
        <v>2216</v>
      </c>
      <c r="AI307" s="80">
        <v>143511</v>
      </c>
      <c r="AJ307" s="80">
        <v>69</v>
      </c>
      <c r="AK307" s="80">
        <v>798</v>
      </c>
      <c r="AL307" s="80">
        <v>40</v>
      </c>
      <c r="AM307" s="80" t="s">
        <v>2317</v>
      </c>
      <c r="AN307" s="98" t="str">
        <f>HYPERLINK("https://www.youtube.com/watch?v=fNaAisFiPdU")</f>
        <v>https://www.youtube.com/watch?v=fNaAisFiPdU</v>
      </c>
      <c r="AO307" s="80" t="str">
        <f>REPLACE(INDEX(GroupVertices[Group],MATCH(Vertices[[#This Row],[Vertex]],GroupVertices[Vertex],0)),1,1,"")</f>
        <v>3</v>
      </c>
      <c r="AP307" s="49">
        <v>0</v>
      </c>
      <c r="AQ307" s="50">
        <v>0</v>
      </c>
      <c r="AR307" s="49">
        <v>0</v>
      </c>
      <c r="AS307" s="50">
        <v>0</v>
      </c>
      <c r="AT307" s="49">
        <v>0</v>
      </c>
      <c r="AU307" s="50">
        <v>0</v>
      </c>
      <c r="AV307" s="49">
        <v>3</v>
      </c>
      <c r="AW307" s="50">
        <v>100</v>
      </c>
      <c r="AX307" s="49">
        <v>3</v>
      </c>
      <c r="AY307" s="49"/>
      <c r="AZ307" s="49"/>
      <c r="BA307" s="49"/>
      <c r="BB307" s="49"/>
      <c r="BC307" s="2"/>
      <c r="BD307" s="3"/>
      <c r="BE307" s="3"/>
      <c r="BF307" s="3"/>
      <c r="BG307" s="3"/>
    </row>
    <row r="308" spans="1:59" ht="15">
      <c r="A308" s="65" t="s">
        <v>514</v>
      </c>
      <c r="B308" s="66" t="s">
        <v>3536</v>
      </c>
      <c r="C308" s="66"/>
      <c r="D308" s="67">
        <v>212.5</v>
      </c>
      <c r="E308" s="69">
        <v>50</v>
      </c>
      <c r="F308" s="96" t="str">
        <f>HYPERLINK("https://i.ytimg.com/vi/YciV60j-PXQ/default.jpg")</f>
        <v>https://i.ytimg.com/vi/YciV60j-PXQ/default.jpg</v>
      </c>
      <c r="G308" s="66"/>
      <c r="H308" s="70" t="s">
        <v>924</v>
      </c>
      <c r="I308" s="71"/>
      <c r="J308" s="71" t="s">
        <v>159</v>
      </c>
      <c r="K308" s="70" t="s">
        <v>924</v>
      </c>
      <c r="L308" s="74">
        <v>5.899102523345988</v>
      </c>
      <c r="M308" s="75">
        <v>4682.28271484375</v>
      </c>
      <c r="N308" s="75">
        <v>6511.4873046875</v>
      </c>
      <c r="O308" s="76"/>
      <c r="P308" s="77"/>
      <c r="Q308" s="77"/>
      <c r="R308" s="82"/>
      <c r="S308" s="49">
        <v>1</v>
      </c>
      <c r="T308" s="49">
        <v>0</v>
      </c>
      <c r="U308" s="50">
        <v>0</v>
      </c>
      <c r="V308" s="50">
        <v>0.000728</v>
      </c>
      <c r="W308" s="50">
        <v>0.000215</v>
      </c>
      <c r="X308" s="50">
        <v>0.466523</v>
      </c>
      <c r="Y308" s="50">
        <v>0</v>
      </c>
      <c r="Z308" s="50">
        <v>0</v>
      </c>
      <c r="AA308" s="72">
        <v>305</v>
      </c>
      <c r="AB308" s="72"/>
      <c r="AC308" s="73"/>
      <c r="AD308" s="80" t="s">
        <v>924</v>
      </c>
      <c r="AE308" s="80" t="s">
        <v>1296</v>
      </c>
      <c r="AF308" s="80"/>
      <c r="AG308" s="80" t="s">
        <v>1871</v>
      </c>
      <c r="AH308" s="80" t="s">
        <v>2217</v>
      </c>
      <c r="AI308" s="80">
        <v>111467</v>
      </c>
      <c r="AJ308" s="80">
        <v>128</v>
      </c>
      <c r="AK308" s="80">
        <v>1449</v>
      </c>
      <c r="AL308" s="80">
        <v>93</v>
      </c>
      <c r="AM308" s="80" t="s">
        <v>2317</v>
      </c>
      <c r="AN308" s="98" t="str">
        <f>HYPERLINK("https://www.youtube.com/watch?v=YciV60j-PXQ")</f>
        <v>https://www.youtube.com/watch?v=YciV60j-PXQ</v>
      </c>
      <c r="AO308" s="80" t="str">
        <f>REPLACE(INDEX(GroupVertices[Group],MATCH(Vertices[[#This Row],[Vertex]],GroupVertices[Vertex],0)),1,1,"")</f>
        <v>3</v>
      </c>
      <c r="AP308" s="49"/>
      <c r="AQ308" s="50"/>
      <c r="AR308" s="49"/>
      <c r="AS308" s="50"/>
      <c r="AT308" s="49"/>
      <c r="AU308" s="50"/>
      <c r="AV308" s="49"/>
      <c r="AW308" s="50"/>
      <c r="AX308" s="49"/>
      <c r="AY308" s="49"/>
      <c r="AZ308" s="49"/>
      <c r="BA308" s="49"/>
      <c r="BB308" s="49"/>
      <c r="BC308" s="2"/>
      <c r="BD308" s="3"/>
      <c r="BE308" s="3"/>
      <c r="BF308" s="3"/>
      <c r="BG308" s="3"/>
    </row>
    <row r="309" spans="1:59" ht="15">
      <c r="A309" s="65" t="s">
        <v>515</v>
      </c>
      <c r="B309" s="66" t="s">
        <v>3536</v>
      </c>
      <c r="C309" s="66"/>
      <c r="D309" s="67">
        <v>212.5</v>
      </c>
      <c r="E309" s="69">
        <v>50</v>
      </c>
      <c r="F309" s="96" t="str">
        <f>HYPERLINK("https://i.ytimg.com/vi/iUH01HObtsE/default.jpg")</f>
        <v>https://i.ytimg.com/vi/iUH01HObtsE/default.jpg</v>
      </c>
      <c r="G309" s="66"/>
      <c r="H309" s="70" t="s">
        <v>925</v>
      </c>
      <c r="I309" s="71"/>
      <c r="J309" s="71" t="s">
        <v>159</v>
      </c>
      <c r="K309" s="70" t="s">
        <v>925</v>
      </c>
      <c r="L309" s="74">
        <v>1.723155637328526</v>
      </c>
      <c r="M309" s="75">
        <v>3238.657958984375</v>
      </c>
      <c r="N309" s="75">
        <v>7108.0185546875</v>
      </c>
      <c r="O309" s="76"/>
      <c r="P309" s="77"/>
      <c r="Q309" s="77"/>
      <c r="R309" s="82"/>
      <c r="S309" s="49">
        <v>1</v>
      </c>
      <c r="T309" s="49">
        <v>0</v>
      </c>
      <c r="U309" s="50">
        <v>0</v>
      </c>
      <c r="V309" s="50">
        <v>0.000728</v>
      </c>
      <c r="W309" s="50">
        <v>0.000215</v>
      </c>
      <c r="X309" s="50">
        <v>0.466523</v>
      </c>
      <c r="Y309" s="50">
        <v>0</v>
      </c>
      <c r="Z309" s="50">
        <v>0</v>
      </c>
      <c r="AA309" s="72">
        <v>306</v>
      </c>
      <c r="AB309" s="72"/>
      <c r="AC309" s="73"/>
      <c r="AD309" s="80" t="s">
        <v>925</v>
      </c>
      <c r="AE309" s="80" t="s">
        <v>1297</v>
      </c>
      <c r="AF309" s="80" t="s">
        <v>1614</v>
      </c>
      <c r="AG309" s="80" t="s">
        <v>1872</v>
      </c>
      <c r="AH309" s="80" t="s">
        <v>2218</v>
      </c>
      <c r="AI309" s="80">
        <v>16463</v>
      </c>
      <c r="AJ309" s="80">
        <v>9</v>
      </c>
      <c r="AK309" s="80">
        <v>100</v>
      </c>
      <c r="AL309" s="80">
        <v>7</v>
      </c>
      <c r="AM309" s="80" t="s">
        <v>2317</v>
      </c>
      <c r="AN309" s="98" t="str">
        <f>HYPERLINK("https://www.youtube.com/watch?v=iUH01HObtsE")</f>
        <v>https://www.youtube.com/watch?v=iUH01HObtsE</v>
      </c>
      <c r="AO309" s="80" t="str">
        <f>REPLACE(INDEX(GroupVertices[Group],MATCH(Vertices[[#This Row],[Vertex]],GroupVertices[Vertex],0)),1,1,"")</f>
        <v>3</v>
      </c>
      <c r="AP309" s="49">
        <v>1</v>
      </c>
      <c r="AQ309" s="50">
        <v>3.8461538461538463</v>
      </c>
      <c r="AR309" s="49">
        <v>1</v>
      </c>
      <c r="AS309" s="50">
        <v>3.8461538461538463</v>
      </c>
      <c r="AT309" s="49">
        <v>0</v>
      </c>
      <c r="AU309" s="50">
        <v>0</v>
      </c>
      <c r="AV309" s="49">
        <v>24</v>
      </c>
      <c r="AW309" s="50">
        <v>92.3076923076923</v>
      </c>
      <c r="AX309" s="49">
        <v>26</v>
      </c>
      <c r="AY309" s="49"/>
      <c r="AZ309" s="49"/>
      <c r="BA309" s="49"/>
      <c r="BB309" s="49"/>
      <c r="BC309" s="2"/>
      <c r="BD309" s="3"/>
      <c r="BE309" s="3"/>
      <c r="BF309" s="3"/>
      <c r="BG309" s="3"/>
    </row>
    <row r="310" spans="1:59" ht="15">
      <c r="A310" s="65" t="s">
        <v>516</v>
      </c>
      <c r="B310" s="66" t="s">
        <v>3536</v>
      </c>
      <c r="C310" s="66"/>
      <c r="D310" s="67">
        <v>212.5</v>
      </c>
      <c r="E310" s="69">
        <v>50</v>
      </c>
      <c r="F310" s="96" t="str">
        <f>HYPERLINK("https://i.ytimg.com/vi/HtTGz65uvNw/default.jpg")</f>
        <v>https://i.ytimg.com/vi/HtTGz65uvNw/default.jpg</v>
      </c>
      <c r="G310" s="66"/>
      <c r="H310" s="70" t="s">
        <v>926</v>
      </c>
      <c r="I310" s="71"/>
      <c r="J310" s="71" t="s">
        <v>159</v>
      </c>
      <c r="K310" s="70" t="s">
        <v>926</v>
      </c>
      <c r="L310" s="74">
        <v>15.6857472775132</v>
      </c>
      <c r="M310" s="75">
        <v>3599.564208984375</v>
      </c>
      <c r="N310" s="75">
        <v>5914.9560546875</v>
      </c>
      <c r="O310" s="76"/>
      <c r="P310" s="77"/>
      <c r="Q310" s="77"/>
      <c r="R310" s="82"/>
      <c r="S310" s="49">
        <v>1</v>
      </c>
      <c r="T310" s="49">
        <v>0</v>
      </c>
      <c r="U310" s="50">
        <v>0</v>
      </c>
      <c r="V310" s="50">
        <v>0.000728</v>
      </c>
      <c r="W310" s="50">
        <v>0.000215</v>
      </c>
      <c r="X310" s="50">
        <v>0.466523</v>
      </c>
      <c r="Y310" s="50">
        <v>0</v>
      </c>
      <c r="Z310" s="50">
        <v>0</v>
      </c>
      <c r="AA310" s="72">
        <v>307</v>
      </c>
      <c r="AB310" s="72"/>
      <c r="AC310" s="73"/>
      <c r="AD310" s="80" t="s">
        <v>926</v>
      </c>
      <c r="AE310" s="80" t="s">
        <v>1298</v>
      </c>
      <c r="AF310" s="80" t="s">
        <v>1615</v>
      </c>
      <c r="AG310" s="80" t="s">
        <v>1873</v>
      </c>
      <c r="AH310" s="80" t="s">
        <v>2219</v>
      </c>
      <c r="AI310" s="80">
        <v>334116</v>
      </c>
      <c r="AJ310" s="80">
        <v>341</v>
      </c>
      <c r="AK310" s="80">
        <v>7245</v>
      </c>
      <c r="AL310" s="80">
        <v>51</v>
      </c>
      <c r="AM310" s="80" t="s">
        <v>2317</v>
      </c>
      <c r="AN310" s="98" t="str">
        <f>HYPERLINK("https://www.youtube.com/watch?v=HtTGz65uvNw")</f>
        <v>https://www.youtube.com/watch?v=HtTGz65uvNw</v>
      </c>
      <c r="AO310" s="80" t="str">
        <f>REPLACE(INDEX(GroupVertices[Group],MATCH(Vertices[[#This Row],[Vertex]],GroupVertices[Vertex],0)),1,1,"")</f>
        <v>3</v>
      </c>
      <c r="AP310" s="49">
        <v>0</v>
      </c>
      <c r="AQ310" s="50">
        <v>0</v>
      </c>
      <c r="AR310" s="49">
        <v>1</v>
      </c>
      <c r="AS310" s="50">
        <v>4.761904761904762</v>
      </c>
      <c r="AT310" s="49">
        <v>0</v>
      </c>
      <c r="AU310" s="50">
        <v>0</v>
      </c>
      <c r="AV310" s="49">
        <v>20</v>
      </c>
      <c r="AW310" s="50">
        <v>95.23809523809524</v>
      </c>
      <c r="AX310" s="49">
        <v>21</v>
      </c>
      <c r="AY310" s="49"/>
      <c r="AZ310" s="49"/>
      <c r="BA310" s="49"/>
      <c r="BB310" s="49"/>
      <c r="BC310" s="2"/>
      <c r="BD310" s="3"/>
      <c r="BE310" s="3"/>
      <c r="BF310" s="3"/>
      <c r="BG310" s="3"/>
    </row>
    <row r="311" spans="1:59" ht="15">
      <c r="A311" s="65" t="s">
        <v>517</v>
      </c>
      <c r="B311" s="66" t="s">
        <v>3536</v>
      </c>
      <c r="C311" s="66"/>
      <c r="D311" s="67">
        <v>212.5</v>
      </c>
      <c r="E311" s="69">
        <v>50</v>
      </c>
      <c r="F311" s="96" t="str">
        <f>HYPERLINK("https://i.ytimg.com/vi/lGzyZyQoN8Y/default.jpg")</f>
        <v>https://i.ytimg.com/vi/lGzyZyQoN8Y/default.jpg</v>
      </c>
      <c r="G311" s="66"/>
      <c r="H311" s="70" t="s">
        <v>927</v>
      </c>
      <c r="I311" s="71"/>
      <c r="J311" s="71" t="s">
        <v>159</v>
      </c>
      <c r="K311" s="70" t="s">
        <v>927</v>
      </c>
      <c r="L311" s="74">
        <v>1.7843416722884888</v>
      </c>
      <c r="M311" s="75">
        <v>3599.564208984375</v>
      </c>
      <c r="N311" s="75">
        <v>7108.0185546875</v>
      </c>
      <c r="O311" s="76"/>
      <c r="P311" s="77"/>
      <c r="Q311" s="77"/>
      <c r="R311" s="82"/>
      <c r="S311" s="49">
        <v>1</v>
      </c>
      <c r="T311" s="49">
        <v>0</v>
      </c>
      <c r="U311" s="50">
        <v>0</v>
      </c>
      <c r="V311" s="50">
        <v>0.000728</v>
      </c>
      <c r="W311" s="50">
        <v>0.000215</v>
      </c>
      <c r="X311" s="50">
        <v>0.466523</v>
      </c>
      <c r="Y311" s="50">
        <v>0</v>
      </c>
      <c r="Z311" s="50">
        <v>0</v>
      </c>
      <c r="AA311" s="72">
        <v>308</v>
      </c>
      <c r="AB311" s="72"/>
      <c r="AC311" s="73"/>
      <c r="AD311" s="80" t="s">
        <v>927</v>
      </c>
      <c r="AE311" s="80" t="s">
        <v>1299</v>
      </c>
      <c r="AF311" s="80" t="s">
        <v>1616</v>
      </c>
      <c r="AG311" s="80" t="s">
        <v>1874</v>
      </c>
      <c r="AH311" s="80" t="s">
        <v>2220</v>
      </c>
      <c r="AI311" s="80">
        <v>17855</v>
      </c>
      <c r="AJ311" s="80">
        <v>16</v>
      </c>
      <c r="AK311" s="80">
        <v>199</v>
      </c>
      <c r="AL311" s="80">
        <v>12</v>
      </c>
      <c r="AM311" s="80" t="s">
        <v>2317</v>
      </c>
      <c r="AN311" s="98" t="str">
        <f>HYPERLINK("https://www.youtube.com/watch?v=lGzyZyQoN8Y")</f>
        <v>https://www.youtube.com/watch?v=lGzyZyQoN8Y</v>
      </c>
      <c r="AO311" s="80" t="str">
        <f>REPLACE(INDEX(GroupVertices[Group],MATCH(Vertices[[#This Row],[Vertex]],GroupVertices[Vertex],0)),1,1,"")</f>
        <v>3</v>
      </c>
      <c r="AP311" s="49">
        <v>1</v>
      </c>
      <c r="AQ311" s="50">
        <v>4.761904761904762</v>
      </c>
      <c r="AR311" s="49">
        <v>0</v>
      </c>
      <c r="AS311" s="50">
        <v>0</v>
      </c>
      <c r="AT311" s="49">
        <v>0</v>
      </c>
      <c r="AU311" s="50">
        <v>0</v>
      </c>
      <c r="AV311" s="49">
        <v>20</v>
      </c>
      <c r="AW311" s="50">
        <v>95.23809523809524</v>
      </c>
      <c r="AX311" s="49">
        <v>21</v>
      </c>
      <c r="AY311" s="49"/>
      <c r="AZ311" s="49"/>
      <c r="BA311" s="49"/>
      <c r="BB311" s="49"/>
      <c r="BC311" s="2"/>
      <c r="BD311" s="3"/>
      <c r="BE311" s="3"/>
      <c r="BF311" s="3"/>
      <c r="BG311" s="3"/>
    </row>
    <row r="312" spans="1:59" ht="15">
      <c r="A312" s="65" t="s">
        <v>518</v>
      </c>
      <c r="B312" s="66" t="s">
        <v>3536</v>
      </c>
      <c r="C312" s="66"/>
      <c r="D312" s="67">
        <v>212.5</v>
      </c>
      <c r="E312" s="69">
        <v>50</v>
      </c>
      <c r="F312" s="96" t="str">
        <f>HYPERLINK("https://i.ytimg.com/vi/mj0T2jYgT4E/default.jpg")</f>
        <v>https://i.ytimg.com/vi/mj0T2jYgT4E/default.jpg</v>
      </c>
      <c r="G312" s="66"/>
      <c r="H312" s="70" t="s">
        <v>928</v>
      </c>
      <c r="I312" s="71"/>
      <c r="J312" s="71" t="s">
        <v>159</v>
      </c>
      <c r="K312" s="70" t="s">
        <v>928</v>
      </c>
      <c r="L312" s="74">
        <v>1.43590654360485</v>
      </c>
      <c r="M312" s="75">
        <v>3238.657958984375</v>
      </c>
      <c r="N312" s="75">
        <v>7704.5498046875</v>
      </c>
      <c r="O312" s="76"/>
      <c r="P312" s="77"/>
      <c r="Q312" s="77"/>
      <c r="R312" s="82"/>
      <c r="S312" s="49">
        <v>1</v>
      </c>
      <c r="T312" s="49">
        <v>0</v>
      </c>
      <c r="U312" s="50">
        <v>0</v>
      </c>
      <c r="V312" s="50">
        <v>0.000728</v>
      </c>
      <c r="W312" s="50">
        <v>0.000215</v>
      </c>
      <c r="X312" s="50">
        <v>0.466523</v>
      </c>
      <c r="Y312" s="50">
        <v>0</v>
      </c>
      <c r="Z312" s="50">
        <v>0</v>
      </c>
      <c r="AA312" s="72">
        <v>309</v>
      </c>
      <c r="AB312" s="72"/>
      <c r="AC312" s="73"/>
      <c r="AD312" s="80" t="s">
        <v>928</v>
      </c>
      <c r="AE312" s="80" t="s">
        <v>1300</v>
      </c>
      <c r="AF312" s="80" t="s">
        <v>1617</v>
      </c>
      <c r="AG312" s="80" t="s">
        <v>1875</v>
      </c>
      <c r="AH312" s="80" t="s">
        <v>2221</v>
      </c>
      <c r="AI312" s="80">
        <v>9928</v>
      </c>
      <c r="AJ312" s="80">
        <v>10</v>
      </c>
      <c r="AK312" s="80">
        <v>74</v>
      </c>
      <c r="AL312" s="80">
        <v>1</v>
      </c>
      <c r="AM312" s="80" t="s">
        <v>2317</v>
      </c>
      <c r="AN312" s="98" t="str">
        <f>HYPERLINK("https://www.youtube.com/watch?v=mj0T2jYgT4E")</f>
        <v>https://www.youtube.com/watch?v=mj0T2jYgT4E</v>
      </c>
      <c r="AO312" s="80" t="str">
        <f>REPLACE(INDEX(GroupVertices[Group],MATCH(Vertices[[#This Row],[Vertex]],GroupVertices[Vertex],0)),1,1,"")</f>
        <v>3</v>
      </c>
      <c r="AP312" s="49">
        <v>1</v>
      </c>
      <c r="AQ312" s="50">
        <v>2.4390243902439024</v>
      </c>
      <c r="AR312" s="49">
        <v>3</v>
      </c>
      <c r="AS312" s="50">
        <v>7.317073170731708</v>
      </c>
      <c r="AT312" s="49">
        <v>0</v>
      </c>
      <c r="AU312" s="50">
        <v>0</v>
      </c>
      <c r="AV312" s="49">
        <v>37</v>
      </c>
      <c r="AW312" s="50">
        <v>90.2439024390244</v>
      </c>
      <c r="AX312" s="49">
        <v>41</v>
      </c>
      <c r="AY312" s="49"/>
      <c r="AZ312" s="49"/>
      <c r="BA312" s="49"/>
      <c r="BB312" s="49"/>
      <c r="BC312" s="2"/>
      <c r="BD312" s="3"/>
      <c r="BE312" s="3"/>
      <c r="BF312" s="3"/>
      <c r="BG312" s="3"/>
    </row>
    <row r="313" spans="1:59" ht="15">
      <c r="A313" s="65" t="s">
        <v>519</v>
      </c>
      <c r="B313" s="66" t="s">
        <v>3536</v>
      </c>
      <c r="C313" s="66"/>
      <c r="D313" s="67">
        <v>212.5</v>
      </c>
      <c r="E313" s="69">
        <v>50</v>
      </c>
      <c r="F313" s="96" t="str">
        <f>HYPERLINK("https://i.ytimg.com/vi/vtBBo-QhJp8/default.jpg")</f>
        <v>https://i.ytimg.com/vi/vtBBo-QhJp8/default.jpg</v>
      </c>
      <c r="G313" s="66"/>
      <c r="H313" s="70" t="s">
        <v>929</v>
      </c>
      <c r="I313" s="71"/>
      <c r="J313" s="71" t="s">
        <v>159</v>
      </c>
      <c r="K313" s="70" t="s">
        <v>929</v>
      </c>
      <c r="L313" s="74">
        <v>40.471585871908765</v>
      </c>
      <c r="M313" s="75">
        <v>5043.1884765625</v>
      </c>
      <c r="N313" s="75">
        <v>5914.9560546875</v>
      </c>
      <c r="O313" s="76"/>
      <c r="P313" s="77"/>
      <c r="Q313" s="77"/>
      <c r="R313" s="82"/>
      <c r="S313" s="49">
        <v>1</v>
      </c>
      <c r="T313" s="49">
        <v>0</v>
      </c>
      <c r="U313" s="50">
        <v>0</v>
      </c>
      <c r="V313" s="50">
        <v>0.000728</v>
      </c>
      <c r="W313" s="50">
        <v>0.000215</v>
      </c>
      <c r="X313" s="50">
        <v>0.466523</v>
      </c>
      <c r="Y313" s="50">
        <v>0</v>
      </c>
      <c r="Z313" s="50">
        <v>0</v>
      </c>
      <c r="AA313" s="72">
        <v>310</v>
      </c>
      <c r="AB313" s="72"/>
      <c r="AC313" s="73"/>
      <c r="AD313" s="80" t="s">
        <v>929</v>
      </c>
      <c r="AE313" s="80" t="s">
        <v>1301</v>
      </c>
      <c r="AF313" s="80" t="s">
        <v>1618</v>
      </c>
      <c r="AG313" s="80" t="s">
        <v>1876</v>
      </c>
      <c r="AH313" s="80" t="s">
        <v>2222</v>
      </c>
      <c r="AI313" s="80">
        <v>898001</v>
      </c>
      <c r="AJ313" s="80">
        <v>2964</v>
      </c>
      <c r="AK313" s="80">
        <v>38408</v>
      </c>
      <c r="AL313" s="80">
        <v>430</v>
      </c>
      <c r="AM313" s="80" t="s">
        <v>2317</v>
      </c>
      <c r="AN313" s="98" t="str">
        <f>HYPERLINK("https://www.youtube.com/watch?v=vtBBo-QhJp8")</f>
        <v>https://www.youtube.com/watch?v=vtBBo-QhJp8</v>
      </c>
      <c r="AO313" s="80" t="str">
        <f>REPLACE(INDEX(GroupVertices[Group],MATCH(Vertices[[#This Row],[Vertex]],GroupVertices[Vertex],0)),1,1,"")</f>
        <v>3</v>
      </c>
      <c r="AP313" s="49">
        <v>0</v>
      </c>
      <c r="AQ313" s="50">
        <v>0</v>
      </c>
      <c r="AR313" s="49">
        <v>1</v>
      </c>
      <c r="AS313" s="50">
        <v>7.142857142857143</v>
      </c>
      <c r="AT313" s="49">
        <v>0</v>
      </c>
      <c r="AU313" s="50">
        <v>0</v>
      </c>
      <c r="AV313" s="49">
        <v>13</v>
      </c>
      <c r="AW313" s="50">
        <v>92.85714285714286</v>
      </c>
      <c r="AX313" s="49">
        <v>14</v>
      </c>
      <c r="AY313" s="49"/>
      <c r="AZ313" s="49"/>
      <c r="BA313" s="49"/>
      <c r="BB313" s="49"/>
      <c r="BC313" s="2"/>
      <c r="BD313" s="3"/>
      <c r="BE313" s="3"/>
      <c r="BF313" s="3"/>
      <c r="BG313" s="3"/>
    </row>
    <row r="314" spans="1:59" ht="15">
      <c r="A314" s="65" t="s">
        <v>520</v>
      </c>
      <c r="B314" s="66" t="s">
        <v>3536</v>
      </c>
      <c r="C314" s="66"/>
      <c r="D314" s="67">
        <v>212.5</v>
      </c>
      <c r="E314" s="69">
        <v>50</v>
      </c>
      <c r="F314" s="96" t="str">
        <f>HYPERLINK("https://i.ytimg.com/vi/y5JHiT-wVTs/default.jpg")</f>
        <v>https://i.ytimg.com/vi/y5JHiT-wVTs/default.jpg</v>
      </c>
      <c r="G314" s="66"/>
      <c r="H314" s="70" t="s">
        <v>930</v>
      </c>
      <c r="I314" s="71"/>
      <c r="J314" s="71" t="s">
        <v>159</v>
      </c>
      <c r="K314" s="70" t="s">
        <v>930</v>
      </c>
      <c r="L314" s="74">
        <v>9.679757733792368</v>
      </c>
      <c r="M314" s="75">
        <v>5404.0947265625</v>
      </c>
      <c r="N314" s="75">
        <v>6511.4873046875</v>
      </c>
      <c r="O314" s="76"/>
      <c r="P314" s="77"/>
      <c r="Q314" s="77"/>
      <c r="R314" s="82"/>
      <c r="S314" s="49">
        <v>1</v>
      </c>
      <c r="T314" s="49">
        <v>0</v>
      </c>
      <c r="U314" s="50">
        <v>0</v>
      </c>
      <c r="V314" s="50">
        <v>0.000728</v>
      </c>
      <c r="W314" s="50">
        <v>0.000215</v>
      </c>
      <c r="X314" s="50">
        <v>0.466523</v>
      </c>
      <c r="Y314" s="50">
        <v>0</v>
      </c>
      <c r="Z314" s="50">
        <v>0</v>
      </c>
      <c r="AA314" s="72">
        <v>311</v>
      </c>
      <c r="AB314" s="72"/>
      <c r="AC314" s="73"/>
      <c r="AD314" s="80" t="s">
        <v>930</v>
      </c>
      <c r="AE314" s="80" t="s">
        <v>1302</v>
      </c>
      <c r="AF314" s="80" t="s">
        <v>1619</v>
      </c>
      <c r="AG314" s="80" t="s">
        <v>1864</v>
      </c>
      <c r="AH314" s="80" t="s">
        <v>2223</v>
      </c>
      <c r="AI314" s="80">
        <v>197478</v>
      </c>
      <c r="AJ314" s="80">
        <v>0</v>
      </c>
      <c r="AK314" s="80">
        <v>1555</v>
      </c>
      <c r="AL314" s="80">
        <v>101</v>
      </c>
      <c r="AM314" s="80" t="s">
        <v>2317</v>
      </c>
      <c r="AN314" s="98" t="str">
        <f>HYPERLINK("https://www.youtube.com/watch?v=y5JHiT-wVTs")</f>
        <v>https://www.youtube.com/watch?v=y5JHiT-wVTs</v>
      </c>
      <c r="AO314" s="80" t="str">
        <f>REPLACE(INDEX(GroupVertices[Group],MATCH(Vertices[[#This Row],[Vertex]],GroupVertices[Vertex],0)),1,1,"")</f>
        <v>3</v>
      </c>
      <c r="AP314" s="49">
        <v>0</v>
      </c>
      <c r="AQ314" s="50">
        <v>0</v>
      </c>
      <c r="AR314" s="49">
        <v>3</v>
      </c>
      <c r="AS314" s="50">
        <v>23.076923076923077</v>
      </c>
      <c r="AT314" s="49">
        <v>0</v>
      </c>
      <c r="AU314" s="50">
        <v>0</v>
      </c>
      <c r="AV314" s="49">
        <v>10</v>
      </c>
      <c r="AW314" s="50">
        <v>76.92307692307692</v>
      </c>
      <c r="AX314" s="49">
        <v>13</v>
      </c>
      <c r="AY314" s="49"/>
      <c r="AZ314" s="49"/>
      <c r="BA314" s="49"/>
      <c r="BB314" s="49"/>
      <c r="BC314" s="2"/>
      <c r="BD314" s="3"/>
      <c r="BE314" s="3"/>
      <c r="BF314" s="3"/>
      <c r="BG314" s="3"/>
    </row>
    <row r="315" spans="1:59" ht="15">
      <c r="A315" s="65" t="s">
        <v>521</v>
      </c>
      <c r="B315" s="66" t="s">
        <v>3536</v>
      </c>
      <c r="C315" s="66"/>
      <c r="D315" s="67">
        <v>212.5</v>
      </c>
      <c r="E315" s="69">
        <v>50</v>
      </c>
      <c r="F315" s="96" t="str">
        <f>HYPERLINK("https://i.ytimg.com/vi/wuhJ-GkRRQc/default.jpg")</f>
        <v>https://i.ytimg.com/vi/wuhJ-GkRRQc/default.jpg</v>
      </c>
      <c r="G315" s="66"/>
      <c r="H315" s="70" t="s">
        <v>931</v>
      </c>
      <c r="I315" s="71"/>
      <c r="J315" s="71" t="s">
        <v>159</v>
      </c>
      <c r="K315" s="70" t="s">
        <v>931</v>
      </c>
      <c r="L315" s="74">
        <v>122.10571240038789</v>
      </c>
      <c r="M315" s="75">
        <v>3599.564208984375</v>
      </c>
      <c r="N315" s="75">
        <v>5318.4248046875</v>
      </c>
      <c r="O315" s="76"/>
      <c r="P315" s="77"/>
      <c r="Q315" s="77"/>
      <c r="R315" s="82"/>
      <c r="S315" s="49">
        <v>1</v>
      </c>
      <c r="T315" s="49">
        <v>0</v>
      </c>
      <c r="U315" s="50">
        <v>0</v>
      </c>
      <c r="V315" s="50">
        <v>0.000728</v>
      </c>
      <c r="W315" s="50">
        <v>0.000215</v>
      </c>
      <c r="X315" s="50">
        <v>0.466523</v>
      </c>
      <c r="Y315" s="50">
        <v>0</v>
      </c>
      <c r="Z315" s="50">
        <v>0</v>
      </c>
      <c r="AA315" s="72">
        <v>312</v>
      </c>
      <c r="AB315" s="72"/>
      <c r="AC315" s="73"/>
      <c r="AD315" s="80" t="s">
        <v>931</v>
      </c>
      <c r="AE315" s="80" t="s">
        <v>1303</v>
      </c>
      <c r="AF315" s="80" t="s">
        <v>1620</v>
      </c>
      <c r="AG315" s="80" t="s">
        <v>1830</v>
      </c>
      <c r="AH315" s="80" t="s">
        <v>2224</v>
      </c>
      <c r="AI315" s="80">
        <v>2755201</v>
      </c>
      <c r="AJ315" s="80">
        <v>1452</v>
      </c>
      <c r="AK315" s="80">
        <v>37665</v>
      </c>
      <c r="AL315" s="80">
        <v>548</v>
      </c>
      <c r="AM315" s="80" t="s">
        <v>2317</v>
      </c>
      <c r="AN315" s="98" t="str">
        <f>HYPERLINK("https://www.youtube.com/watch?v=wuhJ-GkRRQc")</f>
        <v>https://www.youtube.com/watch?v=wuhJ-GkRRQc</v>
      </c>
      <c r="AO315" s="80" t="str">
        <f>REPLACE(INDEX(GroupVertices[Group],MATCH(Vertices[[#This Row],[Vertex]],GroupVertices[Vertex],0)),1,1,"")</f>
        <v>3</v>
      </c>
      <c r="AP315" s="49">
        <v>1</v>
      </c>
      <c r="AQ315" s="50">
        <v>2.6315789473684212</v>
      </c>
      <c r="AR315" s="49">
        <v>5</v>
      </c>
      <c r="AS315" s="50">
        <v>13.157894736842104</v>
      </c>
      <c r="AT315" s="49">
        <v>0</v>
      </c>
      <c r="AU315" s="50">
        <v>0</v>
      </c>
      <c r="AV315" s="49">
        <v>32</v>
      </c>
      <c r="AW315" s="50">
        <v>84.21052631578948</v>
      </c>
      <c r="AX315" s="49">
        <v>38</v>
      </c>
      <c r="AY315" s="49"/>
      <c r="AZ315" s="49"/>
      <c r="BA315" s="49"/>
      <c r="BB315" s="49"/>
      <c r="BC315" s="2"/>
      <c r="BD315" s="3"/>
      <c r="BE315" s="3"/>
      <c r="BF315" s="3"/>
      <c r="BG315" s="3"/>
    </row>
    <row r="316" spans="1:59" ht="15">
      <c r="A316" s="65" t="s">
        <v>524</v>
      </c>
      <c r="B316" s="66" t="s">
        <v>3536</v>
      </c>
      <c r="C316" s="66"/>
      <c r="D316" s="67">
        <v>212.5</v>
      </c>
      <c r="E316" s="69">
        <v>50</v>
      </c>
      <c r="F316" s="96" t="str">
        <f>HYPERLINK("https://i.ytimg.com/vi/qnUhwkPbQ-A/default.jpg")</f>
        <v>https://i.ytimg.com/vi/qnUhwkPbQ-A/default.jpg</v>
      </c>
      <c r="G316" s="66"/>
      <c r="H316" s="70" t="s">
        <v>934</v>
      </c>
      <c r="I316" s="71"/>
      <c r="J316" s="71" t="s">
        <v>159</v>
      </c>
      <c r="K316" s="70" t="s">
        <v>934</v>
      </c>
      <c r="L316" s="74">
        <v>1.205799580231714</v>
      </c>
      <c r="M316" s="75">
        <v>8694.8310546875</v>
      </c>
      <c r="N316" s="75">
        <v>8869.63671875</v>
      </c>
      <c r="O316" s="76"/>
      <c r="P316" s="77"/>
      <c r="Q316" s="77"/>
      <c r="R316" s="82"/>
      <c r="S316" s="49">
        <v>1</v>
      </c>
      <c r="T316" s="49">
        <v>0</v>
      </c>
      <c r="U316" s="50">
        <v>0</v>
      </c>
      <c r="V316" s="50">
        <v>0.000916</v>
      </c>
      <c r="W316" s="50">
        <v>0.001813</v>
      </c>
      <c r="X316" s="50">
        <v>0.394914</v>
      </c>
      <c r="Y316" s="50">
        <v>0</v>
      </c>
      <c r="Z316" s="50">
        <v>0</v>
      </c>
      <c r="AA316" s="72">
        <v>315</v>
      </c>
      <c r="AB316" s="72"/>
      <c r="AC316" s="73"/>
      <c r="AD316" s="80" t="s">
        <v>934</v>
      </c>
      <c r="AE316" s="80" t="s">
        <v>1306</v>
      </c>
      <c r="AF316" s="80"/>
      <c r="AG316" s="80" t="s">
        <v>1796</v>
      </c>
      <c r="AH316" s="80" t="s">
        <v>2227</v>
      </c>
      <c r="AI316" s="80">
        <v>4693</v>
      </c>
      <c r="AJ316" s="80">
        <v>0</v>
      </c>
      <c r="AK316" s="80">
        <v>0</v>
      </c>
      <c r="AL316" s="80">
        <v>0</v>
      </c>
      <c r="AM316" s="80" t="s">
        <v>2317</v>
      </c>
      <c r="AN316" s="98" t="str">
        <f>HYPERLINK("https://www.youtube.com/watch?v=qnUhwkPbQ-A")</f>
        <v>https://www.youtube.com/watch?v=qnUhwkPbQ-A</v>
      </c>
      <c r="AO316" s="80" t="str">
        <f>REPLACE(INDEX(GroupVertices[Group],MATCH(Vertices[[#This Row],[Vertex]],GroupVertices[Vertex],0)),1,1,"")</f>
        <v>5</v>
      </c>
      <c r="AP316" s="49"/>
      <c r="AQ316" s="50"/>
      <c r="AR316" s="49"/>
      <c r="AS316" s="50"/>
      <c r="AT316" s="49"/>
      <c r="AU316" s="50"/>
      <c r="AV316" s="49"/>
      <c r="AW316" s="50"/>
      <c r="AX316" s="49"/>
      <c r="AY316" s="49"/>
      <c r="AZ316" s="49"/>
      <c r="BA316" s="49"/>
      <c r="BB316" s="49"/>
      <c r="BC316" s="2"/>
      <c r="BD316" s="3"/>
      <c r="BE316" s="3"/>
      <c r="BF316" s="3"/>
      <c r="BG316" s="3"/>
    </row>
    <row r="317" spans="1:59" ht="15">
      <c r="A317" s="65" t="s">
        <v>525</v>
      </c>
      <c r="B317" s="66" t="s">
        <v>3536</v>
      </c>
      <c r="C317" s="66"/>
      <c r="D317" s="67">
        <v>437.5</v>
      </c>
      <c r="E317" s="69">
        <v>100</v>
      </c>
      <c r="F317" s="96" t="str">
        <f>HYPERLINK("https://i.ytimg.com/vi/PUDOdivqkT0/default.jpg")</f>
        <v>https://i.ytimg.com/vi/PUDOdivqkT0/default.jpg</v>
      </c>
      <c r="G317" s="66"/>
      <c r="H317" s="70" t="s">
        <v>935</v>
      </c>
      <c r="I317" s="71"/>
      <c r="J317" s="71" t="s">
        <v>75</v>
      </c>
      <c r="K317" s="70" t="s">
        <v>935</v>
      </c>
      <c r="L317" s="74">
        <v>1.3995993130898146</v>
      </c>
      <c r="M317" s="75">
        <v>9698.7197265625</v>
      </c>
      <c r="N317" s="75">
        <v>8869.63671875</v>
      </c>
      <c r="O317" s="76"/>
      <c r="P317" s="77"/>
      <c r="Q317" s="77"/>
      <c r="R317" s="82"/>
      <c r="S317" s="49">
        <v>3</v>
      </c>
      <c r="T317" s="49">
        <v>0</v>
      </c>
      <c r="U317" s="50">
        <v>0</v>
      </c>
      <c r="V317" s="50">
        <v>0.001009</v>
      </c>
      <c r="W317" s="50">
        <v>0.005376</v>
      </c>
      <c r="X317" s="50">
        <v>0.887341</v>
      </c>
      <c r="Y317" s="50">
        <v>1</v>
      </c>
      <c r="Z317" s="50">
        <v>0</v>
      </c>
      <c r="AA317" s="72">
        <v>316</v>
      </c>
      <c r="AB317" s="72"/>
      <c r="AC317" s="73"/>
      <c r="AD317" s="80" t="s">
        <v>935</v>
      </c>
      <c r="AE317" s="80" t="s">
        <v>1307</v>
      </c>
      <c r="AF317" s="80" t="s">
        <v>1623</v>
      </c>
      <c r="AG317" s="80" t="s">
        <v>1799</v>
      </c>
      <c r="AH317" s="80" t="s">
        <v>2228</v>
      </c>
      <c r="AI317" s="80">
        <v>9102</v>
      </c>
      <c r="AJ317" s="80">
        <v>140</v>
      </c>
      <c r="AK317" s="80">
        <v>0</v>
      </c>
      <c r="AL317" s="80">
        <v>0</v>
      </c>
      <c r="AM317" s="80" t="s">
        <v>2317</v>
      </c>
      <c r="AN317" s="98" t="str">
        <f>HYPERLINK("https://www.youtube.com/watch?v=PUDOdivqkT0")</f>
        <v>https://www.youtube.com/watch?v=PUDOdivqkT0</v>
      </c>
      <c r="AO317" s="80" t="str">
        <f>REPLACE(INDEX(GroupVertices[Group],MATCH(Vertices[[#This Row],[Vertex]],GroupVertices[Vertex],0)),1,1,"")</f>
        <v>5</v>
      </c>
      <c r="AP317" s="49">
        <v>2</v>
      </c>
      <c r="AQ317" s="50">
        <v>3.508771929824561</v>
      </c>
      <c r="AR317" s="49">
        <v>0</v>
      </c>
      <c r="AS317" s="50">
        <v>0</v>
      </c>
      <c r="AT317" s="49">
        <v>0</v>
      </c>
      <c r="AU317" s="50">
        <v>0</v>
      </c>
      <c r="AV317" s="49">
        <v>55</v>
      </c>
      <c r="AW317" s="50">
        <v>96.49122807017544</v>
      </c>
      <c r="AX317" s="49">
        <v>57</v>
      </c>
      <c r="AY317" s="49"/>
      <c r="AZ317" s="49"/>
      <c r="BA317" s="49"/>
      <c r="BB317" s="49"/>
      <c r="BC317" s="2"/>
      <c r="BD317" s="3"/>
      <c r="BE317" s="3"/>
      <c r="BF317" s="3"/>
      <c r="BG317" s="3"/>
    </row>
    <row r="318" spans="1:59" ht="15">
      <c r="A318" s="65" t="s">
        <v>526</v>
      </c>
      <c r="B318" s="66" t="s">
        <v>3536</v>
      </c>
      <c r="C318" s="66"/>
      <c r="D318" s="67">
        <v>325</v>
      </c>
      <c r="E318" s="69">
        <v>100</v>
      </c>
      <c r="F318" s="96" t="str">
        <f>HYPERLINK("https://i.ytimg.com/vi/qNnTr6mhfo8/default.jpg")</f>
        <v>https://i.ytimg.com/vi/qNnTr6mhfo8/default.jpg</v>
      </c>
      <c r="G318" s="66"/>
      <c r="H318" s="70" t="s">
        <v>936</v>
      </c>
      <c r="I318" s="71"/>
      <c r="J318" s="71" t="s">
        <v>75</v>
      </c>
      <c r="K318" s="70" t="s">
        <v>936</v>
      </c>
      <c r="L318" s="74">
        <v>1.3865884895638456</v>
      </c>
      <c r="M318" s="75">
        <v>9364.0908203125</v>
      </c>
      <c r="N318" s="75">
        <v>8869.63671875</v>
      </c>
      <c r="O318" s="76"/>
      <c r="P318" s="77"/>
      <c r="Q318" s="77"/>
      <c r="R318" s="82"/>
      <c r="S318" s="49">
        <v>2</v>
      </c>
      <c r="T318" s="49">
        <v>0</v>
      </c>
      <c r="U318" s="50">
        <v>0</v>
      </c>
      <c r="V318" s="50">
        <v>0.000962</v>
      </c>
      <c r="W318" s="50">
        <v>0.003521</v>
      </c>
      <c r="X318" s="50">
        <v>0.637875</v>
      </c>
      <c r="Y318" s="50">
        <v>1</v>
      </c>
      <c r="Z318" s="50">
        <v>0</v>
      </c>
      <c r="AA318" s="72">
        <v>317</v>
      </c>
      <c r="AB318" s="72"/>
      <c r="AC318" s="73"/>
      <c r="AD318" s="80" t="s">
        <v>936</v>
      </c>
      <c r="AE318" s="80" t="s">
        <v>1308</v>
      </c>
      <c r="AF318" s="80" t="s">
        <v>1624</v>
      </c>
      <c r="AG318" s="80" t="s">
        <v>1799</v>
      </c>
      <c r="AH318" s="80" t="s">
        <v>2229</v>
      </c>
      <c r="AI318" s="80">
        <v>8806</v>
      </c>
      <c r="AJ318" s="80">
        <v>176</v>
      </c>
      <c r="AK318" s="80">
        <v>0</v>
      </c>
      <c r="AL318" s="80">
        <v>0</v>
      </c>
      <c r="AM318" s="80" t="s">
        <v>2317</v>
      </c>
      <c r="AN318" s="98" t="str">
        <f>HYPERLINK("https://www.youtube.com/watch?v=qNnTr6mhfo8")</f>
        <v>https://www.youtube.com/watch?v=qNnTr6mhfo8</v>
      </c>
      <c r="AO318" s="80" t="str">
        <f>REPLACE(INDEX(GroupVertices[Group],MATCH(Vertices[[#This Row],[Vertex]],GroupVertices[Vertex],0)),1,1,"")</f>
        <v>5</v>
      </c>
      <c r="AP318" s="49">
        <v>3</v>
      </c>
      <c r="AQ318" s="50">
        <v>5</v>
      </c>
      <c r="AR318" s="49">
        <v>0</v>
      </c>
      <c r="AS318" s="50">
        <v>0</v>
      </c>
      <c r="AT318" s="49">
        <v>0</v>
      </c>
      <c r="AU318" s="50">
        <v>0</v>
      </c>
      <c r="AV318" s="49">
        <v>57</v>
      </c>
      <c r="AW318" s="50">
        <v>95</v>
      </c>
      <c r="AX318" s="49">
        <v>60</v>
      </c>
      <c r="AY318" s="49"/>
      <c r="AZ318" s="49"/>
      <c r="BA318" s="49"/>
      <c r="BB318" s="49"/>
      <c r="BC318" s="2"/>
      <c r="BD318" s="3"/>
      <c r="BE318" s="3"/>
      <c r="BF318" s="3"/>
      <c r="BG318" s="3"/>
    </row>
    <row r="319" spans="1:59" ht="15">
      <c r="A319" s="65" t="s">
        <v>527</v>
      </c>
      <c r="B319" s="66" t="s">
        <v>3536</v>
      </c>
      <c r="C319" s="66"/>
      <c r="D319" s="67">
        <v>212.5</v>
      </c>
      <c r="E319" s="69">
        <v>50</v>
      </c>
      <c r="F319" s="96" t="str">
        <f>HYPERLINK("https://i.ytimg.com/vi/9SuQJK23n_U/default.jpg")</f>
        <v>https://i.ytimg.com/vi/9SuQJK23n_U/default.jpg</v>
      </c>
      <c r="G319" s="66"/>
      <c r="H319" s="70" t="s">
        <v>937</v>
      </c>
      <c r="I319" s="71"/>
      <c r="J319" s="71" t="s">
        <v>159</v>
      </c>
      <c r="K319" s="70" t="s">
        <v>937</v>
      </c>
      <c r="L319" s="74">
        <v>93.76229268133747</v>
      </c>
      <c r="M319" s="75">
        <v>9698.7197265625</v>
      </c>
      <c r="N319" s="75">
        <v>5178.54541015625</v>
      </c>
      <c r="O319" s="76"/>
      <c r="P319" s="77"/>
      <c r="Q319" s="77"/>
      <c r="R319" s="82"/>
      <c r="S319" s="49">
        <v>1</v>
      </c>
      <c r="T319" s="49">
        <v>0</v>
      </c>
      <c r="U319" s="50">
        <v>0</v>
      </c>
      <c r="V319" s="50">
        <v>0.000916</v>
      </c>
      <c r="W319" s="50">
        <v>0.001813</v>
      </c>
      <c r="X319" s="50">
        <v>0.394914</v>
      </c>
      <c r="Y319" s="50">
        <v>0</v>
      </c>
      <c r="Z319" s="50">
        <v>0</v>
      </c>
      <c r="AA319" s="72">
        <v>318</v>
      </c>
      <c r="AB319" s="72"/>
      <c r="AC319" s="73"/>
      <c r="AD319" s="80" t="s">
        <v>937</v>
      </c>
      <c r="AE319" s="80" t="s">
        <v>1309</v>
      </c>
      <c r="AF319" s="80"/>
      <c r="AG319" s="80" t="s">
        <v>1879</v>
      </c>
      <c r="AH319" s="80" t="s">
        <v>2230</v>
      </c>
      <c r="AI319" s="80">
        <v>2110380</v>
      </c>
      <c r="AJ319" s="80">
        <v>454</v>
      </c>
      <c r="AK319" s="80">
        <v>10856</v>
      </c>
      <c r="AL319" s="80">
        <v>834</v>
      </c>
      <c r="AM319" s="80" t="s">
        <v>2317</v>
      </c>
      <c r="AN319" s="98" t="str">
        <f>HYPERLINK("https://www.youtube.com/watch?v=9SuQJK23n_U")</f>
        <v>https://www.youtube.com/watch?v=9SuQJK23n_U</v>
      </c>
      <c r="AO319" s="80" t="str">
        <f>REPLACE(INDEX(GroupVertices[Group],MATCH(Vertices[[#This Row],[Vertex]],GroupVertices[Vertex],0)),1,1,"")</f>
        <v>5</v>
      </c>
      <c r="AP319" s="49"/>
      <c r="AQ319" s="50"/>
      <c r="AR319" s="49"/>
      <c r="AS319" s="50"/>
      <c r="AT319" s="49"/>
      <c r="AU319" s="50"/>
      <c r="AV319" s="49"/>
      <c r="AW319" s="50"/>
      <c r="AX319" s="49"/>
      <c r="AY319" s="49"/>
      <c r="AZ319" s="49"/>
      <c r="BA319" s="49"/>
      <c r="BB319" s="49"/>
      <c r="BC319" s="2"/>
      <c r="BD319" s="3"/>
      <c r="BE319" s="3"/>
      <c r="BF319" s="3"/>
      <c r="BG319" s="3"/>
    </row>
    <row r="320" spans="1:59" ht="15">
      <c r="A320" s="65" t="s">
        <v>528</v>
      </c>
      <c r="B320" s="66" t="s">
        <v>3536</v>
      </c>
      <c r="C320" s="66"/>
      <c r="D320" s="67">
        <v>212.5</v>
      </c>
      <c r="E320" s="69">
        <v>50</v>
      </c>
      <c r="F320" s="96" t="str">
        <f>HYPERLINK("https://i.ytimg.com/vi/VvLcJtthrhU/default.jpg")</f>
        <v>https://i.ytimg.com/vi/VvLcJtthrhU/default.jpg</v>
      </c>
      <c r="G320" s="66"/>
      <c r="H320" s="70" t="s">
        <v>938</v>
      </c>
      <c r="I320" s="71"/>
      <c r="J320" s="71" t="s">
        <v>159</v>
      </c>
      <c r="K320" s="70" t="s">
        <v>938</v>
      </c>
      <c r="L320" s="74">
        <v>1.4149837327995753</v>
      </c>
      <c r="M320" s="75">
        <v>8025.5712890625</v>
      </c>
      <c r="N320" s="75">
        <v>8254.4541015625</v>
      </c>
      <c r="O320" s="76"/>
      <c r="P320" s="77"/>
      <c r="Q320" s="77"/>
      <c r="R320" s="82"/>
      <c r="S320" s="49">
        <v>1</v>
      </c>
      <c r="T320" s="49">
        <v>0</v>
      </c>
      <c r="U320" s="50">
        <v>0</v>
      </c>
      <c r="V320" s="50">
        <v>0.000916</v>
      </c>
      <c r="W320" s="50">
        <v>0.001813</v>
      </c>
      <c r="X320" s="50">
        <v>0.394914</v>
      </c>
      <c r="Y320" s="50">
        <v>0</v>
      </c>
      <c r="Z320" s="50">
        <v>0</v>
      </c>
      <c r="AA320" s="72">
        <v>319</v>
      </c>
      <c r="AB320" s="72"/>
      <c r="AC320" s="73"/>
      <c r="AD320" s="80" t="s">
        <v>938</v>
      </c>
      <c r="AE320" s="80"/>
      <c r="AF320" s="80"/>
      <c r="AG320" s="80" t="s">
        <v>1880</v>
      </c>
      <c r="AH320" s="80" t="s">
        <v>2231</v>
      </c>
      <c r="AI320" s="80">
        <v>9452</v>
      </c>
      <c r="AJ320" s="80">
        <v>0</v>
      </c>
      <c r="AK320" s="80">
        <v>35</v>
      </c>
      <c r="AL320" s="80">
        <v>6</v>
      </c>
      <c r="AM320" s="80" t="s">
        <v>2317</v>
      </c>
      <c r="AN320" s="98" t="str">
        <f>HYPERLINK("https://www.youtube.com/watch?v=VvLcJtthrhU")</f>
        <v>https://www.youtube.com/watch?v=VvLcJtthrhU</v>
      </c>
      <c r="AO320" s="80" t="str">
        <f>REPLACE(INDEX(GroupVertices[Group],MATCH(Vertices[[#This Row],[Vertex]],GroupVertices[Vertex],0)),1,1,"")</f>
        <v>5</v>
      </c>
      <c r="AP320" s="49"/>
      <c r="AQ320" s="50"/>
      <c r="AR320" s="49"/>
      <c r="AS320" s="50"/>
      <c r="AT320" s="49"/>
      <c r="AU320" s="50"/>
      <c r="AV320" s="49"/>
      <c r="AW320" s="50"/>
      <c r="AX320" s="49"/>
      <c r="AY320" s="49"/>
      <c r="AZ320" s="49"/>
      <c r="BA320" s="49"/>
      <c r="BB320" s="49"/>
      <c r="BC320" s="2"/>
      <c r="BD320" s="3"/>
      <c r="BE320" s="3"/>
      <c r="BF320" s="3"/>
      <c r="BG320" s="3"/>
    </row>
    <row r="321" spans="1:59" ht="15">
      <c r="A321" s="65" t="s">
        <v>529</v>
      </c>
      <c r="B321" s="66" t="s">
        <v>3536</v>
      </c>
      <c r="C321" s="66"/>
      <c r="D321" s="67">
        <v>212.5</v>
      </c>
      <c r="E321" s="69">
        <v>50</v>
      </c>
      <c r="F321" s="96" t="str">
        <f>HYPERLINK("https://i.ytimg.com/vi/6tEBleOInME/default.jpg")</f>
        <v>https://i.ytimg.com/vi/6tEBleOInME/default.jpg</v>
      </c>
      <c r="G321" s="66"/>
      <c r="H321" s="70" t="s">
        <v>939</v>
      </c>
      <c r="I321" s="71"/>
      <c r="J321" s="71" t="s">
        <v>159</v>
      </c>
      <c r="K321" s="70" t="s">
        <v>939</v>
      </c>
      <c r="L321" s="74">
        <v>1.2250520826113576</v>
      </c>
      <c r="M321" s="75">
        <v>9029.4599609375</v>
      </c>
      <c r="N321" s="75">
        <v>8869.63671875</v>
      </c>
      <c r="O321" s="76"/>
      <c r="P321" s="77"/>
      <c r="Q321" s="77"/>
      <c r="R321" s="82"/>
      <c r="S321" s="49">
        <v>1</v>
      </c>
      <c r="T321" s="49">
        <v>0</v>
      </c>
      <c r="U321" s="50">
        <v>0</v>
      </c>
      <c r="V321" s="50">
        <v>0.000916</v>
      </c>
      <c r="W321" s="50">
        <v>0.001813</v>
      </c>
      <c r="X321" s="50">
        <v>0.394914</v>
      </c>
      <c r="Y321" s="50">
        <v>0</v>
      </c>
      <c r="Z321" s="50">
        <v>0</v>
      </c>
      <c r="AA321" s="72">
        <v>320</v>
      </c>
      <c r="AB321" s="72"/>
      <c r="AC321" s="73"/>
      <c r="AD321" s="80" t="s">
        <v>939</v>
      </c>
      <c r="AE321" s="80" t="s">
        <v>1310</v>
      </c>
      <c r="AF321" s="80" t="s">
        <v>1625</v>
      </c>
      <c r="AG321" s="80" t="s">
        <v>1881</v>
      </c>
      <c r="AH321" s="80" t="s">
        <v>2232</v>
      </c>
      <c r="AI321" s="80">
        <v>5131</v>
      </c>
      <c r="AJ321" s="80">
        <v>26</v>
      </c>
      <c r="AK321" s="80">
        <v>116</v>
      </c>
      <c r="AL321" s="80">
        <v>2</v>
      </c>
      <c r="AM321" s="80" t="s">
        <v>2317</v>
      </c>
      <c r="AN321" s="98" t="str">
        <f>HYPERLINK("https://www.youtube.com/watch?v=6tEBleOInME")</f>
        <v>https://www.youtube.com/watch?v=6tEBleOInME</v>
      </c>
      <c r="AO321" s="80" t="str">
        <f>REPLACE(INDEX(GroupVertices[Group],MATCH(Vertices[[#This Row],[Vertex]],GroupVertices[Vertex],0)),1,1,"")</f>
        <v>5</v>
      </c>
      <c r="AP321" s="49">
        <v>0</v>
      </c>
      <c r="AQ321" s="50">
        <v>0</v>
      </c>
      <c r="AR321" s="49">
        <v>0</v>
      </c>
      <c r="AS321" s="50">
        <v>0</v>
      </c>
      <c r="AT321" s="49">
        <v>0</v>
      </c>
      <c r="AU321" s="50">
        <v>0</v>
      </c>
      <c r="AV321" s="49">
        <v>32</v>
      </c>
      <c r="AW321" s="50">
        <v>100</v>
      </c>
      <c r="AX321" s="49">
        <v>32</v>
      </c>
      <c r="AY321" s="49"/>
      <c r="AZ321" s="49"/>
      <c r="BA321" s="49"/>
      <c r="BB321" s="49"/>
      <c r="BC321" s="2"/>
      <c r="BD321" s="3"/>
      <c r="BE321" s="3"/>
      <c r="BF321" s="3"/>
      <c r="BG321" s="3"/>
    </row>
    <row r="322" spans="1:59" ht="15">
      <c r="A322" s="65" t="s">
        <v>530</v>
      </c>
      <c r="B322" s="66" t="s">
        <v>3536</v>
      </c>
      <c r="C322" s="66"/>
      <c r="D322" s="67">
        <v>212.5</v>
      </c>
      <c r="E322" s="69">
        <v>50</v>
      </c>
      <c r="F322" s="96" t="str">
        <f>HYPERLINK("https://i.ytimg.com/vi/-COI6c_KUoE/default.jpg")</f>
        <v>https://i.ytimg.com/vi/-COI6c_KUoE/default.jpg</v>
      </c>
      <c r="G322" s="66"/>
      <c r="H322" s="70" t="s">
        <v>940</v>
      </c>
      <c r="I322" s="71"/>
      <c r="J322" s="71" t="s">
        <v>159</v>
      </c>
      <c r="K322" s="70" t="s">
        <v>940</v>
      </c>
      <c r="L322" s="74">
        <v>1.1964810174360876</v>
      </c>
      <c r="M322" s="75">
        <v>8360.201171875</v>
      </c>
      <c r="N322" s="75">
        <v>8869.63671875</v>
      </c>
      <c r="O322" s="76"/>
      <c r="P322" s="77"/>
      <c r="Q322" s="77"/>
      <c r="R322" s="82"/>
      <c r="S322" s="49">
        <v>1</v>
      </c>
      <c r="T322" s="49">
        <v>0</v>
      </c>
      <c r="U322" s="50">
        <v>0</v>
      </c>
      <c r="V322" s="50">
        <v>0.000916</v>
      </c>
      <c r="W322" s="50">
        <v>0.001813</v>
      </c>
      <c r="X322" s="50">
        <v>0.394914</v>
      </c>
      <c r="Y322" s="50">
        <v>0</v>
      </c>
      <c r="Z322" s="50">
        <v>0</v>
      </c>
      <c r="AA322" s="72">
        <v>321</v>
      </c>
      <c r="AB322" s="72"/>
      <c r="AC322" s="73"/>
      <c r="AD322" s="80" t="s">
        <v>940</v>
      </c>
      <c r="AE322" s="80" t="s">
        <v>1311</v>
      </c>
      <c r="AF322" s="80" t="s">
        <v>1626</v>
      </c>
      <c r="AG322" s="80" t="s">
        <v>1881</v>
      </c>
      <c r="AH322" s="80" t="s">
        <v>2233</v>
      </c>
      <c r="AI322" s="80">
        <v>4481</v>
      </c>
      <c r="AJ322" s="80">
        <v>32</v>
      </c>
      <c r="AK322" s="80">
        <v>93</v>
      </c>
      <c r="AL322" s="80">
        <v>3</v>
      </c>
      <c r="AM322" s="80" t="s">
        <v>2317</v>
      </c>
      <c r="AN322" s="98" t="str">
        <f>HYPERLINK("https://www.youtube.com/watch?v=-COI6c_KUoE")</f>
        <v>https://www.youtube.com/watch?v=-COI6c_KUoE</v>
      </c>
      <c r="AO322" s="80" t="str">
        <f>REPLACE(INDEX(GroupVertices[Group],MATCH(Vertices[[#This Row],[Vertex]],GroupVertices[Vertex],0)),1,1,"")</f>
        <v>5</v>
      </c>
      <c r="AP322" s="49">
        <v>0</v>
      </c>
      <c r="AQ322" s="50">
        <v>0</v>
      </c>
      <c r="AR322" s="49">
        <v>0</v>
      </c>
      <c r="AS322" s="50">
        <v>0</v>
      </c>
      <c r="AT322" s="49">
        <v>0</v>
      </c>
      <c r="AU322" s="50">
        <v>0</v>
      </c>
      <c r="AV322" s="49">
        <v>37</v>
      </c>
      <c r="AW322" s="50">
        <v>100</v>
      </c>
      <c r="AX322" s="49">
        <v>37</v>
      </c>
      <c r="AY322" s="49"/>
      <c r="AZ322" s="49"/>
      <c r="BA322" s="49"/>
      <c r="BB322" s="49"/>
      <c r="BC322" s="2"/>
      <c r="BD322" s="3"/>
      <c r="BE322" s="3"/>
      <c r="BF322" s="3"/>
      <c r="BG322" s="3"/>
    </row>
    <row r="323" spans="1:59" ht="15">
      <c r="A323" s="65" t="s">
        <v>531</v>
      </c>
      <c r="B323" s="66" t="s">
        <v>3536</v>
      </c>
      <c r="C323" s="66"/>
      <c r="D323" s="67">
        <v>212.5</v>
      </c>
      <c r="E323" s="69">
        <v>50</v>
      </c>
      <c r="F323" s="96" t="str">
        <f>HYPERLINK("https://i.ytimg.com/vi/bqI0j7K4CA4/default.jpg")</f>
        <v>https://i.ytimg.com/vi/bqI0j7K4CA4/default.jpg</v>
      </c>
      <c r="G323" s="66"/>
      <c r="H323" s="70" t="s">
        <v>941</v>
      </c>
      <c r="I323" s="71"/>
      <c r="J323" s="71" t="s">
        <v>159</v>
      </c>
      <c r="K323" s="70" t="s">
        <v>941</v>
      </c>
      <c r="L323" s="74">
        <v>2.2924670775594445</v>
      </c>
      <c r="M323" s="75">
        <v>8694.8310546875</v>
      </c>
      <c r="N323" s="75">
        <v>7639.27294921875</v>
      </c>
      <c r="O323" s="76"/>
      <c r="P323" s="77"/>
      <c r="Q323" s="77"/>
      <c r="R323" s="82"/>
      <c r="S323" s="49">
        <v>1</v>
      </c>
      <c r="T323" s="49">
        <v>0</v>
      </c>
      <c r="U323" s="50">
        <v>0</v>
      </c>
      <c r="V323" s="50">
        <v>0.000916</v>
      </c>
      <c r="W323" s="50">
        <v>0.001813</v>
      </c>
      <c r="X323" s="50">
        <v>0.394914</v>
      </c>
      <c r="Y323" s="50">
        <v>0</v>
      </c>
      <c r="Z323" s="50">
        <v>0</v>
      </c>
      <c r="AA323" s="72">
        <v>322</v>
      </c>
      <c r="AB323" s="72"/>
      <c r="AC323" s="73"/>
      <c r="AD323" s="80" t="s">
        <v>941</v>
      </c>
      <c r="AE323" s="80" t="s">
        <v>1312</v>
      </c>
      <c r="AF323" s="80" t="s">
        <v>1627</v>
      </c>
      <c r="AG323" s="80" t="s">
        <v>1781</v>
      </c>
      <c r="AH323" s="80" t="s">
        <v>2234</v>
      </c>
      <c r="AI323" s="80">
        <v>29415</v>
      </c>
      <c r="AJ323" s="80">
        <v>18</v>
      </c>
      <c r="AK323" s="80">
        <v>387</v>
      </c>
      <c r="AL323" s="80">
        <v>37</v>
      </c>
      <c r="AM323" s="80" t="s">
        <v>2317</v>
      </c>
      <c r="AN323" s="98" t="str">
        <f>HYPERLINK("https://www.youtube.com/watch?v=bqI0j7K4CA4")</f>
        <v>https://www.youtube.com/watch?v=bqI0j7K4CA4</v>
      </c>
      <c r="AO323" s="80" t="str">
        <f>REPLACE(INDEX(GroupVertices[Group],MATCH(Vertices[[#This Row],[Vertex]],GroupVertices[Vertex],0)),1,1,"")</f>
        <v>5</v>
      </c>
      <c r="AP323" s="49">
        <v>0</v>
      </c>
      <c r="AQ323" s="50">
        <v>0</v>
      </c>
      <c r="AR323" s="49">
        <v>2</v>
      </c>
      <c r="AS323" s="50">
        <v>10.526315789473685</v>
      </c>
      <c r="AT323" s="49">
        <v>0</v>
      </c>
      <c r="AU323" s="50">
        <v>0</v>
      </c>
      <c r="AV323" s="49">
        <v>17</v>
      </c>
      <c r="AW323" s="50">
        <v>89.47368421052632</v>
      </c>
      <c r="AX323" s="49">
        <v>19</v>
      </c>
      <c r="AY323" s="49"/>
      <c r="AZ323" s="49"/>
      <c r="BA323" s="49"/>
      <c r="BB323" s="49"/>
      <c r="BC323" s="2"/>
      <c r="BD323" s="3"/>
      <c r="BE323" s="3"/>
      <c r="BF323" s="3"/>
      <c r="BG323" s="3"/>
    </row>
    <row r="324" spans="1:59" ht="15">
      <c r="A324" s="65" t="s">
        <v>532</v>
      </c>
      <c r="B324" s="66" t="s">
        <v>3536</v>
      </c>
      <c r="C324" s="66"/>
      <c r="D324" s="67">
        <v>550</v>
      </c>
      <c r="E324" s="69">
        <v>100</v>
      </c>
      <c r="F324" s="96" t="str">
        <f>HYPERLINK("https://i.ytimg.com/vi/V5I9l_aCGbo/default.jpg")</f>
        <v>https://i.ytimg.com/vi/V5I9l_aCGbo/default.jpg</v>
      </c>
      <c r="G324" s="66"/>
      <c r="H324" s="70" t="s">
        <v>942</v>
      </c>
      <c r="I324" s="71"/>
      <c r="J324" s="71" t="s">
        <v>75</v>
      </c>
      <c r="K324" s="70" t="s">
        <v>942</v>
      </c>
      <c r="L324" s="74">
        <v>1.1978436374675234</v>
      </c>
      <c r="M324" s="75">
        <v>6710.00537109375</v>
      </c>
      <c r="N324" s="75">
        <v>2127.886474609375</v>
      </c>
      <c r="O324" s="76"/>
      <c r="P324" s="77"/>
      <c r="Q324" s="77"/>
      <c r="R324" s="82"/>
      <c r="S324" s="49">
        <v>4</v>
      </c>
      <c r="T324" s="49">
        <v>0</v>
      </c>
      <c r="U324" s="50">
        <v>0</v>
      </c>
      <c r="V324" s="50">
        <v>0.001063</v>
      </c>
      <c r="W324" s="50">
        <v>0.007031</v>
      </c>
      <c r="X324" s="50">
        <v>1.145664</v>
      </c>
      <c r="Y324" s="50">
        <v>1</v>
      </c>
      <c r="Z324" s="50">
        <v>0</v>
      </c>
      <c r="AA324" s="72">
        <v>323</v>
      </c>
      <c r="AB324" s="72"/>
      <c r="AC324" s="73"/>
      <c r="AD324" s="80" t="s">
        <v>942</v>
      </c>
      <c r="AE324" s="80" t="s">
        <v>1313</v>
      </c>
      <c r="AF324" s="80"/>
      <c r="AG324" s="80" t="s">
        <v>1881</v>
      </c>
      <c r="AH324" s="80" t="s">
        <v>2235</v>
      </c>
      <c r="AI324" s="80">
        <v>4512</v>
      </c>
      <c r="AJ324" s="80">
        <v>46</v>
      </c>
      <c r="AK324" s="80">
        <v>105</v>
      </c>
      <c r="AL324" s="80">
        <v>1</v>
      </c>
      <c r="AM324" s="80" t="s">
        <v>2317</v>
      </c>
      <c r="AN324" s="98" t="str">
        <f>HYPERLINK("https://www.youtube.com/watch?v=V5I9l_aCGbo")</f>
        <v>https://www.youtube.com/watch?v=V5I9l_aCGbo</v>
      </c>
      <c r="AO324" s="80" t="str">
        <f>REPLACE(INDEX(GroupVertices[Group],MATCH(Vertices[[#This Row],[Vertex]],GroupVertices[Vertex],0)),1,1,"")</f>
        <v>7</v>
      </c>
      <c r="AP324" s="49"/>
      <c r="AQ324" s="50"/>
      <c r="AR324" s="49"/>
      <c r="AS324" s="50"/>
      <c r="AT324" s="49"/>
      <c r="AU324" s="50"/>
      <c r="AV324" s="49"/>
      <c r="AW324" s="50"/>
      <c r="AX324" s="49"/>
      <c r="AY324" s="49"/>
      <c r="AZ324" s="49"/>
      <c r="BA324" s="49"/>
      <c r="BB324" s="49"/>
      <c r="BC324" s="2"/>
      <c r="BD324" s="3"/>
      <c r="BE324" s="3"/>
      <c r="BF324" s="3"/>
      <c r="BG324" s="3"/>
    </row>
    <row r="325" spans="1:59" ht="15">
      <c r="A325" s="65" t="s">
        <v>533</v>
      </c>
      <c r="B325" s="66" t="s">
        <v>3536</v>
      </c>
      <c r="C325" s="66"/>
      <c r="D325" s="67">
        <v>437.5</v>
      </c>
      <c r="E325" s="69">
        <v>100</v>
      </c>
      <c r="F325" s="96" t="str">
        <f>HYPERLINK("https://i.ytimg.com/vi/Jc9RHIS7Zgg/default.jpg")</f>
        <v>https://i.ytimg.com/vi/Jc9RHIS7Zgg/default.jpg</v>
      </c>
      <c r="G325" s="66"/>
      <c r="H325" s="70" t="s">
        <v>943</v>
      </c>
      <c r="I325" s="71"/>
      <c r="J325" s="71" t="s">
        <v>75</v>
      </c>
      <c r="K325" s="70" t="s">
        <v>943</v>
      </c>
      <c r="L325" s="74">
        <v>1.467378670782532</v>
      </c>
      <c r="M325" s="75">
        <v>3599.564208984375</v>
      </c>
      <c r="N325" s="75">
        <v>2798.015380859375</v>
      </c>
      <c r="O325" s="76"/>
      <c r="P325" s="77"/>
      <c r="Q325" s="77"/>
      <c r="R325" s="82"/>
      <c r="S325" s="49">
        <v>3</v>
      </c>
      <c r="T325" s="49">
        <v>0</v>
      </c>
      <c r="U325" s="50">
        <v>0</v>
      </c>
      <c r="V325" s="50">
        <v>0.001007</v>
      </c>
      <c r="W325" s="50">
        <v>0.005223</v>
      </c>
      <c r="X325" s="50">
        <v>0.88893</v>
      </c>
      <c r="Y325" s="50">
        <v>1</v>
      </c>
      <c r="Z325" s="50">
        <v>0</v>
      </c>
      <c r="AA325" s="72">
        <v>324</v>
      </c>
      <c r="AB325" s="72"/>
      <c r="AC325" s="73"/>
      <c r="AD325" s="80" t="s">
        <v>943</v>
      </c>
      <c r="AE325" s="80" t="s">
        <v>1314</v>
      </c>
      <c r="AF325" s="80" t="s">
        <v>1459</v>
      </c>
      <c r="AG325" s="80" t="s">
        <v>1708</v>
      </c>
      <c r="AH325" s="80" t="s">
        <v>2236</v>
      </c>
      <c r="AI325" s="80">
        <v>10644</v>
      </c>
      <c r="AJ325" s="80">
        <v>47</v>
      </c>
      <c r="AK325" s="80">
        <v>448</v>
      </c>
      <c r="AL325" s="80">
        <v>13</v>
      </c>
      <c r="AM325" s="80" t="s">
        <v>2317</v>
      </c>
      <c r="AN325" s="98" t="str">
        <f>HYPERLINK("https://www.youtube.com/watch?v=Jc9RHIS7Zgg")</f>
        <v>https://www.youtube.com/watch?v=Jc9RHIS7Zgg</v>
      </c>
      <c r="AO325" s="80" t="str">
        <f>REPLACE(INDEX(GroupVertices[Group],MATCH(Vertices[[#This Row],[Vertex]],GroupVertices[Vertex],0)),1,1,"")</f>
        <v>4</v>
      </c>
      <c r="AP325" s="49">
        <v>0</v>
      </c>
      <c r="AQ325" s="50">
        <v>0</v>
      </c>
      <c r="AR325" s="49">
        <v>0</v>
      </c>
      <c r="AS325" s="50">
        <v>0</v>
      </c>
      <c r="AT325" s="49">
        <v>0</v>
      </c>
      <c r="AU325" s="50">
        <v>0</v>
      </c>
      <c r="AV325" s="49">
        <v>59</v>
      </c>
      <c r="AW325" s="50">
        <v>100</v>
      </c>
      <c r="AX325" s="49">
        <v>59</v>
      </c>
      <c r="AY325" s="49"/>
      <c r="AZ325" s="49"/>
      <c r="BA325" s="49"/>
      <c r="BB325" s="49"/>
      <c r="BC325" s="2"/>
      <c r="BD325" s="3"/>
      <c r="BE325" s="3"/>
      <c r="BF325" s="3"/>
      <c r="BG325" s="3"/>
    </row>
    <row r="326" spans="1:59" ht="15">
      <c r="A326" s="65" t="s">
        <v>534</v>
      </c>
      <c r="B326" s="66" t="s">
        <v>3536</v>
      </c>
      <c r="C326" s="66"/>
      <c r="D326" s="67">
        <v>212.5</v>
      </c>
      <c r="E326" s="69">
        <v>50</v>
      </c>
      <c r="F326" s="96" t="str">
        <f>HYPERLINK("https://i.ytimg.com/vi/FaluulCtoeI/default.jpg")</f>
        <v>https://i.ytimg.com/vi/FaluulCtoeI/default.jpg</v>
      </c>
      <c r="G326" s="66"/>
      <c r="H326" s="70" t="s">
        <v>944</v>
      </c>
      <c r="I326" s="71"/>
      <c r="J326" s="71" t="s">
        <v>159</v>
      </c>
      <c r="K326" s="70" t="s">
        <v>944</v>
      </c>
      <c r="L326" s="74">
        <v>1.0835154212815585</v>
      </c>
      <c r="M326" s="75">
        <v>9698.7197265625</v>
      </c>
      <c r="N326" s="75">
        <v>9484.818359375</v>
      </c>
      <c r="O326" s="76"/>
      <c r="P326" s="77"/>
      <c r="Q326" s="77"/>
      <c r="R326" s="82"/>
      <c r="S326" s="49">
        <v>1</v>
      </c>
      <c r="T326" s="49">
        <v>0</v>
      </c>
      <c r="U326" s="50">
        <v>0</v>
      </c>
      <c r="V326" s="50">
        <v>0.000916</v>
      </c>
      <c r="W326" s="50">
        <v>0.001813</v>
      </c>
      <c r="X326" s="50">
        <v>0.394914</v>
      </c>
      <c r="Y326" s="50">
        <v>0</v>
      </c>
      <c r="Z326" s="50">
        <v>0</v>
      </c>
      <c r="AA326" s="72">
        <v>325</v>
      </c>
      <c r="AB326" s="72"/>
      <c r="AC326" s="73"/>
      <c r="AD326" s="80" t="s">
        <v>944</v>
      </c>
      <c r="AE326" s="80" t="s">
        <v>1315</v>
      </c>
      <c r="AF326" s="80"/>
      <c r="AG326" s="80" t="s">
        <v>1882</v>
      </c>
      <c r="AH326" s="80" t="s">
        <v>2237</v>
      </c>
      <c r="AI326" s="80">
        <v>1911</v>
      </c>
      <c r="AJ326" s="80">
        <v>12</v>
      </c>
      <c r="AK326" s="80">
        <v>33</v>
      </c>
      <c r="AL326" s="80">
        <v>2</v>
      </c>
      <c r="AM326" s="80" t="s">
        <v>2317</v>
      </c>
      <c r="AN326" s="98" t="str">
        <f>HYPERLINK("https://www.youtube.com/watch?v=FaluulCtoeI")</f>
        <v>https://www.youtube.com/watch?v=FaluulCtoeI</v>
      </c>
      <c r="AO326" s="80" t="str">
        <f>REPLACE(INDEX(GroupVertices[Group],MATCH(Vertices[[#This Row],[Vertex]],GroupVertices[Vertex],0)),1,1,"")</f>
        <v>5</v>
      </c>
      <c r="AP326" s="49"/>
      <c r="AQ326" s="50"/>
      <c r="AR326" s="49"/>
      <c r="AS326" s="50"/>
      <c r="AT326" s="49"/>
      <c r="AU326" s="50"/>
      <c r="AV326" s="49"/>
      <c r="AW326" s="50"/>
      <c r="AX326" s="49"/>
      <c r="AY326" s="49"/>
      <c r="AZ326" s="49"/>
      <c r="BA326" s="49"/>
      <c r="BB326" s="49"/>
      <c r="BC326" s="2"/>
      <c r="BD326" s="3"/>
      <c r="BE326" s="3"/>
      <c r="BF326" s="3"/>
      <c r="BG326" s="3"/>
    </row>
    <row r="327" spans="1:59" ht="15">
      <c r="A327" s="65" t="s">
        <v>535</v>
      </c>
      <c r="B327" s="66" t="s">
        <v>3536</v>
      </c>
      <c r="C327" s="66"/>
      <c r="D327" s="67">
        <v>550</v>
      </c>
      <c r="E327" s="69">
        <v>100</v>
      </c>
      <c r="F327" s="96" t="str">
        <f>HYPERLINK("https://i.ytimg.com/vi/6YyEDCmsthQ/default.jpg")</f>
        <v>https://i.ytimg.com/vi/6YyEDCmsthQ/default.jpg</v>
      </c>
      <c r="G327" s="66"/>
      <c r="H327" s="70" t="s">
        <v>945</v>
      </c>
      <c r="I327" s="71"/>
      <c r="J327" s="71" t="s">
        <v>75</v>
      </c>
      <c r="K327" s="70" t="s">
        <v>945</v>
      </c>
      <c r="L327" s="74">
        <v>1.0603069252622621</v>
      </c>
      <c r="M327" s="75">
        <v>6710.00537109375</v>
      </c>
      <c r="N327" s="75">
        <v>2676.828369140625</v>
      </c>
      <c r="O327" s="76"/>
      <c r="P327" s="77"/>
      <c r="Q327" s="77"/>
      <c r="R327" s="82"/>
      <c r="S327" s="49">
        <v>4</v>
      </c>
      <c r="T327" s="49">
        <v>0</v>
      </c>
      <c r="U327" s="50">
        <v>0</v>
      </c>
      <c r="V327" s="50">
        <v>0.001063</v>
      </c>
      <c r="W327" s="50">
        <v>0.007031</v>
      </c>
      <c r="X327" s="50">
        <v>1.145664</v>
      </c>
      <c r="Y327" s="50">
        <v>1</v>
      </c>
      <c r="Z327" s="50">
        <v>0</v>
      </c>
      <c r="AA327" s="72">
        <v>326</v>
      </c>
      <c r="AB327" s="72"/>
      <c r="AC327" s="73"/>
      <c r="AD327" s="80" t="s">
        <v>945</v>
      </c>
      <c r="AE327" s="80" t="s">
        <v>1316</v>
      </c>
      <c r="AF327" s="80"/>
      <c r="AG327" s="80" t="s">
        <v>1883</v>
      </c>
      <c r="AH327" s="80" t="s">
        <v>2238</v>
      </c>
      <c r="AI327" s="80">
        <v>1383</v>
      </c>
      <c r="AJ327" s="80">
        <v>1</v>
      </c>
      <c r="AK327" s="80">
        <v>16</v>
      </c>
      <c r="AL327" s="80">
        <v>1</v>
      </c>
      <c r="AM327" s="80" t="s">
        <v>2317</v>
      </c>
      <c r="AN327" s="98" t="str">
        <f>HYPERLINK("https://www.youtube.com/watch?v=6YyEDCmsthQ")</f>
        <v>https://www.youtube.com/watch?v=6YyEDCmsthQ</v>
      </c>
      <c r="AO327" s="80" t="str">
        <f>REPLACE(INDEX(GroupVertices[Group],MATCH(Vertices[[#This Row],[Vertex]],GroupVertices[Vertex],0)),1,1,"")</f>
        <v>7</v>
      </c>
      <c r="AP327" s="49"/>
      <c r="AQ327" s="50"/>
      <c r="AR327" s="49"/>
      <c r="AS327" s="50"/>
      <c r="AT327" s="49"/>
      <c r="AU327" s="50"/>
      <c r="AV327" s="49"/>
      <c r="AW327" s="50"/>
      <c r="AX327" s="49"/>
      <c r="AY327" s="49"/>
      <c r="AZ327" s="49"/>
      <c r="BA327" s="49"/>
      <c r="BB327" s="49"/>
      <c r="BC327" s="2"/>
      <c r="BD327" s="3"/>
      <c r="BE327" s="3"/>
      <c r="BF327" s="3"/>
      <c r="BG327" s="3"/>
    </row>
    <row r="328" spans="1:59" ht="15">
      <c r="A328" s="65" t="s">
        <v>536</v>
      </c>
      <c r="B328" s="66" t="s">
        <v>3536</v>
      </c>
      <c r="C328" s="66"/>
      <c r="D328" s="67">
        <v>437.5</v>
      </c>
      <c r="E328" s="69">
        <v>100</v>
      </c>
      <c r="F328" s="96" t="str">
        <f>HYPERLINK("https://i.ytimg.com/vi/zCvxpoSfUW4/default.jpg")</f>
        <v>https://i.ytimg.com/vi/zCvxpoSfUW4/default.jpg</v>
      </c>
      <c r="G328" s="66"/>
      <c r="H328" s="70" t="s">
        <v>946</v>
      </c>
      <c r="I328" s="71"/>
      <c r="J328" s="71" t="s">
        <v>75</v>
      </c>
      <c r="K328" s="70" t="s">
        <v>946</v>
      </c>
      <c r="L328" s="74">
        <v>2.3787516943887597</v>
      </c>
      <c r="M328" s="75">
        <v>9029.4599609375</v>
      </c>
      <c r="N328" s="75">
        <v>7639.27294921875</v>
      </c>
      <c r="O328" s="76"/>
      <c r="P328" s="77"/>
      <c r="Q328" s="77"/>
      <c r="R328" s="82"/>
      <c r="S328" s="49">
        <v>3</v>
      </c>
      <c r="T328" s="49">
        <v>0</v>
      </c>
      <c r="U328" s="50">
        <v>0</v>
      </c>
      <c r="V328" s="50">
        <v>0.001009</v>
      </c>
      <c r="W328" s="50">
        <v>0.005376</v>
      </c>
      <c r="X328" s="50">
        <v>0.887341</v>
      </c>
      <c r="Y328" s="50">
        <v>1</v>
      </c>
      <c r="Z328" s="50">
        <v>0</v>
      </c>
      <c r="AA328" s="72">
        <v>327</v>
      </c>
      <c r="AB328" s="72"/>
      <c r="AC328" s="73"/>
      <c r="AD328" s="80" t="s">
        <v>946</v>
      </c>
      <c r="AE328" s="80" t="s">
        <v>1317</v>
      </c>
      <c r="AF328" s="80" t="s">
        <v>1402</v>
      </c>
      <c r="AG328" s="80" t="s">
        <v>1686</v>
      </c>
      <c r="AH328" s="80" t="s">
        <v>2239</v>
      </c>
      <c r="AI328" s="80">
        <v>31378</v>
      </c>
      <c r="AJ328" s="80">
        <v>85</v>
      </c>
      <c r="AK328" s="80">
        <v>1437</v>
      </c>
      <c r="AL328" s="80">
        <v>49</v>
      </c>
      <c r="AM328" s="80" t="s">
        <v>2317</v>
      </c>
      <c r="AN328" s="98" t="str">
        <f>HYPERLINK("https://www.youtube.com/watch?v=zCvxpoSfUW4")</f>
        <v>https://www.youtube.com/watch?v=zCvxpoSfUW4</v>
      </c>
      <c r="AO328" s="80" t="str">
        <f>REPLACE(INDEX(GroupVertices[Group],MATCH(Vertices[[#This Row],[Vertex]],GroupVertices[Vertex],0)),1,1,"")</f>
        <v>5</v>
      </c>
      <c r="AP328" s="49">
        <v>0</v>
      </c>
      <c r="AQ328" s="50">
        <v>0</v>
      </c>
      <c r="AR328" s="49">
        <v>0</v>
      </c>
      <c r="AS328" s="50">
        <v>0</v>
      </c>
      <c r="AT328" s="49">
        <v>0</v>
      </c>
      <c r="AU328" s="50">
        <v>0</v>
      </c>
      <c r="AV328" s="49">
        <v>64</v>
      </c>
      <c r="AW328" s="50">
        <v>100</v>
      </c>
      <c r="AX328" s="49">
        <v>64</v>
      </c>
      <c r="AY328" s="49"/>
      <c r="AZ328" s="49"/>
      <c r="BA328" s="49"/>
      <c r="BB328" s="49"/>
      <c r="BC328" s="2"/>
      <c r="BD328" s="3"/>
      <c r="BE328" s="3"/>
      <c r="BF328" s="3"/>
      <c r="BG328" s="3"/>
    </row>
    <row r="329" spans="1:59" ht="15">
      <c r="A329" s="65" t="s">
        <v>537</v>
      </c>
      <c r="B329" s="66" t="s">
        <v>3536</v>
      </c>
      <c r="C329" s="66"/>
      <c r="D329" s="67">
        <v>325</v>
      </c>
      <c r="E329" s="69">
        <v>100</v>
      </c>
      <c r="F329" s="96" t="str">
        <f>HYPERLINK("https://i.ytimg.com/vi/3NG8wWwBRFQ/default.jpg")</f>
        <v>https://i.ytimg.com/vi/3NG8wWwBRFQ/default.jpg</v>
      </c>
      <c r="G329" s="66"/>
      <c r="H329" s="70" t="s">
        <v>947</v>
      </c>
      <c r="I329" s="71"/>
      <c r="J329" s="71" t="s">
        <v>75</v>
      </c>
      <c r="K329" s="70" t="s">
        <v>947</v>
      </c>
      <c r="L329" s="74">
        <v>11.231078661839758</v>
      </c>
      <c r="M329" s="75">
        <v>8694.8310546875</v>
      </c>
      <c r="N329" s="75">
        <v>5793.72802734375</v>
      </c>
      <c r="O329" s="76"/>
      <c r="P329" s="77"/>
      <c r="Q329" s="77"/>
      <c r="R329" s="82"/>
      <c r="S329" s="49">
        <v>2</v>
      </c>
      <c r="T329" s="49">
        <v>0</v>
      </c>
      <c r="U329" s="50">
        <v>0</v>
      </c>
      <c r="V329" s="50">
        <v>0.000965</v>
      </c>
      <c r="W329" s="50">
        <v>0.003668</v>
      </c>
      <c r="X329" s="50">
        <v>0.64438</v>
      </c>
      <c r="Y329" s="50">
        <v>1</v>
      </c>
      <c r="Z329" s="50">
        <v>0</v>
      </c>
      <c r="AA329" s="72">
        <v>328</v>
      </c>
      <c r="AB329" s="72"/>
      <c r="AC329" s="73"/>
      <c r="AD329" s="80" t="s">
        <v>947</v>
      </c>
      <c r="AE329" s="80" t="s">
        <v>1318</v>
      </c>
      <c r="AF329" s="80" t="s">
        <v>1628</v>
      </c>
      <c r="AG329" s="80" t="s">
        <v>1884</v>
      </c>
      <c r="AH329" s="80" t="s">
        <v>2240</v>
      </c>
      <c r="AI329" s="80">
        <v>232771</v>
      </c>
      <c r="AJ329" s="80">
        <v>168</v>
      </c>
      <c r="AK329" s="80">
        <v>12940</v>
      </c>
      <c r="AL329" s="80">
        <v>140</v>
      </c>
      <c r="AM329" s="80" t="s">
        <v>2317</v>
      </c>
      <c r="AN329" s="98" t="str">
        <f>HYPERLINK("https://www.youtube.com/watch?v=3NG8wWwBRFQ")</f>
        <v>https://www.youtube.com/watch?v=3NG8wWwBRFQ</v>
      </c>
      <c r="AO329" s="80" t="str">
        <f>REPLACE(INDEX(GroupVertices[Group],MATCH(Vertices[[#This Row],[Vertex]],GroupVertices[Vertex],0)),1,1,"")</f>
        <v>5</v>
      </c>
      <c r="AP329" s="49">
        <v>0</v>
      </c>
      <c r="AQ329" s="50">
        <v>0</v>
      </c>
      <c r="AR329" s="49">
        <v>0</v>
      </c>
      <c r="AS329" s="50">
        <v>0</v>
      </c>
      <c r="AT329" s="49">
        <v>0</v>
      </c>
      <c r="AU329" s="50">
        <v>0</v>
      </c>
      <c r="AV329" s="49">
        <v>80</v>
      </c>
      <c r="AW329" s="50">
        <v>100</v>
      </c>
      <c r="AX329" s="49">
        <v>80</v>
      </c>
      <c r="AY329" s="49"/>
      <c r="AZ329" s="49"/>
      <c r="BA329" s="49"/>
      <c r="BB329" s="49"/>
      <c r="BC329" s="2"/>
      <c r="BD329" s="3"/>
      <c r="BE329" s="3"/>
      <c r="BF329" s="3"/>
      <c r="BG329" s="3"/>
    </row>
    <row r="330" spans="1:59" ht="15">
      <c r="A330" s="65" t="s">
        <v>538</v>
      </c>
      <c r="B330" s="66" t="s">
        <v>3536</v>
      </c>
      <c r="C330" s="66"/>
      <c r="D330" s="67">
        <v>212.5</v>
      </c>
      <c r="E330" s="69">
        <v>50</v>
      </c>
      <c r="F330" s="96" t="str">
        <f>HYPERLINK("https://i.ytimg.com/vi/BdMg5RmMj_0/default.jpg")</f>
        <v>https://i.ytimg.com/vi/BdMg5RmMj_0/default.jpg</v>
      </c>
      <c r="G330" s="66"/>
      <c r="H330" s="70" t="s">
        <v>948</v>
      </c>
      <c r="I330" s="71"/>
      <c r="J330" s="71" t="s">
        <v>159</v>
      </c>
      <c r="K330" s="70" t="s">
        <v>948</v>
      </c>
      <c r="L330" s="74">
        <v>11.009103463170353</v>
      </c>
      <c r="M330" s="75">
        <v>8360.201171875</v>
      </c>
      <c r="N330" s="75">
        <v>5793.72802734375</v>
      </c>
      <c r="O330" s="76"/>
      <c r="P330" s="77"/>
      <c r="Q330" s="77"/>
      <c r="R330" s="82"/>
      <c r="S330" s="49">
        <v>1</v>
      </c>
      <c r="T330" s="49">
        <v>0</v>
      </c>
      <c r="U330" s="50">
        <v>0</v>
      </c>
      <c r="V330" s="50">
        <v>0.000916</v>
      </c>
      <c r="W330" s="50">
        <v>0.001813</v>
      </c>
      <c r="X330" s="50">
        <v>0.394914</v>
      </c>
      <c r="Y330" s="50">
        <v>0</v>
      </c>
      <c r="Z330" s="50">
        <v>0</v>
      </c>
      <c r="AA330" s="72">
        <v>329</v>
      </c>
      <c r="AB330" s="72"/>
      <c r="AC330" s="73"/>
      <c r="AD330" s="80" t="s">
        <v>948</v>
      </c>
      <c r="AE330" s="80" t="s">
        <v>1319</v>
      </c>
      <c r="AF330" s="80" t="s">
        <v>1629</v>
      </c>
      <c r="AG330" s="80" t="s">
        <v>1885</v>
      </c>
      <c r="AH330" s="80" t="s">
        <v>2241</v>
      </c>
      <c r="AI330" s="80">
        <v>227721</v>
      </c>
      <c r="AJ330" s="80">
        <v>594</v>
      </c>
      <c r="AK330" s="80">
        <v>12844</v>
      </c>
      <c r="AL330" s="80">
        <v>176</v>
      </c>
      <c r="AM330" s="80" t="s">
        <v>2317</v>
      </c>
      <c r="AN330" s="98" t="str">
        <f>HYPERLINK("https://www.youtube.com/watch?v=BdMg5RmMj_0")</f>
        <v>https://www.youtube.com/watch?v=BdMg5RmMj_0</v>
      </c>
      <c r="AO330" s="80" t="str">
        <f>REPLACE(INDEX(GroupVertices[Group],MATCH(Vertices[[#This Row],[Vertex]],GroupVertices[Vertex],0)),1,1,"")</f>
        <v>5</v>
      </c>
      <c r="AP330" s="49">
        <v>0</v>
      </c>
      <c r="AQ330" s="50">
        <v>0</v>
      </c>
      <c r="AR330" s="49">
        <v>0</v>
      </c>
      <c r="AS330" s="50">
        <v>0</v>
      </c>
      <c r="AT330" s="49">
        <v>0</v>
      </c>
      <c r="AU330" s="50">
        <v>0</v>
      </c>
      <c r="AV330" s="49">
        <v>60</v>
      </c>
      <c r="AW330" s="50">
        <v>100</v>
      </c>
      <c r="AX330" s="49">
        <v>60</v>
      </c>
      <c r="AY330" s="49"/>
      <c r="AZ330" s="49"/>
      <c r="BA330" s="49"/>
      <c r="BB330" s="49"/>
      <c r="BC330" s="2"/>
      <c r="BD330" s="3"/>
      <c r="BE330" s="3"/>
      <c r="BF330" s="3"/>
      <c r="BG330" s="3"/>
    </row>
    <row r="331" spans="1:59" ht="15">
      <c r="A331" s="65" t="s">
        <v>539</v>
      </c>
      <c r="B331" s="66" t="s">
        <v>3536</v>
      </c>
      <c r="C331" s="66"/>
      <c r="D331" s="67">
        <v>325</v>
      </c>
      <c r="E331" s="69">
        <v>100</v>
      </c>
      <c r="F331" s="96" t="str">
        <f>HYPERLINK("https://i.ytimg.com/vi/MzZu0-K7Hsw/default.jpg")</f>
        <v>https://i.ytimg.com/vi/MzZu0-K7Hsw/default.jpg</v>
      </c>
      <c r="G331" s="66"/>
      <c r="H331" s="70" t="s">
        <v>949</v>
      </c>
      <c r="I331" s="71"/>
      <c r="J331" s="71" t="s">
        <v>75</v>
      </c>
      <c r="K331" s="70" t="s">
        <v>949</v>
      </c>
      <c r="L331" s="74">
        <v>9.638000023151589</v>
      </c>
      <c r="M331" s="75">
        <v>6888.716796875</v>
      </c>
      <c r="N331" s="75">
        <v>5793.72802734375</v>
      </c>
      <c r="O331" s="76"/>
      <c r="P331" s="77"/>
      <c r="Q331" s="77"/>
      <c r="R331" s="82"/>
      <c r="S331" s="49">
        <v>2</v>
      </c>
      <c r="T331" s="49">
        <v>0</v>
      </c>
      <c r="U331" s="50">
        <v>0</v>
      </c>
      <c r="V331" s="50">
        <v>0.000965</v>
      </c>
      <c r="W331" s="50">
        <v>0.003668</v>
      </c>
      <c r="X331" s="50">
        <v>0.64438</v>
      </c>
      <c r="Y331" s="50">
        <v>1</v>
      </c>
      <c r="Z331" s="50">
        <v>0</v>
      </c>
      <c r="AA331" s="72">
        <v>330</v>
      </c>
      <c r="AB331" s="72"/>
      <c r="AC331" s="73"/>
      <c r="AD331" s="80" t="s">
        <v>949</v>
      </c>
      <c r="AE331" s="80" t="s">
        <v>1320</v>
      </c>
      <c r="AF331" s="80" t="s">
        <v>1630</v>
      </c>
      <c r="AG331" s="80" t="s">
        <v>1884</v>
      </c>
      <c r="AH331" s="80" t="s">
        <v>2242</v>
      </c>
      <c r="AI331" s="80">
        <v>196528</v>
      </c>
      <c r="AJ331" s="80">
        <v>181</v>
      </c>
      <c r="AK331" s="80">
        <v>12693</v>
      </c>
      <c r="AL331" s="80">
        <v>144</v>
      </c>
      <c r="AM331" s="80" t="s">
        <v>2317</v>
      </c>
      <c r="AN331" s="98" t="str">
        <f>HYPERLINK("https://www.youtube.com/watch?v=MzZu0-K7Hsw")</f>
        <v>https://www.youtube.com/watch?v=MzZu0-K7Hsw</v>
      </c>
      <c r="AO331" s="80" t="str">
        <f>REPLACE(INDEX(GroupVertices[Group],MATCH(Vertices[[#This Row],[Vertex]],GroupVertices[Vertex],0)),1,1,"")</f>
        <v>6</v>
      </c>
      <c r="AP331" s="49">
        <v>0</v>
      </c>
      <c r="AQ331" s="50">
        <v>0</v>
      </c>
      <c r="AR331" s="49">
        <v>0</v>
      </c>
      <c r="AS331" s="50">
        <v>0</v>
      </c>
      <c r="AT331" s="49">
        <v>0</v>
      </c>
      <c r="AU331" s="50">
        <v>0</v>
      </c>
      <c r="AV331" s="49">
        <v>80</v>
      </c>
      <c r="AW331" s="50">
        <v>100</v>
      </c>
      <c r="AX331" s="49">
        <v>80</v>
      </c>
      <c r="AY331" s="49"/>
      <c r="AZ331" s="49"/>
      <c r="BA331" s="49"/>
      <c r="BB331" s="49"/>
      <c r="BC331" s="2"/>
      <c r="BD331" s="3"/>
      <c r="BE331" s="3"/>
      <c r="BF331" s="3"/>
      <c r="BG331" s="3"/>
    </row>
    <row r="332" spans="1:59" ht="15">
      <c r="A332" s="65" t="s">
        <v>540</v>
      </c>
      <c r="B332" s="66" t="s">
        <v>3536</v>
      </c>
      <c r="C332" s="66"/>
      <c r="D332" s="67">
        <v>437.5</v>
      </c>
      <c r="E332" s="69">
        <v>100</v>
      </c>
      <c r="F332" s="96" t="str">
        <f>HYPERLINK("https://i.ytimg.com/vi/y-EBlFjCkmo/default.jpg")</f>
        <v>https://i.ytimg.com/vi/y-EBlFjCkmo/default.jpg</v>
      </c>
      <c r="G332" s="66"/>
      <c r="H332" s="70" t="s">
        <v>950</v>
      </c>
      <c r="I332" s="71"/>
      <c r="J332" s="71" t="s">
        <v>75</v>
      </c>
      <c r="K332" s="70" t="s">
        <v>950</v>
      </c>
      <c r="L332" s="74">
        <v>3.185510663968614</v>
      </c>
      <c r="M332" s="75">
        <v>8694.8310546875</v>
      </c>
      <c r="N332" s="75">
        <v>7024.0908203125</v>
      </c>
      <c r="O332" s="76"/>
      <c r="P332" s="77"/>
      <c r="Q332" s="77"/>
      <c r="R332" s="82"/>
      <c r="S332" s="49">
        <v>3</v>
      </c>
      <c r="T332" s="49">
        <v>0</v>
      </c>
      <c r="U332" s="50">
        <v>0</v>
      </c>
      <c r="V332" s="50">
        <v>0.001009</v>
      </c>
      <c r="W332" s="50">
        <v>0.005376</v>
      </c>
      <c r="X332" s="50">
        <v>0.887341</v>
      </c>
      <c r="Y332" s="50">
        <v>1</v>
      </c>
      <c r="Z332" s="50">
        <v>0</v>
      </c>
      <c r="AA332" s="72">
        <v>331</v>
      </c>
      <c r="AB332" s="72"/>
      <c r="AC332" s="73"/>
      <c r="AD332" s="80" t="s">
        <v>950</v>
      </c>
      <c r="AE332" s="80" t="s">
        <v>1321</v>
      </c>
      <c r="AF332" s="80" t="s">
        <v>1469</v>
      </c>
      <c r="AG332" s="80" t="s">
        <v>1742</v>
      </c>
      <c r="AH332" s="80" t="s">
        <v>2243</v>
      </c>
      <c r="AI332" s="80">
        <v>49732</v>
      </c>
      <c r="AJ332" s="80">
        <v>155</v>
      </c>
      <c r="AK332" s="80">
        <v>2547</v>
      </c>
      <c r="AL332" s="80">
        <v>65</v>
      </c>
      <c r="AM332" s="80" t="s">
        <v>2317</v>
      </c>
      <c r="AN332" s="98" t="str">
        <f>HYPERLINK("https://www.youtube.com/watch?v=y-EBlFjCkmo")</f>
        <v>https://www.youtube.com/watch?v=y-EBlFjCkmo</v>
      </c>
      <c r="AO332" s="80" t="str">
        <f>REPLACE(INDEX(GroupVertices[Group],MATCH(Vertices[[#This Row],[Vertex]],GroupVertices[Vertex],0)),1,1,"")</f>
        <v>5</v>
      </c>
      <c r="AP332" s="49">
        <v>2</v>
      </c>
      <c r="AQ332" s="50">
        <v>3.1746031746031744</v>
      </c>
      <c r="AR332" s="49">
        <v>0</v>
      </c>
      <c r="AS332" s="50">
        <v>0</v>
      </c>
      <c r="AT332" s="49">
        <v>0</v>
      </c>
      <c r="AU332" s="50">
        <v>0</v>
      </c>
      <c r="AV332" s="49">
        <v>61</v>
      </c>
      <c r="AW332" s="50">
        <v>96.82539682539682</v>
      </c>
      <c r="AX332" s="49">
        <v>63</v>
      </c>
      <c r="AY332" s="49"/>
      <c r="AZ332" s="49"/>
      <c r="BA332" s="49"/>
      <c r="BB332" s="49"/>
      <c r="BC332" s="2"/>
      <c r="BD332" s="3"/>
      <c r="BE332" s="3"/>
      <c r="BF332" s="3"/>
      <c r="BG332" s="3"/>
    </row>
    <row r="333" spans="1:59" ht="15">
      <c r="A333" s="65" t="s">
        <v>541</v>
      </c>
      <c r="B333" s="66" t="s">
        <v>3536</v>
      </c>
      <c r="C333" s="66"/>
      <c r="D333" s="67">
        <v>212.5</v>
      </c>
      <c r="E333" s="69">
        <v>50</v>
      </c>
      <c r="F333" s="96" t="str">
        <f>HYPERLINK("https://i.ytimg.com/vi/XcPCY83FIvk/default.jpg")</f>
        <v>https://i.ytimg.com/vi/XcPCY83FIvk/default.jpg</v>
      </c>
      <c r="G333" s="66"/>
      <c r="H333" s="70" t="s">
        <v>951</v>
      </c>
      <c r="I333" s="71"/>
      <c r="J333" s="71" t="s">
        <v>159</v>
      </c>
      <c r="K333" s="70" t="s">
        <v>951</v>
      </c>
      <c r="L333" s="74">
        <v>33.34908305662327</v>
      </c>
      <c r="M333" s="75">
        <v>9029.4599609375</v>
      </c>
      <c r="N333" s="75">
        <v>5178.54541015625</v>
      </c>
      <c r="O333" s="76"/>
      <c r="P333" s="77"/>
      <c r="Q333" s="77"/>
      <c r="R333" s="82"/>
      <c r="S333" s="49">
        <v>1</v>
      </c>
      <c r="T333" s="49">
        <v>0</v>
      </c>
      <c r="U333" s="50">
        <v>0</v>
      </c>
      <c r="V333" s="50">
        <v>0.000916</v>
      </c>
      <c r="W333" s="50">
        <v>0.001813</v>
      </c>
      <c r="X333" s="50">
        <v>0.394914</v>
      </c>
      <c r="Y333" s="50">
        <v>0</v>
      </c>
      <c r="Z333" s="50">
        <v>0</v>
      </c>
      <c r="AA333" s="72">
        <v>332</v>
      </c>
      <c r="AB333" s="72"/>
      <c r="AC333" s="73"/>
      <c r="AD333" s="80" t="s">
        <v>951</v>
      </c>
      <c r="AE333" s="80" t="s">
        <v>1322</v>
      </c>
      <c r="AF333" s="80" t="s">
        <v>1631</v>
      </c>
      <c r="AG333" s="80" t="s">
        <v>1886</v>
      </c>
      <c r="AH333" s="80" t="s">
        <v>2244</v>
      </c>
      <c r="AI333" s="80">
        <v>735962</v>
      </c>
      <c r="AJ333" s="80">
        <v>1168</v>
      </c>
      <c r="AK333" s="80">
        <v>3090</v>
      </c>
      <c r="AL333" s="80">
        <v>357</v>
      </c>
      <c r="AM333" s="80" t="s">
        <v>2317</v>
      </c>
      <c r="AN333" s="98" t="str">
        <f>HYPERLINK("https://www.youtube.com/watch?v=XcPCY83FIvk")</f>
        <v>https://www.youtube.com/watch?v=XcPCY83FIvk</v>
      </c>
      <c r="AO333" s="80" t="str">
        <f>REPLACE(INDEX(GroupVertices[Group],MATCH(Vertices[[#This Row],[Vertex]],GroupVertices[Vertex],0)),1,1,"")</f>
        <v>5</v>
      </c>
      <c r="AP333" s="49">
        <v>1</v>
      </c>
      <c r="AQ333" s="50">
        <v>2.857142857142857</v>
      </c>
      <c r="AR333" s="49">
        <v>5</v>
      </c>
      <c r="AS333" s="50">
        <v>14.285714285714286</v>
      </c>
      <c r="AT333" s="49">
        <v>0</v>
      </c>
      <c r="AU333" s="50">
        <v>0</v>
      </c>
      <c r="AV333" s="49">
        <v>29</v>
      </c>
      <c r="AW333" s="50">
        <v>82.85714285714286</v>
      </c>
      <c r="AX333" s="49">
        <v>35</v>
      </c>
      <c r="AY333" s="49"/>
      <c r="AZ333" s="49"/>
      <c r="BA333" s="49"/>
      <c r="BB333" s="49"/>
      <c r="BC333" s="2"/>
      <c r="BD333" s="3"/>
      <c r="BE333" s="3"/>
      <c r="BF333" s="3"/>
      <c r="BG333" s="3"/>
    </row>
    <row r="334" spans="1:59" ht="15">
      <c r="A334" s="65" t="s">
        <v>542</v>
      </c>
      <c r="B334" s="66" t="s">
        <v>3536</v>
      </c>
      <c r="C334" s="66"/>
      <c r="D334" s="67">
        <v>212.5</v>
      </c>
      <c r="E334" s="69">
        <v>50</v>
      </c>
      <c r="F334" s="96" t="str">
        <f>HYPERLINK("https://i.ytimg.com/vi/XZddPgySXVk/default.jpg")</f>
        <v>https://i.ytimg.com/vi/XZddPgySXVk/default.jpg</v>
      </c>
      <c r="G334" s="66"/>
      <c r="H334" s="70" t="s">
        <v>952</v>
      </c>
      <c r="I334" s="71"/>
      <c r="J334" s="71" t="s">
        <v>159</v>
      </c>
      <c r="K334" s="70" t="s">
        <v>952</v>
      </c>
      <c r="L334" s="74">
        <v>1.0095822957049367</v>
      </c>
      <c r="M334" s="75">
        <v>8694.8310546875</v>
      </c>
      <c r="N334" s="75">
        <v>9484.818359375</v>
      </c>
      <c r="O334" s="76"/>
      <c r="P334" s="77"/>
      <c r="Q334" s="77"/>
      <c r="R334" s="82"/>
      <c r="S334" s="49">
        <v>1</v>
      </c>
      <c r="T334" s="49">
        <v>0</v>
      </c>
      <c r="U334" s="50">
        <v>0</v>
      </c>
      <c r="V334" s="50">
        <v>0.000916</v>
      </c>
      <c r="W334" s="50">
        <v>0.001813</v>
      </c>
      <c r="X334" s="50">
        <v>0.394914</v>
      </c>
      <c r="Y334" s="50">
        <v>0</v>
      </c>
      <c r="Z334" s="50">
        <v>0</v>
      </c>
      <c r="AA334" s="72">
        <v>333</v>
      </c>
      <c r="AB334" s="72"/>
      <c r="AC334" s="73"/>
      <c r="AD334" s="80" t="s">
        <v>952</v>
      </c>
      <c r="AE334" s="80" t="s">
        <v>952</v>
      </c>
      <c r="AF334" s="80"/>
      <c r="AG334" s="80" t="s">
        <v>1796</v>
      </c>
      <c r="AH334" s="80" t="s">
        <v>2245</v>
      </c>
      <c r="AI334" s="80">
        <v>229</v>
      </c>
      <c r="AJ334" s="80">
        <v>0</v>
      </c>
      <c r="AK334" s="80">
        <v>0</v>
      </c>
      <c r="AL334" s="80">
        <v>0</v>
      </c>
      <c r="AM334" s="80" t="s">
        <v>2317</v>
      </c>
      <c r="AN334" s="98" t="str">
        <f>HYPERLINK("https://www.youtube.com/watch?v=XZddPgySXVk")</f>
        <v>https://www.youtube.com/watch?v=XZddPgySXVk</v>
      </c>
      <c r="AO334" s="80" t="str">
        <f>REPLACE(INDEX(GroupVertices[Group],MATCH(Vertices[[#This Row],[Vertex]],GroupVertices[Vertex],0)),1,1,"")</f>
        <v>5</v>
      </c>
      <c r="AP334" s="49"/>
      <c r="AQ334" s="50"/>
      <c r="AR334" s="49"/>
      <c r="AS334" s="50"/>
      <c r="AT334" s="49"/>
      <c r="AU334" s="50"/>
      <c r="AV334" s="49"/>
      <c r="AW334" s="50"/>
      <c r="AX334" s="49"/>
      <c r="AY334" s="49"/>
      <c r="AZ334" s="49"/>
      <c r="BA334" s="49"/>
      <c r="BB334" s="49"/>
      <c r="BC334" s="2"/>
      <c r="BD334" s="3"/>
      <c r="BE334" s="3"/>
      <c r="BF334" s="3"/>
      <c r="BG334" s="3"/>
    </row>
    <row r="335" spans="1:59" ht="15">
      <c r="A335" s="65" t="s">
        <v>543</v>
      </c>
      <c r="B335" s="66" t="s">
        <v>3536</v>
      </c>
      <c r="C335" s="66"/>
      <c r="D335" s="67">
        <v>212.5</v>
      </c>
      <c r="E335" s="69">
        <v>50</v>
      </c>
      <c r="F335" s="96" t="str">
        <f>HYPERLINK("https://i.ytimg.com/vi/tV6q3IEXi40/default.jpg")</f>
        <v>https://i.ytimg.com/vi/tV6q3IEXi40/default.jpg</v>
      </c>
      <c r="G335" s="66"/>
      <c r="H335" s="70" t="s">
        <v>953</v>
      </c>
      <c r="I335" s="71"/>
      <c r="J335" s="71" t="s">
        <v>159</v>
      </c>
      <c r="K335" s="70" t="s">
        <v>953</v>
      </c>
      <c r="L335" s="74">
        <v>2.4732120314066908</v>
      </c>
      <c r="M335" s="75">
        <v>9364.0908203125</v>
      </c>
      <c r="N335" s="75">
        <v>7639.27294921875</v>
      </c>
      <c r="O335" s="76"/>
      <c r="P335" s="77"/>
      <c r="Q335" s="77"/>
      <c r="R335" s="82"/>
      <c r="S335" s="49">
        <v>1</v>
      </c>
      <c r="T335" s="49">
        <v>0</v>
      </c>
      <c r="U335" s="50">
        <v>0</v>
      </c>
      <c r="V335" s="50">
        <v>0.000916</v>
      </c>
      <c r="W335" s="50">
        <v>0.001813</v>
      </c>
      <c r="X335" s="50">
        <v>0.394914</v>
      </c>
      <c r="Y335" s="50">
        <v>0</v>
      </c>
      <c r="Z335" s="50">
        <v>0</v>
      </c>
      <c r="AA335" s="72">
        <v>334</v>
      </c>
      <c r="AB335" s="72"/>
      <c r="AC335" s="73"/>
      <c r="AD335" s="80" t="s">
        <v>953</v>
      </c>
      <c r="AE335" s="80" t="s">
        <v>1323</v>
      </c>
      <c r="AF335" s="80" t="s">
        <v>1632</v>
      </c>
      <c r="AG335" s="80" t="s">
        <v>1749</v>
      </c>
      <c r="AH335" s="80" t="s">
        <v>2246</v>
      </c>
      <c r="AI335" s="80">
        <v>33527</v>
      </c>
      <c r="AJ335" s="80">
        <v>113</v>
      </c>
      <c r="AK335" s="80">
        <v>941</v>
      </c>
      <c r="AL335" s="80">
        <v>26</v>
      </c>
      <c r="AM335" s="80" t="s">
        <v>2317</v>
      </c>
      <c r="AN335" s="98" t="str">
        <f>HYPERLINK("https://www.youtube.com/watch?v=tV6q3IEXi40")</f>
        <v>https://www.youtube.com/watch?v=tV6q3IEXi40</v>
      </c>
      <c r="AO335" s="80" t="str">
        <f>REPLACE(INDEX(GroupVertices[Group],MATCH(Vertices[[#This Row],[Vertex]],GroupVertices[Vertex],0)),1,1,"")</f>
        <v>5</v>
      </c>
      <c r="AP335" s="49">
        <v>0</v>
      </c>
      <c r="AQ335" s="50">
        <v>0</v>
      </c>
      <c r="AR335" s="49">
        <v>0</v>
      </c>
      <c r="AS335" s="50">
        <v>0</v>
      </c>
      <c r="AT335" s="49">
        <v>0</v>
      </c>
      <c r="AU335" s="50">
        <v>0</v>
      </c>
      <c r="AV335" s="49">
        <v>8</v>
      </c>
      <c r="AW335" s="50">
        <v>100</v>
      </c>
      <c r="AX335" s="49">
        <v>8</v>
      </c>
      <c r="AY335" s="49"/>
      <c r="AZ335" s="49"/>
      <c r="BA335" s="49"/>
      <c r="BB335" s="49"/>
      <c r="BC335" s="2"/>
      <c r="BD335" s="3"/>
      <c r="BE335" s="3"/>
      <c r="BF335" s="3"/>
      <c r="BG335" s="3"/>
    </row>
    <row r="336" spans="1:59" ht="15">
      <c r="A336" s="65" t="s">
        <v>544</v>
      </c>
      <c r="B336" s="66" t="s">
        <v>3536</v>
      </c>
      <c r="C336" s="66"/>
      <c r="D336" s="67">
        <v>212.5</v>
      </c>
      <c r="E336" s="69">
        <v>50</v>
      </c>
      <c r="F336" s="96" t="str">
        <f>HYPERLINK("https://i.ytimg.com/vi/Sr8IWmTh04o/default.jpg")</f>
        <v>https://i.ytimg.com/vi/Sr8IWmTh04o/default.jpg</v>
      </c>
      <c r="G336" s="66"/>
      <c r="H336" s="70" t="s">
        <v>954</v>
      </c>
      <c r="I336" s="71"/>
      <c r="J336" s="71" t="s">
        <v>159</v>
      </c>
      <c r="K336" s="70" t="s">
        <v>954</v>
      </c>
      <c r="L336" s="74">
        <v>6.806079998463712</v>
      </c>
      <c r="M336" s="75">
        <v>9364.0908203125</v>
      </c>
      <c r="N336" s="75">
        <v>6408.9091796875</v>
      </c>
      <c r="O336" s="76"/>
      <c r="P336" s="77"/>
      <c r="Q336" s="77"/>
      <c r="R336" s="82"/>
      <c r="S336" s="49">
        <v>1</v>
      </c>
      <c r="T336" s="49">
        <v>0</v>
      </c>
      <c r="U336" s="50">
        <v>0</v>
      </c>
      <c r="V336" s="50">
        <v>0.000916</v>
      </c>
      <c r="W336" s="50">
        <v>0.001813</v>
      </c>
      <c r="X336" s="50">
        <v>0.394914</v>
      </c>
      <c r="Y336" s="50">
        <v>0</v>
      </c>
      <c r="Z336" s="50">
        <v>0</v>
      </c>
      <c r="AA336" s="72">
        <v>335</v>
      </c>
      <c r="AB336" s="72"/>
      <c r="AC336" s="73"/>
      <c r="AD336" s="80" t="s">
        <v>954</v>
      </c>
      <c r="AE336" s="80" t="s">
        <v>1324</v>
      </c>
      <c r="AF336" s="80"/>
      <c r="AG336" s="80" t="s">
        <v>1687</v>
      </c>
      <c r="AH336" s="80" t="s">
        <v>2247</v>
      </c>
      <c r="AI336" s="80">
        <v>132101</v>
      </c>
      <c r="AJ336" s="80">
        <v>269</v>
      </c>
      <c r="AK336" s="80">
        <v>9688</v>
      </c>
      <c r="AL336" s="80">
        <v>149</v>
      </c>
      <c r="AM336" s="80" t="s">
        <v>2317</v>
      </c>
      <c r="AN336" s="98" t="str">
        <f>HYPERLINK("https://www.youtube.com/watch?v=Sr8IWmTh04o")</f>
        <v>https://www.youtube.com/watch?v=Sr8IWmTh04o</v>
      </c>
      <c r="AO336" s="80" t="str">
        <f>REPLACE(INDEX(GroupVertices[Group],MATCH(Vertices[[#This Row],[Vertex]],GroupVertices[Vertex],0)),1,1,"")</f>
        <v>5</v>
      </c>
      <c r="AP336" s="49"/>
      <c r="AQ336" s="50"/>
      <c r="AR336" s="49"/>
      <c r="AS336" s="50"/>
      <c r="AT336" s="49"/>
      <c r="AU336" s="50"/>
      <c r="AV336" s="49"/>
      <c r="AW336" s="50"/>
      <c r="AX336" s="49"/>
      <c r="AY336" s="49"/>
      <c r="AZ336" s="49"/>
      <c r="BA336" s="49"/>
      <c r="BB336" s="49"/>
      <c r="BC336" s="2"/>
      <c r="BD336" s="3"/>
      <c r="BE336" s="3"/>
      <c r="BF336" s="3"/>
      <c r="BG336" s="3"/>
    </row>
    <row r="337" spans="1:59" ht="15">
      <c r="A337" s="65" t="s">
        <v>545</v>
      </c>
      <c r="B337" s="66" t="s">
        <v>3536</v>
      </c>
      <c r="C337" s="66"/>
      <c r="D337" s="67">
        <v>325</v>
      </c>
      <c r="E337" s="69">
        <v>100</v>
      </c>
      <c r="F337" s="96" t="str">
        <f>HYPERLINK("https://i.ytimg.com/vi/Z4q5TC9uM9Q/default.jpg")</f>
        <v>https://i.ytimg.com/vi/Z4q5TC9uM9Q/default.jpg</v>
      </c>
      <c r="G337" s="66"/>
      <c r="H337" s="70" t="s">
        <v>955</v>
      </c>
      <c r="I337" s="71"/>
      <c r="J337" s="71" t="s">
        <v>75</v>
      </c>
      <c r="K337" s="70" t="s">
        <v>955</v>
      </c>
      <c r="L337" s="74">
        <v>1.9650426706508504</v>
      </c>
      <c r="M337" s="75">
        <v>8025.5712890625</v>
      </c>
      <c r="N337" s="75">
        <v>7639.27294921875</v>
      </c>
      <c r="O337" s="76"/>
      <c r="P337" s="77"/>
      <c r="Q337" s="77"/>
      <c r="R337" s="82"/>
      <c r="S337" s="49">
        <v>2</v>
      </c>
      <c r="T337" s="49">
        <v>0</v>
      </c>
      <c r="U337" s="50">
        <v>0</v>
      </c>
      <c r="V337" s="50">
        <v>0.000965</v>
      </c>
      <c r="W337" s="50">
        <v>0.003668</v>
      </c>
      <c r="X337" s="50">
        <v>0.64438</v>
      </c>
      <c r="Y337" s="50">
        <v>1</v>
      </c>
      <c r="Z337" s="50">
        <v>0</v>
      </c>
      <c r="AA337" s="72">
        <v>336</v>
      </c>
      <c r="AB337" s="72"/>
      <c r="AC337" s="73"/>
      <c r="AD337" s="80" t="s">
        <v>955</v>
      </c>
      <c r="AE337" s="80" t="s">
        <v>1325</v>
      </c>
      <c r="AF337" s="80" t="s">
        <v>1633</v>
      </c>
      <c r="AG337" s="80" t="s">
        <v>1887</v>
      </c>
      <c r="AH337" s="80" t="s">
        <v>2248</v>
      </c>
      <c r="AI337" s="80">
        <v>21966</v>
      </c>
      <c r="AJ337" s="80">
        <v>0</v>
      </c>
      <c r="AK337" s="80">
        <v>498</v>
      </c>
      <c r="AL337" s="80">
        <v>110</v>
      </c>
      <c r="AM337" s="80" t="s">
        <v>2317</v>
      </c>
      <c r="AN337" s="98" t="str">
        <f>HYPERLINK("https://www.youtube.com/watch?v=Z4q5TC9uM9Q")</f>
        <v>https://www.youtube.com/watch?v=Z4q5TC9uM9Q</v>
      </c>
      <c r="AO337" s="80" t="str">
        <f>REPLACE(INDEX(GroupVertices[Group],MATCH(Vertices[[#This Row],[Vertex]],GroupVertices[Vertex],0)),1,1,"")</f>
        <v>5</v>
      </c>
      <c r="AP337" s="49">
        <v>0</v>
      </c>
      <c r="AQ337" s="50">
        <v>0</v>
      </c>
      <c r="AR337" s="49">
        <v>0</v>
      </c>
      <c r="AS337" s="50">
        <v>0</v>
      </c>
      <c r="AT337" s="49">
        <v>0</v>
      </c>
      <c r="AU337" s="50">
        <v>0</v>
      </c>
      <c r="AV337" s="49">
        <v>22</v>
      </c>
      <c r="AW337" s="50">
        <v>100</v>
      </c>
      <c r="AX337" s="49">
        <v>22</v>
      </c>
      <c r="AY337" s="49"/>
      <c r="AZ337" s="49"/>
      <c r="BA337" s="49"/>
      <c r="BB337" s="49"/>
      <c r="BC337" s="2"/>
      <c r="BD337" s="3"/>
      <c r="BE337" s="3"/>
      <c r="BF337" s="3"/>
      <c r="BG337" s="3"/>
    </row>
    <row r="338" spans="1:59" ht="15">
      <c r="A338" s="65" t="s">
        <v>546</v>
      </c>
      <c r="B338" s="66" t="s">
        <v>3536</v>
      </c>
      <c r="C338" s="66"/>
      <c r="D338" s="67">
        <v>325</v>
      </c>
      <c r="E338" s="69">
        <v>100</v>
      </c>
      <c r="F338" s="96" t="str">
        <f>HYPERLINK("https://i.ytimg.com/vi/wYUPVmMIuYI/default.jpg")</f>
        <v>https://i.ytimg.com/vi/wYUPVmMIuYI/default.jpg</v>
      </c>
      <c r="G338" s="66"/>
      <c r="H338" s="70" t="s">
        <v>956</v>
      </c>
      <c r="I338" s="71"/>
      <c r="J338" s="71" t="s">
        <v>75</v>
      </c>
      <c r="K338" s="70" t="s">
        <v>956</v>
      </c>
      <c r="L338" s="74">
        <v>2.1826662763166373</v>
      </c>
      <c r="M338" s="75">
        <v>6219.45751953125</v>
      </c>
      <c r="N338" s="75">
        <v>7024.0908203125</v>
      </c>
      <c r="O338" s="76"/>
      <c r="P338" s="77"/>
      <c r="Q338" s="77"/>
      <c r="R338" s="82"/>
      <c r="S338" s="49">
        <v>2</v>
      </c>
      <c r="T338" s="49">
        <v>0</v>
      </c>
      <c r="U338" s="50">
        <v>0</v>
      </c>
      <c r="V338" s="50">
        <v>0.000965</v>
      </c>
      <c r="W338" s="50">
        <v>0.003668</v>
      </c>
      <c r="X338" s="50">
        <v>0.64438</v>
      </c>
      <c r="Y338" s="50">
        <v>1</v>
      </c>
      <c r="Z338" s="50">
        <v>0</v>
      </c>
      <c r="AA338" s="72">
        <v>337</v>
      </c>
      <c r="AB338" s="72"/>
      <c r="AC338" s="73"/>
      <c r="AD338" s="80" t="s">
        <v>956</v>
      </c>
      <c r="AE338" s="80" t="s">
        <v>1326</v>
      </c>
      <c r="AF338" s="80" t="s">
        <v>1634</v>
      </c>
      <c r="AG338" s="80" t="s">
        <v>1888</v>
      </c>
      <c r="AH338" s="80" t="s">
        <v>2249</v>
      </c>
      <c r="AI338" s="80">
        <v>26917</v>
      </c>
      <c r="AJ338" s="80">
        <v>29</v>
      </c>
      <c r="AK338" s="80">
        <v>513</v>
      </c>
      <c r="AL338" s="80">
        <v>38</v>
      </c>
      <c r="AM338" s="80" t="s">
        <v>2317</v>
      </c>
      <c r="AN338" s="98" t="str">
        <f>HYPERLINK("https://www.youtube.com/watch?v=wYUPVmMIuYI")</f>
        <v>https://www.youtube.com/watch?v=wYUPVmMIuYI</v>
      </c>
      <c r="AO338" s="80" t="str">
        <f>REPLACE(INDEX(GroupVertices[Group],MATCH(Vertices[[#This Row],[Vertex]],GroupVertices[Vertex],0)),1,1,"")</f>
        <v>6</v>
      </c>
      <c r="AP338" s="49">
        <v>0</v>
      </c>
      <c r="AQ338" s="50">
        <v>0</v>
      </c>
      <c r="AR338" s="49">
        <v>0</v>
      </c>
      <c r="AS338" s="50">
        <v>0</v>
      </c>
      <c r="AT338" s="49">
        <v>0</v>
      </c>
      <c r="AU338" s="50">
        <v>0</v>
      </c>
      <c r="AV338" s="49">
        <v>53</v>
      </c>
      <c r="AW338" s="50">
        <v>100</v>
      </c>
      <c r="AX338" s="49">
        <v>53</v>
      </c>
      <c r="AY338" s="49"/>
      <c r="AZ338" s="49"/>
      <c r="BA338" s="49"/>
      <c r="BB338" s="49"/>
      <c r="BC338" s="2"/>
      <c r="BD338" s="3"/>
      <c r="BE338" s="3"/>
      <c r="BF338" s="3"/>
      <c r="BG338" s="3"/>
    </row>
    <row r="339" spans="1:59" ht="15">
      <c r="A339" s="65" t="s">
        <v>547</v>
      </c>
      <c r="B339" s="66" t="s">
        <v>3536</v>
      </c>
      <c r="C339" s="66"/>
      <c r="D339" s="67">
        <v>437.5</v>
      </c>
      <c r="E339" s="69">
        <v>100</v>
      </c>
      <c r="F339" s="96" t="str">
        <f>HYPERLINK("https://i.ytimg.com/vi/3_aqwQThj5A/default.jpg")</f>
        <v>https://i.ytimg.com/vi/3_aqwQThj5A/default.jpg</v>
      </c>
      <c r="G339" s="66"/>
      <c r="H339" s="70" t="s">
        <v>957</v>
      </c>
      <c r="I339" s="71"/>
      <c r="J339" s="71" t="s">
        <v>75</v>
      </c>
      <c r="K339" s="70" t="s">
        <v>957</v>
      </c>
      <c r="L339" s="74">
        <v>1.1708549697481145</v>
      </c>
      <c r="M339" s="75">
        <v>2401.68798828125</v>
      </c>
      <c r="N339" s="75">
        <v>3916.18896484375</v>
      </c>
      <c r="O339" s="76"/>
      <c r="P339" s="77"/>
      <c r="Q339" s="77"/>
      <c r="R339" s="82"/>
      <c r="S339" s="49">
        <v>3</v>
      </c>
      <c r="T339" s="49">
        <v>0</v>
      </c>
      <c r="U339" s="50">
        <v>0</v>
      </c>
      <c r="V339" s="50">
        <v>0.001014</v>
      </c>
      <c r="W339" s="50">
        <v>0.00517</v>
      </c>
      <c r="X339" s="50">
        <v>0.904292</v>
      </c>
      <c r="Y339" s="50">
        <v>1</v>
      </c>
      <c r="Z339" s="50">
        <v>0</v>
      </c>
      <c r="AA339" s="72">
        <v>338</v>
      </c>
      <c r="AB339" s="72"/>
      <c r="AC339" s="73"/>
      <c r="AD339" s="80" t="s">
        <v>957</v>
      </c>
      <c r="AE339" s="80" t="s">
        <v>1327</v>
      </c>
      <c r="AF339" s="80" t="s">
        <v>1635</v>
      </c>
      <c r="AG339" s="80" t="s">
        <v>1829</v>
      </c>
      <c r="AH339" s="80" t="s">
        <v>2250</v>
      </c>
      <c r="AI339" s="80">
        <v>3898</v>
      </c>
      <c r="AJ339" s="80">
        <v>0</v>
      </c>
      <c r="AK339" s="80">
        <v>27</v>
      </c>
      <c r="AL339" s="80">
        <v>3</v>
      </c>
      <c r="AM339" s="80" t="s">
        <v>2317</v>
      </c>
      <c r="AN339" s="98" t="str">
        <f>HYPERLINK("https://www.youtube.com/watch?v=3_aqwQThj5A")</f>
        <v>https://www.youtube.com/watch?v=3_aqwQThj5A</v>
      </c>
      <c r="AO339" s="80" t="str">
        <f>REPLACE(INDEX(GroupVertices[Group],MATCH(Vertices[[#This Row],[Vertex]],GroupVertices[Vertex],0)),1,1,"")</f>
        <v>2</v>
      </c>
      <c r="AP339" s="49">
        <v>0</v>
      </c>
      <c r="AQ339" s="50">
        <v>0</v>
      </c>
      <c r="AR339" s="49">
        <v>1</v>
      </c>
      <c r="AS339" s="50">
        <v>6.666666666666667</v>
      </c>
      <c r="AT339" s="49">
        <v>0</v>
      </c>
      <c r="AU339" s="50">
        <v>0</v>
      </c>
      <c r="AV339" s="49">
        <v>14</v>
      </c>
      <c r="AW339" s="50">
        <v>93.33333333333333</v>
      </c>
      <c r="AX339" s="49">
        <v>15</v>
      </c>
      <c r="AY339" s="49"/>
      <c r="AZ339" s="49"/>
      <c r="BA339" s="49"/>
      <c r="BB339" s="49"/>
      <c r="BC339" s="2"/>
      <c r="BD339" s="3"/>
      <c r="BE339" s="3"/>
      <c r="BF339" s="3"/>
      <c r="BG339" s="3"/>
    </row>
    <row r="340" spans="1:59" ht="15">
      <c r="A340" s="65" t="s">
        <v>548</v>
      </c>
      <c r="B340" s="66" t="s">
        <v>3536</v>
      </c>
      <c r="C340" s="66"/>
      <c r="D340" s="67">
        <v>437.5</v>
      </c>
      <c r="E340" s="69">
        <v>100</v>
      </c>
      <c r="F340" s="96" t="str">
        <f>HYPERLINK("https://i.ytimg.com/vi/rP9dzRCHEGU/default.jpg")</f>
        <v>https://i.ytimg.com/vi/rP9dzRCHEGU/default.jpg</v>
      </c>
      <c r="G340" s="66"/>
      <c r="H340" s="70" t="s">
        <v>958</v>
      </c>
      <c r="I340" s="71"/>
      <c r="J340" s="71" t="s">
        <v>75</v>
      </c>
      <c r="K340" s="70" t="s">
        <v>958</v>
      </c>
      <c r="L340" s="74">
        <v>1.0738891700917368</v>
      </c>
      <c r="M340" s="75">
        <v>7557.9765625</v>
      </c>
      <c r="N340" s="75">
        <v>9484.818359375</v>
      </c>
      <c r="O340" s="76"/>
      <c r="P340" s="77"/>
      <c r="Q340" s="77"/>
      <c r="R340" s="82"/>
      <c r="S340" s="49">
        <v>3</v>
      </c>
      <c r="T340" s="49">
        <v>0</v>
      </c>
      <c r="U340" s="50">
        <v>0</v>
      </c>
      <c r="V340" s="50">
        <v>0.001016</v>
      </c>
      <c r="W340" s="50">
        <v>0.005323</v>
      </c>
      <c r="X340" s="50">
        <v>0.902703</v>
      </c>
      <c r="Y340" s="50">
        <v>1</v>
      </c>
      <c r="Z340" s="50">
        <v>0</v>
      </c>
      <c r="AA340" s="72">
        <v>339</v>
      </c>
      <c r="AB340" s="72"/>
      <c r="AC340" s="73"/>
      <c r="AD340" s="80" t="s">
        <v>958</v>
      </c>
      <c r="AE340" s="80" t="s">
        <v>1328</v>
      </c>
      <c r="AF340" s="80" t="s">
        <v>1636</v>
      </c>
      <c r="AG340" s="80" t="s">
        <v>1889</v>
      </c>
      <c r="AH340" s="80" t="s">
        <v>2251</v>
      </c>
      <c r="AI340" s="80">
        <v>1692</v>
      </c>
      <c r="AJ340" s="80">
        <v>2</v>
      </c>
      <c r="AK340" s="80">
        <v>26</v>
      </c>
      <c r="AL340" s="80">
        <v>2</v>
      </c>
      <c r="AM340" s="80" t="s">
        <v>2317</v>
      </c>
      <c r="AN340" s="98" t="str">
        <f>HYPERLINK("https://www.youtube.com/watch?v=rP9dzRCHEGU")</f>
        <v>https://www.youtube.com/watch?v=rP9dzRCHEGU</v>
      </c>
      <c r="AO340" s="80" t="str">
        <f>REPLACE(INDEX(GroupVertices[Group],MATCH(Vertices[[#This Row],[Vertex]],GroupVertices[Vertex],0)),1,1,"")</f>
        <v>6</v>
      </c>
      <c r="AP340" s="49">
        <v>0</v>
      </c>
      <c r="AQ340" s="50">
        <v>0</v>
      </c>
      <c r="AR340" s="49">
        <v>0</v>
      </c>
      <c r="AS340" s="50">
        <v>0</v>
      </c>
      <c r="AT340" s="49">
        <v>0</v>
      </c>
      <c r="AU340" s="50">
        <v>0</v>
      </c>
      <c r="AV340" s="49">
        <v>29</v>
      </c>
      <c r="AW340" s="50">
        <v>100</v>
      </c>
      <c r="AX340" s="49">
        <v>29</v>
      </c>
      <c r="AY340" s="49"/>
      <c r="AZ340" s="49"/>
      <c r="BA340" s="49"/>
      <c r="BB340" s="49"/>
      <c r="BC340" s="2"/>
      <c r="BD340" s="3"/>
      <c r="BE340" s="3"/>
      <c r="BF340" s="3"/>
      <c r="BG340" s="3"/>
    </row>
    <row r="341" spans="1:59" ht="15">
      <c r="A341" s="65" t="s">
        <v>549</v>
      </c>
      <c r="B341" s="66" t="s">
        <v>3536</v>
      </c>
      <c r="C341" s="66"/>
      <c r="D341" s="67">
        <v>212.5</v>
      </c>
      <c r="E341" s="69">
        <v>50</v>
      </c>
      <c r="F341" s="96" t="str">
        <f>HYPERLINK("https://i.ytimg.com/vi/STSTQW-PqZg/default.jpg")</f>
        <v>https://i.ytimg.com/vi/STSTQW-PqZg/default.jpg</v>
      </c>
      <c r="G341" s="66"/>
      <c r="H341" s="70" t="s">
        <v>959</v>
      </c>
      <c r="I341" s="71"/>
      <c r="J341" s="71" t="s">
        <v>159</v>
      </c>
      <c r="K341" s="70" t="s">
        <v>959</v>
      </c>
      <c r="L341" s="74">
        <v>1.0122196247980386</v>
      </c>
      <c r="M341" s="75">
        <v>9029.4599609375</v>
      </c>
      <c r="N341" s="75">
        <v>9484.818359375</v>
      </c>
      <c r="O341" s="76"/>
      <c r="P341" s="77"/>
      <c r="Q341" s="77"/>
      <c r="R341" s="82"/>
      <c r="S341" s="49">
        <v>1</v>
      </c>
      <c r="T341" s="49">
        <v>0</v>
      </c>
      <c r="U341" s="50">
        <v>0</v>
      </c>
      <c r="V341" s="50">
        <v>0.000916</v>
      </c>
      <c r="W341" s="50">
        <v>0.001813</v>
      </c>
      <c r="X341" s="50">
        <v>0.394914</v>
      </c>
      <c r="Y341" s="50">
        <v>0</v>
      </c>
      <c r="Z341" s="50">
        <v>0</v>
      </c>
      <c r="AA341" s="72">
        <v>340</v>
      </c>
      <c r="AB341" s="72"/>
      <c r="AC341" s="73"/>
      <c r="AD341" s="80" t="s">
        <v>959</v>
      </c>
      <c r="AE341" s="80" t="s">
        <v>1329</v>
      </c>
      <c r="AF341" s="80"/>
      <c r="AG341" s="80" t="s">
        <v>1796</v>
      </c>
      <c r="AH341" s="80" t="s">
        <v>2252</v>
      </c>
      <c r="AI341" s="80">
        <v>289</v>
      </c>
      <c r="AJ341" s="80">
        <v>0</v>
      </c>
      <c r="AK341" s="80">
        <v>0</v>
      </c>
      <c r="AL341" s="80">
        <v>0</v>
      </c>
      <c r="AM341" s="80" t="s">
        <v>2317</v>
      </c>
      <c r="AN341" s="98" t="str">
        <f>HYPERLINK("https://www.youtube.com/watch?v=STSTQW-PqZg")</f>
        <v>https://www.youtube.com/watch?v=STSTQW-PqZg</v>
      </c>
      <c r="AO341" s="80" t="str">
        <f>REPLACE(INDEX(GroupVertices[Group],MATCH(Vertices[[#This Row],[Vertex]],GroupVertices[Vertex],0)),1,1,"")</f>
        <v>5</v>
      </c>
      <c r="AP341" s="49"/>
      <c r="AQ341" s="50"/>
      <c r="AR341" s="49"/>
      <c r="AS341" s="50"/>
      <c r="AT341" s="49"/>
      <c r="AU341" s="50"/>
      <c r="AV341" s="49"/>
      <c r="AW341" s="50"/>
      <c r="AX341" s="49"/>
      <c r="AY341" s="49"/>
      <c r="AZ341" s="49"/>
      <c r="BA341" s="49"/>
      <c r="BB341" s="49"/>
      <c r="BC341" s="2"/>
      <c r="BD341" s="3"/>
      <c r="BE341" s="3"/>
      <c r="BF341" s="3"/>
      <c r="BG341" s="3"/>
    </row>
    <row r="342" spans="1:59" ht="15">
      <c r="A342" s="65" t="s">
        <v>550</v>
      </c>
      <c r="B342" s="66" t="s">
        <v>3536</v>
      </c>
      <c r="C342" s="66"/>
      <c r="D342" s="67">
        <v>212.5</v>
      </c>
      <c r="E342" s="69">
        <v>50</v>
      </c>
      <c r="F342" s="96" t="str">
        <f>HYPERLINK("https://i.ytimg.com/vi/3zpjJbT1D5c/default.jpg")</f>
        <v>https://i.ytimg.com/vi/3zpjJbT1D5c/default.jpg</v>
      </c>
      <c r="G342" s="66"/>
      <c r="H342" s="70" t="s">
        <v>960</v>
      </c>
      <c r="I342" s="71"/>
      <c r="J342" s="71" t="s">
        <v>159</v>
      </c>
      <c r="K342" s="70" t="s">
        <v>960</v>
      </c>
      <c r="L342" s="74">
        <v>1.1378444005994564</v>
      </c>
      <c r="M342" s="75">
        <v>8025.5712890625</v>
      </c>
      <c r="N342" s="75">
        <v>8869.63671875</v>
      </c>
      <c r="O342" s="76"/>
      <c r="P342" s="77"/>
      <c r="Q342" s="77"/>
      <c r="R342" s="82"/>
      <c r="S342" s="49">
        <v>1</v>
      </c>
      <c r="T342" s="49">
        <v>0</v>
      </c>
      <c r="U342" s="50">
        <v>0</v>
      </c>
      <c r="V342" s="50">
        <v>0.000916</v>
      </c>
      <c r="W342" s="50">
        <v>0.001813</v>
      </c>
      <c r="X342" s="50">
        <v>0.394914</v>
      </c>
      <c r="Y342" s="50">
        <v>0</v>
      </c>
      <c r="Z342" s="50">
        <v>0</v>
      </c>
      <c r="AA342" s="72">
        <v>341</v>
      </c>
      <c r="AB342" s="72"/>
      <c r="AC342" s="73"/>
      <c r="AD342" s="80" t="s">
        <v>960</v>
      </c>
      <c r="AE342" s="80" t="s">
        <v>1330</v>
      </c>
      <c r="AF342" s="80" t="s">
        <v>1637</v>
      </c>
      <c r="AG342" s="80" t="s">
        <v>1890</v>
      </c>
      <c r="AH342" s="80" t="s">
        <v>2253</v>
      </c>
      <c r="AI342" s="80">
        <v>3147</v>
      </c>
      <c r="AJ342" s="80">
        <v>5</v>
      </c>
      <c r="AK342" s="80">
        <v>0</v>
      </c>
      <c r="AL342" s="80">
        <v>0</v>
      </c>
      <c r="AM342" s="80" t="s">
        <v>2317</v>
      </c>
      <c r="AN342" s="98" t="str">
        <f>HYPERLINK("https://www.youtube.com/watch?v=3zpjJbT1D5c")</f>
        <v>https://www.youtube.com/watch?v=3zpjJbT1D5c</v>
      </c>
      <c r="AO342" s="80" t="str">
        <f>REPLACE(INDEX(GroupVertices[Group],MATCH(Vertices[[#This Row],[Vertex]],GroupVertices[Vertex],0)),1,1,"")</f>
        <v>5</v>
      </c>
      <c r="AP342" s="49">
        <v>1</v>
      </c>
      <c r="AQ342" s="50">
        <v>1.5873015873015872</v>
      </c>
      <c r="AR342" s="49">
        <v>3</v>
      </c>
      <c r="AS342" s="50">
        <v>4.761904761904762</v>
      </c>
      <c r="AT342" s="49">
        <v>0</v>
      </c>
      <c r="AU342" s="50">
        <v>0</v>
      </c>
      <c r="AV342" s="49">
        <v>59</v>
      </c>
      <c r="AW342" s="50">
        <v>93.65079365079364</v>
      </c>
      <c r="AX342" s="49">
        <v>63</v>
      </c>
      <c r="AY342" s="49"/>
      <c r="AZ342" s="49"/>
      <c r="BA342" s="49"/>
      <c r="BB342" s="49"/>
      <c r="BC342" s="2"/>
      <c r="BD342" s="3"/>
      <c r="BE342" s="3"/>
      <c r="BF342" s="3"/>
      <c r="BG342" s="3"/>
    </row>
    <row r="343" spans="1:59" ht="15">
      <c r="A343" s="65" t="s">
        <v>551</v>
      </c>
      <c r="B343" s="66" t="s">
        <v>3536</v>
      </c>
      <c r="C343" s="66"/>
      <c r="D343" s="67">
        <v>437.5</v>
      </c>
      <c r="E343" s="69">
        <v>100</v>
      </c>
      <c r="F343" s="96" t="str">
        <f>HYPERLINK("https://i.ytimg.com/vi/_l2dt1G9-lo/default.jpg")</f>
        <v>https://i.ytimg.com/vi/_l2dt1G9-lo/default.jpg</v>
      </c>
      <c r="G343" s="66"/>
      <c r="H343" s="70" t="s">
        <v>961</v>
      </c>
      <c r="I343" s="71"/>
      <c r="J343" s="71" t="s">
        <v>75</v>
      </c>
      <c r="K343" s="70" t="s">
        <v>961</v>
      </c>
      <c r="L343" s="74">
        <v>1.0378017170011264</v>
      </c>
      <c r="M343" s="75">
        <v>7900.9951171875</v>
      </c>
      <c r="N343" s="75">
        <v>3225.769287109375</v>
      </c>
      <c r="O343" s="76"/>
      <c r="P343" s="77"/>
      <c r="Q343" s="77"/>
      <c r="R343" s="82"/>
      <c r="S343" s="49">
        <v>3</v>
      </c>
      <c r="T343" s="49">
        <v>0</v>
      </c>
      <c r="U343" s="50">
        <v>0</v>
      </c>
      <c r="V343" s="50">
        <v>0.001007</v>
      </c>
      <c r="W343" s="50">
        <v>0.005223</v>
      </c>
      <c r="X343" s="50">
        <v>0.88893</v>
      </c>
      <c r="Y343" s="50">
        <v>1</v>
      </c>
      <c r="Z343" s="50">
        <v>0</v>
      </c>
      <c r="AA343" s="72">
        <v>342</v>
      </c>
      <c r="AB343" s="72"/>
      <c r="AC343" s="73"/>
      <c r="AD343" s="80" t="s">
        <v>961</v>
      </c>
      <c r="AE343" s="80" t="s">
        <v>1331</v>
      </c>
      <c r="AF343" s="80" t="s">
        <v>1638</v>
      </c>
      <c r="AG343" s="80" t="s">
        <v>1891</v>
      </c>
      <c r="AH343" s="80" t="s">
        <v>2254</v>
      </c>
      <c r="AI343" s="80">
        <v>871</v>
      </c>
      <c r="AJ343" s="80">
        <v>0</v>
      </c>
      <c r="AK343" s="80">
        <v>7</v>
      </c>
      <c r="AL343" s="80">
        <v>0</v>
      </c>
      <c r="AM343" s="80" t="s">
        <v>2317</v>
      </c>
      <c r="AN343" s="98" t="str">
        <f>HYPERLINK("https://www.youtube.com/watch?v=_l2dt1G9-lo")</f>
        <v>https://www.youtube.com/watch?v=_l2dt1G9-lo</v>
      </c>
      <c r="AO343" s="80" t="str">
        <f>REPLACE(INDEX(GroupVertices[Group],MATCH(Vertices[[#This Row],[Vertex]],GroupVertices[Vertex],0)),1,1,"")</f>
        <v>7</v>
      </c>
      <c r="AP343" s="49">
        <v>0</v>
      </c>
      <c r="AQ343" s="50">
        <v>0</v>
      </c>
      <c r="AR343" s="49">
        <v>0</v>
      </c>
      <c r="AS343" s="50">
        <v>0</v>
      </c>
      <c r="AT343" s="49">
        <v>0</v>
      </c>
      <c r="AU343" s="50">
        <v>0</v>
      </c>
      <c r="AV343" s="49">
        <v>30</v>
      </c>
      <c r="AW343" s="50">
        <v>100</v>
      </c>
      <c r="AX343" s="49">
        <v>30</v>
      </c>
      <c r="AY343" s="49"/>
      <c r="AZ343" s="49"/>
      <c r="BA343" s="49"/>
      <c r="BB343" s="49"/>
      <c r="BC343" s="2"/>
      <c r="BD343" s="3"/>
      <c r="BE343" s="3"/>
      <c r="BF343" s="3"/>
      <c r="BG343" s="3"/>
    </row>
    <row r="344" spans="1:59" ht="15">
      <c r="A344" s="65" t="s">
        <v>552</v>
      </c>
      <c r="B344" s="66" t="s">
        <v>3536</v>
      </c>
      <c r="C344" s="66"/>
      <c r="D344" s="67">
        <v>550</v>
      </c>
      <c r="E344" s="69">
        <v>100</v>
      </c>
      <c r="F344" s="96" t="str">
        <f>HYPERLINK("https://i.ytimg.com/vi/cA4N3Vnh_Hk/default.jpg")</f>
        <v>https://i.ytimg.com/vi/cA4N3Vnh_Hk/default.jpg</v>
      </c>
      <c r="G344" s="66"/>
      <c r="H344" s="70" t="s">
        <v>962</v>
      </c>
      <c r="I344" s="71"/>
      <c r="J344" s="71" t="s">
        <v>75</v>
      </c>
      <c r="K344" s="70" t="s">
        <v>962</v>
      </c>
      <c r="L344" s="74">
        <v>1.1065480953613145</v>
      </c>
      <c r="M344" s="75">
        <v>5043.1884765625</v>
      </c>
      <c r="N344" s="75">
        <v>3949.759765625</v>
      </c>
      <c r="O344" s="76"/>
      <c r="P344" s="77"/>
      <c r="Q344" s="77"/>
      <c r="R344" s="82"/>
      <c r="S344" s="49">
        <v>4</v>
      </c>
      <c r="T344" s="49">
        <v>0</v>
      </c>
      <c r="U344" s="50">
        <v>0</v>
      </c>
      <c r="V344" s="50">
        <v>0.001066</v>
      </c>
      <c r="W344" s="50">
        <v>0.007025</v>
      </c>
      <c r="X344" s="50">
        <v>1.153758</v>
      </c>
      <c r="Y344" s="50">
        <v>1</v>
      </c>
      <c r="Z344" s="50">
        <v>0</v>
      </c>
      <c r="AA344" s="72">
        <v>343</v>
      </c>
      <c r="AB344" s="72"/>
      <c r="AC344" s="73"/>
      <c r="AD344" s="80" t="s">
        <v>962</v>
      </c>
      <c r="AE344" s="80" t="s">
        <v>1332</v>
      </c>
      <c r="AF344" s="80" t="s">
        <v>1639</v>
      </c>
      <c r="AG344" s="80" t="s">
        <v>1799</v>
      </c>
      <c r="AH344" s="80" t="s">
        <v>2255</v>
      </c>
      <c r="AI344" s="80">
        <v>2435</v>
      </c>
      <c r="AJ344" s="80">
        <v>158</v>
      </c>
      <c r="AK344" s="80">
        <v>0</v>
      </c>
      <c r="AL344" s="80">
        <v>0</v>
      </c>
      <c r="AM344" s="80" t="s">
        <v>2317</v>
      </c>
      <c r="AN344" s="98" t="str">
        <f>HYPERLINK("https://www.youtube.com/watch?v=cA4N3Vnh_Hk")</f>
        <v>https://www.youtube.com/watch?v=cA4N3Vnh_Hk</v>
      </c>
      <c r="AO344" s="80" t="str">
        <f>REPLACE(INDEX(GroupVertices[Group],MATCH(Vertices[[#This Row],[Vertex]],GroupVertices[Vertex],0)),1,1,"")</f>
        <v>4</v>
      </c>
      <c r="AP344" s="49">
        <v>2</v>
      </c>
      <c r="AQ344" s="50">
        <v>3.3333333333333335</v>
      </c>
      <c r="AR344" s="49">
        <v>4</v>
      </c>
      <c r="AS344" s="50">
        <v>6.666666666666667</v>
      </c>
      <c r="AT344" s="49">
        <v>0</v>
      </c>
      <c r="AU344" s="50">
        <v>0</v>
      </c>
      <c r="AV344" s="49">
        <v>54</v>
      </c>
      <c r="AW344" s="50">
        <v>90</v>
      </c>
      <c r="AX344" s="49">
        <v>60</v>
      </c>
      <c r="AY344" s="49"/>
      <c r="AZ344" s="49"/>
      <c r="BA344" s="49"/>
      <c r="BB344" s="49"/>
      <c r="BC344" s="2"/>
      <c r="BD344" s="3"/>
      <c r="BE344" s="3"/>
      <c r="BF344" s="3"/>
      <c r="BG344" s="3"/>
    </row>
    <row r="345" spans="1:59" ht="15">
      <c r="A345" s="65" t="s">
        <v>553</v>
      </c>
      <c r="B345" s="66" t="s">
        <v>3536</v>
      </c>
      <c r="C345" s="66"/>
      <c r="D345" s="67">
        <v>212.5</v>
      </c>
      <c r="E345" s="69">
        <v>50</v>
      </c>
      <c r="F345" s="96" t="str">
        <f>HYPERLINK("https://i.ytimg.com/vi/eKiMjurC-rA/default.jpg")</f>
        <v>https://i.ytimg.com/vi/eKiMjurC-rA/default.jpg</v>
      </c>
      <c r="G345" s="66"/>
      <c r="H345" s="70" t="s">
        <v>963</v>
      </c>
      <c r="I345" s="71"/>
      <c r="J345" s="71" t="s">
        <v>159</v>
      </c>
      <c r="K345" s="70" t="s">
        <v>963</v>
      </c>
      <c r="L345" s="74">
        <v>1.0048790588222385</v>
      </c>
      <c r="M345" s="75">
        <v>8025.5712890625</v>
      </c>
      <c r="N345" s="75">
        <v>9484.818359375</v>
      </c>
      <c r="O345" s="76"/>
      <c r="P345" s="77"/>
      <c r="Q345" s="77"/>
      <c r="R345" s="82"/>
      <c r="S345" s="49">
        <v>1</v>
      </c>
      <c r="T345" s="49">
        <v>0</v>
      </c>
      <c r="U345" s="50">
        <v>0</v>
      </c>
      <c r="V345" s="50">
        <v>0.000916</v>
      </c>
      <c r="W345" s="50">
        <v>0.001813</v>
      </c>
      <c r="X345" s="50">
        <v>0.394914</v>
      </c>
      <c r="Y345" s="50">
        <v>0</v>
      </c>
      <c r="Z345" s="50">
        <v>0</v>
      </c>
      <c r="AA345" s="72">
        <v>344</v>
      </c>
      <c r="AB345" s="72"/>
      <c r="AC345" s="73"/>
      <c r="AD345" s="80" t="s">
        <v>963</v>
      </c>
      <c r="AE345" s="80" t="s">
        <v>963</v>
      </c>
      <c r="AF345" s="80"/>
      <c r="AG345" s="80" t="s">
        <v>1796</v>
      </c>
      <c r="AH345" s="80" t="s">
        <v>2256</v>
      </c>
      <c r="AI345" s="80">
        <v>122</v>
      </c>
      <c r="AJ345" s="80">
        <v>0</v>
      </c>
      <c r="AK345" s="80">
        <v>0</v>
      </c>
      <c r="AL345" s="80">
        <v>0</v>
      </c>
      <c r="AM345" s="80" t="s">
        <v>2317</v>
      </c>
      <c r="AN345" s="98" t="str">
        <f>HYPERLINK("https://www.youtube.com/watch?v=eKiMjurC-rA")</f>
        <v>https://www.youtube.com/watch?v=eKiMjurC-rA</v>
      </c>
      <c r="AO345" s="80" t="str">
        <f>REPLACE(INDEX(GroupVertices[Group],MATCH(Vertices[[#This Row],[Vertex]],GroupVertices[Vertex],0)),1,1,"")</f>
        <v>5</v>
      </c>
      <c r="AP345" s="49"/>
      <c r="AQ345" s="50"/>
      <c r="AR345" s="49"/>
      <c r="AS345" s="50"/>
      <c r="AT345" s="49"/>
      <c r="AU345" s="50"/>
      <c r="AV345" s="49"/>
      <c r="AW345" s="50"/>
      <c r="AX345" s="49"/>
      <c r="AY345" s="49"/>
      <c r="AZ345" s="49"/>
      <c r="BA345" s="49"/>
      <c r="BB345" s="49"/>
      <c r="BC345" s="2"/>
      <c r="BD345" s="3"/>
      <c r="BE345" s="3"/>
      <c r="BF345" s="3"/>
      <c r="BG345" s="3"/>
    </row>
    <row r="346" spans="1:59" ht="15">
      <c r="A346" s="65" t="s">
        <v>554</v>
      </c>
      <c r="B346" s="66" t="s">
        <v>3536</v>
      </c>
      <c r="C346" s="66"/>
      <c r="D346" s="67">
        <v>325</v>
      </c>
      <c r="E346" s="69">
        <v>100</v>
      </c>
      <c r="F346" s="96" t="str">
        <f>HYPERLINK("https://i.ytimg.com/vi/i0qHfQipDcQ/default.jpg")</f>
        <v>https://i.ytimg.com/vi/i0qHfQipDcQ/default.jpg</v>
      </c>
      <c r="G346" s="66"/>
      <c r="H346" s="70" t="s">
        <v>964</v>
      </c>
      <c r="I346" s="71"/>
      <c r="J346" s="71" t="s">
        <v>75</v>
      </c>
      <c r="K346" s="70" t="s">
        <v>964</v>
      </c>
      <c r="L346" s="74">
        <v>1.914757595942375</v>
      </c>
      <c r="M346" s="75">
        <v>9698.7197265625</v>
      </c>
      <c r="N346" s="75">
        <v>8254.4541015625</v>
      </c>
      <c r="O346" s="76"/>
      <c r="P346" s="77"/>
      <c r="Q346" s="77"/>
      <c r="R346" s="82"/>
      <c r="S346" s="49">
        <v>2</v>
      </c>
      <c r="T346" s="49">
        <v>0</v>
      </c>
      <c r="U346" s="50">
        <v>0</v>
      </c>
      <c r="V346" s="50">
        <v>0.000965</v>
      </c>
      <c r="W346" s="50">
        <v>0.003668</v>
      </c>
      <c r="X346" s="50">
        <v>0.64438</v>
      </c>
      <c r="Y346" s="50">
        <v>1</v>
      </c>
      <c r="Z346" s="50">
        <v>0</v>
      </c>
      <c r="AA346" s="72">
        <v>345</v>
      </c>
      <c r="AB346" s="72"/>
      <c r="AC346" s="73"/>
      <c r="AD346" s="80" t="s">
        <v>964</v>
      </c>
      <c r="AE346" s="80" t="s">
        <v>964</v>
      </c>
      <c r="AF346" s="80"/>
      <c r="AG346" s="80" t="s">
        <v>1892</v>
      </c>
      <c r="AH346" s="80" t="s">
        <v>2257</v>
      </c>
      <c r="AI346" s="80">
        <v>20822</v>
      </c>
      <c r="AJ346" s="80">
        <v>46</v>
      </c>
      <c r="AK346" s="80">
        <v>660</v>
      </c>
      <c r="AL346" s="80">
        <v>22</v>
      </c>
      <c r="AM346" s="80" t="s">
        <v>2317</v>
      </c>
      <c r="AN346" s="98" t="str">
        <f>HYPERLINK("https://www.youtube.com/watch?v=i0qHfQipDcQ")</f>
        <v>https://www.youtube.com/watch?v=i0qHfQipDcQ</v>
      </c>
      <c r="AO346" s="80" t="str">
        <f>REPLACE(INDEX(GroupVertices[Group],MATCH(Vertices[[#This Row],[Vertex]],GroupVertices[Vertex],0)),1,1,"")</f>
        <v>5</v>
      </c>
      <c r="AP346" s="49"/>
      <c r="AQ346" s="50"/>
      <c r="AR346" s="49"/>
      <c r="AS346" s="50"/>
      <c r="AT346" s="49"/>
      <c r="AU346" s="50"/>
      <c r="AV346" s="49"/>
      <c r="AW346" s="50"/>
      <c r="AX346" s="49"/>
      <c r="AY346" s="49"/>
      <c r="AZ346" s="49"/>
      <c r="BA346" s="49"/>
      <c r="BB346" s="49"/>
      <c r="BC346" s="2"/>
      <c r="BD346" s="3"/>
      <c r="BE346" s="3"/>
      <c r="BF346" s="3"/>
      <c r="BG346" s="3"/>
    </row>
    <row r="347" spans="1:59" ht="15">
      <c r="A347" s="65" t="s">
        <v>555</v>
      </c>
      <c r="B347" s="66" t="s">
        <v>3536</v>
      </c>
      <c r="C347" s="66"/>
      <c r="D347" s="67">
        <v>212.5</v>
      </c>
      <c r="E347" s="69">
        <v>50</v>
      </c>
      <c r="F347" s="96" t="str">
        <f>HYPERLINK("https://i.ytimg.com/vi/FtGXO0LXguw/default.jpg")</f>
        <v>https://i.ytimg.com/vi/FtGXO0LXguw/default.jpg</v>
      </c>
      <c r="G347" s="66"/>
      <c r="H347" s="70" t="s">
        <v>965</v>
      </c>
      <c r="I347" s="71"/>
      <c r="J347" s="71" t="s">
        <v>159</v>
      </c>
      <c r="K347" s="70" t="s">
        <v>965</v>
      </c>
      <c r="L347" s="74">
        <v>1.747682797894373</v>
      </c>
      <c r="M347" s="75">
        <v>9364.0908203125</v>
      </c>
      <c r="N347" s="75">
        <v>8254.4541015625</v>
      </c>
      <c r="O347" s="76"/>
      <c r="P347" s="77"/>
      <c r="Q347" s="77"/>
      <c r="R347" s="82"/>
      <c r="S347" s="49">
        <v>1</v>
      </c>
      <c r="T347" s="49">
        <v>0</v>
      </c>
      <c r="U347" s="50">
        <v>0</v>
      </c>
      <c r="V347" s="50">
        <v>0.000916</v>
      </c>
      <c r="W347" s="50">
        <v>0.001813</v>
      </c>
      <c r="X347" s="50">
        <v>0.394914</v>
      </c>
      <c r="Y347" s="50">
        <v>0</v>
      </c>
      <c r="Z347" s="50">
        <v>0</v>
      </c>
      <c r="AA347" s="72">
        <v>346</v>
      </c>
      <c r="AB347" s="72"/>
      <c r="AC347" s="73"/>
      <c r="AD347" s="80" t="s">
        <v>965</v>
      </c>
      <c r="AE347" s="80" t="s">
        <v>1333</v>
      </c>
      <c r="AF347" s="80" t="s">
        <v>1640</v>
      </c>
      <c r="AG347" s="80" t="s">
        <v>1893</v>
      </c>
      <c r="AH347" s="80" t="s">
        <v>2258</v>
      </c>
      <c r="AI347" s="80">
        <v>17021</v>
      </c>
      <c r="AJ347" s="80">
        <v>10</v>
      </c>
      <c r="AK347" s="80">
        <v>197</v>
      </c>
      <c r="AL347" s="80">
        <v>13</v>
      </c>
      <c r="AM347" s="80" t="s">
        <v>2317</v>
      </c>
      <c r="AN347" s="98" t="str">
        <f>HYPERLINK("https://www.youtube.com/watch?v=FtGXO0LXguw")</f>
        <v>https://www.youtube.com/watch?v=FtGXO0LXguw</v>
      </c>
      <c r="AO347" s="80" t="str">
        <f>REPLACE(INDEX(GroupVertices[Group],MATCH(Vertices[[#This Row],[Vertex]],GroupVertices[Vertex],0)),1,1,"")</f>
        <v>5</v>
      </c>
      <c r="AP347" s="49">
        <v>0</v>
      </c>
      <c r="AQ347" s="50">
        <v>0</v>
      </c>
      <c r="AR347" s="49">
        <v>0</v>
      </c>
      <c r="AS347" s="50">
        <v>0</v>
      </c>
      <c r="AT347" s="49">
        <v>0</v>
      </c>
      <c r="AU347" s="50">
        <v>0</v>
      </c>
      <c r="AV347" s="49">
        <v>19</v>
      </c>
      <c r="AW347" s="50">
        <v>100</v>
      </c>
      <c r="AX347" s="49">
        <v>19</v>
      </c>
      <c r="AY347" s="49"/>
      <c r="AZ347" s="49"/>
      <c r="BA347" s="49"/>
      <c r="BB347" s="49"/>
      <c r="BC347" s="2"/>
      <c r="BD347" s="3"/>
      <c r="BE347" s="3"/>
      <c r="BF347" s="3"/>
      <c r="BG347" s="3"/>
    </row>
    <row r="348" spans="1:59" ht="15">
      <c r="A348" s="65" t="s">
        <v>556</v>
      </c>
      <c r="B348" s="66" t="s">
        <v>3536</v>
      </c>
      <c r="C348" s="66"/>
      <c r="D348" s="67">
        <v>437.5</v>
      </c>
      <c r="E348" s="69">
        <v>100</v>
      </c>
      <c r="F348" s="96" t="str">
        <f>HYPERLINK("https://i.ytimg.com/vi/7bSjA5lq3mA/default.jpg")</f>
        <v>https://i.ytimg.com/vi/7bSjA5lq3mA/default.jpg</v>
      </c>
      <c r="G348" s="66"/>
      <c r="H348" s="70" t="s">
        <v>734</v>
      </c>
      <c r="I348" s="71"/>
      <c r="J348" s="71" t="s">
        <v>75</v>
      </c>
      <c r="K348" s="70" t="s">
        <v>734</v>
      </c>
      <c r="L348" s="74">
        <v>7.340095184331951</v>
      </c>
      <c r="M348" s="75">
        <v>3960.469970703125</v>
      </c>
      <c r="N348" s="75">
        <v>1646.2713623046875</v>
      </c>
      <c r="O348" s="76"/>
      <c r="P348" s="77"/>
      <c r="Q348" s="77"/>
      <c r="R348" s="82"/>
      <c r="S348" s="49">
        <v>3</v>
      </c>
      <c r="T348" s="49">
        <v>0</v>
      </c>
      <c r="U348" s="50">
        <v>0</v>
      </c>
      <c r="V348" s="50">
        <v>0.001007</v>
      </c>
      <c r="W348" s="50">
        <v>0.005223</v>
      </c>
      <c r="X348" s="50">
        <v>0.88893</v>
      </c>
      <c r="Y348" s="50">
        <v>1</v>
      </c>
      <c r="Z348" s="50">
        <v>0</v>
      </c>
      <c r="AA348" s="72">
        <v>347</v>
      </c>
      <c r="AB348" s="72"/>
      <c r="AC348" s="73"/>
      <c r="AD348" s="80" t="s">
        <v>734</v>
      </c>
      <c r="AE348" s="80" t="s">
        <v>1334</v>
      </c>
      <c r="AF348" s="80"/>
      <c r="AG348" s="80" t="s">
        <v>1687</v>
      </c>
      <c r="AH348" s="80" t="s">
        <v>2259</v>
      </c>
      <c r="AI348" s="80">
        <v>144250</v>
      </c>
      <c r="AJ348" s="80">
        <v>386</v>
      </c>
      <c r="AK348" s="80">
        <v>9437</v>
      </c>
      <c r="AL348" s="80">
        <v>247</v>
      </c>
      <c r="AM348" s="80" t="s">
        <v>2317</v>
      </c>
      <c r="AN348" s="98" t="str">
        <f>HYPERLINK("https://www.youtube.com/watch?v=7bSjA5lq3mA")</f>
        <v>https://www.youtube.com/watch?v=7bSjA5lq3mA</v>
      </c>
      <c r="AO348" s="80" t="str">
        <f>REPLACE(INDEX(GroupVertices[Group],MATCH(Vertices[[#This Row],[Vertex]],GroupVertices[Vertex],0)),1,1,"")</f>
        <v>4</v>
      </c>
      <c r="AP348" s="49"/>
      <c r="AQ348" s="50"/>
      <c r="AR348" s="49"/>
      <c r="AS348" s="50"/>
      <c r="AT348" s="49"/>
      <c r="AU348" s="50"/>
      <c r="AV348" s="49"/>
      <c r="AW348" s="50"/>
      <c r="AX348" s="49"/>
      <c r="AY348" s="49"/>
      <c r="AZ348" s="49"/>
      <c r="BA348" s="49"/>
      <c r="BB348" s="49"/>
      <c r="BC348" s="2"/>
      <c r="BD348" s="3"/>
      <c r="BE348" s="3"/>
      <c r="BF348" s="3"/>
      <c r="BG348" s="3"/>
    </row>
    <row r="349" spans="1:59" ht="15">
      <c r="A349" s="65" t="s">
        <v>557</v>
      </c>
      <c r="B349" s="66" t="s">
        <v>3536</v>
      </c>
      <c r="C349" s="66"/>
      <c r="D349" s="67">
        <v>325</v>
      </c>
      <c r="E349" s="69">
        <v>100</v>
      </c>
      <c r="F349" s="96" t="str">
        <f>HYPERLINK("https://i.ytimg.com/vi/sxxy_GmVABQ/default.jpg")</f>
        <v>https://i.ytimg.com/vi/sxxy_GmVABQ/default.jpg</v>
      </c>
      <c r="G349" s="66"/>
      <c r="H349" s="70" t="s">
        <v>966</v>
      </c>
      <c r="I349" s="71"/>
      <c r="J349" s="71" t="s">
        <v>75</v>
      </c>
      <c r="K349" s="70" t="s">
        <v>966</v>
      </c>
      <c r="L349" s="74">
        <v>2.7346592555028537</v>
      </c>
      <c r="M349" s="75">
        <v>8360.201171875</v>
      </c>
      <c r="N349" s="75">
        <v>7024.0908203125</v>
      </c>
      <c r="O349" s="76"/>
      <c r="P349" s="77"/>
      <c r="Q349" s="77"/>
      <c r="R349" s="82"/>
      <c r="S349" s="49">
        <v>2</v>
      </c>
      <c r="T349" s="49">
        <v>0</v>
      </c>
      <c r="U349" s="50">
        <v>0</v>
      </c>
      <c r="V349" s="50">
        <v>0.000965</v>
      </c>
      <c r="W349" s="50">
        <v>0.003668</v>
      </c>
      <c r="X349" s="50">
        <v>0.64438</v>
      </c>
      <c r="Y349" s="50">
        <v>1</v>
      </c>
      <c r="Z349" s="50">
        <v>0</v>
      </c>
      <c r="AA349" s="72">
        <v>348</v>
      </c>
      <c r="AB349" s="72"/>
      <c r="AC349" s="73"/>
      <c r="AD349" s="80" t="s">
        <v>966</v>
      </c>
      <c r="AE349" s="80" t="s">
        <v>1335</v>
      </c>
      <c r="AF349" s="80" t="s">
        <v>1641</v>
      </c>
      <c r="AG349" s="80" t="s">
        <v>1894</v>
      </c>
      <c r="AH349" s="80" t="s">
        <v>2260</v>
      </c>
      <c r="AI349" s="80">
        <v>39475</v>
      </c>
      <c r="AJ349" s="80">
        <v>0</v>
      </c>
      <c r="AK349" s="80">
        <v>616</v>
      </c>
      <c r="AL349" s="80">
        <v>87</v>
      </c>
      <c r="AM349" s="80" t="s">
        <v>2317</v>
      </c>
      <c r="AN349" s="98" t="str">
        <f>HYPERLINK("https://www.youtube.com/watch?v=sxxy_GmVABQ")</f>
        <v>https://www.youtube.com/watch?v=sxxy_GmVABQ</v>
      </c>
      <c r="AO349" s="80" t="str">
        <f>REPLACE(INDEX(GroupVertices[Group],MATCH(Vertices[[#This Row],[Vertex]],GroupVertices[Vertex],0)),1,1,"")</f>
        <v>5</v>
      </c>
      <c r="AP349" s="49">
        <v>4</v>
      </c>
      <c r="AQ349" s="50">
        <v>6.153846153846154</v>
      </c>
      <c r="AR349" s="49">
        <v>0</v>
      </c>
      <c r="AS349" s="50">
        <v>0</v>
      </c>
      <c r="AT349" s="49">
        <v>0</v>
      </c>
      <c r="AU349" s="50">
        <v>0</v>
      </c>
      <c r="AV349" s="49">
        <v>61</v>
      </c>
      <c r="AW349" s="50">
        <v>93.84615384615384</v>
      </c>
      <c r="AX349" s="49">
        <v>65</v>
      </c>
      <c r="AY349" s="49"/>
      <c r="AZ349" s="49"/>
      <c r="BA349" s="49"/>
      <c r="BB349" s="49"/>
      <c r="BC349" s="2"/>
      <c r="BD349" s="3"/>
      <c r="BE349" s="3"/>
      <c r="BF349" s="3"/>
      <c r="BG349" s="3"/>
    </row>
    <row r="350" spans="1:59" ht="15">
      <c r="A350" s="65" t="s">
        <v>558</v>
      </c>
      <c r="B350" s="66" t="s">
        <v>3536</v>
      </c>
      <c r="C350" s="66"/>
      <c r="D350" s="67">
        <v>437.5</v>
      </c>
      <c r="E350" s="69">
        <v>100</v>
      </c>
      <c r="F350" s="96" t="str">
        <f>HYPERLINK("https://i.ytimg.com/vi/LUaRo6u4AbE/default.jpg")</f>
        <v>https://i.ytimg.com/vi/LUaRo6u4AbE/default.jpg</v>
      </c>
      <c r="G350" s="66"/>
      <c r="H350" s="70" t="s">
        <v>967</v>
      </c>
      <c r="I350" s="71"/>
      <c r="J350" s="71" t="s">
        <v>75</v>
      </c>
      <c r="K350" s="70" t="s">
        <v>967</v>
      </c>
      <c r="L350" s="74">
        <v>1.1393828425704324</v>
      </c>
      <c r="M350" s="75">
        <v>8297.9921875</v>
      </c>
      <c r="N350" s="75">
        <v>2676.828369140625</v>
      </c>
      <c r="O350" s="76"/>
      <c r="P350" s="77"/>
      <c r="Q350" s="77"/>
      <c r="R350" s="82"/>
      <c r="S350" s="49">
        <v>3</v>
      </c>
      <c r="T350" s="49">
        <v>0</v>
      </c>
      <c r="U350" s="50">
        <v>0</v>
      </c>
      <c r="V350" s="50">
        <v>0.001009</v>
      </c>
      <c r="W350" s="50">
        <v>0.005376</v>
      </c>
      <c r="X350" s="50">
        <v>0.887341</v>
      </c>
      <c r="Y350" s="50">
        <v>1</v>
      </c>
      <c r="Z350" s="50">
        <v>0</v>
      </c>
      <c r="AA350" s="72">
        <v>349</v>
      </c>
      <c r="AB350" s="72"/>
      <c r="AC350" s="73"/>
      <c r="AD350" s="80" t="s">
        <v>967</v>
      </c>
      <c r="AE350" s="80" t="s">
        <v>1336</v>
      </c>
      <c r="AF350" s="80" t="s">
        <v>1642</v>
      </c>
      <c r="AG350" s="80" t="s">
        <v>1829</v>
      </c>
      <c r="AH350" s="80" t="s">
        <v>2261</v>
      </c>
      <c r="AI350" s="80">
        <v>3182</v>
      </c>
      <c r="AJ350" s="80">
        <v>0</v>
      </c>
      <c r="AK350" s="80">
        <v>28</v>
      </c>
      <c r="AL350" s="80">
        <v>0</v>
      </c>
      <c r="AM350" s="80" t="s">
        <v>2317</v>
      </c>
      <c r="AN350" s="98" t="str">
        <f>HYPERLINK("https://www.youtube.com/watch?v=LUaRo6u4AbE")</f>
        <v>https://www.youtube.com/watch?v=LUaRo6u4AbE</v>
      </c>
      <c r="AO350" s="80" t="str">
        <f>REPLACE(INDEX(GroupVertices[Group],MATCH(Vertices[[#This Row],[Vertex]],GroupVertices[Vertex],0)),1,1,"")</f>
        <v>7</v>
      </c>
      <c r="AP350" s="49">
        <v>0</v>
      </c>
      <c r="AQ350" s="50">
        <v>0</v>
      </c>
      <c r="AR350" s="49">
        <v>3</v>
      </c>
      <c r="AS350" s="50">
        <v>8.823529411764707</v>
      </c>
      <c r="AT350" s="49">
        <v>0</v>
      </c>
      <c r="AU350" s="50">
        <v>0</v>
      </c>
      <c r="AV350" s="49">
        <v>31</v>
      </c>
      <c r="AW350" s="50">
        <v>91.17647058823529</v>
      </c>
      <c r="AX350" s="49">
        <v>34</v>
      </c>
      <c r="AY350" s="49"/>
      <c r="AZ350" s="49"/>
      <c r="BA350" s="49"/>
      <c r="BB350" s="49"/>
      <c r="BC350" s="2"/>
      <c r="BD350" s="3"/>
      <c r="BE350" s="3"/>
      <c r="BF350" s="3"/>
      <c r="BG350" s="3"/>
    </row>
    <row r="351" spans="1:59" ht="15">
      <c r="A351" s="65" t="s">
        <v>559</v>
      </c>
      <c r="B351" s="66" t="s">
        <v>3536</v>
      </c>
      <c r="C351" s="66"/>
      <c r="D351" s="67">
        <v>550</v>
      </c>
      <c r="E351" s="69">
        <v>100</v>
      </c>
      <c r="F351" s="96" t="str">
        <f>HYPERLINK("https://i.ytimg.com/vi/ii5jkDcMGDQ/default.jpg")</f>
        <v>https://i.ytimg.com/vi/ii5jkDcMGDQ/default.jpg</v>
      </c>
      <c r="G351" s="66"/>
      <c r="H351" s="70" t="s">
        <v>968</v>
      </c>
      <c r="I351" s="71"/>
      <c r="J351" s="71" t="s">
        <v>75</v>
      </c>
      <c r="K351" s="70" t="s">
        <v>968</v>
      </c>
      <c r="L351" s="74">
        <v>1.0262414244763634</v>
      </c>
      <c r="M351" s="75">
        <v>5404.0947265625</v>
      </c>
      <c r="N351" s="75">
        <v>4525.63232421875</v>
      </c>
      <c r="O351" s="76"/>
      <c r="P351" s="77"/>
      <c r="Q351" s="77"/>
      <c r="R351" s="82"/>
      <c r="S351" s="49">
        <v>4</v>
      </c>
      <c r="T351" s="49">
        <v>0</v>
      </c>
      <c r="U351" s="50">
        <v>0</v>
      </c>
      <c r="V351" s="50">
        <v>0.001066</v>
      </c>
      <c r="W351" s="50">
        <v>0.007025</v>
      </c>
      <c r="X351" s="50">
        <v>1.153758</v>
      </c>
      <c r="Y351" s="50">
        <v>1</v>
      </c>
      <c r="Z351" s="50">
        <v>0</v>
      </c>
      <c r="AA351" s="72">
        <v>350</v>
      </c>
      <c r="AB351" s="72"/>
      <c r="AC351" s="73"/>
      <c r="AD351" s="80" t="s">
        <v>968</v>
      </c>
      <c r="AE351" s="80" t="s">
        <v>1337</v>
      </c>
      <c r="AF351" s="80"/>
      <c r="AG351" s="80" t="s">
        <v>1895</v>
      </c>
      <c r="AH351" s="80" t="s">
        <v>2262</v>
      </c>
      <c r="AI351" s="80">
        <v>608</v>
      </c>
      <c r="AJ351" s="80">
        <v>0</v>
      </c>
      <c r="AK351" s="80">
        <v>12</v>
      </c>
      <c r="AL351" s="80">
        <v>0</v>
      </c>
      <c r="AM351" s="80" t="s">
        <v>2317</v>
      </c>
      <c r="AN351" s="98" t="str">
        <f>HYPERLINK("https://www.youtube.com/watch?v=ii5jkDcMGDQ")</f>
        <v>https://www.youtube.com/watch?v=ii5jkDcMGDQ</v>
      </c>
      <c r="AO351" s="80" t="str">
        <f>REPLACE(INDEX(GroupVertices[Group],MATCH(Vertices[[#This Row],[Vertex]],GroupVertices[Vertex],0)),1,1,"")</f>
        <v>4</v>
      </c>
      <c r="AP351" s="49"/>
      <c r="AQ351" s="50"/>
      <c r="AR351" s="49"/>
      <c r="AS351" s="50"/>
      <c r="AT351" s="49"/>
      <c r="AU351" s="50"/>
      <c r="AV351" s="49"/>
      <c r="AW351" s="50"/>
      <c r="AX351" s="49"/>
      <c r="AY351" s="49"/>
      <c r="AZ351" s="49"/>
      <c r="BA351" s="49"/>
      <c r="BB351" s="49"/>
      <c r="BC351" s="2"/>
      <c r="BD351" s="3"/>
      <c r="BE351" s="3"/>
      <c r="BF351" s="3"/>
      <c r="BG351" s="3"/>
    </row>
    <row r="352" spans="1:59" ht="15">
      <c r="A352" s="65" t="s">
        <v>560</v>
      </c>
      <c r="B352" s="66" t="s">
        <v>3536</v>
      </c>
      <c r="C352" s="66"/>
      <c r="D352" s="67">
        <v>662.5</v>
      </c>
      <c r="E352" s="69">
        <v>100</v>
      </c>
      <c r="F352" s="96" t="str">
        <f>HYPERLINK("https://i.ytimg.com/vi/iOKCNd-Hzng/default.jpg")</f>
        <v>https://i.ytimg.com/vi/iOKCNd-Hzng/default.jpg</v>
      </c>
      <c r="G352" s="66"/>
      <c r="H352" s="70" t="s">
        <v>969</v>
      </c>
      <c r="I352" s="71"/>
      <c r="J352" s="71" t="s">
        <v>75</v>
      </c>
      <c r="K352" s="70" t="s">
        <v>969</v>
      </c>
      <c r="L352" s="74">
        <v>1.4275989569615792</v>
      </c>
      <c r="M352" s="75">
        <v>8360.201171875</v>
      </c>
      <c r="N352" s="75">
        <v>8254.4541015625</v>
      </c>
      <c r="O352" s="76"/>
      <c r="P352" s="77"/>
      <c r="Q352" s="77"/>
      <c r="R352" s="82"/>
      <c r="S352" s="49">
        <v>5</v>
      </c>
      <c r="T352" s="49">
        <v>0</v>
      </c>
      <c r="U352" s="50">
        <v>0</v>
      </c>
      <c r="V352" s="50">
        <v>0.001115</v>
      </c>
      <c r="W352" s="50">
        <v>0.008734</v>
      </c>
      <c r="X352" s="50">
        <v>1.396719</v>
      </c>
      <c r="Y352" s="50">
        <v>1</v>
      </c>
      <c r="Z352" s="50">
        <v>0</v>
      </c>
      <c r="AA352" s="72">
        <v>351</v>
      </c>
      <c r="AB352" s="72"/>
      <c r="AC352" s="73"/>
      <c r="AD352" s="80" t="s">
        <v>969</v>
      </c>
      <c r="AE352" s="80" t="s">
        <v>1338</v>
      </c>
      <c r="AF352" s="80" t="s">
        <v>1643</v>
      </c>
      <c r="AG352" s="80" t="s">
        <v>1896</v>
      </c>
      <c r="AH352" s="80" t="s">
        <v>2263</v>
      </c>
      <c r="AI352" s="80">
        <v>9739</v>
      </c>
      <c r="AJ352" s="80">
        <v>23</v>
      </c>
      <c r="AK352" s="80">
        <v>423</v>
      </c>
      <c r="AL352" s="80">
        <v>10</v>
      </c>
      <c r="AM352" s="80" t="s">
        <v>2317</v>
      </c>
      <c r="AN352" s="98" t="str">
        <f>HYPERLINK("https://www.youtube.com/watch?v=iOKCNd-Hzng")</f>
        <v>https://www.youtube.com/watch?v=iOKCNd-Hzng</v>
      </c>
      <c r="AO352" s="80" t="str">
        <f>REPLACE(INDEX(GroupVertices[Group],MATCH(Vertices[[#This Row],[Vertex]],GroupVertices[Vertex],0)),1,1,"")</f>
        <v>5</v>
      </c>
      <c r="AP352" s="49">
        <v>0</v>
      </c>
      <c r="AQ352" s="50">
        <v>0</v>
      </c>
      <c r="AR352" s="49">
        <v>0</v>
      </c>
      <c r="AS352" s="50">
        <v>0</v>
      </c>
      <c r="AT352" s="49">
        <v>0</v>
      </c>
      <c r="AU352" s="50">
        <v>0</v>
      </c>
      <c r="AV352" s="49">
        <v>14</v>
      </c>
      <c r="AW352" s="50">
        <v>100</v>
      </c>
      <c r="AX352" s="49">
        <v>14</v>
      </c>
      <c r="AY352" s="49"/>
      <c r="AZ352" s="49"/>
      <c r="BA352" s="49"/>
      <c r="BB352" s="49"/>
      <c r="BC352" s="2"/>
      <c r="BD352" s="3"/>
      <c r="BE352" s="3"/>
      <c r="BF352" s="3"/>
      <c r="BG352" s="3"/>
    </row>
    <row r="353" spans="1:59" ht="15">
      <c r="A353" s="65" t="s">
        <v>561</v>
      </c>
      <c r="B353" s="66" t="s">
        <v>3536</v>
      </c>
      <c r="C353" s="66"/>
      <c r="D353" s="67">
        <v>662.5</v>
      </c>
      <c r="E353" s="69">
        <v>100</v>
      </c>
      <c r="F353" s="96" t="str">
        <f>HYPERLINK("https://i.ytimg.com/vi/5Q411ntL0jQ/default.jpg")</f>
        <v>https://i.ytimg.com/vi/5Q411ntL0jQ/default.jpg</v>
      </c>
      <c r="G353" s="66"/>
      <c r="H353" s="70" t="s">
        <v>970</v>
      </c>
      <c r="I353" s="71"/>
      <c r="J353" s="71" t="s">
        <v>75</v>
      </c>
      <c r="K353" s="70" t="s">
        <v>970</v>
      </c>
      <c r="L353" s="74">
        <v>2.5177828930801116</v>
      </c>
      <c r="M353" s="75">
        <v>2052.65380859375</v>
      </c>
      <c r="N353" s="75">
        <v>2774.774169921875</v>
      </c>
      <c r="O353" s="76"/>
      <c r="P353" s="77"/>
      <c r="Q353" s="77"/>
      <c r="R353" s="82"/>
      <c r="S353" s="49">
        <v>5</v>
      </c>
      <c r="T353" s="49">
        <v>0</v>
      </c>
      <c r="U353" s="50">
        <v>0</v>
      </c>
      <c r="V353" s="50">
        <v>0.001115</v>
      </c>
      <c r="W353" s="50">
        <v>0.008734</v>
      </c>
      <c r="X353" s="50">
        <v>1.396719</v>
      </c>
      <c r="Y353" s="50">
        <v>1</v>
      </c>
      <c r="Z353" s="50">
        <v>0</v>
      </c>
      <c r="AA353" s="72">
        <v>352</v>
      </c>
      <c r="AB353" s="72"/>
      <c r="AC353" s="73"/>
      <c r="AD353" s="80" t="s">
        <v>970</v>
      </c>
      <c r="AE353" s="80" t="s">
        <v>1339</v>
      </c>
      <c r="AF353" s="80" t="s">
        <v>1644</v>
      </c>
      <c r="AG353" s="80" t="s">
        <v>1773</v>
      </c>
      <c r="AH353" s="80" t="s">
        <v>2264</v>
      </c>
      <c r="AI353" s="80">
        <v>34541</v>
      </c>
      <c r="AJ353" s="80">
        <v>22</v>
      </c>
      <c r="AK353" s="80">
        <v>1468</v>
      </c>
      <c r="AL353" s="80">
        <v>41</v>
      </c>
      <c r="AM353" s="80" t="s">
        <v>2317</v>
      </c>
      <c r="AN353" s="98" t="str">
        <f>HYPERLINK("https://www.youtube.com/watch?v=5Q411ntL0jQ")</f>
        <v>https://www.youtube.com/watch?v=5Q411ntL0jQ</v>
      </c>
      <c r="AO353" s="80" t="str">
        <f>REPLACE(INDEX(GroupVertices[Group],MATCH(Vertices[[#This Row],[Vertex]],GroupVertices[Vertex],0)),1,1,"")</f>
        <v>2</v>
      </c>
      <c r="AP353" s="49">
        <v>1</v>
      </c>
      <c r="AQ353" s="50">
        <v>1.9607843137254901</v>
      </c>
      <c r="AR353" s="49">
        <v>1</v>
      </c>
      <c r="AS353" s="50">
        <v>1.9607843137254901</v>
      </c>
      <c r="AT353" s="49">
        <v>0</v>
      </c>
      <c r="AU353" s="50">
        <v>0</v>
      </c>
      <c r="AV353" s="49">
        <v>49</v>
      </c>
      <c r="AW353" s="50">
        <v>96.07843137254902</v>
      </c>
      <c r="AX353" s="49">
        <v>51</v>
      </c>
      <c r="AY353" s="49"/>
      <c r="AZ353" s="49"/>
      <c r="BA353" s="49"/>
      <c r="BB353" s="49"/>
      <c r="BC353" s="2"/>
      <c r="BD353" s="3"/>
      <c r="BE353" s="3"/>
      <c r="BF353" s="3"/>
      <c r="BG353" s="3"/>
    </row>
    <row r="354" spans="1:59" ht="15">
      <c r="A354" s="65" t="s">
        <v>562</v>
      </c>
      <c r="B354" s="66" t="s">
        <v>3536</v>
      </c>
      <c r="C354" s="66"/>
      <c r="D354" s="67">
        <v>662.5</v>
      </c>
      <c r="E354" s="69">
        <v>100</v>
      </c>
      <c r="F354" s="96" t="str">
        <f>HYPERLINK("https://i.ytimg.com/vi/4NXL_diV-Dw/default.jpg")</f>
        <v>https://i.ytimg.com/vi/4NXL_diV-Dw/default.jpg</v>
      </c>
      <c r="G354" s="66"/>
      <c r="H354" s="70" t="s">
        <v>971</v>
      </c>
      <c r="I354" s="71"/>
      <c r="J354" s="71" t="s">
        <v>75</v>
      </c>
      <c r="K354" s="70" t="s">
        <v>971</v>
      </c>
      <c r="L354" s="74">
        <v>1.045801615250202</v>
      </c>
      <c r="M354" s="75">
        <v>8297.9921875</v>
      </c>
      <c r="N354" s="75">
        <v>3225.769287109375</v>
      </c>
      <c r="O354" s="76"/>
      <c r="P354" s="77"/>
      <c r="Q354" s="77"/>
      <c r="R354" s="82"/>
      <c r="S354" s="49">
        <v>5</v>
      </c>
      <c r="T354" s="49">
        <v>0</v>
      </c>
      <c r="U354" s="50">
        <v>0</v>
      </c>
      <c r="V354" s="50">
        <v>0.001115</v>
      </c>
      <c r="W354" s="50">
        <v>0.008734</v>
      </c>
      <c r="X354" s="50">
        <v>1.396719</v>
      </c>
      <c r="Y354" s="50">
        <v>1</v>
      </c>
      <c r="Z354" s="50">
        <v>0</v>
      </c>
      <c r="AA354" s="72">
        <v>353</v>
      </c>
      <c r="AB354" s="72"/>
      <c r="AC354" s="73"/>
      <c r="AD354" s="80" t="s">
        <v>971</v>
      </c>
      <c r="AE354" s="80" t="s">
        <v>1340</v>
      </c>
      <c r="AF354" s="80"/>
      <c r="AG354" s="80" t="s">
        <v>1895</v>
      </c>
      <c r="AH354" s="80" t="s">
        <v>2265</v>
      </c>
      <c r="AI354" s="80">
        <v>1053</v>
      </c>
      <c r="AJ354" s="80">
        <v>3</v>
      </c>
      <c r="AK354" s="80">
        <v>17</v>
      </c>
      <c r="AL354" s="80">
        <v>1</v>
      </c>
      <c r="AM354" s="80" t="s">
        <v>2317</v>
      </c>
      <c r="AN354" s="98" t="str">
        <f>HYPERLINK("https://www.youtube.com/watch?v=4NXL_diV-Dw")</f>
        <v>https://www.youtube.com/watch?v=4NXL_diV-Dw</v>
      </c>
      <c r="AO354" s="80" t="str">
        <f>REPLACE(INDEX(GroupVertices[Group],MATCH(Vertices[[#This Row],[Vertex]],GroupVertices[Vertex],0)),1,1,"")</f>
        <v>7</v>
      </c>
      <c r="AP354" s="49"/>
      <c r="AQ354" s="50"/>
      <c r="AR354" s="49"/>
      <c r="AS354" s="50"/>
      <c r="AT354" s="49"/>
      <c r="AU354" s="50"/>
      <c r="AV354" s="49"/>
      <c r="AW354" s="50"/>
      <c r="AX354" s="49"/>
      <c r="AY354" s="49"/>
      <c r="AZ354" s="49"/>
      <c r="BA354" s="49"/>
      <c r="BB354" s="49"/>
      <c r="BC354" s="2"/>
      <c r="BD354" s="3"/>
      <c r="BE354" s="3"/>
      <c r="BF354" s="3"/>
      <c r="BG354" s="3"/>
    </row>
    <row r="355" spans="1:59" ht="15">
      <c r="A355" s="65" t="s">
        <v>563</v>
      </c>
      <c r="B355" s="66" t="s">
        <v>3536</v>
      </c>
      <c r="C355" s="66"/>
      <c r="D355" s="67">
        <v>325</v>
      </c>
      <c r="E355" s="69">
        <v>100</v>
      </c>
      <c r="F355" s="96" t="str">
        <f>HYPERLINK("https://i.ytimg.com/vi/OXo_D_scuDk/default.jpg")</f>
        <v>https://i.ytimg.com/vi/OXo_D_scuDk/default.jpg</v>
      </c>
      <c r="G355" s="66"/>
      <c r="H355" s="70" t="s">
        <v>972</v>
      </c>
      <c r="I355" s="71"/>
      <c r="J355" s="71" t="s">
        <v>75</v>
      </c>
      <c r="K355" s="70" t="s">
        <v>972</v>
      </c>
      <c r="L355" s="74">
        <v>1.4529173162553568</v>
      </c>
      <c r="M355" s="75">
        <v>8694.8310546875</v>
      </c>
      <c r="N355" s="75">
        <v>8254.4541015625</v>
      </c>
      <c r="O355" s="76"/>
      <c r="P355" s="77"/>
      <c r="Q355" s="77"/>
      <c r="R355" s="82"/>
      <c r="S355" s="49">
        <v>2</v>
      </c>
      <c r="T355" s="49">
        <v>0</v>
      </c>
      <c r="U355" s="50">
        <v>0</v>
      </c>
      <c r="V355" s="50">
        <v>0.000965</v>
      </c>
      <c r="W355" s="50">
        <v>0.003668</v>
      </c>
      <c r="X355" s="50">
        <v>0.64438</v>
      </c>
      <c r="Y355" s="50">
        <v>1</v>
      </c>
      <c r="Z355" s="50">
        <v>0</v>
      </c>
      <c r="AA355" s="72">
        <v>354</v>
      </c>
      <c r="AB355" s="72"/>
      <c r="AC355" s="73"/>
      <c r="AD355" s="80" t="s">
        <v>972</v>
      </c>
      <c r="AE355" s="80" t="s">
        <v>1341</v>
      </c>
      <c r="AF355" s="80"/>
      <c r="AG355" s="80" t="s">
        <v>1897</v>
      </c>
      <c r="AH355" s="80" t="s">
        <v>2266</v>
      </c>
      <c r="AI355" s="80">
        <v>10315</v>
      </c>
      <c r="AJ355" s="80">
        <v>0</v>
      </c>
      <c r="AK355" s="80">
        <v>60</v>
      </c>
      <c r="AL355" s="80">
        <v>15</v>
      </c>
      <c r="AM355" s="80" t="s">
        <v>2317</v>
      </c>
      <c r="AN355" s="98" t="str">
        <f>HYPERLINK("https://www.youtube.com/watch?v=OXo_D_scuDk")</f>
        <v>https://www.youtube.com/watch?v=OXo_D_scuDk</v>
      </c>
      <c r="AO355" s="80" t="str">
        <f>REPLACE(INDEX(GroupVertices[Group],MATCH(Vertices[[#This Row],[Vertex]],GroupVertices[Vertex],0)),1,1,"")</f>
        <v>5</v>
      </c>
      <c r="AP355" s="49"/>
      <c r="AQ355" s="50"/>
      <c r="AR355" s="49"/>
      <c r="AS355" s="50"/>
      <c r="AT355" s="49"/>
      <c r="AU355" s="50"/>
      <c r="AV355" s="49"/>
      <c r="AW355" s="50"/>
      <c r="AX355" s="49"/>
      <c r="AY355" s="49"/>
      <c r="AZ355" s="49"/>
      <c r="BA355" s="49"/>
      <c r="BB355" s="49"/>
      <c r="BC355" s="2"/>
      <c r="BD355" s="3"/>
      <c r="BE355" s="3"/>
      <c r="BF355" s="3"/>
      <c r="BG355" s="3"/>
    </row>
    <row r="356" spans="1:59" ht="15">
      <c r="A356" s="65" t="s">
        <v>564</v>
      </c>
      <c r="B356" s="66" t="s">
        <v>3536</v>
      </c>
      <c r="C356" s="66"/>
      <c r="D356" s="67">
        <v>437.5</v>
      </c>
      <c r="E356" s="69">
        <v>100</v>
      </c>
      <c r="F356" s="96" t="str">
        <f>HYPERLINK("https://i.ytimg.com/vi/EgJcflR_Dic/default.jpg")</f>
        <v>https://i.ytimg.com/vi/EgJcflR_Dic/default.jpg</v>
      </c>
      <c r="G356" s="66"/>
      <c r="H356" s="70" t="s">
        <v>973</v>
      </c>
      <c r="I356" s="71"/>
      <c r="J356" s="71" t="s">
        <v>75</v>
      </c>
      <c r="K356" s="70" t="s">
        <v>973</v>
      </c>
      <c r="L356" s="74">
        <v>2.974392470065811</v>
      </c>
      <c r="M356" s="75">
        <v>6554.0869140625</v>
      </c>
      <c r="N356" s="75">
        <v>7024.0908203125</v>
      </c>
      <c r="O356" s="76"/>
      <c r="P356" s="77"/>
      <c r="Q356" s="77"/>
      <c r="R356" s="82"/>
      <c r="S356" s="49">
        <v>3</v>
      </c>
      <c r="T356" s="49">
        <v>0</v>
      </c>
      <c r="U356" s="50">
        <v>0</v>
      </c>
      <c r="V356" s="50">
        <v>0.001016</v>
      </c>
      <c r="W356" s="50">
        <v>0.005323</v>
      </c>
      <c r="X356" s="50">
        <v>0.902703</v>
      </c>
      <c r="Y356" s="50">
        <v>1</v>
      </c>
      <c r="Z356" s="50">
        <v>0</v>
      </c>
      <c r="AA356" s="72">
        <v>355</v>
      </c>
      <c r="AB356" s="72"/>
      <c r="AC356" s="73"/>
      <c r="AD356" s="80" t="s">
        <v>973</v>
      </c>
      <c r="AE356" s="80" t="s">
        <v>1342</v>
      </c>
      <c r="AF356" s="80" t="s">
        <v>1645</v>
      </c>
      <c r="AG356" s="80" t="s">
        <v>1727</v>
      </c>
      <c r="AH356" s="80" t="s">
        <v>2267</v>
      </c>
      <c r="AI356" s="80">
        <v>44929</v>
      </c>
      <c r="AJ356" s="80">
        <v>31</v>
      </c>
      <c r="AK356" s="80">
        <v>211</v>
      </c>
      <c r="AL356" s="80">
        <v>34</v>
      </c>
      <c r="AM356" s="80" t="s">
        <v>2317</v>
      </c>
      <c r="AN356" s="98" t="str">
        <f>HYPERLINK("https://www.youtube.com/watch?v=EgJcflR_Dic")</f>
        <v>https://www.youtube.com/watch?v=EgJcflR_Dic</v>
      </c>
      <c r="AO356" s="80" t="str">
        <f>REPLACE(INDEX(GroupVertices[Group],MATCH(Vertices[[#This Row],[Vertex]],GroupVertices[Vertex],0)),1,1,"")</f>
        <v>6</v>
      </c>
      <c r="AP356" s="49">
        <v>0</v>
      </c>
      <c r="AQ356" s="50">
        <v>0</v>
      </c>
      <c r="AR356" s="49">
        <v>2</v>
      </c>
      <c r="AS356" s="50">
        <v>12.5</v>
      </c>
      <c r="AT356" s="49">
        <v>0</v>
      </c>
      <c r="AU356" s="50">
        <v>0</v>
      </c>
      <c r="AV356" s="49">
        <v>14</v>
      </c>
      <c r="AW356" s="50">
        <v>87.5</v>
      </c>
      <c r="AX356" s="49">
        <v>16</v>
      </c>
      <c r="AY356" s="49"/>
      <c r="AZ356" s="49"/>
      <c r="BA356" s="49"/>
      <c r="BB356" s="49"/>
      <c r="BC356" s="2"/>
      <c r="BD356" s="3"/>
      <c r="BE356" s="3"/>
      <c r="BF356" s="3"/>
      <c r="BG356" s="3"/>
    </row>
    <row r="357" spans="1:59" ht="15">
      <c r="A357" s="65" t="s">
        <v>565</v>
      </c>
      <c r="B357" s="66" t="s">
        <v>3536</v>
      </c>
      <c r="C357" s="66"/>
      <c r="D357" s="67">
        <v>662.5</v>
      </c>
      <c r="E357" s="69">
        <v>100</v>
      </c>
      <c r="F357" s="96" t="str">
        <f>HYPERLINK("https://i.ytimg.com/vi/jlSHdyWLiqU/default.jpg")</f>
        <v>https://i.ytimg.com/vi/jlSHdyWLiqU/default.jpg</v>
      </c>
      <c r="G357" s="66"/>
      <c r="H357" s="70" t="s">
        <v>974</v>
      </c>
      <c r="I357" s="71"/>
      <c r="J357" s="71" t="s">
        <v>75</v>
      </c>
      <c r="K357" s="70" t="s">
        <v>974</v>
      </c>
      <c r="L357" s="74">
        <v>1.008483408582811</v>
      </c>
      <c r="M357" s="75">
        <v>8360.201171875</v>
      </c>
      <c r="N357" s="75">
        <v>9484.818359375</v>
      </c>
      <c r="O357" s="76"/>
      <c r="P357" s="77"/>
      <c r="Q357" s="77"/>
      <c r="R357" s="82"/>
      <c r="S357" s="49">
        <v>5</v>
      </c>
      <c r="T357" s="49">
        <v>0</v>
      </c>
      <c r="U357" s="50">
        <v>0</v>
      </c>
      <c r="V357" s="50">
        <v>0.001115</v>
      </c>
      <c r="W357" s="50">
        <v>0.008734</v>
      </c>
      <c r="X357" s="50">
        <v>1.396719</v>
      </c>
      <c r="Y357" s="50">
        <v>1</v>
      </c>
      <c r="Z357" s="50">
        <v>0</v>
      </c>
      <c r="AA357" s="72">
        <v>356</v>
      </c>
      <c r="AB357" s="72"/>
      <c r="AC357" s="73"/>
      <c r="AD357" s="80" t="s">
        <v>974</v>
      </c>
      <c r="AE357" s="80" t="s">
        <v>1343</v>
      </c>
      <c r="AF357" s="80" t="s">
        <v>1646</v>
      </c>
      <c r="AG357" s="80" t="s">
        <v>1895</v>
      </c>
      <c r="AH357" s="80" t="s">
        <v>2268</v>
      </c>
      <c r="AI357" s="80">
        <v>204</v>
      </c>
      <c r="AJ357" s="80">
        <v>0</v>
      </c>
      <c r="AK357" s="80">
        <v>7</v>
      </c>
      <c r="AL357" s="80">
        <v>0</v>
      </c>
      <c r="AM357" s="80" t="s">
        <v>2317</v>
      </c>
      <c r="AN357" s="98" t="str">
        <f>HYPERLINK("https://www.youtube.com/watch?v=jlSHdyWLiqU")</f>
        <v>https://www.youtube.com/watch?v=jlSHdyWLiqU</v>
      </c>
      <c r="AO357" s="80" t="str">
        <f>REPLACE(INDEX(GroupVertices[Group],MATCH(Vertices[[#This Row],[Vertex]],GroupVertices[Vertex],0)),1,1,"")</f>
        <v>5</v>
      </c>
      <c r="AP357" s="49">
        <v>0</v>
      </c>
      <c r="AQ357" s="50">
        <v>0</v>
      </c>
      <c r="AR357" s="49">
        <v>0</v>
      </c>
      <c r="AS357" s="50">
        <v>0</v>
      </c>
      <c r="AT357" s="49">
        <v>0</v>
      </c>
      <c r="AU357" s="50">
        <v>0</v>
      </c>
      <c r="AV357" s="49">
        <v>4</v>
      </c>
      <c r="AW357" s="50">
        <v>100</v>
      </c>
      <c r="AX357" s="49">
        <v>4</v>
      </c>
      <c r="AY357" s="49"/>
      <c r="AZ357" s="49"/>
      <c r="BA357" s="49"/>
      <c r="BB357" s="49"/>
      <c r="BC357" s="2"/>
      <c r="BD357" s="3"/>
      <c r="BE357" s="3"/>
      <c r="BF357" s="3"/>
      <c r="BG357" s="3"/>
    </row>
    <row r="358" spans="1:59" ht="15">
      <c r="A358" s="65" t="s">
        <v>566</v>
      </c>
      <c r="B358" s="66" t="s">
        <v>3536</v>
      </c>
      <c r="C358" s="66"/>
      <c r="D358" s="67">
        <v>325</v>
      </c>
      <c r="E358" s="69">
        <v>100</v>
      </c>
      <c r="F358" s="96" t="str">
        <f>HYPERLINK("https://i.ytimg.com/vi/ce-MtUNc9i8/default.jpg")</f>
        <v>https://i.ytimg.com/vi/ce-MtUNc9i8/default.jpg</v>
      </c>
      <c r="G358" s="66"/>
      <c r="H358" s="70" t="s">
        <v>975</v>
      </c>
      <c r="I358" s="71"/>
      <c r="J358" s="71" t="s">
        <v>75</v>
      </c>
      <c r="K358" s="70" t="s">
        <v>975</v>
      </c>
      <c r="L358" s="74">
        <v>3.9593909308544655</v>
      </c>
      <c r="M358" s="75">
        <v>8025.5712890625</v>
      </c>
      <c r="N358" s="75">
        <v>6408.9091796875</v>
      </c>
      <c r="O358" s="76"/>
      <c r="P358" s="77"/>
      <c r="Q358" s="77"/>
      <c r="R358" s="82"/>
      <c r="S358" s="49">
        <v>2</v>
      </c>
      <c r="T358" s="49">
        <v>0</v>
      </c>
      <c r="U358" s="50">
        <v>0</v>
      </c>
      <c r="V358" s="50">
        <v>0.000969</v>
      </c>
      <c r="W358" s="50">
        <v>0.003468</v>
      </c>
      <c r="X358" s="50">
        <v>0.653237</v>
      </c>
      <c r="Y358" s="50">
        <v>1</v>
      </c>
      <c r="Z358" s="50">
        <v>0</v>
      </c>
      <c r="AA358" s="72">
        <v>357</v>
      </c>
      <c r="AB358" s="72"/>
      <c r="AC358" s="73"/>
      <c r="AD358" s="80" t="s">
        <v>975</v>
      </c>
      <c r="AE358" s="80" t="s">
        <v>1344</v>
      </c>
      <c r="AF358" s="80" t="s">
        <v>1647</v>
      </c>
      <c r="AG358" s="80" t="s">
        <v>1698</v>
      </c>
      <c r="AH358" s="80" t="s">
        <v>2269</v>
      </c>
      <c r="AI358" s="80">
        <v>67338</v>
      </c>
      <c r="AJ358" s="80">
        <v>109</v>
      </c>
      <c r="AK358" s="80">
        <v>1607</v>
      </c>
      <c r="AL358" s="80">
        <v>23</v>
      </c>
      <c r="AM358" s="80" t="s">
        <v>2317</v>
      </c>
      <c r="AN358" s="98" t="str">
        <f>HYPERLINK("https://www.youtube.com/watch?v=ce-MtUNc9i8")</f>
        <v>https://www.youtube.com/watch?v=ce-MtUNc9i8</v>
      </c>
      <c r="AO358" s="80" t="str">
        <f>REPLACE(INDEX(GroupVertices[Group],MATCH(Vertices[[#This Row],[Vertex]],GroupVertices[Vertex],0)),1,1,"")</f>
        <v>5</v>
      </c>
      <c r="AP358" s="49">
        <v>1</v>
      </c>
      <c r="AQ358" s="50">
        <v>4.3478260869565215</v>
      </c>
      <c r="AR358" s="49">
        <v>0</v>
      </c>
      <c r="AS358" s="50">
        <v>0</v>
      </c>
      <c r="AT358" s="49">
        <v>0</v>
      </c>
      <c r="AU358" s="50">
        <v>0</v>
      </c>
      <c r="AV358" s="49">
        <v>22</v>
      </c>
      <c r="AW358" s="50">
        <v>95.65217391304348</v>
      </c>
      <c r="AX358" s="49">
        <v>23</v>
      </c>
      <c r="AY358" s="49"/>
      <c r="AZ358" s="49"/>
      <c r="BA358" s="49"/>
      <c r="BB358" s="49"/>
      <c r="BC358" s="2"/>
      <c r="BD358" s="3"/>
      <c r="BE358" s="3"/>
      <c r="BF358" s="3"/>
      <c r="BG358" s="3"/>
    </row>
    <row r="359" spans="1:59" ht="15">
      <c r="A359" s="65" t="s">
        <v>567</v>
      </c>
      <c r="B359" s="66" t="s">
        <v>3536</v>
      </c>
      <c r="C359" s="66"/>
      <c r="D359" s="67">
        <v>212.5</v>
      </c>
      <c r="E359" s="69">
        <v>50</v>
      </c>
      <c r="F359" s="96" t="str">
        <f>HYPERLINK("https://i.ytimg.com/vi/dbd5iydu3EY/default.jpg")</f>
        <v>https://i.ytimg.com/vi/dbd5iydu3EY/default.jpg</v>
      </c>
      <c r="G359" s="66"/>
      <c r="H359" s="70" t="s">
        <v>976</v>
      </c>
      <c r="I359" s="71"/>
      <c r="J359" s="71" t="s">
        <v>159</v>
      </c>
      <c r="K359" s="70" t="s">
        <v>976</v>
      </c>
      <c r="L359" s="74">
        <v>6.090220971626102</v>
      </c>
      <c r="M359" s="75">
        <v>8694.8310546875</v>
      </c>
      <c r="N359" s="75">
        <v>6408.9091796875</v>
      </c>
      <c r="O359" s="76"/>
      <c r="P359" s="77"/>
      <c r="Q359" s="77"/>
      <c r="R359" s="82"/>
      <c r="S359" s="49">
        <v>1</v>
      </c>
      <c r="T359" s="49">
        <v>0</v>
      </c>
      <c r="U359" s="50">
        <v>0</v>
      </c>
      <c r="V359" s="50">
        <v>0.000916</v>
      </c>
      <c r="W359" s="50">
        <v>0.001813</v>
      </c>
      <c r="X359" s="50">
        <v>0.394914</v>
      </c>
      <c r="Y359" s="50">
        <v>0</v>
      </c>
      <c r="Z359" s="50">
        <v>0</v>
      </c>
      <c r="AA359" s="72">
        <v>358</v>
      </c>
      <c r="AB359" s="72"/>
      <c r="AC359" s="73"/>
      <c r="AD359" s="80" t="s">
        <v>976</v>
      </c>
      <c r="AE359" s="80" t="s">
        <v>1345</v>
      </c>
      <c r="AF359" s="80" t="s">
        <v>1648</v>
      </c>
      <c r="AG359" s="80" t="s">
        <v>1898</v>
      </c>
      <c r="AH359" s="80" t="s">
        <v>2270</v>
      </c>
      <c r="AI359" s="80">
        <v>115815</v>
      </c>
      <c r="AJ359" s="80">
        <v>132</v>
      </c>
      <c r="AK359" s="80">
        <v>1177</v>
      </c>
      <c r="AL359" s="80">
        <v>87</v>
      </c>
      <c r="AM359" s="80" t="s">
        <v>2317</v>
      </c>
      <c r="AN359" s="98" t="str">
        <f>HYPERLINK("https://www.youtube.com/watch?v=dbd5iydu3EY")</f>
        <v>https://www.youtube.com/watch?v=dbd5iydu3EY</v>
      </c>
      <c r="AO359" s="80" t="str">
        <f>REPLACE(INDEX(GroupVertices[Group],MATCH(Vertices[[#This Row],[Vertex]],GroupVertices[Vertex],0)),1,1,"")</f>
        <v>5</v>
      </c>
      <c r="AP359" s="49">
        <v>0</v>
      </c>
      <c r="AQ359" s="50">
        <v>0</v>
      </c>
      <c r="AR359" s="49">
        <v>0</v>
      </c>
      <c r="AS359" s="50">
        <v>0</v>
      </c>
      <c r="AT359" s="49">
        <v>0</v>
      </c>
      <c r="AU359" s="50">
        <v>0</v>
      </c>
      <c r="AV359" s="49">
        <v>36</v>
      </c>
      <c r="AW359" s="50">
        <v>100</v>
      </c>
      <c r="AX359" s="49">
        <v>36</v>
      </c>
      <c r="AY359" s="49"/>
      <c r="AZ359" s="49"/>
      <c r="BA359" s="49"/>
      <c r="BB359" s="49"/>
      <c r="BC359" s="2"/>
      <c r="BD359" s="3"/>
      <c r="BE359" s="3"/>
      <c r="BF359" s="3"/>
      <c r="BG359" s="3"/>
    </row>
    <row r="360" spans="1:59" ht="15">
      <c r="A360" s="65" t="s">
        <v>568</v>
      </c>
      <c r="B360" s="66" t="s">
        <v>3536</v>
      </c>
      <c r="C360" s="66"/>
      <c r="D360" s="67">
        <v>212.5</v>
      </c>
      <c r="E360" s="69">
        <v>50</v>
      </c>
      <c r="F360" s="96" t="str">
        <f>HYPERLINK("https://i.ytimg.com/vi/IpHaGrYNTag/default.jpg")</f>
        <v>https://i.ytimg.com/vi/IpHaGrYNTag/default.jpg</v>
      </c>
      <c r="G360" s="66"/>
      <c r="H360" s="70" t="s">
        <v>977</v>
      </c>
      <c r="I360" s="71"/>
      <c r="J360" s="71" t="s">
        <v>159</v>
      </c>
      <c r="K360" s="70" t="s">
        <v>977</v>
      </c>
      <c r="L360" s="74">
        <v>7.486247171574679</v>
      </c>
      <c r="M360" s="75">
        <v>9698.7197265625</v>
      </c>
      <c r="N360" s="75">
        <v>6408.9091796875</v>
      </c>
      <c r="O360" s="76"/>
      <c r="P360" s="77"/>
      <c r="Q360" s="77"/>
      <c r="R360" s="82"/>
      <c r="S360" s="49">
        <v>1</v>
      </c>
      <c r="T360" s="49">
        <v>0</v>
      </c>
      <c r="U360" s="50">
        <v>0</v>
      </c>
      <c r="V360" s="50">
        <v>0.000916</v>
      </c>
      <c r="W360" s="50">
        <v>0.001813</v>
      </c>
      <c r="X360" s="50">
        <v>0.394914</v>
      </c>
      <c r="Y360" s="50">
        <v>0</v>
      </c>
      <c r="Z360" s="50">
        <v>0</v>
      </c>
      <c r="AA360" s="72">
        <v>359</v>
      </c>
      <c r="AB360" s="72"/>
      <c r="AC360" s="73"/>
      <c r="AD360" s="80" t="s">
        <v>977</v>
      </c>
      <c r="AE360" s="80" t="s">
        <v>1346</v>
      </c>
      <c r="AF360" s="80" t="s">
        <v>1649</v>
      </c>
      <c r="AG360" s="80" t="s">
        <v>1899</v>
      </c>
      <c r="AH360" s="80" t="s">
        <v>2271</v>
      </c>
      <c r="AI360" s="80">
        <v>147575</v>
      </c>
      <c r="AJ360" s="80">
        <v>112</v>
      </c>
      <c r="AK360" s="80">
        <v>3624</v>
      </c>
      <c r="AL360" s="80">
        <v>27</v>
      </c>
      <c r="AM360" s="80" t="s">
        <v>2317</v>
      </c>
      <c r="AN360" s="98" t="str">
        <f>HYPERLINK("https://www.youtube.com/watch?v=IpHaGrYNTag")</f>
        <v>https://www.youtube.com/watch?v=IpHaGrYNTag</v>
      </c>
      <c r="AO360" s="80" t="str">
        <f>REPLACE(INDEX(GroupVertices[Group],MATCH(Vertices[[#This Row],[Vertex]],GroupVertices[Vertex],0)),1,1,"")</f>
        <v>5</v>
      </c>
      <c r="AP360" s="49">
        <v>0</v>
      </c>
      <c r="AQ360" s="50">
        <v>0</v>
      </c>
      <c r="AR360" s="49">
        <v>6</v>
      </c>
      <c r="AS360" s="50">
        <v>12.76595744680851</v>
      </c>
      <c r="AT360" s="49">
        <v>0</v>
      </c>
      <c r="AU360" s="50">
        <v>0</v>
      </c>
      <c r="AV360" s="49">
        <v>41</v>
      </c>
      <c r="AW360" s="50">
        <v>87.23404255319149</v>
      </c>
      <c r="AX360" s="49">
        <v>47</v>
      </c>
      <c r="AY360" s="49"/>
      <c r="AZ360" s="49"/>
      <c r="BA360" s="49"/>
      <c r="BB360" s="49"/>
      <c r="BC360" s="2"/>
      <c r="BD360" s="3"/>
      <c r="BE360" s="3"/>
      <c r="BF360" s="3"/>
      <c r="BG360" s="3"/>
    </row>
    <row r="361" spans="1:59" ht="15">
      <c r="A361" s="65" t="s">
        <v>569</v>
      </c>
      <c r="B361" s="66" t="s">
        <v>3536</v>
      </c>
      <c r="C361" s="66"/>
      <c r="D361" s="67">
        <v>212.5</v>
      </c>
      <c r="E361" s="69">
        <v>50</v>
      </c>
      <c r="F361" s="96" t="str">
        <f>HYPERLINK("https://i.ytimg.com/vi/4WigUZMM-yA/default.jpg")</f>
        <v>https://i.ytimg.com/vi/4WigUZMM-yA/default.jpg</v>
      </c>
      <c r="G361" s="66"/>
      <c r="H361" s="70" t="s">
        <v>978</v>
      </c>
      <c r="I361" s="71"/>
      <c r="J361" s="71" t="s">
        <v>159</v>
      </c>
      <c r="K361" s="70" t="s">
        <v>978</v>
      </c>
      <c r="L361" s="74">
        <v>3.5477917703910378</v>
      </c>
      <c r="M361" s="75">
        <v>9029.4599609375</v>
      </c>
      <c r="N361" s="75">
        <v>7024.0908203125</v>
      </c>
      <c r="O361" s="76"/>
      <c r="P361" s="77"/>
      <c r="Q361" s="77"/>
      <c r="R361" s="82"/>
      <c r="S361" s="49">
        <v>1</v>
      </c>
      <c r="T361" s="49">
        <v>0</v>
      </c>
      <c r="U361" s="50">
        <v>0</v>
      </c>
      <c r="V361" s="50">
        <v>0.000916</v>
      </c>
      <c r="W361" s="50">
        <v>0.001813</v>
      </c>
      <c r="X361" s="50">
        <v>0.394914</v>
      </c>
      <c r="Y361" s="50">
        <v>0</v>
      </c>
      <c r="Z361" s="50">
        <v>0</v>
      </c>
      <c r="AA361" s="72">
        <v>360</v>
      </c>
      <c r="AB361" s="72"/>
      <c r="AC361" s="73"/>
      <c r="AD361" s="80" t="s">
        <v>978</v>
      </c>
      <c r="AE361" s="80" t="s">
        <v>1347</v>
      </c>
      <c r="AF361" s="80" t="s">
        <v>1650</v>
      </c>
      <c r="AG361" s="80" t="s">
        <v>1900</v>
      </c>
      <c r="AH361" s="80" t="s">
        <v>2272</v>
      </c>
      <c r="AI361" s="80">
        <v>57974</v>
      </c>
      <c r="AJ361" s="80">
        <v>182</v>
      </c>
      <c r="AK361" s="80">
        <v>2608</v>
      </c>
      <c r="AL361" s="80">
        <v>19</v>
      </c>
      <c r="AM361" s="80" t="s">
        <v>2317</v>
      </c>
      <c r="AN361" s="98" t="str">
        <f>HYPERLINK("https://www.youtube.com/watch?v=4WigUZMM-yA")</f>
        <v>https://www.youtube.com/watch?v=4WigUZMM-yA</v>
      </c>
      <c r="AO361" s="80" t="str">
        <f>REPLACE(INDEX(GroupVertices[Group],MATCH(Vertices[[#This Row],[Vertex]],GroupVertices[Vertex],0)),1,1,"")</f>
        <v>5</v>
      </c>
      <c r="AP361" s="49">
        <v>0</v>
      </c>
      <c r="AQ361" s="50">
        <v>0</v>
      </c>
      <c r="AR361" s="49">
        <v>0</v>
      </c>
      <c r="AS361" s="50">
        <v>0</v>
      </c>
      <c r="AT361" s="49">
        <v>0</v>
      </c>
      <c r="AU361" s="50">
        <v>0</v>
      </c>
      <c r="AV361" s="49">
        <v>24</v>
      </c>
      <c r="AW361" s="50">
        <v>100</v>
      </c>
      <c r="AX361" s="49">
        <v>24</v>
      </c>
      <c r="AY361" s="49"/>
      <c r="AZ361" s="49"/>
      <c r="BA361" s="49"/>
      <c r="BB361" s="49"/>
      <c r="BC361" s="2"/>
      <c r="BD361" s="3"/>
      <c r="BE361" s="3"/>
      <c r="BF361" s="3"/>
      <c r="BG361" s="3"/>
    </row>
    <row r="362" spans="1:59" ht="15">
      <c r="A362" s="65" t="s">
        <v>570</v>
      </c>
      <c r="B362" s="66" t="s">
        <v>3536</v>
      </c>
      <c r="C362" s="66"/>
      <c r="D362" s="67">
        <v>212.5</v>
      </c>
      <c r="E362" s="69">
        <v>50</v>
      </c>
      <c r="F362" s="96" t="str">
        <f>HYPERLINK("https://i.ytimg.com/vi/EjwV3hTzjeg/default.jpg")</f>
        <v>https://i.ytimg.com/vi/EjwV3hTzjeg/default.jpg</v>
      </c>
      <c r="G362" s="66"/>
      <c r="H362" s="70" t="s">
        <v>979</v>
      </c>
      <c r="I362" s="71"/>
      <c r="J362" s="71" t="s">
        <v>159</v>
      </c>
      <c r="K362" s="70" t="s">
        <v>979</v>
      </c>
      <c r="L362" s="74">
        <v>3.711525951587777</v>
      </c>
      <c r="M362" s="75">
        <v>9364.0908203125</v>
      </c>
      <c r="N362" s="75">
        <v>7024.0908203125</v>
      </c>
      <c r="O362" s="76"/>
      <c r="P362" s="77"/>
      <c r="Q362" s="77"/>
      <c r="R362" s="82"/>
      <c r="S362" s="49">
        <v>1</v>
      </c>
      <c r="T362" s="49">
        <v>0</v>
      </c>
      <c r="U362" s="50">
        <v>0</v>
      </c>
      <c r="V362" s="50">
        <v>0.000916</v>
      </c>
      <c r="W362" s="50">
        <v>0.001813</v>
      </c>
      <c r="X362" s="50">
        <v>0.394914</v>
      </c>
      <c r="Y362" s="50">
        <v>0</v>
      </c>
      <c r="Z362" s="50">
        <v>0</v>
      </c>
      <c r="AA362" s="72">
        <v>361</v>
      </c>
      <c r="AB362" s="72"/>
      <c r="AC362" s="73"/>
      <c r="AD362" s="80" t="s">
        <v>979</v>
      </c>
      <c r="AE362" s="80" t="s">
        <v>1348</v>
      </c>
      <c r="AF362" s="80" t="s">
        <v>1651</v>
      </c>
      <c r="AG362" s="80" t="s">
        <v>1901</v>
      </c>
      <c r="AH362" s="80" t="s">
        <v>2273</v>
      </c>
      <c r="AI362" s="80">
        <v>61699</v>
      </c>
      <c r="AJ362" s="80">
        <v>74</v>
      </c>
      <c r="AK362" s="80">
        <v>582</v>
      </c>
      <c r="AL362" s="80">
        <v>110</v>
      </c>
      <c r="AM362" s="80" t="s">
        <v>2317</v>
      </c>
      <c r="AN362" s="98" t="str">
        <f>HYPERLINK("https://www.youtube.com/watch?v=EjwV3hTzjeg")</f>
        <v>https://www.youtube.com/watch?v=EjwV3hTzjeg</v>
      </c>
      <c r="AO362" s="80" t="str">
        <f>REPLACE(INDEX(GroupVertices[Group],MATCH(Vertices[[#This Row],[Vertex]],GroupVertices[Vertex],0)),1,1,"")</f>
        <v>5</v>
      </c>
      <c r="AP362" s="49">
        <v>0</v>
      </c>
      <c r="AQ362" s="50">
        <v>0</v>
      </c>
      <c r="AR362" s="49">
        <v>0</v>
      </c>
      <c r="AS362" s="50">
        <v>0</v>
      </c>
      <c r="AT362" s="49">
        <v>0</v>
      </c>
      <c r="AU362" s="50">
        <v>0</v>
      </c>
      <c r="AV362" s="49">
        <v>5</v>
      </c>
      <c r="AW362" s="50">
        <v>100</v>
      </c>
      <c r="AX362" s="49">
        <v>5</v>
      </c>
      <c r="AY362" s="49"/>
      <c r="AZ362" s="49"/>
      <c r="BA362" s="49"/>
      <c r="BB362" s="49"/>
      <c r="BC362" s="2"/>
      <c r="BD362" s="3"/>
      <c r="BE362" s="3"/>
      <c r="BF362" s="3"/>
      <c r="BG362" s="3"/>
    </row>
    <row r="363" spans="1:59" ht="15">
      <c r="A363" s="65" t="s">
        <v>571</v>
      </c>
      <c r="B363" s="66" t="s">
        <v>3536</v>
      </c>
      <c r="C363" s="66"/>
      <c r="D363" s="67">
        <v>212.5</v>
      </c>
      <c r="E363" s="69">
        <v>50</v>
      </c>
      <c r="F363" s="96" t="str">
        <f>HYPERLINK("https://i.ytimg.com/vi/_T60pBGcoQU/default.jpg")</f>
        <v>https://i.ytimg.com/vi/_T60pBGcoQU/default.jpg</v>
      </c>
      <c r="G363" s="66"/>
      <c r="H363" s="70" t="s">
        <v>980</v>
      </c>
      <c r="I363" s="71"/>
      <c r="J363" s="71" t="s">
        <v>159</v>
      </c>
      <c r="K363" s="70" t="s">
        <v>980</v>
      </c>
      <c r="L363" s="74">
        <v>6.48880930856356</v>
      </c>
      <c r="M363" s="75">
        <v>9029.4599609375</v>
      </c>
      <c r="N363" s="75">
        <v>6408.9091796875</v>
      </c>
      <c r="O363" s="76"/>
      <c r="P363" s="77"/>
      <c r="Q363" s="77"/>
      <c r="R363" s="82"/>
      <c r="S363" s="49">
        <v>1</v>
      </c>
      <c r="T363" s="49">
        <v>0</v>
      </c>
      <c r="U363" s="50">
        <v>0</v>
      </c>
      <c r="V363" s="50">
        <v>0.000916</v>
      </c>
      <c r="W363" s="50">
        <v>0.001813</v>
      </c>
      <c r="X363" s="50">
        <v>0.394914</v>
      </c>
      <c r="Y363" s="50">
        <v>0</v>
      </c>
      <c r="Z363" s="50">
        <v>0</v>
      </c>
      <c r="AA363" s="72">
        <v>362</v>
      </c>
      <c r="AB363" s="72"/>
      <c r="AC363" s="73"/>
      <c r="AD363" s="80" t="s">
        <v>980</v>
      </c>
      <c r="AE363" s="80" t="s">
        <v>1349</v>
      </c>
      <c r="AF363" s="80" t="s">
        <v>1652</v>
      </c>
      <c r="AG363" s="80" t="s">
        <v>1695</v>
      </c>
      <c r="AH363" s="80" t="s">
        <v>2274</v>
      </c>
      <c r="AI363" s="80">
        <v>124883</v>
      </c>
      <c r="AJ363" s="80">
        <v>23</v>
      </c>
      <c r="AK363" s="80">
        <v>662</v>
      </c>
      <c r="AL363" s="80">
        <v>18</v>
      </c>
      <c r="AM363" s="80" t="s">
        <v>2317</v>
      </c>
      <c r="AN363" s="98" t="str">
        <f>HYPERLINK("https://www.youtube.com/watch?v=_T60pBGcoQU")</f>
        <v>https://www.youtube.com/watch?v=_T60pBGcoQU</v>
      </c>
      <c r="AO363" s="80" t="str">
        <f>REPLACE(INDEX(GroupVertices[Group],MATCH(Vertices[[#This Row],[Vertex]],GroupVertices[Vertex],0)),1,1,"")</f>
        <v>5</v>
      </c>
      <c r="AP363" s="49">
        <v>0</v>
      </c>
      <c r="AQ363" s="50">
        <v>0</v>
      </c>
      <c r="AR363" s="49">
        <v>1</v>
      </c>
      <c r="AS363" s="50">
        <v>5.2631578947368425</v>
      </c>
      <c r="AT363" s="49">
        <v>0</v>
      </c>
      <c r="AU363" s="50">
        <v>0</v>
      </c>
      <c r="AV363" s="49">
        <v>18</v>
      </c>
      <c r="AW363" s="50">
        <v>94.73684210526316</v>
      </c>
      <c r="AX363" s="49">
        <v>19</v>
      </c>
      <c r="AY363" s="49"/>
      <c r="AZ363" s="49"/>
      <c r="BA363" s="49"/>
      <c r="BB363" s="49"/>
      <c r="BC363" s="2"/>
      <c r="BD363" s="3"/>
      <c r="BE363" s="3"/>
      <c r="BF363" s="3"/>
      <c r="BG363" s="3"/>
    </row>
    <row r="364" spans="1:59" ht="15">
      <c r="A364" s="65" t="s">
        <v>572</v>
      </c>
      <c r="B364" s="66" t="s">
        <v>3536</v>
      </c>
      <c r="C364" s="66"/>
      <c r="D364" s="67">
        <v>212.5</v>
      </c>
      <c r="E364" s="69">
        <v>50</v>
      </c>
      <c r="F364" s="96" t="str">
        <f>HYPERLINK("https://i.ytimg.com/vi/7onWXWOV3io/default.jpg")</f>
        <v>https://i.ytimg.com/vi/7onWXWOV3io/default.jpg</v>
      </c>
      <c r="G364" s="66"/>
      <c r="H364" s="70" t="s">
        <v>981</v>
      </c>
      <c r="I364" s="71"/>
      <c r="J364" s="71" t="s">
        <v>159</v>
      </c>
      <c r="K364" s="70" t="s">
        <v>981</v>
      </c>
      <c r="L364" s="74">
        <v>12.840113141541194</v>
      </c>
      <c r="M364" s="75">
        <v>9029.4599609375</v>
      </c>
      <c r="N364" s="75">
        <v>5793.72802734375</v>
      </c>
      <c r="O364" s="76"/>
      <c r="P364" s="77"/>
      <c r="Q364" s="77"/>
      <c r="R364" s="82"/>
      <c r="S364" s="49">
        <v>1</v>
      </c>
      <c r="T364" s="49">
        <v>0</v>
      </c>
      <c r="U364" s="50">
        <v>0</v>
      </c>
      <c r="V364" s="50">
        <v>0.000916</v>
      </c>
      <c r="W364" s="50">
        <v>0.001813</v>
      </c>
      <c r="X364" s="50">
        <v>0.394914</v>
      </c>
      <c r="Y364" s="50">
        <v>0</v>
      </c>
      <c r="Z364" s="50">
        <v>0</v>
      </c>
      <c r="AA364" s="72">
        <v>363</v>
      </c>
      <c r="AB364" s="72"/>
      <c r="AC364" s="73"/>
      <c r="AD364" s="80" t="s">
        <v>981</v>
      </c>
      <c r="AE364" s="80" t="s">
        <v>1350</v>
      </c>
      <c r="AF364" s="80" t="s">
        <v>1653</v>
      </c>
      <c r="AG364" s="80" t="s">
        <v>1902</v>
      </c>
      <c r="AH364" s="80" t="s">
        <v>2275</v>
      </c>
      <c r="AI364" s="80">
        <v>269377</v>
      </c>
      <c r="AJ364" s="80">
        <v>63</v>
      </c>
      <c r="AK364" s="80">
        <v>2008</v>
      </c>
      <c r="AL364" s="80">
        <v>68</v>
      </c>
      <c r="AM364" s="80" t="s">
        <v>2317</v>
      </c>
      <c r="AN364" s="98" t="str">
        <f>HYPERLINK("https://www.youtube.com/watch?v=7onWXWOV3io")</f>
        <v>https://www.youtube.com/watch?v=7onWXWOV3io</v>
      </c>
      <c r="AO364" s="80" t="str">
        <f>REPLACE(INDEX(GroupVertices[Group],MATCH(Vertices[[#This Row],[Vertex]],GroupVertices[Vertex],0)),1,1,"")</f>
        <v>5</v>
      </c>
      <c r="AP364" s="49">
        <v>0</v>
      </c>
      <c r="AQ364" s="50">
        <v>0</v>
      </c>
      <c r="AR364" s="49">
        <v>2</v>
      </c>
      <c r="AS364" s="50">
        <v>2.985074626865672</v>
      </c>
      <c r="AT364" s="49">
        <v>0</v>
      </c>
      <c r="AU364" s="50">
        <v>0</v>
      </c>
      <c r="AV364" s="49">
        <v>65</v>
      </c>
      <c r="AW364" s="50">
        <v>97.01492537313433</v>
      </c>
      <c r="AX364" s="49">
        <v>67</v>
      </c>
      <c r="AY364" s="49"/>
      <c r="AZ364" s="49"/>
      <c r="BA364" s="49"/>
      <c r="BB364" s="49"/>
      <c r="BC364" s="2"/>
      <c r="BD364" s="3"/>
      <c r="BE364" s="3"/>
      <c r="BF364" s="3"/>
      <c r="BG364" s="3"/>
    </row>
    <row r="365" spans="1:59" ht="15">
      <c r="A365" s="65" t="s">
        <v>573</v>
      </c>
      <c r="B365" s="66" t="s">
        <v>3536</v>
      </c>
      <c r="C365" s="66"/>
      <c r="D365" s="67">
        <v>212.5</v>
      </c>
      <c r="E365" s="69">
        <v>50</v>
      </c>
      <c r="F365" s="96" t="str">
        <f>HYPERLINK("https://i.ytimg.com/vi/VzDMG7ke69g/default.jpg")</f>
        <v>https://i.ytimg.com/vi/VzDMG7ke69g/default.jpg</v>
      </c>
      <c r="G365" s="66"/>
      <c r="H365" s="70" t="s">
        <v>982</v>
      </c>
      <c r="I365" s="71"/>
      <c r="J365" s="71" t="s">
        <v>159</v>
      </c>
      <c r="K365" s="70" t="s">
        <v>982</v>
      </c>
      <c r="L365" s="74">
        <v>209.5803360719957</v>
      </c>
      <c r="M365" s="75">
        <v>8694.8310546875</v>
      </c>
      <c r="N365" s="75">
        <v>4563.36376953125</v>
      </c>
      <c r="O365" s="76"/>
      <c r="P365" s="77"/>
      <c r="Q365" s="77"/>
      <c r="R365" s="82"/>
      <c r="S365" s="49">
        <v>1</v>
      </c>
      <c r="T365" s="49">
        <v>0</v>
      </c>
      <c r="U365" s="50">
        <v>0</v>
      </c>
      <c r="V365" s="50">
        <v>0.000916</v>
      </c>
      <c r="W365" s="50">
        <v>0.001813</v>
      </c>
      <c r="X365" s="50">
        <v>0.394914</v>
      </c>
      <c r="Y365" s="50">
        <v>0</v>
      </c>
      <c r="Z365" s="50">
        <v>0</v>
      </c>
      <c r="AA365" s="72">
        <v>364</v>
      </c>
      <c r="AB365" s="72"/>
      <c r="AC365" s="73"/>
      <c r="AD365" s="80" t="s">
        <v>982</v>
      </c>
      <c r="AE365" s="80" t="s">
        <v>1351</v>
      </c>
      <c r="AF365" s="80" t="s">
        <v>1654</v>
      </c>
      <c r="AG365" s="80" t="s">
        <v>1903</v>
      </c>
      <c r="AH365" s="80" t="s">
        <v>2276</v>
      </c>
      <c r="AI365" s="80">
        <v>4745274</v>
      </c>
      <c r="AJ365" s="80">
        <v>2351</v>
      </c>
      <c r="AK365" s="80">
        <v>65178</v>
      </c>
      <c r="AL365" s="80">
        <v>2278</v>
      </c>
      <c r="AM365" s="80" t="s">
        <v>2317</v>
      </c>
      <c r="AN365" s="98" t="str">
        <f>HYPERLINK("https://www.youtube.com/watch?v=VzDMG7ke69g")</f>
        <v>https://www.youtube.com/watch?v=VzDMG7ke69g</v>
      </c>
      <c r="AO365" s="80" t="str">
        <f>REPLACE(INDEX(GroupVertices[Group],MATCH(Vertices[[#This Row],[Vertex]],GroupVertices[Vertex],0)),1,1,"")</f>
        <v>5</v>
      </c>
      <c r="AP365" s="49">
        <v>1</v>
      </c>
      <c r="AQ365" s="50">
        <v>1.5873015873015872</v>
      </c>
      <c r="AR365" s="49">
        <v>0</v>
      </c>
      <c r="AS365" s="50">
        <v>0</v>
      </c>
      <c r="AT365" s="49">
        <v>0</v>
      </c>
      <c r="AU365" s="50">
        <v>0</v>
      </c>
      <c r="AV365" s="49">
        <v>62</v>
      </c>
      <c r="AW365" s="50">
        <v>98.41269841269842</v>
      </c>
      <c r="AX365" s="49">
        <v>63</v>
      </c>
      <c r="AY365" s="49"/>
      <c r="AZ365" s="49"/>
      <c r="BA365" s="49"/>
      <c r="BB365" s="49"/>
      <c r="BC365" s="2"/>
      <c r="BD365" s="3"/>
      <c r="BE365" s="3"/>
      <c r="BF365" s="3"/>
      <c r="BG365" s="3"/>
    </row>
    <row r="366" spans="1:59" ht="15">
      <c r="A366" s="65" t="s">
        <v>574</v>
      </c>
      <c r="B366" s="66" t="s">
        <v>3536</v>
      </c>
      <c r="C366" s="66"/>
      <c r="D366" s="67">
        <v>212.5</v>
      </c>
      <c r="E366" s="69">
        <v>50</v>
      </c>
      <c r="F366" s="96" t="str">
        <f>HYPERLINK("https://i.ytimg.com/vi/Q7ftGPYVeMk/default.jpg")</f>
        <v>https://i.ytimg.com/vi/Q7ftGPYVeMk/default.jpg</v>
      </c>
      <c r="G366" s="66"/>
      <c r="H366" s="70" t="s">
        <v>983</v>
      </c>
      <c r="I366" s="71"/>
      <c r="J366" s="71" t="s">
        <v>159</v>
      </c>
      <c r="K366" s="70" t="s">
        <v>983</v>
      </c>
      <c r="L366" s="74">
        <v>1.5140593957304347</v>
      </c>
      <c r="M366" s="75">
        <v>9029.4599609375</v>
      </c>
      <c r="N366" s="75">
        <v>8254.4541015625</v>
      </c>
      <c r="O366" s="76"/>
      <c r="P366" s="77"/>
      <c r="Q366" s="77"/>
      <c r="R366" s="82"/>
      <c r="S366" s="49">
        <v>1</v>
      </c>
      <c r="T366" s="49">
        <v>0</v>
      </c>
      <c r="U366" s="50">
        <v>0</v>
      </c>
      <c r="V366" s="50">
        <v>0.000916</v>
      </c>
      <c r="W366" s="50">
        <v>0.001813</v>
      </c>
      <c r="X366" s="50">
        <v>0.394914</v>
      </c>
      <c r="Y366" s="50">
        <v>0</v>
      </c>
      <c r="Z366" s="50">
        <v>0</v>
      </c>
      <c r="AA366" s="72">
        <v>365</v>
      </c>
      <c r="AB366" s="72"/>
      <c r="AC366" s="73"/>
      <c r="AD366" s="80" t="s">
        <v>983</v>
      </c>
      <c r="AE366" s="80" t="s">
        <v>1352</v>
      </c>
      <c r="AF366" s="80" t="s">
        <v>1655</v>
      </c>
      <c r="AG366" s="80" t="s">
        <v>1904</v>
      </c>
      <c r="AH366" s="80" t="s">
        <v>2277</v>
      </c>
      <c r="AI366" s="80">
        <v>11706</v>
      </c>
      <c r="AJ366" s="80">
        <v>9</v>
      </c>
      <c r="AK366" s="80">
        <v>127</v>
      </c>
      <c r="AL366" s="80">
        <v>20</v>
      </c>
      <c r="AM366" s="80" t="s">
        <v>2317</v>
      </c>
      <c r="AN366" s="98" t="str">
        <f>HYPERLINK("https://www.youtube.com/watch?v=Q7ftGPYVeMk")</f>
        <v>https://www.youtube.com/watch?v=Q7ftGPYVeMk</v>
      </c>
      <c r="AO366" s="80" t="str">
        <f>REPLACE(INDEX(GroupVertices[Group],MATCH(Vertices[[#This Row],[Vertex]],GroupVertices[Vertex],0)),1,1,"")</f>
        <v>5</v>
      </c>
      <c r="AP366" s="49">
        <v>0</v>
      </c>
      <c r="AQ366" s="50">
        <v>0</v>
      </c>
      <c r="AR366" s="49">
        <v>0</v>
      </c>
      <c r="AS366" s="50">
        <v>0</v>
      </c>
      <c r="AT366" s="49">
        <v>0</v>
      </c>
      <c r="AU366" s="50">
        <v>0</v>
      </c>
      <c r="AV366" s="49">
        <v>1</v>
      </c>
      <c r="AW366" s="50">
        <v>100</v>
      </c>
      <c r="AX366" s="49">
        <v>1</v>
      </c>
      <c r="AY366" s="49"/>
      <c r="AZ366" s="49"/>
      <c r="BA366" s="49"/>
      <c r="BB366" s="49"/>
      <c r="BC366" s="2"/>
      <c r="BD366" s="3"/>
      <c r="BE366" s="3"/>
      <c r="BF366" s="3"/>
      <c r="BG366" s="3"/>
    </row>
    <row r="367" spans="1:59" ht="15">
      <c r="A367" s="65" t="s">
        <v>575</v>
      </c>
      <c r="B367" s="66" t="s">
        <v>3536</v>
      </c>
      <c r="C367" s="66"/>
      <c r="D367" s="67">
        <v>325</v>
      </c>
      <c r="E367" s="69">
        <v>100</v>
      </c>
      <c r="F367" s="96" t="str">
        <f>HYPERLINK("https://i.ytimg.com/vi/CW9UGe4L5Wo/default.jpg")</f>
        <v>https://i.ytimg.com/vi/CW9UGe4L5Wo/default.jpg</v>
      </c>
      <c r="G367" s="66"/>
      <c r="H367" s="70" t="s">
        <v>984</v>
      </c>
      <c r="I367" s="71"/>
      <c r="J367" s="71" t="s">
        <v>75</v>
      </c>
      <c r="K367" s="70" t="s">
        <v>984</v>
      </c>
      <c r="L367" s="74">
        <v>2.1137880315017945</v>
      </c>
      <c r="M367" s="75">
        <v>8360.201171875</v>
      </c>
      <c r="N367" s="75">
        <v>7639.27294921875</v>
      </c>
      <c r="O367" s="76"/>
      <c r="P367" s="77"/>
      <c r="Q367" s="77"/>
      <c r="R367" s="82"/>
      <c r="S367" s="49">
        <v>2</v>
      </c>
      <c r="T367" s="49">
        <v>0</v>
      </c>
      <c r="U367" s="50">
        <v>0</v>
      </c>
      <c r="V367" s="50">
        <v>0.000969</v>
      </c>
      <c r="W367" s="50">
        <v>0.003468</v>
      </c>
      <c r="X367" s="50">
        <v>0.653237</v>
      </c>
      <c r="Y367" s="50">
        <v>1</v>
      </c>
      <c r="Z367" s="50">
        <v>0</v>
      </c>
      <c r="AA367" s="72">
        <v>366</v>
      </c>
      <c r="AB367" s="72"/>
      <c r="AC367" s="73"/>
      <c r="AD367" s="80" t="s">
        <v>984</v>
      </c>
      <c r="AE367" s="80" t="s">
        <v>1353</v>
      </c>
      <c r="AF367" s="80" t="s">
        <v>1656</v>
      </c>
      <c r="AG367" s="80" t="s">
        <v>1905</v>
      </c>
      <c r="AH367" s="80" t="s">
        <v>2278</v>
      </c>
      <c r="AI367" s="80">
        <v>25350</v>
      </c>
      <c r="AJ367" s="80">
        <v>16</v>
      </c>
      <c r="AK367" s="80">
        <v>74</v>
      </c>
      <c r="AL367" s="80">
        <v>26</v>
      </c>
      <c r="AM367" s="80" t="s">
        <v>2317</v>
      </c>
      <c r="AN367" s="98" t="str">
        <f>HYPERLINK("https://www.youtube.com/watch?v=CW9UGe4L5Wo")</f>
        <v>https://www.youtube.com/watch?v=CW9UGe4L5Wo</v>
      </c>
      <c r="AO367" s="80" t="str">
        <f>REPLACE(INDEX(GroupVertices[Group],MATCH(Vertices[[#This Row],[Vertex]],GroupVertices[Vertex],0)),1,1,"")</f>
        <v>5</v>
      </c>
      <c r="AP367" s="49">
        <v>0</v>
      </c>
      <c r="AQ367" s="50">
        <v>0</v>
      </c>
      <c r="AR367" s="49">
        <v>6</v>
      </c>
      <c r="AS367" s="50">
        <v>8.108108108108109</v>
      </c>
      <c r="AT367" s="49">
        <v>0</v>
      </c>
      <c r="AU367" s="50">
        <v>0</v>
      </c>
      <c r="AV367" s="49">
        <v>68</v>
      </c>
      <c r="AW367" s="50">
        <v>91.89189189189189</v>
      </c>
      <c r="AX367" s="49">
        <v>74</v>
      </c>
      <c r="AY367" s="49"/>
      <c r="AZ367" s="49"/>
      <c r="BA367" s="49"/>
      <c r="BB367" s="49"/>
      <c r="BC367" s="2"/>
      <c r="BD367" s="3"/>
      <c r="BE367" s="3"/>
      <c r="BF367" s="3"/>
      <c r="BG367" s="3"/>
    </row>
    <row r="368" spans="1:59" ht="15">
      <c r="A368" s="65" t="s">
        <v>576</v>
      </c>
      <c r="B368" s="66" t="s">
        <v>3536</v>
      </c>
      <c r="C368" s="66"/>
      <c r="D368" s="67">
        <v>212.5</v>
      </c>
      <c r="E368" s="69">
        <v>50</v>
      </c>
      <c r="F368" s="96" t="str">
        <f>HYPERLINK("https://i.ytimg.com/vi/iy-47a68P60/default.jpg")</f>
        <v>https://i.ytimg.com/vi/iy-47a68P60/default.jpg</v>
      </c>
      <c r="G368" s="66"/>
      <c r="H368" s="70" t="s">
        <v>985</v>
      </c>
      <c r="I368" s="71"/>
      <c r="J368" s="71" t="s">
        <v>159</v>
      </c>
      <c r="K368" s="70" t="s">
        <v>985</v>
      </c>
      <c r="L368" s="74">
        <v>2.666044743597321</v>
      </c>
      <c r="M368" s="75">
        <v>8025.5712890625</v>
      </c>
      <c r="N368" s="75">
        <v>7024.0908203125</v>
      </c>
      <c r="O368" s="76"/>
      <c r="P368" s="77"/>
      <c r="Q368" s="77"/>
      <c r="R368" s="82"/>
      <c r="S368" s="49">
        <v>1</v>
      </c>
      <c r="T368" s="49">
        <v>0</v>
      </c>
      <c r="U368" s="50">
        <v>0</v>
      </c>
      <c r="V368" s="50">
        <v>0.000916</v>
      </c>
      <c r="W368" s="50">
        <v>0.001813</v>
      </c>
      <c r="X368" s="50">
        <v>0.394914</v>
      </c>
      <c r="Y368" s="50">
        <v>0</v>
      </c>
      <c r="Z368" s="50">
        <v>0</v>
      </c>
      <c r="AA368" s="72">
        <v>367</v>
      </c>
      <c r="AB368" s="72"/>
      <c r="AC368" s="73"/>
      <c r="AD368" s="80" t="s">
        <v>985</v>
      </c>
      <c r="AE368" s="80" t="s">
        <v>1354</v>
      </c>
      <c r="AF368" s="80" t="s">
        <v>1657</v>
      </c>
      <c r="AG368" s="80" t="s">
        <v>1898</v>
      </c>
      <c r="AH368" s="80" t="s">
        <v>2279</v>
      </c>
      <c r="AI368" s="80">
        <v>37914</v>
      </c>
      <c r="AJ368" s="80">
        <v>44</v>
      </c>
      <c r="AK368" s="80">
        <v>454</v>
      </c>
      <c r="AL368" s="80">
        <v>17</v>
      </c>
      <c r="AM368" s="80" t="s">
        <v>2317</v>
      </c>
      <c r="AN368" s="98" t="str">
        <f>HYPERLINK("https://www.youtube.com/watch?v=iy-47a68P60")</f>
        <v>https://www.youtube.com/watch?v=iy-47a68P60</v>
      </c>
      <c r="AO368" s="80" t="str">
        <f>REPLACE(INDEX(GroupVertices[Group],MATCH(Vertices[[#This Row],[Vertex]],GroupVertices[Vertex],0)),1,1,"")</f>
        <v>5</v>
      </c>
      <c r="AP368" s="49">
        <v>0</v>
      </c>
      <c r="AQ368" s="50">
        <v>0</v>
      </c>
      <c r="AR368" s="49">
        <v>3</v>
      </c>
      <c r="AS368" s="50">
        <v>10</v>
      </c>
      <c r="AT368" s="49">
        <v>0</v>
      </c>
      <c r="AU368" s="50">
        <v>0</v>
      </c>
      <c r="AV368" s="49">
        <v>27</v>
      </c>
      <c r="AW368" s="50">
        <v>90</v>
      </c>
      <c r="AX368" s="49">
        <v>30</v>
      </c>
      <c r="AY368" s="49"/>
      <c r="AZ368" s="49"/>
      <c r="BA368" s="49"/>
      <c r="BB368" s="49"/>
      <c r="BC368" s="2"/>
      <c r="BD368" s="3"/>
      <c r="BE368" s="3"/>
      <c r="BF368" s="3"/>
      <c r="BG368" s="3"/>
    </row>
    <row r="369" spans="1:59" ht="15">
      <c r="A369" s="65" t="s">
        <v>577</v>
      </c>
      <c r="B369" s="66" t="s">
        <v>3536</v>
      </c>
      <c r="C369" s="66"/>
      <c r="D369" s="67">
        <v>437.5</v>
      </c>
      <c r="E369" s="69">
        <v>100</v>
      </c>
      <c r="F369" s="96" t="str">
        <f>HYPERLINK("https://i.ytimg.com/vi/da8iw9hvQX4/default.jpg")</f>
        <v>https://i.ytimg.com/vi/da8iw9hvQX4/default.jpg</v>
      </c>
      <c r="G369" s="66"/>
      <c r="H369" s="70" t="s">
        <v>986</v>
      </c>
      <c r="I369" s="71"/>
      <c r="J369" s="71" t="s">
        <v>75</v>
      </c>
      <c r="K369" s="70" t="s">
        <v>986</v>
      </c>
      <c r="L369" s="74">
        <v>3.4634851503815485</v>
      </c>
      <c r="M369" s="75">
        <v>3599.564208984375</v>
      </c>
      <c r="N369" s="75">
        <v>1646.2713623046875</v>
      </c>
      <c r="O369" s="76"/>
      <c r="P369" s="77"/>
      <c r="Q369" s="77"/>
      <c r="R369" s="82"/>
      <c r="S369" s="49">
        <v>3</v>
      </c>
      <c r="T369" s="49">
        <v>0</v>
      </c>
      <c r="U369" s="50">
        <v>0</v>
      </c>
      <c r="V369" s="50">
        <v>0.001007</v>
      </c>
      <c r="W369" s="50">
        <v>0.005223</v>
      </c>
      <c r="X369" s="50">
        <v>0.88893</v>
      </c>
      <c r="Y369" s="50">
        <v>1</v>
      </c>
      <c r="Z369" s="50">
        <v>0</v>
      </c>
      <c r="AA369" s="72">
        <v>368</v>
      </c>
      <c r="AB369" s="72"/>
      <c r="AC369" s="73"/>
      <c r="AD369" s="80" t="s">
        <v>986</v>
      </c>
      <c r="AE369" s="80" t="s">
        <v>1355</v>
      </c>
      <c r="AF369" s="80" t="s">
        <v>1658</v>
      </c>
      <c r="AG369" s="80" t="s">
        <v>1906</v>
      </c>
      <c r="AH369" s="80" t="s">
        <v>2280</v>
      </c>
      <c r="AI369" s="80">
        <v>56056</v>
      </c>
      <c r="AJ369" s="80">
        <v>16</v>
      </c>
      <c r="AK369" s="80">
        <v>205</v>
      </c>
      <c r="AL369" s="80">
        <v>14</v>
      </c>
      <c r="AM369" s="80" t="s">
        <v>2317</v>
      </c>
      <c r="AN369" s="98" t="str">
        <f>HYPERLINK("https://www.youtube.com/watch?v=da8iw9hvQX4")</f>
        <v>https://www.youtube.com/watch?v=da8iw9hvQX4</v>
      </c>
      <c r="AO369" s="80" t="str">
        <f>REPLACE(INDEX(GroupVertices[Group],MATCH(Vertices[[#This Row],[Vertex]],GroupVertices[Vertex],0)),1,1,"")</f>
        <v>4</v>
      </c>
      <c r="AP369" s="49">
        <v>1</v>
      </c>
      <c r="AQ369" s="50">
        <v>9.090909090909092</v>
      </c>
      <c r="AR369" s="49">
        <v>1</v>
      </c>
      <c r="AS369" s="50">
        <v>9.090909090909092</v>
      </c>
      <c r="AT369" s="49">
        <v>0</v>
      </c>
      <c r="AU369" s="50">
        <v>0</v>
      </c>
      <c r="AV369" s="49">
        <v>9</v>
      </c>
      <c r="AW369" s="50">
        <v>81.81818181818181</v>
      </c>
      <c r="AX369" s="49">
        <v>11</v>
      </c>
      <c r="AY369" s="49"/>
      <c r="AZ369" s="49"/>
      <c r="BA369" s="49"/>
      <c r="BB369" s="49"/>
      <c r="BC369" s="2"/>
      <c r="BD369" s="3"/>
      <c r="BE369" s="3"/>
      <c r="BF369" s="3"/>
      <c r="BG369" s="3"/>
    </row>
    <row r="370" spans="1:59" ht="15">
      <c r="A370" s="65" t="s">
        <v>578</v>
      </c>
      <c r="B370" s="66" t="s">
        <v>3536</v>
      </c>
      <c r="C370" s="66"/>
      <c r="D370" s="67">
        <v>325</v>
      </c>
      <c r="E370" s="69">
        <v>100</v>
      </c>
      <c r="F370" s="96" t="str">
        <f>HYPERLINK("https://i.ytimg.com/vi/PzfLDi-sL3w/default.jpg")</f>
        <v>https://i.ytimg.com/vi/PzfLDi-sL3w/default.jpg</v>
      </c>
      <c r="G370" s="66"/>
      <c r="H370" s="70" t="s">
        <v>987</v>
      </c>
      <c r="I370" s="71"/>
      <c r="J370" s="71" t="s">
        <v>75</v>
      </c>
      <c r="K370" s="70" t="s">
        <v>987</v>
      </c>
      <c r="L370" s="74">
        <v>193.04076621945632</v>
      </c>
      <c r="M370" s="75">
        <v>8360.201171875</v>
      </c>
      <c r="N370" s="75">
        <v>4563.36376953125</v>
      </c>
      <c r="O370" s="76"/>
      <c r="P370" s="77"/>
      <c r="Q370" s="77"/>
      <c r="R370" s="82"/>
      <c r="S370" s="49">
        <v>2</v>
      </c>
      <c r="T370" s="49">
        <v>0</v>
      </c>
      <c r="U370" s="50">
        <v>0</v>
      </c>
      <c r="V370" s="50">
        <v>0.000962</v>
      </c>
      <c r="W370" s="50">
        <v>0.003521</v>
      </c>
      <c r="X370" s="50">
        <v>0.637875</v>
      </c>
      <c r="Y370" s="50">
        <v>1</v>
      </c>
      <c r="Z370" s="50">
        <v>0</v>
      </c>
      <c r="AA370" s="72">
        <v>369</v>
      </c>
      <c r="AB370" s="72"/>
      <c r="AC370" s="73"/>
      <c r="AD370" s="80" t="s">
        <v>987</v>
      </c>
      <c r="AE370" s="80" t="s">
        <v>1356</v>
      </c>
      <c r="AF370" s="80" t="s">
        <v>1659</v>
      </c>
      <c r="AG370" s="80" t="s">
        <v>1726</v>
      </c>
      <c r="AH370" s="80" t="s">
        <v>2281</v>
      </c>
      <c r="AI370" s="80">
        <v>4368994</v>
      </c>
      <c r="AJ370" s="80">
        <v>11881</v>
      </c>
      <c r="AK370" s="80">
        <v>82996</v>
      </c>
      <c r="AL370" s="80">
        <v>1128</v>
      </c>
      <c r="AM370" s="80" t="s">
        <v>2317</v>
      </c>
      <c r="AN370" s="98" t="str">
        <f>HYPERLINK("https://www.youtube.com/watch?v=PzfLDi-sL3w")</f>
        <v>https://www.youtube.com/watch?v=PzfLDi-sL3w</v>
      </c>
      <c r="AO370" s="80" t="str">
        <f>REPLACE(INDEX(GroupVertices[Group],MATCH(Vertices[[#This Row],[Vertex]],GroupVertices[Vertex],0)),1,1,"")</f>
        <v>5</v>
      </c>
      <c r="AP370" s="49">
        <v>0</v>
      </c>
      <c r="AQ370" s="50">
        <v>0</v>
      </c>
      <c r="AR370" s="49">
        <v>1</v>
      </c>
      <c r="AS370" s="50">
        <v>3.0303030303030303</v>
      </c>
      <c r="AT370" s="49">
        <v>0</v>
      </c>
      <c r="AU370" s="50">
        <v>0</v>
      </c>
      <c r="AV370" s="49">
        <v>32</v>
      </c>
      <c r="AW370" s="50">
        <v>96.96969696969697</v>
      </c>
      <c r="AX370" s="49">
        <v>33</v>
      </c>
      <c r="AY370" s="49"/>
      <c r="AZ370" s="49"/>
      <c r="BA370" s="49"/>
      <c r="BB370" s="49"/>
      <c r="BC370" s="2"/>
      <c r="BD370" s="3"/>
      <c r="BE370" s="3"/>
      <c r="BF370" s="3"/>
      <c r="BG370" s="3"/>
    </row>
    <row r="371" spans="1:59" ht="15">
      <c r="A371" s="65" t="s">
        <v>579</v>
      </c>
      <c r="B371" s="66" t="s">
        <v>3536</v>
      </c>
      <c r="C371" s="66"/>
      <c r="D371" s="67">
        <v>212.5</v>
      </c>
      <c r="E371" s="69">
        <v>50</v>
      </c>
      <c r="F371" s="96" t="str">
        <f>HYPERLINK("https://i.ytimg.com/vi/7HJZFRnVct8/default.jpg")</f>
        <v>https://i.ytimg.com/vi/7HJZFRnVct8/default.jpg</v>
      </c>
      <c r="G371" s="66"/>
      <c r="H371" s="70" t="s">
        <v>988</v>
      </c>
      <c r="I371" s="71"/>
      <c r="J371" s="71" t="s">
        <v>159</v>
      </c>
      <c r="K371" s="70" t="s">
        <v>988</v>
      </c>
      <c r="L371" s="74">
        <v>3.903215821171396</v>
      </c>
      <c r="M371" s="75">
        <v>9698.7197265625</v>
      </c>
      <c r="N371" s="75">
        <v>7024.0908203125</v>
      </c>
      <c r="O371" s="76"/>
      <c r="P371" s="77"/>
      <c r="Q371" s="77"/>
      <c r="R371" s="82"/>
      <c r="S371" s="49">
        <v>1</v>
      </c>
      <c r="T371" s="49">
        <v>0</v>
      </c>
      <c r="U371" s="50">
        <v>0</v>
      </c>
      <c r="V371" s="50">
        <v>0.000916</v>
      </c>
      <c r="W371" s="50">
        <v>0.001813</v>
      </c>
      <c r="X371" s="50">
        <v>0.394914</v>
      </c>
      <c r="Y371" s="50">
        <v>0</v>
      </c>
      <c r="Z371" s="50">
        <v>0</v>
      </c>
      <c r="AA371" s="72">
        <v>370</v>
      </c>
      <c r="AB371" s="72"/>
      <c r="AC371" s="73"/>
      <c r="AD371" s="80" t="s">
        <v>988</v>
      </c>
      <c r="AE371" s="80" t="s">
        <v>1357</v>
      </c>
      <c r="AF371" s="80" t="s">
        <v>1660</v>
      </c>
      <c r="AG371" s="80" t="s">
        <v>1907</v>
      </c>
      <c r="AH371" s="80" t="s">
        <v>2282</v>
      </c>
      <c r="AI371" s="80">
        <v>66060</v>
      </c>
      <c r="AJ371" s="80">
        <v>76</v>
      </c>
      <c r="AK371" s="80">
        <v>613</v>
      </c>
      <c r="AL371" s="80">
        <v>8</v>
      </c>
      <c r="AM371" s="80" t="s">
        <v>2317</v>
      </c>
      <c r="AN371" s="98" t="str">
        <f>HYPERLINK("https://www.youtube.com/watch?v=7HJZFRnVct8")</f>
        <v>https://www.youtube.com/watch?v=7HJZFRnVct8</v>
      </c>
      <c r="AO371" s="80" t="str">
        <f>REPLACE(INDEX(GroupVertices[Group],MATCH(Vertices[[#This Row],[Vertex]],GroupVertices[Vertex],0)),1,1,"")</f>
        <v>5</v>
      </c>
      <c r="AP371" s="49">
        <v>0</v>
      </c>
      <c r="AQ371" s="50">
        <v>0</v>
      </c>
      <c r="AR371" s="49">
        <v>1</v>
      </c>
      <c r="AS371" s="50">
        <v>3.5714285714285716</v>
      </c>
      <c r="AT371" s="49">
        <v>0</v>
      </c>
      <c r="AU371" s="50">
        <v>0</v>
      </c>
      <c r="AV371" s="49">
        <v>27</v>
      </c>
      <c r="AW371" s="50">
        <v>96.42857142857143</v>
      </c>
      <c r="AX371" s="49">
        <v>28</v>
      </c>
      <c r="AY371" s="49"/>
      <c r="AZ371" s="49"/>
      <c r="BA371" s="49"/>
      <c r="BB371" s="49"/>
      <c r="BC371" s="2"/>
      <c r="BD371" s="3"/>
      <c r="BE371" s="3"/>
      <c r="BF371" s="3"/>
      <c r="BG371" s="3"/>
    </row>
    <row r="372" spans="1:59" ht="15">
      <c r="A372" s="65" t="s">
        <v>580</v>
      </c>
      <c r="B372" s="66" t="s">
        <v>3536</v>
      </c>
      <c r="C372" s="66"/>
      <c r="D372" s="67">
        <v>212.5</v>
      </c>
      <c r="E372" s="69">
        <v>50</v>
      </c>
      <c r="F372" s="96" t="str">
        <f>HYPERLINK("https://i.ytimg.com/vi/QYWNXp36O48/default.jpg")</f>
        <v>https://i.ytimg.com/vi/QYWNXp36O48/default.jpg</v>
      </c>
      <c r="G372" s="66"/>
      <c r="H372" s="70" t="s">
        <v>989</v>
      </c>
      <c r="I372" s="71"/>
      <c r="J372" s="71" t="s">
        <v>159</v>
      </c>
      <c r="K372" s="70" t="s">
        <v>989</v>
      </c>
      <c r="L372" s="74">
        <v>15.246192428662892</v>
      </c>
      <c r="M372" s="75">
        <v>9698.7197265625</v>
      </c>
      <c r="N372" s="75">
        <v>5793.72802734375</v>
      </c>
      <c r="O372" s="76"/>
      <c r="P372" s="77"/>
      <c r="Q372" s="77"/>
      <c r="R372" s="82"/>
      <c r="S372" s="49">
        <v>1</v>
      </c>
      <c r="T372" s="49">
        <v>0</v>
      </c>
      <c r="U372" s="50">
        <v>0</v>
      </c>
      <c r="V372" s="50">
        <v>0.000916</v>
      </c>
      <c r="W372" s="50">
        <v>0.001813</v>
      </c>
      <c r="X372" s="50">
        <v>0.394914</v>
      </c>
      <c r="Y372" s="50">
        <v>0</v>
      </c>
      <c r="Z372" s="50">
        <v>0</v>
      </c>
      <c r="AA372" s="72">
        <v>371</v>
      </c>
      <c r="AB372" s="72"/>
      <c r="AC372" s="73"/>
      <c r="AD372" s="80" t="s">
        <v>989</v>
      </c>
      <c r="AE372" s="80" t="s">
        <v>1358</v>
      </c>
      <c r="AF372" s="80" t="s">
        <v>1661</v>
      </c>
      <c r="AG372" s="80" t="s">
        <v>1908</v>
      </c>
      <c r="AH372" s="80" t="s">
        <v>2283</v>
      </c>
      <c r="AI372" s="80">
        <v>324116</v>
      </c>
      <c r="AJ372" s="80">
        <v>135</v>
      </c>
      <c r="AK372" s="80">
        <v>3483</v>
      </c>
      <c r="AL372" s="80">
        <v>74</v>
      </c>
      <c r="AM372" s="80" t="s">
        <v>2317</v>
      </c>
      <c r="AN372" s="98" t="str">
        <f>HYPERLINK("https://www.youtube.com/watch?v=QYWNXp36O48")</f>
        <v>https://www.youtube.com/watch?v=QYWNXp36O48</v>
      </c>
      <c r="AO372" s="80" t="str">
        <f>REPLACE(INDEX(GroupVertices[Group],MATCH(Vertices[[#This Row],[Vertex]],GroupVertices[Vertex],0)),1,1,"")</f>
        <v>5</v>
      </c>
      <c r="AP372" s="49">
        <v>0</v>
      </c>
      <c r="AQ372" s="50">
        <v>0</v>
      </c>
      <c r="AR372" s="49">
        <v>1</v>
      </c>
      <c r="AS372" s="50">
        <v>11.11111111111111</v>
      </c>
      <c r="AT372" s="49">
        <v>0</v>
      </c>
      <c r="AU372" s="50">
        <v>0</v>
      </c>
      <c r="AV372" s="49">
        <v>8</v>
      </c>
      <c r="AW372" s="50">
        <v>88.88888888888889</v>
      </c>
      <c r="AX372" s="49">
        <v>9</v>
      </c>
      <c r="AY372" s="49"/>
      <c r="AZ372" s="49"/>
      <c r="BA372" s="49"/>
      <c r="BB372" s="49"/>
      <c r="BC372" s="2"/>
      <c r="BD372" s="3"/>
      <c r="BE372" s="3"/>
      <c r="BF372" s="3"/>
      <c r="BG372" s="3"/>
    </row>
    <row r="373" spans="1:59" ht="15">
      <c r="A373" s="65" t="s">
        <v>581</v>
      </c>
      <c r="B373" s="66" t="s">
        <v>3536</v>
      </c>
      <c r="C373" s="66"/>
      <c r="D373" s="67">
        <v>212.5</v>
      </c>
      <c r="E373" s="69">
        <v>50</v>
      </c>
      <c r="F373" s="96" t="str">
        <f>HYPERLINK("https://i.ytimg.com/vi/l-KPR7XCKlU/default.jpg")</f>
        <v>https://i.ytimg.com/vi/l-KPR7XCKlU/default.jpg</v>
      </c>
      <c r="G373" s="66"/>
      <c r="H373" s="70" t="s">
        <v>990</v>
      </c>
      <c r="I373" s="71"/>
      <c r="J373" s="71" t="s">
        <v>159</v>
      </c>
      <c r="K373" s="70" t="s">
        <v>990</v>
      </c>
      <c r="L373" s="74">
        <v>1.0372742511825062</v>
      </c>
      <c r="M373" s="75">
        <v>9364.0908203125</v>
      </c>
      <c r="N373" s="75">
        <v>9484.818359375</v>
      </c>
      <c r="O373" s="76"/>
      <c r="P373" s="77"/>
      <c r="Q373" s="77"/>
      <c r="R373" s="82"/>
      <c r="S373" s="49">
        <v>1</v>
      </c>
      <c r="T373" s="49">
        <v>0</v>
      </c>
      <c r="U373" s="50">
        <v>0</v>
      </c>
      <c r="V373" s="50">
        <v>0.000916</v>
      </c>
      <c r="W373" s="50">
        <v>0.001813</v>
      </c>
      <c r="X373" s="50">
        <v>0.394914</v>
      </c>
      <c r="Y373" s="50">
        <v>0</v>
      </c>
      <c r="Z373" s="50">
        <v>0</v>
      </c>
      <c r="AA373" s="72">
        <v>372</v>
      </c>
      <c r="AB373" s="72"/>
      <c r="AC373" s="73"/>
      <c r="AD373" s="80" t="s">
        <v>990</v>
      </c>
      <c r="AE373" s="80" t="s">
        <v>1359</v>
      </c>
      <c r="AF373" s="80" t="s">
        <v>1662</v>
      </c>
      <c r="AG373" s="80" t="s">
        <v>1909</v>
      </c>
      <c r="AH373" s="80" t="s">
        <v>2284</v>
      </c>
      <c r="AI373" s="80">
        <v>859</v>
      </c>
      <c r="AJ373" s="80">
        <v>8</v>
      </c>
      <c r="AK373" s="80">
        <v>34</v>
      </c>
      <c r="AL373" s="80">
        <v>0</v>
      </c>
      <c r="AM373" s="80" t="s">
        <v>2317</v>
      </c>
      <c r="AN373" s="98" t="str">
        <f>HYPERLINK("https://www.youtube.com/watch?v=l-KPR7XCKlU")</f>
        <v>https://www.youtube.com/watch?v=l-KPR7XCKlU</v>
      </c>
      <c r="AO373" s="80" t="str">
        <f>REPLACE(INDEX(GroupVertices[Group],MATCH(Vertices[[#This Row],[Vertex]],GroupVertices[Vertex],0)),1,1,"")</f>
        <v>5</v>
      </c>
      <c r="AP373" s="49">
        <v>0</v>
      </c>
      <c r="AQ373" s="50">
        <v>0</v>
      </c>
      <c r="AR373" s="49">
        <v>0</v>
      </c>
      <c r="AS373" s="50">
        <v>0</v>
      </c>
      <c r="AT373" s="49">
        <v>0</v>
      </c>
      <c r="AU373" s="50">
        <v>0</v>
      </c>
      <c r="AV373" s="49">
        <v>20</v>
      </c>
      <c r="AW373" s="50">
        <v>100</v>
      </c>
      <c r="AX373" s="49">
        <v>20</v>
      </c>
      <c r="AY373" s="49"/>
      <c r="AZ373" s="49"/>
      <c r="BA373" s="49"/>
      <c r="BB373" s="49"/>
      <c r="BC373" s="2"/>
      <c r="BD373" s="3"/>
      <c r="BE373" s="3"/>
      <c r="BF373" s="3"/>
      <c r="BG373" s="3"/>
    </row>
    <row r="374" spans="1:59" ht="15">
      <c r="A374" s="65" t="s">
        <v>582</v>
      </c>
      <c r="B374" s="66" t="s">
        <v>3536</v>
      </c>
      <c r="C374" s="66"/>
      <c r="D374" s="67">
        <v>212.5</v>
      </c>
      <c r="E374" s="69">
        <v>50</v>
      </c>
      <c r="F374" s="96" t="str">
        <f>HYPERLINK("https://i.ytimg.com/vi/8PH4JYfF4Ns/default.jpg")</f>
        <v>https://i.ytimg.com/vi/8PH4JYfF4Ns/default.jpg</v>
      </c>
      <c r="G374" s="66"/>
      <c r="H374" s="70" t="s">
        <v>991</v>
      </c>
      <c r="I374" s="71"/>
      <c r="J374" s="71" t="s">
        <v>159</v>
      </c>
      <c r="K374" s="70" t="s">
        <v>991</v>
      </c>
      <c r="L374" s="74">
        <v>30.356945289529456</v>
      </c>
      <c r="M374" s="75">
        <v>8694.8310546875</v>
      </c>
      <c r="N374" s="75">
        <v>5178.54541015625</v>
      </c>
      <c r="O374" s="76"/>
      <c r="P374" s="77"/>
      <c r="Q374" s="77"/>
      <c r="R374" s="82"/>
      <c r="S374" s="49">
        <v>1</v>
      </c>
      <c r="T374" s="49">
        <v>0</v>
      </c>
      <c r="U374" s="50">
        <v>0</v>
      </c>
      <c r="V374" s="50">
        <v>0.000916</v>
      </c>
      <c r="W374" s="50">
        <v>0.001813</v>
      </c>
      <c r="X374" s="50">
        <v>0.394914</v>
      </c>
      <c r="Y374" s="50">
        <v>0</v>
      </c>
      <c r="Z374" s="50">
        <v>0</v>
      </c>
      <c r="AA374" s="72">
        <v>373</v>
      </c>
      <c r="AB374" s="72"/>
      <c r="AC374" s="73"/>
      <c r="AD374" s="80" t="s">
        <v>991</v>
      </c>
      <c r="AE374" s="80" t="s">
        <v>1360</v>
      </c>
      <c r="AF374" s="80" t="s">
        <v>1663</v>
      </c>
      <c r="AG374" s="80" t="s">
        <v>1788</v>
      </c>
      <c r="AH374" s="80" t="s">
        <v>2285</v>
      </c>
      <c r="AI374" s="80">
        <v>667890</v>
      </c>
      <c r="AJ374" s="80">
        <v>153</v>
      </c>
      <c r="AK374" s="80">
        <v>8421</v>
      </c>
      <c r="AL374" s="80">
        <v>152</v>
      </c>
      <c r="AM374" s="80" t="s">
        <v>2317</v>
      </c>
      <c r="AN374" s="98" t="str">
        <f>HYPERLINK("https://www.youtube.com/watch?v=8PH4JYfF4Ns")</f>
        <v>https://www.youtube.com/watch?v=8PH4JYfF4Ns</v>
      </c>
      <c r="AO374" s="80" t="str">
        <f>REPLACE(INDEX(GroupVertices[Group],MATCH(Vertices[[#This Row],[Vertex]],GroupVertices[Vertex],0)),1,1,"")</f>
        <v>5</v>
      </c>
      <c r="AP374" s="49">
        <v>0</v>
      </c>
      <c r="AQ374" s="50">
        <v>0</v>
      </c>
      <c r="AR374" s="49">
        <v>0</v>
      </c>
      <c r="AS374" s="50">
        <v>0</v>
      </c>
      <c r="AT374" s="49">
        <v>0</v>
      </c>
      <c r="AU374" s="50">
        <v>0</v>
      </c>
      <c r="AV374" s="49">
        <v>10</v>
      </c>
      <c r="AW374" s="50">
        <v>100</v>
      </c>
      <c r="AX374" s="49">
        <v>10</v>
      </c>
      <c r="AY374" s="49"/>
      <c r="AZ374" s="49"/>
      <c r="BA374" s="49"/>
      <c r="BB374" s="49"/>
      <c r="BC374" s="2"/>
      <c r="BD374" s="3"/>
      <c r="BE374" s="3"/>
      <c r="BF374" s="3"/>
      <c r="BG374" s="3"/>
    </row>
    <row r="375" spans="1:59" ht="15">
      <c r="A375" s="65" t="s">
        <v>583</v>
      </c>
      <c r="B375" s="66" t="s">
        <v>3536</v>
      </c>
      <c r="C375" s="66"/>
      <c r="D375" s="67">
        <v>325</v>
      </c>
      <c r="E375" s="69">
        <v>100</v>
      </c>
      <c r="F375" s="96" t="str">
        <f>HYPERLINK("https://i.ytimg.com/vi/q0scBynXQL8/default.jpg")</f>
        <v>https://i.ytimg.com/vi/q0scBynXQL8/default.jpg</v>
      </c>
      <c r="G375" s="66"/>
      <c r="H375" s="70" t="s">
        <v>992</v>
      </c>
      <c r="I375" s="71"/>
      <c r="J375" s="71" t="s">
        <v>75</v>
      </c>
      <c r="K375" s="70" t="s">
        <v>992</v>
      </c>
      <c r="L375" s="74">
        <v>2.783493799210123</v>
      </c>
      <c r="M375" s="75">
        <v>5404.0947265625</v>
      </c>
      <c r="N375" s="75">
        <v>2222.1435546875</v>
      </c>
      <c r="O375" s="76"/>
      <c r="P375" s="77"/>
      <c r="Q375" s="77"/>
      <c r="R375" s="82"/>
      <c r="S375" s="49">
        <v>2</v>
      </c>
      <c r="T375" s="49">
        <v>0</v>
      </c>
      <c r="U375" s="50">
        <v>0</v>
      </c>
      <c r="V375" s="50">
        <v>0.000962</v>
      </c>
      <c r="W375" s="50">
        <v>0.003515</v>
      </c>
      <c r="X375" s="50">
        <v>0.645969</v>
      </c>
      <c r="Y375" s="50">
        <v>1</v>
      </c>
      <c r="Z375" s="50">
        <v>0</v>
      </c>
      <c r="AA375" s="72">
        <v>374</v>
      </c>
      <c r="AB375" s="72"/>
      <c r="AC375" s="73"/>
      <c r="AD375" s="80" t="s">
        <v>992</v>
      </c>
      <c r="AE375" s="80" t="s">
        <v>1361</v>
      </c>
      <c r="AF375" s="80" t="s">
        <v>1664</v>
      </c>
      <c r="AG375" s="80" t="s">
        <v>1910</v>
      </c>
      <c r="AH375" s="80" t="s">
        <v>2286</v>
      </c>
      <c r="AI375" s="80">
        <v>40586</v>
      </c>
      <c r="AJ375" s="80">
        <v>4</v>
      </c>
      <c r="AK375" s="80">
        <v>108</v>
      </c>
      <c r="AL375" s="80">
        <v>12</v>
      </c>
      <c r="AM375" s="80" t="s">
        <v>2317</v>
      </c>
      <c r="AN375" s="98" t="str">
        <f>HYPERLINK("https://www.youtube.com/watch?v=q0scBynXQL8")</f>
        <v>https://www.youtube.com/watch?v=q0scBynXQL8</v>
      </c>
      <c r="AO375" s="80" t="str">
        <f>REPLACE(INDEX(GroupVertices[Group],MATCH(Vertices[[#This Row],[Vertex]],GroupVertices[Vertex],0)),1,1,"")</f>
        <v>4</v>
      </c>
      <c r="AP375" s="49">
        <v>2</v>
      </c>
      <c r="AQ375" s="50">
        <v>6.0606060606060606</v>
      </c>
      <c r="AR375" s="49">
        <v>2</v>
      </c>
      <c r="AS375" s="50">
        <v>6.0606060606060606</v>
      </c>
      <c r="AT375" s="49">
        <v>0</v>
      </c>
      <c r="AU375" s="50">
        <v>0</v>
      </c>
      <c r="AV375" s="49">
        <v>29</v>
      </c>
      <c r="AW375" s="50">
        <v>87.87878787878788</v>
      </c>
      <c r="AX375" s="49">
        <v>33</v>
      </c>
      <c r="AY375" s="49"/>
      <c r="AZ375" s="49"/>
      <c r="BA375" s="49"/>
      <c r="BB375" s="49"/>
      <c r="BC375" s="2"/>
      <c r="BD375" s="3"/>
      <c r="BE375" s="3"/>
      <c r="BF375" s="3"/>
      <c r="BG375" s="3"/>
    </row>
    <row r="376" spans="1:59" ht="15">
      <c r="A376" s="65" t="s">
        <v>584</v>
      </c>
      <c r="B376" s="66" t="s">
        <v>3536</v>
      </c>
      <c r="C376" s="66"/>
      <c r="D376" s="67">
        <v>212.5</v>
      </c>
      <c r="E376" s="69">
        <v>50</v>
      </c>
      <c r="F376" s="96" t="str">
        <f>HYPERLINK("https://i.ytimg.com/vi/9axOFtPqS0c/default.jpg")</f>
        <v>https://i.ytimg.com/vi/9axOFtPqS0c/default.jpg</v>
      </c>
      <c r="G376" s="66"/>
      <c r="H376" s="70" t="s">
        <v>993</v>
      </c>
      <c r="I376" s="71"/>
      <c r="J376" s="71" t="s">
        <v>159</v>
      </c>
      <c r="K376" s="70" t="s">
        <v>993</v>
      </c>
      <c r="L376" s="74">
        <v>23.274617787428873</v>
      </c>
      <c r="M376" s="75">
        <v>8360.201171875</v>
      </c>
      <c r="N376" s="75">
        <v>5178.54541015625</v>
      </c>
      <c r="O376" s="76"/>
      <c r="P376" s="77"/>
      <c r="Q376" s="77"/>
      <c r="R376" s="82"/>
      <c r="S376" s="49">
        <v>1</v>
      </c>
      <c r="T376" s="49">
        <v>0</v>
      </c>
      <c r="U376" s="50">
        <v>0</v>
      </c>
      <c r="V376" s="50">
        <v>0.000916</v>
      </c>
      <c r="W376" s="50">
        <v>0.001813</v>
      </c>
      <c r="X376" s="50">
        <v>0.394914</v>
      </c>
      <c r="Y376" s="50">
        <v>0</v>
      </c>
      <c r="Z376" s="50">
        <v>0</v>
      </c>
      <c r="AA376" s="72">
        <v>375</v>
      </c>
      <c r="AB376" s="72"/>
      <c r="AC376" s="73"/>
      <c r="AD376" s="80" t="s">
        <v>993</v>
      </c>
      <c r="AE376" s="80" t="s">
        <v>1362</v>
      </c>
      <c r="AF376" s="80" t="s">
        <v>1665</v>
      </c>
      <c r="AG376" s="80" t="s">
        <v>1788</v>
      </c>
      <c r="AH376" s="80" t="s">
        <v>2287</v>
      </c>
      <c r="AI376" s="80">
        <v>506765</v>
      </c>
      <c r="AJ376" s="80">
        <v>385</v>
      </c>
      <c r="AK376" s="80">
        <v>3563</v>
      </c>
      <c r="AL376" s="80">
        <v>225</v>
      </c>
      <c r="AM376" s="80" t="s">
        <v>2317</v>
      </c>
      <c r="AN376" s="98" t="str">
        <f>HYPERLINK("https://www.youtube.com/watch?v=9axOFtPqS0c")</f>
        <v>https://www.youtube.com/watch?v=9axOFtPqS0c</v>
      </c>
      <c r="AO376" s="80" t="str">
        <f>REPLACE(INDEX(GroupVertices[Group],MATCH(Vertices[[#This Row],[Vertex]],GroupVertices[Vertex],0)),1,1,"")</f>
        <v>5</v>
      </c>
      <c r="AP376" s="49">
        <v>0</v>
      </c>
      <c r="AQ376" s="50">
        <v>0</v>
      </c>
      <c r="AR376" s="49">
        <v>0</v>
      </c>
      <c r="AS376" s="50">
        <v>0</v>
      </c>
      <c r="AT376" s="49">
        <v>0</v>
      </c>
      <c r="AU376" s="50">
        <v>0</v>
      </c>
      <c r="AV376" s="49">
        <v>17</v>
      </c>
      <c r="AW376" s="50">
        <v>100</v>
      </c>
      <c r="AX376" s="49">
        <v>17</v>
      </c>
      <c r="AY376" s="49"/>
      <c r="AZ376" s="49"/>
      <c r="BA376" s="49"/>
      <c r="BB376" s="49"/>
      <c r="BC376" s="2"/>
      <c r="BD376" s="3"/>
      <c r="BE376" s="3"/>
      <c r="BF376" s="3"/>
      <c r="BG376" s="3"/>
    </row>
    <row r="377" spans="1:59" ht="15">
      <c r="A377" s="65" t="s">
        <v>585</v>
      </c>
      <c r="B377" s="66" t="s">
        <v>3536</v>
      </c>
      <c r="C377" s="66"/>
      <c r="D377" s="67">
        <v>212.5</v>
      </c>
      <c r="E377" s="69">
        <v>50</v>
      </c>
      <c r="F377" s="96" t="str">
        <f>HYPERLINK("https://i.ytimg.com/vi/IDqMB6C1uys/default.jpg")</f>
        <v>https://i.ytimg.com/vi/IDqMB6C1uys/default.jpg</v>
      </c>
      <c r="G377" s="66"/>
      <c r="H377" s="70" t="s">
        <v>994</v>
      </c>
      <c r="I377" s="71"/>
      <c r="J377" s="71" t="s">
        <v>159</v>
      </c>
      <c r="K377" s="70" t="s">
        <v>994</v>
      </c>
      <c r="L377" s="74">
        <v>38.80189282306599</v>
      </c>
      <c r="M377" s="75">
        <v>9364.0908203125</v>
      </c>
      <c r="N377" s="75">
        <v>5178.54541015625</v>
      </c>
      <c r="O377" s="76"/>
      <c r="P377" s="77"/>
      <c r="Q377" s="77"/>
      <c r="R377" s="82"/>
      <c r="S377" s="49">
        <v>1</v>
      </c>
      <c r="T377" s="49">
        <v>0</v>
      </c>
      <c r="U377" s="50">
        <v>0</v>
      </c>
      <c r="V377" s="50">
        <v>0.000916</v>
      </c>
      <c r="W377" s="50">
        <v>0.001813</v>
      </c>
      <c r="X377" s="50">
        <v>0.394914</v>
      </c>
      <c r="Y377" s="50">
        <v>0</v>
      </c>
      <c r="Z377" s="50">
        <v>0</v>
      </c>
      <c r="AA377" s="72">
        <v>376</v>
      </c>
      <c r="AB377" s="72"/>
      <c r="AC377" s="73"/>
      <c r="AD377" s="80" t="s">
        <v>994</v>
      </c>
      <c r="AE377" s="80" t="s">
        <v>1363</v>
      </c>
      <c r="AF377" s="80" t="s">
        <v>1666</v>
      </c>
      <c r="AG377" s="80" t="s">
        <v>1698</v>
      </c>
      <c r="AH377" s="80" t="s">
        <v>2288</v>
      </c>
      <c r="AI377" s="80">
        <v>860015</v>
      </c>
      <c r="AJ377" s="80">
        <v>406</v>
      </c>
      <c r="AK377" s="80">
        <v>11081</v>
      </c>
      <c r="AL377" s="80">
        <v>355</v>
      </c>
      <c r="AM377" s="80" t="s">
        <v>2317</v>
      </c>
      <c r="AN377" s="98" t="str">
        <f>HYPERLINK("https://www.youtube.com/watch?v=IDqMB6C1uys")</f>
        <v>https://www.youtube.com/watch?v=IDqMB6C1uys</v>
      </c>
      <c r="AO377" s="80" t="str">
        <f>REPLACE(INDEX(GroupVertices[Group],MATCH(Vertices[[#This Row],[Vertex]],GroupVertices[Vertex],0)),1,1,"")</f>
        <v>5</v>
      </c>
      <c r="AP377" s="49">
        <v>1</v>
      </c>
      <c r="AQ377" s="50">
        <v>2.5641025641025643</v>
      </c>
      <c r="AR377" s="49">
        <v>1</v>
      </c>
      <c r="AS377" s="50">
        <v>2.5641025641025643</v>
      </c>
      <c r="AT377" s="49">
        <v>0</v>
      </c>
      <c r="AU377" s="50">
        <v>0</v>
      </c>
      <c r="AV377" s="49">
        <v>37</v>
      </c>
      <c r="AW377" s="50">
        <v>94.87179487179488</v>
      </c>
      <c r="AX377" s="49">
        <v>39</v>
      </c>
      <c r="AY377" s="49"/>
      <c r="AZ377" s="49"/>
      <c r="BA377" s="49"/>
      <c r="BB377" s="49"/>
      <c r="BC377" s="2"/>
      <c r="BD377" s="3"/>
      <c r="BE377" s="3"/>
      <c r="BF377" s="3"/>
      <c r="BG377" s="3"/>
    </row>
    <row r="378" spans="1:59" ht="15">
      <c r="A378" s="65" t="s">
        <v>586</v>
      </c>
      <c r="B378" s="66" t="s">
        <v>3536</v>
      </c>
      <c r="C378" s="66"/>
      <c r="D378" s="67">
        <v>212.5</v>
      </c>
      <c r="E378" s="69">
        <v>50</v>
      </c>
      <c r="F378" s="96" t="str">
        <f>HYPERLINK("https://i.ytimg.com/vi/zTd0-A5yDZI/default.jpg")</f>
        <v>https://i.ytimg.com/vi/zTd0-A5yDZI/default.jpg</v>
      </c>
      <c r="G378" s="66"/>
      <c r="H378" s="70" t="s">
        <v>995</v>
      </c>
      <c r="I378" s="71"/>
      <c r="J378" s="71" t="s">
        <v>159</v>
      </c>
      <c r="K378" s="70" t="s">
        <v>995</v>
      </c>
      <c r="L378" s="74">
        <v>13.552235952163578</v>
      </c>
      <c r="M378" s="75">
        <v>9364.0908203125</v>
      </c>
      <c r="N378" s="75">
        <v>5793.72802734375</v>
      </c>
      <c r="O378" s="76"/>
      <c r="P378" s="77"/>
      <c r="Q378" s="77"/>
      <c r="R378" s="82"/>
      <c r="S378" s="49">
        <v>1</v>
      </c>
      <c r="T378" s="49">
        <v>0</v>
      </c>
      <c r="U378" s="50">
        <v>0</v>
      </c>
      <c r="V378" s="50">
        <v>0.000916</v>
      </c>
      <c r="W378" s="50">
        <v>0.001813</v>
      </c>
      <c r="X378" s="50">
        <v>0.394914</v>
      </c>
      <c r="Y378" s="50">
        <v>0</v>
      </c>
      <c r="Z378" s="50">
        <v>0</v>
      </c>
      <c r="AA378" s="72">
        <v>377</v>
      </c>
      <c r="AB378" s="72"/>
      <c r="AC378" s="73"/>
      <c r="AD378" s="80" t="s">
        <v>995</v>
      </c>
      <c r="AE378" s="80" t="s">
        <v>1364</v>
      </c>
      <c r="AF378" s="80" t="s">
        <v>1667</v>
      </c>
      <c r="AG378" s="80" t="s">
        <v>1911</v>
      </c>
      <c r="AH378" s="80" t="s">
        <v>2289</v>
      </c>
      <c r="AI378" s="80">
        <v>285578</v>
      </c>
      <c r="AJ378" s="80">
        <v>276</v>
      </c>
      <c r="AK378" s="80">
        <v>5412</v>
      </c>
      <c r="AL378" s="80">
        <v>62</v>
      </c>
      <c r="AM378" s="80" t="s">
        <v>2317</v>
      </c>
      <c r="AN378" s="98" t="str">
        <f>HYPERLINK("https://www.youtube.com/watch?v=zTd0-A5yDZI")</f>
        <v>https://www.youtube.com/watch?v=zTd0-A5yDZI</v>
      </c>
      <c r="AO378" s="80" t="str">
        <f>REPLACE(INDEX(GroupVertices[Group],MATCH(Vertices[[#This Row],[Vertex]],GroupVertices[Vertex],0)),1,1,"")</f>
        <v>5</v>
      </c>
      <c r="AP378" s="49">
        <v>0</v>
      </c>
      <c r="AQ378" s="50">
        <v>0</v>
      </c>
      <c r="AR378" s="49">
        <v>1</v>
      </c>
      <c r="AS378" s="50">
        <v>4.166666666666667</v>
      </c>
      <c r="AT378" s="49">
        <v>0</v>
      </c>
      <c r="AU378" s="50">
        <v>0</v>
      </c>
      <c r="AV378" s="49">
        <v>23</v>
      </c>
      <c r="AW378" s="50">
        <v>95.83333333333333</v>
      </c>
      <c r="AX378" s="49">
        <v>24</v>
      </c>
      <c r="AY378" s="49"/>
      <c r="AZ378" s="49"/>
      <c r="BA378" s="49"/>
      <c r="BB378" s="49"/>
      <c r="BC378" s="2"/>
      <c r="BD378" s="3"/>
      <c r="BE378" s="3"/>
      <c r="BF378" s="3"/>
      <c r="BG378" s="3"/>
    </row>
    <row r="379" spans="1:59" ht="15">
      <c r="A379" s="65" t="s">
        <v>587</v>
      </c>
      <c r="B379" s="66" t="s">
        <v>3536</v>
      </c>
      <c r="C379" s="66"/>
      <c r="D379" s="67">
        <v>212.5</v>
      </c>
      <c r="E379" s="69">
        <v>50</v>
      </c>
      <c r="F379" s="96" t="str">
        <f>HYPERLINK("https://i.ytimg.com/vi/kB1aoErPRWs/default.jpg")</f>
        <v>https://i.ytimg.com/vi/kB1aoErPRWs/default.jpg</v>
      </c>
      <c r="G379" s="66"/>
      <c r="H379" s="70" t="s">
        <v>996</v>
      </c>
      <c r="I379" s="71"/>
      <c r="J379" s="71" t="s">
        <v>159</v>
      </c>
      <c r="K379" s="70" t="s">
        <v>996</v>
      </c>
      <c r="L379" s="74">
        <v>21.76940616302588</v>
      </c>
      <c r="M379" s="75">
        <v>8025.5712890625</v>
      </c>
      <c r="N379" s="75">
        <v>5178.54541015625</v>
      </c>
      <c r="O379" s="76"/>
      <c r="P379" s="77"/>
      <c r="Q379" s="77"/>
      <c r="R379" s="82"/>
      <c r="S379" s="49">
        <v>1</v>
      </c>
      <c r="T379" s="49">
        <v>0</v>
      </c>
      <c r="U379" s="50">
        <v>0</v>
      </c>
      <c r="V379" s="50">
        <v>0.000916</v>
      </c>
      <c r="W379" s="50">
        <v>0.001813</v>
      </c>
      <c r="X379" s="50">
        <v>0.394914</v>
      </c>
      <c r="Y379" s="50">
        <v>0</v>
      </c>
      <c r="Z379" s="50">
        <v>0</v>
      </c>
      <c r="AA379" s="72">
        <v>378</v>
      </c>
      <c r="AB379" s="72"/>
      <c r="AC379" s="73"/>
      <c r="AD379" s="80" t="s">
        <v>996</v>
      </c>
      <c r="AE379" s="80" t="s">
        <v>1365</v>
      </c>
      <c r="AF379" s="80" t="s">
        <v>1668</v>
      </c>
      <c r="AG379" s="80" t="s">
        <v>1912</v>
      </c>
      <c r="AH379" s="80" t="s">
        <v>2290</v>
      </c>
      <c r="AI379" s="80">
        <v>472521</v>
      </c>
      <c r="AJ379" s="80">
        <v>748</v>
      </c>
      <c r="AK379" s="80">
        <v>21656</v>
      </c>
      <c r="AL379" s="80">
        <v>288</v>
      </c>
      <c r="AM379" s="80" t="s">
        <v>2317</v>
      </c>
      <c r="AN379" s="98" t="str">
        <f>HYPERLINK("https://www.youtube.com/watch?v=kB1aoErPRWs")</f>
        <v>https://www.youtube.com/watch?v=kB1aoErPRWs</v>
      </c>
      <c r="AO379" s="80" t="str">
        <f>REPLACE(INDEX(GroupVertices[Group],MATCH(Vertices[[#This Row],[Vertex]],GroupVertices[Vertex],0)),1,1,"")</f>
        <v>5</v>
      </c>
      <c r="AP379" s="49">
        <v>7</v>
      </c>
      <c r="AQ379" s="50">
        <v>16.666666666666668</v>
      </c>
      <c r="AR379" s="49">
        <v>0</v>
      </c>
      <c r="AS379" s="50">
        <v>0</v>
      </c>
      <c r="AT379" s="49">
        <v>0</v>
      </c>
      <c r="AU379" s="50">
        <v>0</v>
      </c>
      <c r="AV379" s="49">
        <v>35</v>
      </c>
      <c r="AW379" s="50">
        <v>83.33333333333333</v>
      </c>
      <c r="AX379" s="49">
        <v>42</v>
      </c>
      <c r="AY379" s="49"/>
      <c r="AZ379" s="49"/>
      <c r="BA379" s="49"/>
      <c r="BB379" s="49"/>
      <c r="BC379" s="2"/>
      <c r="BD379" s="3"/>
      <c r="BE379" s="3"/>
      <c r="BF379" s="3"/>
      <c r="BG379" s="3"/>
    </row>
    <row r="380" spans="1:59" ht="15">
      <c r="A380" s="65" t="s">
        <v>588</v>
      </c>
      <c r="B380" s="66" t="s">
        <v>3536</v>
      </c>
      <c r="C380" s="66"/>
      <c r="D380" s="67">
        <v>212.5</v>
      </c>
      <c r="E380" s="69">
        <v>50</v>
      </c>
      <c r="F380" s="96" t="str">
        <f>HYPERLINK("https://i.ytimg.com/vi/8919Zm8Gi4U/default.jpg")</f>
        <v>https://i.ytimg.com/vi/8919Zm8Gi4U/default.jpg</v>
      </c>
      <c r="G380" s="66"/>
      <c r="H380" s="70" t="s">
        <v>997</v>
      </c>
      <c r="I380" s="71"/>
      <c r="J380" s="71" t="s">
        <v>159</v>
      </c>
      <c r="K380" s="70" t="s">
        <v>997</v>
      </c>
      <c r="L380" s="74">
        <v>5.471107967020443</v>
      </c>
      <c r="M380" s="75">
        <v>8360.201171875</v>
      </c>
      <c r="N380" s="75">
        <v>6408.9091796875</v>
      </c>
      <c r="O380" s="76"/>
      <c r="P380" s="77"/>
      <c r="Q380" s="77"/>
      <c r="R380" s="82"/>
      <c r="S380" s="49">
        <v>1</v>
      </c>
      <c r="T380" s="49">
        <v>0</v>
      </c>
      <c r="U380" s="50">
        <v>0</v>
      </c>
      <c r="V380" s="50">
        <v>0.000916</v>
      </c>
      <c r="W380" s="50">
        <v>0.001813</v>
      </c>
      <c r="X380" s="50">
        <v>0.394914</v>
      </c>
      <c r="Y380" s="50">
        <v>0</v>
      </c>
      <c r="Z380" s="50">
        <v>0</v>
      </c>
      <c r="AA380" s="72">
        <v>379</v>
      </c>
      <c r="AB380" s="72"/>
      <c r="AC380" s="73"/>
      <c r="AD380" s="80" t="s">
        <v>997</v>
      </c>
      <c r="AE380" s="80" t="s">
        <v>1366</v>
      </c>
      <c r="AF380" s="80" t="s">
        <v>1669</v>
      </c>
      <c r="AG380" s="80" t="s">
        <v>1913</v>
      </c>
      <c r="AH380" s="80" t="s">
        <v>2291</v>
      </c>
      <c r="AI380" s="80">
        <v>101730</v>
      </c>
      <c r="AJ380" s="80">
        <v>150</v>
      </c>
      <c r="AK380" s="80">
        <v>1398</v>
      </c>
      <c r="AL380" s="80">
        <v>86</v>
      </c>
      <c r="AM380" s="80" t="s">
        <v>2317</v>
      </c>
      <c r="AN380" s="98" t="str">
        <f>HYPERLINK("https://www.youtube.com/watch?v=8919Zm8Gi4U")</f>
        <v>https://www.youtube.com/watch?v=8919Zm8Gi4U</v>
      </c>
      <c r="AO380" s="80" t="str">
        <f>REPLACE(INDEX(GroupVertices[Group],MATCH(Vertices[[#This Row],[Vertex]],GroupVertices[Vertex],0)),1,1,"")</f>
        <v>5</v>
      </c>
      <c r="AP380" s="49">
        <v>1</v>
      </c>
      <c r="AQ380" s="50">
        <v>1.6129032258064515</v>
      </c>
      <c r="AR380" s="49">
        <v>1</v>
      </c>
      <c r="AS380" s="50">
        <v>1.6129032258064515</v>
      </c>
      <c r="AT380" s="49">
        <v>0</v>
      </c>
      <c r="AU380" s="50">
        <v>0</v>
      </c>
      <c r="AV380" s="49">
        <v>60</v>
      </c>
      <c r="AW380" s="50">
        <v>96.7741935483871</v>
      </c>
      <c r="AX380" s="49">
        <v>62</v>
      </c>
      <c r="AY380" s="49"/>
      <c r="AZ380" s="49"/>
      <c r="BA380" s="49"/>
      <c r="BB380" s="49"/>
      <c r="BC380" s="2"/>
      <c r="BD380" s="3"/>
      <c r="BE380" s="3"/>
      <c r="BF380" s="3"/>
      <c r="BG380" s="3"/>
    </row>
    <row r="381" spans="1:59" ht="15">
      <c r="A381" s="65" t="s">
        <v>589</v>
      </c>
      <c r="B381" s="66" t="s">
        <v>3536</v>
      </c>
      <c r="C381" s="66"/>
      <c r="D381" s="67">
        <v>212.5</v>
      </c>
      <c r="E381" s="69">
        <v>50</v>
      </c>
      <c r="F381" s="96" t="str">
        <f>HYPERLINK("https://i.ytimg.com/vi/v-t1Z5-oPtU/default.jpg")</f>
        <v>https://i.ytimg.com/vi/v-t1Z5-oPtU/default.jpg</v>
      </c>
      <c r="G381" s="66"/>
      <c r="H381" s="70" t="s">
        <v>998</v>
      </c>
      <c r="I381" s="71"/>
      <c r="J381" s="71" t="s">
        <v>159</v>
      </c>
      <c r="K381" s="70" t="s">
        <v>998</v>
      </c>
      <c r="L381" s="74">
        <v>191.9678567888976</v>
      </c>
      <c r="M381" s="75">
        <v>8025.5712890625</v>
      </c>
      <c r="N381" s="75">
        <v>4563.36376953125</v>
      </c>
      <c r="O381" s="76"/>
      <c r="P381" s="77"/>
      <c r="Q381" s="77"/>
      <c r="R381" s="82"/>
      <c r="S381" s="49">
        <v>1</v>
      </c>
      <c r="T381" s="49">
        <v>0</v>
      </c>
      <c r="U381" s="50">
        <v>0</v>
      </c>
      <c r="V381" s="50">
        <v>0.000916</v>
      </c>
      <c r="W381" s="50">
        <v>0.001813</v>
      </c>
      <c r="X381" s="50">
        <v>0.394914</v>
      </c>
      <c r="Y381" s="50">
        <v>0</v>
      </c>
      <c r="Z381" s="50">
        <v>0</v>
      </c>
      <c r="AA381" s="72">
        <v>380</v>
      </c>
      <c r="AB381" s="72"/>
      <c r="AC381" s="73"/>
      <c r="AD381" s="80" t="s">
        <v>998</v>
      </c>
      <c r="AE381" s="80" t="s">
        <v>1367</v>
      </c>
      <c r="AF381" s="80" t="s">
        <v>1670</v>
      </c>
      <c r="AG381" s="80" t="s">
        <v>1726</v>
      </c>
      <c r="AH381" s="80" t="s">
        <v>2292</v>
      </c>
      <c r="AI381" s="80">
        <v>4344585</v>
      </c>
      <c r="AJ381" s="80">
        <v>2567</v>
      </c>
      <c r="AK381" s="80">
        <v>69001</v>
      </c>
      <c r="AL381" s="80">
        <v>879</v>
      </c>
      <c r="AM381" s="80" t="s">
        <v>2317</v>
      </c>
      <c r="AN381" s="98" t="str">
        <f>HYPERLINK("https://www.youtube.com/watch?v=v-t1Z5-oPtU")</f>
        <v>https://www.youtube.com/watch?v=v-t1Z5-oPtU</v>
      </c>
      <c r="AO381" s="80" t="str">
        <f>REPLACE(INDEX(GroupVertices[Group],MATCH(Vertices[[#This Row],[Vertex]],GroupVertices[Vertex],0)),1,1,"")</f>
        <v>5</v>
      </c>
      <c r="AP381" s="49">
        <v>1</v>
      </c>
      <c r="AQ381" s="50">
        <v>3.5714285714285716</v>
      </c>
      <c r="AR381" s="49">
        <v>3</v>
      </c>
      <c r="AS381" s="50">
        <v>10.714285714285714</v>
      </c>
      <c r="AT381" s="49">
        <v>0</v>
      </c>
      <c r="AU381" s="50">
        <v>0</v>
      </c>
      <c r="AV381" s="49">
        <v>24</v>
      </c>
      <c r="AW381" s="50">
        <v>85.71428571428571</v>
      </c>
      <c r="AX381" s="49">
        <v>28</v>
      </c>
      <c r="AY381" s="49"/>
      <c r="AZ381" s="49"/>
      <c r="BA381" s="49"/>
      <c r="BB381" s="49"/>
      <c r="BC381" s="2"/>
      <c r="BD381" s="3"/>
      <c r="BE381" s="3"/>
      <c r="BF381" s="3"/>
      <c r="BG381" s="3"/>
    </row>
    <row r="382" spans="1:59" ht="15">
      <c r="A382" s="65" t="s">
        <v>590</v>
      </c>
      <c r="B382" s="66" t="s">
        <v>3536</v>
      </c>
      <c r="C382" s="66"/>
      <c r="D382" s="67">
        <v>212.5</v>
      </c>
      <c r="E382" s="69">
        <v>50</v>
      </c>
      <c r="F382" s="96" t="str">
        <f>HYPERLINK("https://i.ytimg.com/vi/idb7C3FrROo/default.jpg")</f>
        <v>https://i.ytimg.com/vi/idb7C3FrROo/default.jpg</v>
      </c>
      <c r="G382" s="66"/>
      <c r="H382" s="70" t="s">
        <v>1000</v>
      </c>
      <c r="I382" s="71"/>
      <c r="J382" s="71" t="s">
        <v>159</v>
      </c>
      <c r="K382" s="70" t="s">
        <v>1000</v>
      </c>
      <c r="L382" s="74">
        <v>1.0004835103337353</v>
      </c>
      <c r="M382" s="75">
        <v>8784.0283203125</v>
      </c>
      <c r="N382" s="75">
        <v>3728.9658203125</v>
      </c>
      <c r="O382" s="76"/>
      <c r="P382" s="77"/>
      <c r="Q382" s="77"/>
      <c r="R382" s="82"/>
      <c r="S382" s="49">
        <v>1</v>
      </c>
      <c r="T382" s="49">
        <v>0</v>
      </c>
      <c r="U382" s="50">
        <v>0</v>
      </c>
      <c r="V382" s="50">
        <v>0.023256</v>
      </c>
      <c r="W382" s="50">
        <v>0</v>
      </c>
      <c r="X382" s="50">
        <v>0.561424</v>
      </c>
      <c r="Y382" s="50">
        <v>0</v>
      </c>
      <c r="Z382" s="50">
        <v>0</v>
      </c>
      <c r="AA382" s="72">
        <v>382</v>
      </c>
      <c r="AB382" s="72"/>
      <c r="AC382" s="73"/>
      <c r="AD382" s="80" t="s">
        <v>1000</v>
      </c>
      <c r="AE382" s="80" t="s">
        <v>1369</v>
      </c>
      <c r="AF382" s="80"/>
      <c r="AG382" s="80" t="s">
        <v>1914</v>
      </c>
      <c r="AH382" s="80" t="s">
        <v>2294</v>
      </c>
      <c r="AI382" s="80">
        <v>22</v>
      </c>
      <c r="AJ382" s="80">
        <v>0</v>
      </c>
      <c r="AK382" s="80">
        <v>0</v>
      </c>
      <c r="AL382" s="80">
        <v>0</v>
      </c>
      <c r="AM382" s="80" t="s">
        <v>2317</v>
      </c>
      <c r="AN382" s="98" t="str">
        <f>HYPERLINK("https://www.youtube.com/watch?v=idb7C3FrROo")</f>
        <v>https://www.youtube.com/watch?v=idb7C3FrROo</v>
      </c>
      <c r="AO382" s="80" t="str">
        <f>REPLACE(INDEX(GroupVertices[Group],MATCH(Vertices[[#This Row],[Vertex]],GroupVertices[Vertex],0)),1,1,"")</f>
        <v>8</v>
      </c>
      <c r="AP382" s="49"/>
      <c r="AQ382" s="50"/>
      <c r="AR382" s="49"/>
      <c r="AS382" s="50"/>
      <c r="AT382" s="49"/>
      <c r="AU382" s="50"/>
      <c r="AV382" s="49"/>
      <c r="AW382" s="50"/>
      <c r="AX382" s="49"/>
      <c r="AY382" s="49"/>
      <c r="AZ382" s="49"/>
      <c r="BA382" s="49"/>
      <c r="BB382" s="49"/>
      <c r="BC382" s="2"/>
      <c r="BD382" s="3"/>
      <c r="BE382" s="3"/>
      <c r="BF382" s="3"/>
      <c r="BG382" s="3"/>
    </row>
    <row r="383" spans="1:59" ht="15">
      <c r="A383" s="65" t="s">
        <v>591</v>
      </c>
      <c r="B383" s="66" t="s">
        <v>3536</v>
      </c>
      <c r="C383" s="66"/>
      <c r="D383" s="67">
        <v>212.5</v>
      </c>
      <c r="E383" s="69">
        <v>50</v>
      </c>
      <c r="F383" s="96" t="str">
        <f>HYPERLINK("https://i.ytimg.com/vi/5Vwe--IDdso/default.jpg")</f>
        <v>https://i.ytimg.com/vi/5Vwe--IDdso/default.jpg</v>
      </c>
      <c r="G383" s="66"/>
      <c r="H383" s="70" t="s">
        <v>1001</v>
      </c>
      <c r="I383" s="71"/>
      <c r="J383" s="71" t="s">
        <v>159</v>
      </c>
      <c r="K383" s="70" t="s">
        <v>1001</v>
      </c>
      <c r="L383" s="74">
        <v>1.015692108103956</v>
      </c>
      <c r="M383" s="75">
        <v>9402.3173828125</v>
      </c>
      <c r="N383" s="75">
        <v>1807.67041015625</v>
      </c>
      <c r="O383" s="76"/>
      <c r="P383" s="77"/>
      <c r="Q383" s="77"/>
      <c r="R383" s="82"/>
      <c r="S383" s="49">
        <v>1</v>
      </c>
      <c r="T383" s="49">
        <v>0</v>
      </c>
      <c r="U383" s="50">
        <v>0</v>
      </c>
      <c r="V383" s="50">
        <v>0.023256</v>
      </c>
      <c r="W383" s="50">
        <v>0</v>
      </c>
      <c r="X383" s="50">
        <v>0.561424</v>
      </c>
      <c r="Y383" s="50">
        <v>0</v>
      </c>
      <c r="Z383" s="50">
        <v>0</v>
      </c>
      <c r="AA383" s="72">
        <v>383</v>
      </c>
      <c r="AB383" s="72"/>
      <c r="AC383" s="73"/>
      <c r="AD383" s="80" t="s">
        <v>1001</v>
      </c>
      <c r="AE383" s="80" t="s">
        <v>1370</v>
      </c>
      <c r="AF383" s="80"/>
      <c r="AG383" s="80" t="s">
        <v>1914</v>
      </c>
      <c r="AH383" s="80" t="s">
        <v>2295</v>
      </c>
      <c r="AI383" s="80">
        <v>368</v>
      </c>
      <c r="AJ383" s="80">
        <v>0</v>
      </c>
      <c r="AK383" s="80">
        <v>3</v>
      </c>
      <c r="AL383" s="80">
        <v>0</v>
      </c>
      <c r="AM383" s="80" t="s">
        <v>2317</v>
      </c>
      <c r="AN383" s="98" t="str">
        <f>HYPERLINK("https://www.youtube.com/watch?v=5Vwe--IDdso")</f>
        <v>https://www.youtube.com/watch?v=5Vwe--IDdso</v>
      </c>
      <c r="AO383" s="80" t="str">
        <f>REPLACE(INDEX(GroupVertices[Group],MATCH(Vertices[[#This Row],[Vertex]],GroupVertices[Vertex],0)),1,1,"")</f>
        <v>8</v>
      </c>
      <c r="AP383" s="49"/>
      <c r="AQ383" s="50"/>
      <c r="AR383" s="49"/>
      <c r="AS383" s="50"/>
      <c r="AT383" s="49"/>
      <c r="AU383" s="50"/>
      <c r="AV383" s="49"/>
      <c r="AW383" s="50"/>
      <c r="AX383" s="49"/>
      <c r="AY383" s="49"/>
      <c r="AZ383" s="49"/>
      <c r="BA383" s="49"/>
      <c r="BB383" s="49"/>
      <c r="BC383" s="2"/>
      <c r="BD383" s="3"/>
      <c r="BE383" s="3"/>
      <c r="BF383" s="3"/>
      <c r="BG383" s="3"/>
    </row>
    <row r="384" spans="1:59" ht="15">
      <c r="A384" s="65" t="s">
        <v>592</v>
      </c>
      <c r="B384" s="66" t="s">
        <v>3536</v>
      </c>
      <c r="C384" s="66"/>
      <c r="D384" s="67">
        <v>212.5</v>
      </c>
      <c r="E384" s="69">
        <v>50</v>
      </c>
      <c r="F384" s="96" t="str">
        <f>HYPERLINK("https://i.ytimg.com/vi/9At0j07G7-o/default.jpg")</f>
        <v>https://i.ytimg.com/vi/9At0j07G7-o/default.jpg</v>
      </c>
      <c r="G384" s="66"/>
      <c r="H384" s="70" t="s">
        <v>1002</v>
      </c>
      <c r="I384" s="71"/>
      <c r="J384" s="71" t="s">
        <v>159</v>
      </c>
      <c r="K384" s="70" t="s">
        <v>1002</v>
      </c>
      <c r="L384" s="74">
        <v>1.0523509824980717</v>
      </c>
      <c r="M384" s="75">
        <v>9402.3173828125</v>
      </c>
      <c r="N384" s="75">
        <v>526.8068237304688</v>
      </c>
      <c r="O384" s="76"/>
      <c r="P384" s="77"/>
      <c r="Q384" s="77"/>
      <c r="R384" s="82"/>
      <c r="S384" s="49">
        <v>1</v>
      </c>
      <c r="T384" s="49">
        <v>0</v>
      </c>
      <c r="U384" s="50">
        <v>0</v>
      </c>
      <c r="V384" s="50">
        <v>0.023256</v>
      </c>
      <c r="W384" s="50">
        <v>0</v>
      </c>
      <c r="X384" s="50">
        <v>0.561424</v>
      </c>
      <c r="Y384" s="50">
        <v>0</v>
      </c>
      <c r="Z384" s="50">
        <v>0</v>
      </c>
      <c r="AA384" s="72">
        <v>384</v>
      </c>
      <c r="AB384" s="72"/>
      <c r="AC384" s="73"/>
      <c r="AD384" s="80" t="s">
        <v>1002</v>
      </c>
      <c r="AE384" s="80" t="s">
        <v>1371</v>
      </c>
      <c r="AF384" s="80"/>
      <c r="AG384" s="80" t="s">
        <v>1914</v>
      </c>
      <c r="AH384" s="80" t="s">
        <v>2296</v>
      </c>
      <c r="AI384" s="80">
        <v>1202</v>
      </c>
      <c r="AJ384" s="80">
        <v>0</v>
      </c>
      <c r="AK384" s="80">
        <v>17</v>
      </c>
      <c r="AL384" s="80">
        <v>0</v>
      </c>
      <c r="AM384" s="80" t="s">
        <v>2317</v>
      </c>
      <c r="AN384" s="98" t="str">
        <f>HYPERLINK("https://www.youtube.com/watch?v=9At0j07G7-o")</f>
        <v>https://www.youtube.com/watch?v=9At0j07G7-o</v>
      </c>
      <c r="AO384" s="80" t="str">
        <f>REPLACE(INDEX(GroupVertices[Group],MATCH(Vertices[[#This Row],[Vertex]],GroupVertices[Vertex],0)),1,1,"")</f>
        <v>8</v>
      </c>
      <c r="AP384" s="49"/>
      <c r="AQ384" s="50"/>
      <c r="AR384" s="49"/>
      <c r="AS384" s="50"/>
      <c r="AT384" s="49"/>
      <c r="AU384" s="50"/>
      <c r="AV384" s="49"/>
      <c r="AW384" s="50"/>
      <c r="AX384" s="49"/>
      <c r="AY384" s="49"/>
      <c r="AZ384" s="49"/>
      <c r="BA384" s="49"/>
      <c r="BB384" s="49"/>
      <c r="BC384" s="2"/>
      <c r="BD384" s="3"/>
      <c r="BE384" s="3"/>
      <c r="BF384" s="3"/>
      <c r="BG384" s="3"/>
    </row>
    <row r="385" spans="1:59" ht="15">
      <c r="A385" s="65" t="s">
        <v>593</v>
      </c>
      <c r="B385" s="66" t="s">
        <v>3536</v>
      </c>
      <c r="C385" s="66"/>
      <c r="D385" s="67">
        <v>212.5</v>
      </c>
      <c r="E385" s="69">
        <v>50</v>
      </c>
      <c r="F385" s="96" t="str">
        <f>HYPERLINK("https://i.ytimg.com/vi/BMjvrl0SlxE/default.jpg")</f>
        <v>https://i.ytimg.com/vi/BMjvrl0SlxE/default.jpg</v>
      </c>
      <c r="G385" s="66"/>
      <c r="H385" s="70" t="s">
        <v>1003</v>
      </c>
      <c r="I385" s="71"/>
      <c r="J385" s="71" t="s">
        <v>159</v>
      </c>
      <c r="K385" s="70" t="s">
        <v>1003</v>
      </c>
      <c r="L385" s="74">
        <v>1.001626352940746</v>
      </c>
      <c r="M385" s="75">
        <v>9093.1728515625</v>
      </c>
      <c r="N385" s="75">
        <v>3728.9658203125</v>
      </c>
      <c r="O385" s="76"/>
      <c r="P385" s="77"/>
      <c r="Q385" s="77"/>
      <c r="R385" s="82"/>
      <c r="S385" s="49">
        <v>1</v>
      </c>
      <c r="T385" s="49">
        <v>0</v>
      </c>
      <c r="U385" s="50">
        <v>0</v>
      </c>
      <c r="V385" s="50">
        <v>0.023256</v>
      </c>
      <c r="W385" s="50">
        <v>0</v>
      </c>
      <c r="X385" s="50">
        <v>0.561424</v>
      </c>
      <c r="Y385" s="50">
        <v>0</v>
      </c>
      <c r="Z385" s="50">
        <v>0</v>
      </c>
      <c r="AA385" s="72">
        <v>385</v>
      </c>
      <c r="AB385" s="72"/>
      <c r="AC385" s="73"/>
      <c r="AD385" s="80" t="s">
        <v>1003</v>
      </c>
      <c r="AE385" s="80" t="s">
        <v>1372</v>
      </c>
      <c r="AF385" s="80"/>
      <c r="AG385" s="80" t="s">
        <v>1914</v>
      </c>
      <c r="AH385" s="80" t="s">
        <v>2297</v>
      </c>
      <c r="AI385" s="80">
        <v>48</v>
      </c>
      <c r="AJ385" s="80">
        <v>0</v>
      </c>
      <c r="AK385" s="80">
        <v>2</v>
      </c>
      <c r="AL385" s="80">
        <v>0</v>
      </c>
      <c r="AM385" s="80" t="s">
        <v>2317</v>
      </c>
      <c r="AN385" s="98" t="str">
        <f>HYPERLINK("https://www.youtube.com/watch?v=BMjvrl0SlxE")</f>
        <v>https://www.youtube.com/watch?v=BMjvrl0SlxE</v>
      </c>
      <c r="AO385" s="80" t="str">
        <f>REPLACE(INDEX(GroupVertices[Group],MATCH(Vertices[[#This Row],[Vertex]],GroupVertices[Vertex],0)),1,1,"")</f>
        <v>8</v>
      </c>
      <c r="AP385" s="49"/>
      <c r="AQ385" s="50"/>
      <c r="AR385" s="49"/>
      <c r="AS385" s="50"/>
      <c r="AT385" s="49"/>
      <c r="AU385" s="50"/>
      <c r="AV385" s="49"/>
      <c r="AW385" s="50"/>
      <c r="AX385" s="49"/>
      <c r="AY385" s="49"/>
      <c r="AZ385" s="49"/>
      <c r="BA385" s="49"/>
      <c r="BB385" s="49"/>
      <c r="BC385" s="2"/>
      <c r="BD385" s="3"/>
      <c r="BE385" s="3"/>
      <c r="BF385" s="3"/>
      <c r="BG385" s="3"/>
    </row>
    <row r="386" spans="1:59" ht="15">
      <c r="A386" s="65" t="s">
        <v>594</v>
      </c>
      <c r="B386" s="66" t="s">
        <v>3536</v>
      </c>
      <c r="C386" s="66"/>
      <c r="D386" s="67">
        <v>212.5</v>
      </c>
      <c r="E386" s="69">
        <v>50</v>
      </c>
      <c r="F386" s="96" t="str">
        <f>HYPERLINK("https://i.ytimg.com/vi/9H2SvxvaA04/default.jpg")</f>
        <v>https://i.ytimg.com/vi/9H2SvxvaA04/default.jpg</v>
      </c>
      <c r="G386" s="66"/>
      <c r="H386" s="70" t="s">
        <v>1004</v>
      </c>
      <c r="I386" s="71"/>
      <c r="J386" s="71" t="s">
        <v>159</v>
      </c>
      <c r="K386" s="70" t="s">
        <v>1004</v>
      </c>
      <c r="L386" s="74">
        <v>1.027032623204294</v>
      </c>
      <c r="M386" s="75">
        <v>9711.4619140625</v>
      </c>
      <c r="N386" s="75">
        <v>1167.2386474609375</v>
      </c>
      <c r="O386" s="76"/>
      <c r="P386" s="77"/>
      <c r="Q386" s="77"/>
      <c r="R386" s="82"/>
      <c r="S386" s="49">
        <v>1</v>
      </c>
      <c r="T386" s="49">
        <v>0</v>
      </c>
      <c r="U386" s="50">
        <v>0</v>
      </c>
      <c r="V386" s="50">
        <v>0.023256</v>
      </c>
      <c r="W386" s="50">
        <v>0</v>
      </c>
      <c r="X386" s="50">
        <v>0.561424</v>
      </c>
      <c r="Y386" s="50">
        <v>0</v>
      </c>
      <c r="Z386" s="50">
        <v>0</v>
      </c>
      <c r="AA386" s="72">
        <v>386</v>
      </c>
      <c r="AB386" s="72"/>
      <c r="AC386" s="73"/>
      <c r="AD386" s="80" t="s">
        <v>1004</v>
      </c>
      <c r="AE386" s="80" t="s">
        <v>1373</v>
      </c>
      <c r="AF386" s="80"/>
      <c r="AG386" s="80" t="s">
        <v>1914</v>
      </c>
      <c r="AH386" s="80" t="s">
        <v>2298</v>
      </c>
      <c r="AI386" s="80">
        <v>626</v>
      </c>
      <c r="AJ386" s="80">
        <v>2</v>
      </c>
      <c r="AK386" s="80">
        <v>11</v>
      </c>
      <c r="AL386" s="80">
        <v>1</v>
      </c>
      <c r="AM386" s="80" t="s">
        <v>2317</v>
      </c>
      <c r="AN386" s="98" t="str">
        <f>HYPERLINK("https://www.youtube.com/watch?v=9H2SvxvaA04")</f>
        <v>https://www.youtube.com/watch?v=9H2SvxvaA04</v>
      </c>
      <c r="AO386" s="80" t="str">
        <f>REPLACE(INDEX(GroupVertices[Group],MATCH(Vertices[[#This Row],[Vertex]],GroupVertices[Vertex],0)),1,1,"")</f>
        <v>8</v>
      </c>
      <c r="AP386" s="49"/>
      <c r="AQ386" s="50"/>
      <c r="AR386" s="49"/>
      <c r="AS386" s="50"/>
      <c r="AT386" s="49"/>
      <c r="AU386" s="50"/>
      <c r="AV386" s="49"/>
      <c r="AW386" s="50"/>
      <c r="AX386" s="49"/>
      <c r="AY386" s="49"/>
      <c r="AZ386" s="49"/>
      <c r="BA386" s="49"/>
      <c r="BB386" s="49"/>
      <c r="BC386" s="2"/>
      <c r="BD386" s="3"/>
      <c r="BE386" s="3"/>
      <c r="BF386" s="3"/>
      <c r="BG386" s="3"/>
    </row>
    <row r="387" spans="1:59" ht="15">
      <c r="A387" s="65" t="s">
        <v>595</v>
      </c>
      <c r="B387" s="66" t="s">
        <v>3536</v>
      </c>
      <c r="C387" s="66"/>
      <c r="D387" s="67">
        <v>212.5</v>
      </c>
      <c r="E387" s="69">
        <v>50</v>
      </c>
      <c r="F387" s="96" t="str">
        <f>HYPERLINK("https://i.ytimg.com/vi/iv6pTx_QUVM/default.jpg")</f>
        <v>https://i.ytimg.com/vi/iv6pTx_QUVM/default.jpg</v>
      </c>
      <c r="G387" s="66"/>
      <c r="H387" s="70" t="s">
        <v>1005</v>
      </c>
      <c r="I387" s="71"/>
      <c r="J387" s="71" t="s">
        <v>159</v>
      </c>
      <c r="K387" s="70" t="s">
        <v>1005</v>
      </c>
      <c r="L387" s="74">
        <v>1.005933990459479</v>
      </c>
      <c r="M387" s="75">
        <v>8784.0283203125</v>
      </c>
      <c r="N387" s="75">
        <v>3088.5341796875</v>
      </c>
      <c r="O387" s="76"/>
      <c r="P387" s="77"/>
      <c r="Q387" s="77"/>
      <c r="R387" s="82"/>
      <c r="S387" s="49">
        <v>1</v>
      </c>
      <c r="T387" s="49">
        <v>0</v>
      </c>
      <c r="U387" s="50">
        <v>0</v>
      </c>
      <c r="V387" s="50">
        <v>0.023256</v>
      </c>
      <c r="W387" s="50">
        <v>0</v>
      </c>
      <c r="X387" s="50">
        <v>0.561424</v>
      </c>
      <c r="Y387" s="50">
        <v>0</v>
      </c>
      <c r="Z387" s="50">
        <v>0</v>
      </c>
      <c r="AA387" s="72">
        <v>387</v>
      </c>
      <c r="AB387" s="72"/>
      <c r="AC387" s="73"/>
      <c r="AD387" s="80" t="s">
        <v>1005</v>
      </c>
      <c r="AE387" s="80" t="s">
        <v>1374</v>
      </c>
      <c r="AF387" s="80"/>
      <c r="AG387" s="80" t="s">
        <v>1914</v>
      </c>
      <c r="AH387" s="80" t="s">
        <v>2299</v>
      </c>
      <c r="AI387" s="80">
        <v>146</v>
      </c>
      <c r="AJ387" s="80">
        <v>0</v>
      </c>
      <c r="AK387" s="80">
        <v>2</v>
      </c>
      <c r="AL387" s="80">
        <v>0</v>
      </c>
      <c r="AM387" s="80" t="s">
        <v>2317</v>
      </c>
      <c r="AN387" s="98" t="str">
        <f>HYPERLINK("https://www.youtube.com/watch?v=iv6pTx_QUVM")</f>
        <v>https://www.youtube.com/watch?v=iv6pTx_QUVM</v>
      </c>
      <c r="AO387" s="80" t="str">
        <f>REPLACE(INDEX(GroupVertices[Group],MATCH(Vertices[[#This Row],[Vertex]],GroupVertices[Vertex],0)),1,1,"")</f>
        <v>8</v>
      </c>
      <c r="AP387" s="49"/>
      <c r="AQ387" s="50"/>
      <c r="AR387" s="49"/>
      <c r="AS387" s="50"/>
      <c r="AT387" s="49"/>
      <c r="AU387" s="50"/>
      <c r="AV387" s="49"/>
      <c r="AW387" s="50"/>
      <c r="AX387" s="49"/>
      <c r="AY387" s="49"/>
      <c r="AZ387" s="49"/>
      <c r="BA387" s="49"/>
      <c r="BB387" s="49"/>
      <c r="BC387" s="2"/>
      <c r="BD387" s="3"/>
      <c r="BE387" s="3"/>
      <c r="BF387" s="3"/>
      <c r="BG387" s="3"/>
    </row>
    <row r="388" spans="1:59" ht="15">
      <c r="A388" s="65" t="s">
        <v>596</v>
      </c>
      <c r="B388" s="66" t="s">
        <v>3536</v>
      </c>
      <c r="C388" s="66"/>
      <c r="D388" s="67">
        <v>212.5</v>
      </c>
      <c r="E388" s="69">
        <v>50</v>
      </c>
      <c r="F388" s="96" t="str">
        <f>HYPERLINK("https://i.ytimg.com/vi/LseJ60oNa_k/default.jpg")</f>
        <v>https://i.ytimg.com/vi/LseJ60oNa_k/default.jpg</v>
      </c>
      <c r="G388" s="66"/>
      <c r="H388" s="70" t="s">
        <v>1006</v>
      </c>
      <c r="I388" s="71"/>
      <c r="J388" s="71" t="s">
        <v>159</v>
      </c>
      <c r="K388" s="70" t="s">
        <v>1006</v>
      </c>
      <c r="L388" s="74">
        <v>1.0170986836202769</v>
      </c>
      <c r="M388" s="75">
        <v>9093.1728515625</v>
      </c>
      <c r="N388" s="75">
        <v>1167.2386474609375</v>
      </c>
      <c r="O388" s="76"/>
      <c r="P388" s="77"/>
      <c r="Q388" s="77"/>
      <c r="R388" s="82"/>
      <c r="S388" s="49">
        <v>1</v>
      </c>
      <c r="T388" s="49">
        <v>0</v>
      </c>
      <c r="U388" s="50">
        <v>0</v>
      </c>
      <c r="V388" s="50">
        <v>0.023256</v>
      </c>
      <c r="W388" s="50">
        <v>0</v>
      </c>
      <c r="X388" s="50">
        <v>0.561424</v>
      </c>
      <c r="Y388" s="50">
        <v>0</v>
      </c>
      <c r="Z388" s="50">
        <v>0</v>
      </c>
      <c r="AA388" s="72">
        <v>388</v>
      </c>
      <c r="AB388" s="72"/>
      <c r="AC388" s="73"/>
      <c r="AD388" s="80" t="s">
        <v>1006</v>
      </c>
      <c r="AE388" s="80" t="s">
        <v>1375</v>
      </c>
      <c r="AF388" s="80"/>
      <c r="AG388" s="80" t="s">
        <v>1914</v>
      </c>
      <c r="AH388" s="80" t="s">
        <v>2300</v>
      </c>
      <c r="AI388" s="80">
        <v>400</v>
      </c>
      <c r="AJ388" s="80">
        <v>2</v>
      </c>
      <c r="AK388" s="80">
        <v>11</v>
      </c>
      <c r="AL388" s="80">
        <v>1</v>
      </c>
      <c r="AM388" s="80" t="s">
        <v>2317</v>
      </c>
      <c r="AN388" s="98" t="str">
        <f>HYPERLINK("https://www.youtube.com/watch?v=LseJ60oNa_k")</f>
        <v>https://www.youtube.com/watch?v=LseJ60oNa_k</v>
      </c>
      <c r="AO388" s="80" t="str">
        <f>REPLACE(INDEX(GroupVertices[Group],MATCH(Vertices[[#This Row],[Vertex]],GroupVertices[Vertex],0)),1,1,"")</f>
        <v>8</v>
      </c>
      <c r="AP388" s="49"/>
      <c r="AQ388" s="50"/>
      <c r="AR388" s="49"/>
      <c r="AS388" s="50"/>
      <c r="AT388" s="49"/>
      <c r="AU388" s="50"/>
      <c r="AV388" s="49"/>
      <c r="AW388" s="50"/>
      <c r="AX388" s="49"/>
      <c r="AY388" s="49"/>
      <c r="AZ388" s="49"/>
      <c r="BA388" s="49"/>
      <c r="BB388" s="49"/>
      <c r="BC388" s="2"/>
      <c r="BD388" s="3"/>
      <c r="BE388" s="3"/>
      <c r="BF388" s="3"/>
      <c r="BG388" s="3"/>
    </row>
    <row r="389" spans="1:59" ht="15">
      <c r="A389" s="65" t="s">
        <v>597</v>
      </c>
      <c r="B389" s="66" t="s">
        <v>3536</v>
      </c>
      <c r="C389" s="66"/>
      <c r="D389" s="67">
        <v>212.5</v>
      </c>
      <c r="E389" s="69">
        <v>50</v>
      </c>
      <c r="F389" s="96" t="str">
        <f>HYPERLINK("https://i.ytimg.com/vi/Iq_LtZ2lE6k/default.jpg")</f>
        <v>https://i.ytimg.com/vi/Iq_LtZ2lE6k/default.jpg</v>
      </c>
      <c r="G389" s="66"/>
      <c r="H389" s="70" t="s">
        <v>1007</v>
      </c>
      <c r="I389" s="71"/>
      <c r="J389" s="71" t="s">
        <v>159</v>
      </c>
      <c r="K389" s="70" t="s">
        <v>1007</v>
      </c>
      <c r="L389" s="74">
        <v>1.0102416279782123</v>
      </c>
      <c r="M389" s="75">
        <v>9402.3173828125</v>
      </c>
      <c r="N389" s="75">
        <v>2448.102294921875</v>
      </c>
      <c r="O389" s="76"/>
      <c r="P389" s="77"/>
      <c r="Q389" s="77"/>
      <c r="R389" s="82"/>
      <c r="S389" s="49">
        <v>1</v>
      </c>
      <c r="T389" s="49">
        <v>0</v>
      </c>
      <c r="U389" s="50">
        <v>0</v>
      </c>
      <c r="V389" s="50">
        <v>0.023256</v>
      </c>
      <c r="W389" s="50">
        <v>0</v>
      </c>
      <c r="X389" s="50">
        <v>0.561424</v>
      </c>
      <c r="Y389" s="50">
        <v>0</v>
      </c>
      <c r="Z389" s="50">
        <v>0</v>
      </c>
      <c r="AA389" s="72">
        <v>389</v>
      </c>
      <c r="AB389" s="72"/>
      <c r="AC389" s="73"/>
      <c r="AD389" s="80" t="s">
        <v>1007</v>
      </c>
      <c r="AE389" s="80" t="s">
        <v>1376</v>
      </c>
      <c r="AF389" s="80"/>
      <c r="AG389" s="80" t="s">
        <v>1914</v>
      </c>
      <c r="AH389" s="80" t="s">
        <v>2301</v>
      </c>
      <c r="AI389" s="80">
        <v>244</v>
      </c>
      <c r="AJ389" s="80">
        <v>0</v>
      </c>
      <c r="AK389" s="80">
        <v>0</v>
      </c>
      <c r="AL389" s="80">
        <v>0</v>
      </c>
      <c r="AM389" s="80" t="s">
        <v>2317</v>
      </c>
      <c r="AN389" s="98" t="str">
        <f>HYPERLINK("https://www.youtube.com/watch?v=Iq_LtZ2lE6k")</f>
        <v>https://www.youtube.com/watch?v=Iq_LtZ2lE6k</v>
      </c>
      <c r="AO389" s="80" t="str">
        <f>REPLACE(INDEX(GroupVertices[Group],MATCH(Vertices[[#This Row],[Vertex]],GroupVertices[Vertex],0)),1,1,"")</f>
        <v>8</v>
      </c>
      <c r="AP389" s="49"/>
      <c r="AQ389" s="50"/>
      <c r="AR389" s="49"/>
      <c r="AS389" s="50"/>
      <c r="AT389" s="49"/>
      <c r="AU389" s="50"/>
      <c r="AV389" s="49"/>
      <c r="AW389" s="50"/>
      <c r="AX389" s="49"/>
      <c r="AY389" s="49"/>
      <c r="AZ389" s="49"/>
      <c r="BA389" s="49"/>
      <c r="BB389" s="49"/>
      <c r="BC389" s="2"/>
      <c r="BD389" s="3"/>
      <c r="BE389" s="3"/>
      <c r="BF389" s="3"/>
      <c r="BG389" s="3"/>
    </row>
    <row r="390" spans="1:59" ht="15">
      <c r="A390" s="65" t="s">
        <v>598</v>
      </c>
      <c r="B390" s="66" t="s">
        <v>3536</v>
      </c>
      <c r="C390" s="66"/>
      <c r="D390" s="67">
        <v>212.5</v>
      </c>
      <c r="E390" s="69">
        <v>50</v>
      </c>
      <c r="F390" s="96" t="str">
        <f>HYPERLINK("https://i.ytimg.com/vi/4zeZEw8RBq8/default.jpg")</f>
        <v>https://i.ytimg.com/vi/4zeZEw8RBq8/default.jpg</v>
      </c>
      <c r="G390" s="66"/>
      <c r="H390" s="70" t="s">
        <v>1008</v>
      </c>
      <c r="I390" s="71"/>
      <c r="J390" s="71" t="s">
        <v>159</v>
      </c>
      <c r="K390" s="70" t="s">
        <v>1008</v>
      </c>
      <c r="L390" s="74">
        <v>1.0089229634316612</v>
      </c>
      <c r="M390" s="75">
        <v>8784.0283203125</v>
      </c>
      <c r="N390" s="75">
        <v>2448.102294921875</v>
      </c>
      <c r="O390" s="76"/>
      <c r="P390" s="77"/>
      <c r="Q390" s="77"/>
      <c r="R390" s="82"/>
      <c r="S390" s="49">
        <v>1</v>
      </c>
      <c r="T390" s="49">
        <v>0</v>
      </c>
      <c r="U390" s="50">
        <v>0</v>
      </c>
      <c r="V390" s="50">
        <v>0.023256</v>
      </c>
      <c r="W390" s="50">
        <v>0</v>
      </c>
      <c r="X390" s="50">
        <v>0.561424</v>
      </c>
      <c r="Y390" s="50">
        <v>0</v>
      </c>
      <c r="Z390" s="50">
        <v>0</v>
      </c>
      <c r="AA390" s="72">
        <v>390</v>
      </c>
      <c r="AB390" s="72"/>
      <c r="AC390" s="73"/>
      <c r="AD390" s="80" t="s">
        <v>1008</v>
      </c>
      <c r="AE390" s="80" t="s">
        <v>1377</v>
      </c>
      <c r="AF390" s="80"/>
      <c r="AG390" s="80" t="s">
        <v>1914</v>
      </c>
      <c r="AH390" s="80" t="s">
        <v>2302</v>
      </c>
      <c r="AI390" s="80">
        <v>214</v>
      </c>
      <c r="AJ390" s="80">
        <v>0</v>
      </c>
      <c r="AK390" s="80">
        <v>1</v>
      </c>
      <c r="AL390" s="80">
        <v>0</v>
      </c>
      <c r="AM390" s="80" t="s">
        <v>2317</v>
      </c>
      <c r="AN390" s="98" t="str">
        <f>HYPERLINK("https://www.youtube.com/watch?v=4zeZEw8RBq8")</f>
        <v>https://www.youtube.com/watch?v=4zeZEw8RBq8</v>
      </c>
      <c r="AO390" s="80" t="str">
        <f>REPLACE(INDEX(GroupVertices[Group],MATCH(Vertices[[#This Row],[Vertex]],GroupVertices[Vertex],0)),1,1,"")</f>
        <v>8</v>
      </c>
      <c r="AP390" s="49"/>
      <c r="AQ390" s="50"/>
      <c r="AR390" s="49"/>
      <c r="AS390" s="50"/>
      <c r="AT390" s="49"/>
      <c r="AU390" s="50"/>
      <c r="AV390" s="49"/>
      <c r="AW390" s="50"/>
      <c r="AX390" s="49"/>
      <c r="AY390" s="49"/>
      <c r="AZ390" s="49"/>
      <c r="BA390" s="49"/>
      <c r="BB390" s="49"/>
      <c r="BC390" s="2"/>
      <c r="BD390" s="3"/>
      <c r="BE390" s="3"/>
      <c r="BF390" s="3"/>
      <c r="BG390" s="3"/>
    </row>
    <row r="391" spans="1:59" ht="15">
      <c r="A391" s="65" t="s">
        <v>599</v>
      </c>
      <c r="B391" s="66" t="s">
        <v>3536</v>
      </c>
      <c r="C391" s="66"/>
      <c r="D391" s="67">
        <v>212.5</v>
      </c>
      <c r="E391" s="69">
        <v>50</v>
      </c>
      <c r="F391" s="96" t="str">
        <f>HYPERLINK("https://i.ytimg.com/vi/11XcwRA_Lv8/default.jpg")</f>
        <v>https://i.ytimg.com/vi/11XcwRA_Lv8/default.jpg</v>
      </c>
      <c r="G391" s="66"/>
      <c r="H391" s="70" t="s">
        <v>1009</v>
      </c>
      <c r="I391" s="71"/>
      <c r="J391" s="71" t="s">
        <v>159</v>
      </c>
      <c r="K391" s="70" t="s">
        <v>1009</v>
      </c>
      <c r="L391" s="74">
        <v>1.0079559427641906</v>
      </c>
      <c r="M391" s="75">
        <v>9402.3173828125</v>
      </c>
      <c r="N391" s="75">
        <v>3088.5341796875</v>
      </c>
      <c r="O391" s="76"/>
      <c r="P391" s="77"/>
      <c r="Q391" s="77"/>
      <c r="R391" s="82"/>
      <c r="S391" s="49">
        <v>1</v>
      </c>
      <c r="T391" s="49">
        <v>0</v>
      </c>
      <c r="U391" s="50">
        <v>0</v>
      </c>
      <c r="V391" s="50">
        <v>0.023256</v>
      </c>
      <c r="W391" s="50">
        <v>0</v>
      </c>
      <c r="X391" s="50">
        <v>0.561424</v>
      </c>
      <c r="Y391" s="50">
        <v>0</v>
      </c>
      <c r="Z391" s="50">
        <v>0</v>
      </c>
      <c r="AA391" s="72">
        <v>391</v>
      </c>
      <c r="AB391" s="72"/>
      <c r="AC391" s="73"/>
      <c r="AD391" s="80" t="s">
        <v>1009</v>
      </c>
      <c r="AE391" s="80" t="s">
        <v>1378</v>
      </c>
      <c r="AF391" s="80"/>
      <c r="AG391" s="80" t="s">
        <v>1914</v>
      </c>
      <c r="AH391" s="80" t="s">
        <v>2303</v>
      </c>
      <c r="AI391" s="80">
        <v>192</v>
      </c>
      <c r="AJ391" s="80">
        <v>1</v>
      </c>
      <c r="AK391" s="80">
        <v>3</v>
      </c>
      <c r="AL391" s="80">
        <v>1</v>
      </c>
      <c r="AM391" s="80" t="s">
        <v>2317</v>
      </c>
      <c r="AN391" s="98" t="str">
        <f>HYPERLINK("https://www.youtube.com/watch?v=11XcwRA_Lv8")</f>
        <v>https://www.youtube.com/watch?v=11XcwRA_Lv8</v>
      </c>
      <c r="AO391" s="80" t="str">
        <f>REPLACE(INDEX(GroupVertices[Group],MATCH(Vertices[[#This Row],[Vertex]],GroupVertices[Vertex],0)),1,1,"")</f>
        <v>8</v>
      </c>
      <c r="AP391" s="49"/>
      <c r="AQ391" s="50"/>
      <c r="AR391" s="49"/>
      <c r="AS391" s="50"/>
      <c r="AT391" s="49"/>
      <c r="AU391" s="50"/>
      <c r="AV391" s="49"/>
      <c r="AW391" s="50"/>
      <c r="AX391" s="49"/>
      <c r="AY391" s="49"/>
      <c r="AZ391" s="49"/>
      <c r="BA391" s="49"/>
      <c r="BB391" s="49"/>
      <c r="BC391" s="2"/>
      <c r="BD391" s="3"/>
      <c r="BE391" s="3"/>
      <c r="BF391" s="3"/>
      <c r="BG391" s="3"/>
    </row>
    <row r="392" spans="1:59" ht="15">
      <c r="A392" s="65" t="s">
        <v>600</v>
      </c>
      <c r="B392" s="66" t="s">
        <v>3536</v>
      </c>
      <c r="C392" s="66"/>
      <c r="D392" s="67">
        <v>212.5</v>
      </c>
      <c r="E392" s="69">
        <v>50</v>
      </c>
      <c r="F392" s="96" t="str">
        <f>HYPERLINK("https://i.ytimg.com/vi/cdwfQtEvyac/default.jpg")</f>
        <v>https://i.ytimg.com/vi/cdwfQtEvyac/default.jpg</v>
      </c>
      <c r="G392" s="66"/>
      <c r="H392" s="70" t="s">
        <v>1010</v>
      </c>
      <c r="I392" s="71"/>
      <c r="J392" s="71" t="s">
        <v>159</v>
      </c>
      <c r="K392" s="70" t="s">
        <v>1010</v>
      </c>
      <c r="L392" s="74">
        <v>1.012615224162004</v>
      </c>
      <c r="M392" s="75">
        <v>9093.1728515625</v>
      </c>
      <c r="N392" s="75">
        <v>1807.67041015625</v>
      </c>
      <c r="O392" s="76"/>
      <c r="P392" s="77"/>
      <c r="Q392" s="77"/>
      <c r="R392" s="82"/>
      <c r="S392" s="49">
        <v>1</v>
      </c>
      <c r="T392" s="49">
        <v>0</v>
      </c>
      <c r="U392" s="50">
        <v>0</v>
      </c>
      <c r="V392" s="50">
        <v>0.023256</v>
      </c>
      <c r="W392" s="50">
        <v>0</v>
      </c>
      <c r="X392" s="50">
        <v>0.561424</v>
      </c>
      <c r="Y392" s="50">
        <v>0</v>
      </c>
      <c r="Z392" s="50">
        <v>0</v>
      </c>
      <c r="AA392" s="72">
        <v>392</v>
      </c>
      <c r="AB392" s="72"/>
      <c r="AC392" s="73"/>
      <c r="AD392" s="80" t="s">
        <v>1010</v>
      </c>
      <c r="AE392" s="80" t="s">
        <v>1379</v>
      </c>
      <c r="AF392" s="80"/>
      <c r="AG392" s="80" t="s">
        <v>1914</v>
      </c>
      <c r="AH392" s="80" t="s">
        <v>2304</v>
      </c>
      <c r="AI392" s="80">
        <v>298</v>
      </c>
      <c r="AJ392" s="80">
        <v>1</v>
      </c>
      <c r="AK392" s="80">
        <v>10</v>
      </c>
      <c r="AL392" s="80">
        <v>0</v>
      </c>
      <c r="AM392" s="80" t="s">
        <v>2317</v>
      </c>
      <c r="AN392" s="98" t="str">
        <f>HYPERLINK("https://www.youtube.com/watch?v=cdwfQtEvyac")</f>
        <v>https://www.youtube.com/watch?v=cdwfQtEvyac</v>
      </c>
      <c r="AO392" s="80" t="str">
        <f>REPLACE(INDEX(GroupVertices[Group],MATCH(Vertices[[#This Row],[Vertex]],GroupVertices[Vertex],0)),1,1,"")</f>
        <v>8</v>
      </c>
      <c r="AP392" s="49"/>
      <c r="AQ392" s="50"/>
      <c r="AR392" s="49"/>
      <c r="AS392" s="50"/>
      <c r="AT392" s="49"/>
      <c r="AU392" s="50"/>
      <c r="AV392" s="49"/>
      <c r="AW392" s="50"/>
      <c r="AX392" s="49"/>
      <c r="AY392" s="49"/>
      <c r="AZ392" s="49"/>
      <c r="BA392" s="49"/>
      <c r="BB392" s="49"/>
      <c r="BC392" s="2"/>
      <c r="BD392" s="3"/>
      <c r="BE392" s="3"/>
      <c r="BF392" s="3"/>
      <c r="BG392" s="3"/>
    </row>
    <row r="393" spans="1:59" ht="15">
      <c r="A393" s="65" t="s">
        <v>601</v>
      </c>
      <c r="B393" s="66" t="s">
        <v>3536</v>
      </c>
      <c r="C393" s="66"/>
      <c r="D393" s="67">
        <v>212.5</v>
      </c>
      <c r="E393" s="69">
        <v>50</v>
      </c>
      <c r="F393" s="96" t="str">
        <f>HYPERLINK("https://i.ytimg.com/vi/3U4QU2WwUXU/default.jpg")</f>
        <v>https://i.ytimg.com/vi/3U4QU2WwUXU/default.jpg</v>
      </c>
      <c r="G393" s="66"/>
      <c r="H393" s="70" t="s">
        <v>1011</v>
      </c>
      <c r="I393" s="71"/>
      <c r="J393" s="71" t="s">
        <v>159</v>
      </c>
      <c r="K393" s="70" t="s">
        <v>1011</v>
      </c>
      <c r="L393" s="74">
        <v>1.0092306518258565</v>
      </c>
      <c r="M393" s="75">
        <v>9093.1728515625</v>
      </c>
      <c r="N393" s="75">
        <v>2448.102294921875</v>
      </c>
      <c r="O393" s="76"/>
      <c r="P393" s="77"/>
      <c r="Q393" s="77"/>
      <c r="R393" s="82"/>
      <c r="S393" s="49">
        <v>1</v>
      </c>
      <c r="T393" s="49">
        <v>0</v>
      </c>
      <c r="U393" s="50">
        <v>0</v>
      </c>
      <c r="V393" s="50">
        <v>0.023256</v>
      </c>
      <c r="W393" s="50">
        <v>0</v>
      </c>
      <c r="X393" s="50">
        <v>0.561424</v>
      </c>
      <c r="Y393" s="50">
        <v>0</v>
      </c>
      <c r="Z393" s="50">
        <v>0</v>
      </c>
      <c r="AA393" s="72">
        <v>393</v>
      </c>
      <c r="AB393" s="72"/>
      <c r="AC393" s="73"/>
      <c r="AD393" s="80" t="s">
        <v>1011</v>
      </c>
      <c r="AE393" s="80" t="s">
        <v>1380</v>
      </c>
      <c r="AF393" s="80"/>
      <c r="AG393" s="80" t="s">
        <v>1914</v>
      </c>
      <c r="AH393" s="80" t="s">
        <v>2305</v>
      </c>
      <c r="AI393" s="80">
        <v>221</v>
      </c>
      <c r="AJ393" s="80">
        <v>0</v>
      </c>
      <c r="AK393" s="80">
        <v>2</v>
      </c>
      <c r="AL393" s="80">
        <v>0</v>
      </c>
      <c r="AM393" s="80" t="s">
        <v>2317</v>
      </c>
      <c r="AN393" s="98" t="str">
        <f>HYPERLINK("https://www.youtube.com/watch?v=3U4QU2WwUXU")</f>
        <v>https://www.youtube.com/watch?v=3U4QU2WwUXU</v>
      </c>
      <c r="AO393" s="80" t="str">
        <f>REPLACE(INDEX(GroupVertices[Group],MATCH(Vertices[[#This Row],[Vertex]],GroupVertices[Vertex],0)),1,1,"")</f>
        <v>8</v>
      </c>
      <c r="AP393" s="49"/>
      <c r="AQ393" s="50"/>
      <c r="AR393" s="49"/>
      <c r="AS393" s="50"/>
      <c r="AT393" s="49"/>
      <c r="AU393" s="50"/>
      <c r="AV393" s="49"/>
      <c r="AW393" s="50"/>
      <c r="AX393" s="49"/>
      <c r="AY393" s="49"/>
      <c r="AZ393" s="49"/>
      <c r="BA393" s="49"/>
      <c r="BB393" s="49"/>
      <c r="BC393" s="2"/>
      <c r="BD393" s="3"/>
      <c r="BE393" s="3"/>
      <c r="BF393" s="3"/>
      <c r="BG393" s="3"/>
    </row>
    <row r="394" spans="1:59" ht="15">
      <c r="A394" s="65" t="s">
        <v>602</v>
      </c>
      <c r="B394" s="66" t="s">
        <v>3536</v>
      </c>
      <c r="C394" s="66"/>
      <c r="D394" s="67">
        <v>212.5</v>
      </c>
      <c r="E394" s="69">
        <v>50</v>
      </c>
      <c r="F394" s="96" t="str">
        <f>HYPERLINK("https://i.ytimg.com/vi/oC9M1dquXA8/default.jpg")</f>
        <v>https://i.ytimg.com/vi/oC9M1dquXA8/default.jpg</v>
      </c>
      <c r="G394" s="66"/>
      <c r="H394" s="70" t="s">
        <v>1012</v>
      </c>
      <c r="I394" s="71"/>
      <c r="J394" s="71" t="s">
        <v>159</v>
      </c>
      <c r="K394" s="70" t="s">
        <v>1012</v>
      </c>
      <c r="L394" s="74">
        <v>1.0066372782176396</v>
      </c>
      <c r="M394" s="75">
        <v>9093.1728515625</v>
      </c>
      <c r="N394" s="75">
        <v>3088.5341796875</v>
      </c>
      <c r="O394" s="76"/>
      <c r="P394" s="77"/>
      <c r="Q394" s="77"/>
      <c r="R394" s="82"/>
      <c r="S394" s="49">
        <v>1</v>
      </c>
      <c r="T394" s="49">
        <v>0</v>
      </c>
      <c r="U394" s="50">
        <v>0</v>
      </c>
      <c r="V394" s="50">
        <v>0.023256</v>
      </c>
      <c r="W394" s="50">
        <v>0</v>
      </c>
      <c r="X394" s="50">
        <v>0.561424</v>
      </c>
      <c r="Y394" s="50">
        <v>0</v>
      </c>
      <c r="Z394" s="50">
        <v>0</v>
      </c>
      <c r="AA394" s="72">
        <v>394</v>
      </c>
      <c r="AB394" s="72"/>
      <c r="AC394" s="73"/>
      <c r="AD394" s="80" t="s">
        <v>1012</v>
      </c>
      <c r="AE394" s="80" t="s">
        <v>1381</v>
      </c>
      <c r="AF394" s="80"/>
      <c r="AG394" s="80" t="s">
        <v>1914</v>
      </c>
      <c r="AH394" s="80" t="s">
        <v>2306</v>
      </c>
      <c r="AI394" s="80">
        <v>162</v>
      </c>
      <c r="AJ394" s="80">
        <v>1</v>
      </c>
      <c r="AK394" s="80">
        <v>5</v>
      </c>
      <c r="AL394" s="80">
        <v>0</v>
      </c>
      <c r="AM394" s="80" t="s">
        <v>2317</v>
      </c>
      <c r="AN394" s="98" t="str">
        <f>HYPERLINK("https://www.youtube.com/watch?v=oC9M1dquXA8")</f>
        <v>https://www.youtube.com/watch?v=oC9M1dquXA8</v>
      </c>
      <c r="AO394" s="80" t="str">
        <f>REPLACE(INDEX(GroupVertices[Group],MATCH(Vertices[[#This Row],[Vertex]],GroupVertices[Vertex],0)),1,1,"")</f>
        <v>8</v>
      </c>
      <c r="AP394" s="49"/>
      <c r="AQ394" s="50"/>
      <c r="AR394" s="49"/>
      <c r="AS394" s="50"/>
      <c r="AT394" s="49"/>
      <c r="AU394" s="50"/>
      <c r="AV394" s="49"/>
      <c r="AW394" s="50"/>
      <c r="AX394" s="49"/>
      <c r="AY394" s="49"/>
      <c r="AZ394" s="49"/>
      <c r="BA394" s="49"/>
      <c r="BB394" s="49"/>
      <c r="BC394" s="2"/>
      <c r="BD394" s="3"/>
      <c r="BE394" s="3"/>
      <c r="BF394" s="3"/>
      <c r="BG394" s="3"/>
    </row>
    <row r="395" spans="1:59" ht="15">
      <c r="A395" s="65" t="s">
        <v>603</v>
      </c>
      <c r="B395" s="66" t="s">
        <v>3536</v>
      </c>
      <c r="C395" s="66"/>
      <c r="D395" s="67">
        <v>212.5</v>
      </c>
      <c r="E395" s="69">
        <v>50</v>
      </c>
      <c r="F395" s="96" t="str">
        <f>HYPERLINK("https://i.ytimg.com/vi/2GOnF26Zlcs/default.jpg")</f>
        <v>https://i.ytimg.com/vi/2GOnF26Zlcs/default.jpg</v>
      </c>
      <c r="G395" s="66"/>
      <c r="H395" s="70" t="s">
        <v>1013</v>
      </c>
      <c r="I395" s="71"/>
      <c r="J395" s="71" t="s">
        <v>159</v>
      </c>
      <c r="K395" s="70" t="s">
        <v>1013</v>
      </c>
      <c r="L395" s="74">
        <v>1.0032966613663774</v>
      </c>
      <c r="M395" s="75">
        <v>9711.4619140625</v>
      </c>
      <c r="N395" s="75">
        <v>3728.9658203125</v>
      </c>
      <c r="O395" s="76"/>
      <c r="P395" s="77"/>
      <c r="Q395" s="77"/>
      <c r="R395" s="82"/>
      <c r="S395" s="49">
        <v>1</v>
      </c>
      <c r="T395" s="49">
        <v>0</v>
      </c>
      <c r="U395" s="50">
        <v>0</v>
      </c>
      <c r="V395" s="50">
        <v>0.023256</v>
      </c>
      <c r="W395" s="50">
        <v>0</v>
      </c>
      <c r="X395" s="50">
        <v>0.561424</v>
      </c>
      <c r="Y395" s="50">
        <v>0</v>
      </c>
      <c r="Z395" s="50">
        <v>0</v>
      </c>
      <c r="AA395" s="72">
        <v>395</v>
      </c>
      <c r="AB395" s="72"/>
      <c r="AC395" s="73"/>
      <c r="AD395" s="80" t="s">
        <v>1013</v>
      </c>
      <c r="AE395" s="80" t="s">
        <v>1382</v>
      </c>
      <c r="AF395" s="80"/>
      <c r="AG395" s="80" t="s">
        <v>1914</v>
      </c>
      <c r="AH395" s="80" t="s">
        <v>2307</v>
      </c>
      <c r="AI395" s="80">
        <v>86</v>
      </c>
      <c r="AJ395" s="80">
        <v>0</v>
      </c>
      <c r="AK395" s="80">
        <v>2</v>
      </c>
      <c r="AL395" s="80">
        <v>0</v>
      </c>
      <c r="AM395" s="80" t="s">
        <v>2317</v>
      </c>
      <c r="AN395" s="98" t="str">
        <f>HYPERLINK("https://www.youtube.com/watch?v=2GOnF26Zlcs")</f>
        <v>https://www.youtube.com/watch?v=2GOnF26Zlcs</v>
      </c>
      <c r="AO395" s="80" t="str">
        <f>REPLACE(INDEX(GroupVertices[Group],MATCH(Vertices[[#This Row],[Vertex]],GroupVertices[Vertex],0)),1,1,"")</f>
        <v>8</v>
      </c>
      <c r="AP395" s="49"/>
      <c r="AQ395" s="50"/>
      <c r="AR395" s="49"/>
      <c r="AS395" s="50"/>
      <c r="AT395" s="49"/>
      <c r="AU395" s="50"/>
      <c r="AV395" s="49"/>
      <c r="AW395" s="50"/>
      <c r="AX395" s="49"/>
      <c r="AY395" s="49"/>
      <c r="AZ395" s="49"/>
      <c r="BA395" s="49"/>
      <c r="BB395" s="49"/>
      <c r="BC395" s="2"/>
      <c r="BD395" s="3"/>
      <c r="BE395" s="3"/>
      <c r="BF395" s="3"/>
      <c r="BG395" s="3"/>
    </row>
    <row r="396" spans="1:59" ht="15">
      <c r="A396" s="65" t="s">
        <v>604</v>
      </c>
      <c r="B396" s="66" t="s">
        <v>3536</v>
      </c>
      <c r="C396" s="66"/>
      <c r="D396" s="67">
        <v>212.5</v>
      </c>
      <c r="E396" s="69">
        <v>50</v>
      </c>
      <c r="F396" s="96" t="str">
        <f>HYPERLINK("https://i.ytimg.com/vi/FyVl3lg6mUY/default.jpg")</f>
        <v>https://i.ytimg.com/vi/FyVl3lg6mUY/default.jpg</v>
      </c>
      <c r="G396" s="66"/>
      <c r="H396" s="70" t="s">
        <v>1014</v>
      </c>
      <c r="I396" s="71"/>
      <c r="J396" s="71" t="s">
        <v>159</v>
      </c>
      <c r="K396" s="70" t="s">
        <v>1014</v>
      </c>
      <c r="L396" s="74">
        <v>1.0218019205029754</v>
      </c>
      <c r="M396" s="75">
        <v>9402.3173828125</v>
      </c>
      <c r="N396" s="75">
        <v>1167.2386474609375</v>
      </c>
      <c r="O396" s="76"/>
      <c r="P396" s="77"/>
      <c r="Q396" s="77"/>
      <c r="R396" s="82"/>
      <c r="S396" s="49">
        <v>1</v>
      </c>
      <c r="T396" s="49">
        <v>0</v>
      </c>
      <c r="U396" s="50">
        <v>0</v>
      </c>
      <c r="V396" s="50">
        <v>0.023256</v>
      </c>
      <c r="W396" s="50">
        <v>0</v>
      </c>
      <c r="X396" s="50">
        <v>0.561424</v>
      </c>
      <c r="Y396" s="50">
        <v>0</v>
      </c>
      <c r="Z396" s="50">
        <v>0</v>
      </c>
      <c r="AA396" s="72">
        <v>396</v>
      </c>
      <c r="AB396" s="72"/>
      <c r="AC396" s="73"/>
      <c r="AD396" s="80" t="s">
        <v>1014</v>
      </c>
      <c r="AE396" s="80" t="s">
        <v>1383</v>
      </c>
      <c r="AF396" s="80"/>
      <c r="AG396" s="80" t="s">
        <v>1914</v>
      </c>
      <c r="AH396" s="80" t="s">
        <v>2308</v>
      </c>
      <c r="AI396" s="80">
        <v>507</v>
      </c>
      <c r="AJ396" s="80">
        <v>0</v>
      </c>
      <c r="AK396" s="80">
        <v>6</v>
      </c>
      <c r="AL396" s="80">
        <v>0</v>
      </c>
      <c r="AM396" s="80" t="s">
        <v>2317</v>
      </c>
      <c r="AN396" s="98" t="str">
        <f>HYPERLINK("https://www.youtube.com/watch?v=FyVl3lg6mUY")</f>
        <v>https://www.youtube.com/watch?v=FyVl3lg6mUY</v>
      </c>
      <c r="AO396" s="80" t="str">
        <f>REPLACE(INDEX(GroupVertices[Group],MATCH(Vertices[[#This Row],[Vertex]],GroupVertices[Vertex],0)),1,1,"")</f>
        <v>8</v>
      </c>
      <c r="AP396" s="49"/>
      <c r="AQ396" s="50"/>
      <c r="AR396" s="49"/>
      <c r="AS396" s="50"/>
      <c r="AT396" s="49"/>
      <c r="AU396" s="50"/>
      <c r="AV396" s="49"/>
      <c r="AW396" s="50"/>
      <c r="AX396" s="49"/>
      <c r="AY396" s="49"/>
      <c r="AZ396" s="49"/>
      <c r="BA396" s="49"/>
      <c r="BB396" s="49"/>
      <c r="BC396" s="2"/>
      <c r="BD396" s="3"/>
      <c r="BE396" s="3"/>
      <c r="BF396" s="3"/>
      <c r="BG396" s="3"/>
    </row>
    <row r="397" spans="1:59" ht="15">
      <c r="A397" s="65" t="s">
        <v>605</v>
      </c>
      <c r="B397" s="66" t="s">
        <v>3536</v>
      </c>
      <c r="C397" s="66"/>
      <c r="D397" s="67">
        <v>212.5</v>
      </c>
      <c r="E397" s="69">
        <v>50</v>
      </c>
      <c r="F397" s="96" t="str">
        <f>HYPERLINK("https://i.ytimg.com/vi/fV9GhfbBec4/default.jpg")</f>
        <v>https://i.ytimg.com/vi/fV9GhfbBec4/default.jpg</v>
      </c>
      <c r="G397" s="66"/>
      <c r="H397" s="70" t="s">
        <v>1015</v>
      </c>
      <c r="I397" s="71"/>
      <c r="J397" s="71" t="s">
        <v>159</v>
      </c>
      <c r="K397" s="70" t="s">
        <v>1015</v>
      </c>
      <c r="L397" s="74">
        <v>1.0161316629528063</v>
      </c>
      <c r="M397" s="75">
        <v>8784.0283203125</v>
      </c>
      <c r="N397" s="75">
        <v>1167.2386474609375</v>
      </c>
      <c r="O397" s="76"/>
      <c r="P397" s="77"/>
      <c r="Q397" s="77"/>
      <c r="R397" s="82"/>
      <c r="S397" s="49">
        <v>1</v>
      </c>
      <c r="T397" s="49">
        <v>0</v>
      </c>
      <c r="U397" s="50">
        <v>0</v>
      </c>
      <c r="V397" s="50">
        <v>0.023256</v>
      </c>
      <c r="W397" s="50">
        <v>0</v>
      </c>
      <c r="X397" s="50">
        <v>0.561424</v>
      </c>
      <c r="Y397" s="50">
        <v>0</v>
      </c>
      <c r="Z397" s="50">
        <v>0</v>
      </c>
      <c r="AA397" s="72">
        <v>397</v>
      </c>
      <c r="AB397" s="72"/>
      <c r="AC397" s="73"/>
      <c r="AD397" s="80" t="s">
        <v>1015</v>
      </c>
      <c r="AE397" s="80" t="s">
        <v>1384</v>
      </c>
      <c r="AF397" s="80" t="s">
        <v>1671</v>
      </c>
      <c r="AG397" s="80" t="s">
        <v>1914</v>
      </c>
      <c r="AH397" s="80" t="s">
        <v>2309</v>
      </c>
      <c r="AI397" s="80">
        <v>378</v>
      </c>
      <c r="AJ397" s="80">
        <v>0</v>
      </c>
      <c r="AK397" s="80">
        <v>11</v>
      </c>
      <c r="AL397" s="80">
        <v>1</v>
      </c>
      <c r="AM397" s="80" t="s">
        <v>2317</v>
      </c>
      <c r="AN397" s="98" t="str">
        <f>HYPERLINK("https://www.youtube.com/watch?v=fV9GhfbBec4")</f>
        <v>https://www.youtube.com/watch?v=fV9GhfbBec4</v>
      </c>
      <c r="AO397" s="80" t="str">
        <f>REPLACE(INDEX(GroupVertices[Group],MATCH(Vertices[[#This Row],[Vertex]],GroupVertices[Vertex],0)),1,1,"")</f>
        <v>8</v>
      </c>
      <c r="AP397" s="49">
        <v>1</v>
      </c>
      <c r="AQ397" s="50">
        <v>4.761904761904762</v>
      </c>
      <c r="AR397" s="49">
        <v>2</v>
      </c>
      <c r="AS397" s="50">
        <v>9.523809523809524</v>
      </c>
      <c r="AT397" s="49">
        <v>0</v>
      </c>
      <c r="AU397" s="50">
        <v>0</v>
      </c>
      <c r="AV397" s="49">
        <v>18</v>
      </c>
      <c r="AW397" s="50">
        <v>85.71428571428571</v>
      </c>
      <c r="AX397" s="49">
        <v>21</v>
      </c>
      <c r="AY397" s="49"/>
      <c r="AZ397" s="49"/>
      <c r="BA397" s="49"/>
      <c r="BB397" s="49"/>
      <c r="BC397" s="2"/>
      <c r="BD397" s="3"/>
      <c r="BE397" s="3"/>
      <c r="BF397" s="3"/>
      <c r="BG397" s="3"/>
    </row>
    <row r="398" spans="1:59" ht="15">
      <c r="A398" s="65" t="s">
        <v>606</v>
      </c>
      <c r="B398" s="66" t="s">
        <v>3536</v>
      </c>
      <c r="C398" s="66"/>
      <c r="D398" s="67">
        <v>212.5</v>
      </c>
      <c r="E398" s="69">
        <v>50</v>
      </c>
      <c r="F398" s="96" t="str">
        <f>HYPERLINK("https://i.ytimg.com/vi/1j7h-GHaKo4/default.jpg")</f>
        <v>https://i.ytimg.com/vi/1j7h-GHaKo4/default.jpg</v>
      </c>
      <c r="G398" s="66"/>
      <c r="H398" s="70" t="s">
        <v>1016</v>
      </c>
      <c r="I398" s="71"/>
      <c r="J398" s="71" t="s">
        <v>159</v>
      </c>
      <c r="K398" s="70" t="s">
        <v>1016</v>
      </c>
      <c r="L398" s="74">
        <v>1.0296699522973958</v>
      </c>
      <c r="M398" s="75">
        <v>9093.1728515625</v>
      </c>
      <c r="N398" s="75">
        <v>526.8068237304688</v>
      </c>
      <c r="O398" s="76"/>
      <c r="P398" s="77"/>
      <c r="Q398" s="77"/>
      <c r="R398" s="82"/>
      <c r="S398" s="49">
        <v>1</v>
      </c>
      <c r="T398" s="49">
        <v>0</v>
      </c>
      <c r="U398" s="50">
        <v>0</v>
      </c>
      <c r="V398" s="50">
        <v>0.023256</v>
      </c>
      <c r="W398" s="50">
        <v>0</v>
      </c>
      <c r="X398" s="50">
        <v>0.561424</v>
      </c>
      <c r="Y398" s="50">
        <v>0</v>
      </c>
      <c r="Z398" s="50">
        <v>0</v>
      </c>
      <c r="AA398" s="72">
        <v>398</v>
      </c>
      <c r="AB398" s="72"/>
      <c r="AC398" s="73"/>
      <c r="AD398" s="80" t="s">
        <v>1016</v>
      </c>
      <c r="AE398" s="80" t="s">
        <v>1385</v>
      </c>
      <c r="AF398" s="80" t="s">
        <v>1672</v>
      </c>
      <c r="AG398" s="80" t="s">
        <v>1915</v>
      </c>
      <c r="AH398" s="80" t="s">
        <v>2310</v>
      </c>
      <c r="AI398" s="80">
        <v>686</v>
      </c>
      <c r="AJ398" s="80">
        <v>0</v>
      </c>
      <c r="AK398" s="80">
        <v>9</v>
      </c>
      <c r="AL398" s="80">
        <v>1</v>
      </c>
      <c r="AM398" s="80" t="s">
        <v>2317</v>
      </c>
      <c r="AN398" s="98" t="str">
        <f>HYPERLINK("https://www.youtube.com/watch?v=1j7h-GHaKo4")</f>
        <v>https://www.youtube.com/watch?v=1j7h-GHaKo4</v>
      </c>
      <c r="AO398" s="80" t="str">
        <f>REPLACE(INDEX(GroupVertices[Group],MATCH(Vertices[[#This Row],[Vertex]],GroupVertices[Vertex],0)),1,1,"")</f>
        <v>8</v>
      </c>
      <c r="AP398" s="49">
        <v>5</v>
      </c>
      <c r="AQ398" s="50">
        <v>9.25925925925926</v>
      </c>
      <c r="AR398" s="49">
        <v>1</v>
      </c>
      <c r="AS398" s="50">
        <v>1.8518518518518519</v>
      </c>
      <c r="AT398" s="49">
        <v>0</v>
      </c>
      <c r="AU398" s="50">
        <v>0</v>
      </c>
      <c r="AV398" s="49">
        <v>48</v>
      </c>
      <c r="AW398" s="50">
        <v>88.88888888888889</v>
      </c>
      <c r="AX398" s="49">
        <v>54</v>
      </c>
      <c r="AY398" s="49"/>
      <c r="AZ398" s="49"/>
      <c r="BA398" s="49"/>
      <c r="BB398" s="49"/>
      <c r="BC398" s="2"/>
      <c r="BD398" s="3"/>
      <c r="BE398" s="3"/>
      <c r="BF398" s="3"/>
      <c r="BG398" s="3"/>
    </row>
    <row r="399" spans="1:59" ht="15">
      <c r="A399" s="65" t="s">
        <v>607</v>
      </c>
      <c r="B399" s="66" t="s">
        <v>3536</v>
      </c>
      <c r="C399" s="66"/>
      <c r="D399" s="67">
        <v>212.5</v>
      </c>
      <c r="E399" s="69">
        <v>50</v>
      </c>
      <c r="F399" s="96" t="str">
        <f>HYPERLINK("https://i.ytimg.com/vi/ZAS6V_YJCWE/default.jpg")</f>
        <v>https://i.ytimg.com/vi/ZAS6V_YJCWE/default.jpg</v>
      </c>
      <c r="G399" s="66"/>
      <c r="H399" s="70" t="s">
        <v>1017</v>
      </c>
      <c r="I399" s="71"/>
      <c r="J399" s="71" t="s">
        <v>159</v>
      </c>
      <c r="K399" s="70" t="s">
        <v>1017</v>
      </c>
      <c r="L399" s="74">
        <v>1.0292303974485455</v>
      </c>
      <c r="M399" s="75">
        <v>8784.0283203125</v>
      </c>
      <c r="N399" s="75">
        <v>526.8068237304688</v>
      </c>
      <c r="O399" s="76"/>
      <c r="P399" s="77"/>
      <c r="Q399" s="77"/>
      <c r="R399" s="82"/>
      <c r="S399" s="49">
        <v>1</v>
      </c>
      <c r="T399" s="49">
        <v>0</v>
      </c>
      <c r="U399" s="50">
        <v>0</v>
      </c>
      <c r="V399" s="50">
        <v>0.023256</v>
      </c>
      <c r="W399" s="50">
        <v>0</v>
      </c>
      <c r="X399" s="50">
        <v>0.561424</v>
      </c>
      <c r="Y399" s="50">
        <v>0</v>
      </c>
      <c r="Z399" s="50">
        <v>0</v>
      </c>
      <c r="AA399" s="72">
        <v>399</v>
      </c>
      <c r="AB399" s="72"/>
      <c r="AC399" s="73"/>
      <c r="AD399" s="80" t="s">
        <v>1017</v>
      </c>
      <c r="AE399" s="80" t="s">
        <v>1386</v>
      </c>
      <c r="AF399" s="80"/>
      <c r="AG399" s="80" t="s">
        <v>1914</v>
      </c>
      <c r="AH399" s="80" t="s">
        <v>2311</v>
      </c>
      <c r="AI399" s="80">
        <v>676</v>
      </c>
      <c r="AJ399" s="80">
        <v>1</v>
      </c>
      <c r="AK399" s="80">
        <v>9</v>
      </c>
      <c r="AL399" s="80">
        <v>0</v>
      </c>
      <c r="AM399" s="80" t="s">
        <v>2317</v>
      </c>
      <c r="AN399" s="98" t="str">
        <f>HYPERLINK("https://www.youtube.com/watch?v=ZAS6V_YJCWE")</f>
        <v>https://www.youtube.com/watch?v=ZAS6V_YJCWE</v>
      </c>
      <c r="AO399" s="80" t="str">
        <f>REPLACE(INDEX(GroupVertices[Group],MATCH(Vertices[[#This Row],[Vertex]],GroupVertices[Vertex],0)),1,1,"")</f>
        <v>8</v>
      </c>
      <c r="AP399" s="49"/>
      <c r="AQ399" s="50"/>
      <c r="AR399" s="49"/>
      <c r="AS399" s="50"/>
      <c r="AT399" s="49"/>
      <c r="AU399" s="50"/>
      <c r="AV399" s="49"/>
      <c r="AW399" s="50"/>
      <c r="AX399" s="49"/>
      <c r="AY399" s="49"/>
      <c r="AZ399" s="49"/>
      <c r="BA399" s="49"/>
      <c r="BB399" s="49"/>
      <c r="BC399" s="2"/>
      <c r="BD399" s="3"/>
      <c r="BE399" s="3"/>
      <c r="BF399" s="3"/>
      <c r="BG399" s="3"/>
    </row>
    <row r="400" spans="1:59" ht="15">
      <c r="A400" s="65" t="s">
        <v>608</v>
      </c>
      <c r="B400" s="66" t="s">
        <v>3536</v>
      </c>
      <c r="C400" s="66"/>
      <c r="D400" s="67">
        <v>212.5</v>
      </c>
      <c r="E400" s="69">
        <v>50</v>
      </c>
      <c r="F400" s="96" t="str">
        <f>HYPERLINK("https://i.ytimg.com/vi/HFPwIhMOvbQ/default.jpg")</f>
        <v>https://i.ytimg.com/vi/HFPwIhMOvbQ/default.jpg</v>
      </c>
      <c r="G400" s="66"/>
      <c r="H400" s="70" t="s">
        <v>1018</v>
      </c>
      <c r="I400" s="71"/>
      <c r="J400" s="71" t="s">
        <v>159</v>
      </c>
      <c r="K400" s="70" t="s">
        <v>1018</v>
      </c>
      <c r="L400" s="74">
        <v>1.011516337039878</v>
      </c>
      <c r="M400" s="75">
        <v>9711.4619140625</v>
      </c>
      <c r="N400" s="75">
        <v>2448.102294921875</v>
      </c>
      <c r="O400" s="76"/>
      <c r="P400" s="77"/>
      <c r="Q400" s="77"/>
      <c r="R400" s="82"/>
      <c r="S400" s="49">
        <v>1</v>
      </c>
      <c r="T400" s="49">
        <v>0</v>
      </c>
      <c r="U400" s="50">
        <v>0</v>
      </c>
      <c r="V400" s="50">
        <v>0.023256</v>
      </c>
      <c r="W400" s="50">
        <v>0</v>
      </c>
      <c r="X400" s="50">
        <v>0.561424</v>
      </c>
      <c r="Y400" s="50">
        <v>0</v>
      </c>
      <c r="Z400" s="50">
        <v>0</v>
      </c>
      <c r="AA400" s="72">
        <v>400</v>
      </c>
      <c r="AB400" s="72"/>
      <c r="AC400" s="73"/>
      <c r="AD400" s="80" t="s">
        <v>1018</v>
      </c>
      <c r="AE400" s="80"/>
      <c r="AF400" s="80"/>
      <c r="AG400" s="80" t="s">
        <v>1914</v>
      </c>
      <c r="AH400" s="80" t="s">
        <v>2312</v>
      </c>
      <c r="AI400" s="80">
        <v>273</v>
      </c>
      <c r="AJ400" s="80">
        <v>0</v>
      </c>
      <c r="AK400" s="80">
        <v>11</v>
      </c>
      <c r="AL400" s="80">
        <v>0</v>
      </c>
      <c r="AM400" s="80" t="s">
        <v>2317</v>
      </c>
      <c r="AN400" s="98" t="str">
        <f>HYPERLINK("https://www.youtube.com/watch?v=HFPwIhMOvbQ")</f>
        <v>https://www.youtube.com/watch?v=HFPwIhMOvbQ</v>
      </c>
      <c r="AO400" s="80" t="str">
        <f>REPLACE(INDEX(GroupVertices[Group],MATCH(Vertices[[#This Row],[Vertex]],GroupVertices[Vertex],0)),1,1,"")</f>
        <v>8</v>
      </c>
      <c r="AP400" s="49"/>
      <c r="AQ400" s="50"/>
      <c r="AR400" s="49"/>
      <c r="AS400" s="50"/>
      <c r="AT400" s="49"/>
      <c r="AU400" s="50"/>
      <c r="AV400" s="49"/>
      <c r="AW400" s="50"/>
      <c r="AX400" s="49"/>
      <c r="AY400" s="49"/>
      <c r="AZ400" s="49"/>
      <c r="BA400" s="49"/>
      <c r="BB400" s="49"/>
      <c r="BC400" s="2"/>
      <c r="BD400" s="3"/>
      <c r="BE400" s="3"/>
      <c r="BF400" s="3"/>
      <c r="BG400" s="3"/>
    </row>
    <row r="401" spans="1:59" ht="15">
      <c r="A401" s="65" t="s">
        <v>609</v>
      </c>
      <c r="B401" s="66" t="s">
        <v>3536</v>
      </c>
      <c r="C401" s="66"/>
      <c r="D401" s="67">
        <v>212.5</v>
      </c>
      <c r="E401" s="69">
        <v>50</v>
      </c>
      <c r="F401" s="96" t="str">
        <f>HYPERLINK("https://i.ytimg.com/vi/rDmarJf_gio/default.jpg")</f>
        <v>https://i.ytimg.com/vi/rDmarJf_gio/default.jpg</v>
      </c>
      <c r="G401" s="66"/>
      <c r="H401" s="70" t="s">
        <v>1019</v>
      </c>
      <c r="I401" s="71"/>
      <c r="J401" s="71" t="s">
        <v>159</v>
      </c>
      <c r="K401" s="70" t="s">
        <v>1019</v>
      </c>
      <c r="L401" s="74">
        <v>1.0089229634316612</v>
      </c>
      <c r="M401" s="75">
        <v>9711.4619140625</v>
      </c>
      <c r="N401" s="75">
        <v>3088.5341796875</v>
      </c>
      <c r="O401" s="76"/>
      <c r="P401" s="77"/>
      <c r="Q401" s="77"/>
      <c r="R401" s="82"/>
      <c r="S401" s="49">
        <v>1</v>
      </c>
      <c r="T401" s="49">
        <v>0</v>
      </c>
      <c r="U401" s="50">
        <v>0</v>
      </c>
      <c r="V401" s="50">
        <v>0.023256</v>
      </c>
      <c r="W401" s="50">
        <v>0</v>
      </c>
      <c r="X401" s="50">
        <v>0.561424</v>
      </c>
      <c r="Y401" s="50">
        <v>0</v>
      </c>
      <c r="Z401" s="50">
        <v>0</v>
      </c>
      <c r="AA401" s="72">
        <v>401</v>
      </c>
      <c r="AB401" s="72"/>
      <c r="AC401" s="73"/>
      <c r="AD401" s="80" t="s">
        <v>1019</v>
      </c>
      <c r="AE401" s="80" t="s">
        <v>1387</v>
      </c>
      <c r="AF401" s="80" t="s">
        <v>1673</v>
      </c>
      <c r="AG401" s="80" t="s">
        <v>1914</v>
      </c>
      <c r="AH401" s="80" t="s">
        <v>2313</v>
      </c>
      <c r="AI401" s="80">
        <v>214</v>
      </c>
      <c r="AJ401" s="80">
        <v>1</v>
      </c>
      <c r="AK401" s="80">
        <v>10</v>
      </c>
      <c r="AL401" s="80">
        <v>0</v>
      </c>
      <c r="AM401" s="80" t="s">
        <v>2317</v>
      </c>
      <c r="AN401" s="98" t="str">
        <f>HYPERLINK("https://www.youtube.com/watch?v=rDmarJf_gio")</f>
        <v>https://www.youtube.com/watch?v=rDmarJf_gio</v>
      </c>
      <c r="AO401" s="80" t="str">
        <f>REPLACE(INDEX(GroupVertices[Group],MATCH(Vertices[[#This Row],[Vertex]],GroupVertices[Vertex],0)),1,1,"")</f>
        <v>8</v>
      </c>
      <c r="AP401" s="49">
        <v>0</v>
      </c>
      <c r="AQ401" s="50">
        <v>0</v>
      </c>
      <c r="AR401" s="49">
        <v>2</v>
      </c>
      <c r="AS401" s="50">
        <v>11.764705882352942</v>
      </c>
      <c r="AT401" s="49">
        <v>0</v>
      </c>
      <c r="AU401" s="50">
        <v>0</v>
      </c>
      <c r="AV401" s="49">
        <v>15</v>
      </c>
      <c r="AW401" s="50">
        <v>88.23529411764706</v>
      </c>
      <c r="AX401" s="49">
        <v>17</v>
      </c>
      <c r="AY401" s="49"/>
      <c r="AZ401" s="49"/>
      <c r="BA401" s="49"/>
      <c r="BB401" s="49"/>
      <c r="BC401" s="2"/>
      <c r="BD401" s="3"/>
      <c r="BE401" s="3"/>
      <c r="BF401" s="3"/>
      <c r="BG401" s="3"/>
    </row>
    <row r="402" spans="1:59" ht="15">
      <c r="A402" s="65" t="s">
        <v>610</v>
      </c>
      <c r="B402" s="66" t="s">
        <v>3536</v>
      </c>
      <c r="C402" s="66"/>
      <c r="D402" s="67">
        <v>212.5</v>
      </c>
      <c r="E402" s="69">
        <v>50</v>
      </c>
      <c r="F402" s="96" t="str">
        <f>HYPERLINK("https://i.ytimg.com/vi/V8LnNXsUaUQ/default.jpg")</f>
        <v>https://i.ytimg.com/vi/V8LnNXsUaUQ/default.jpg</v>
      </c>
      <c r="G402" s="66"/>
      <c r="H402" s="70" t="s">
        <v>1020</v>
      </c>
      <c r="I402" s="71"/>
      <c r="J402" s="71" t="s">
        <v>159</v>
      </c>
      <c r="K402" s="70" t="s">
        <v>1020</v>
      </c>
      <c r="L402" s="74">
        <v>1.0122635802829236</v>
      </c>
      <c r="M402" s="75">
        <v>8784.0283203125</v>
      </c>
      <c r="N402" s="75">
        <v>1807.67041015625</v>
      </c>
      <c r="O402" s="76"/>
      <c r="P402" s="77"/>
      <c r="Q402" s="77"/>
      <c r="R402" s="82"/>
      <c r="S402" s="49">
        <v>1</v>
      </c>
      <c r="T402" s="49">
        <v>0</v>
      </c>
      <c r="U402" s="50">
        <v>0</v>
      </c>
      <c r="V402" s="50">
        <v>0.023256</v>
      </c>
      <c r="W402" s="50">
        <v>0</v>
      </c>
      <c r="X402" s="50">
        <v>0.561424</v>
      </c>
      <c r="Y402" s="50">
        <v>0</v>
      </c>
      <c r="Z402" s="50">
        <v>0</v>
      </c>
      <c r="AA402" s="72">
        <v>402</v>
      </c>
      <c r="AB402" s="72"/>
      <c r="AC402" s="73"/>
      <c r="AD402" s="80" t="s">
        <v>1020</v>
      </c>
      <c r="AE402" s="80" t="s">
        <v>1388</v>
      </c>
      <c r="AF402" s="80"/>
      <c r="AG402" s="80" t="s">
        <v>1914</v>
      </c>
      <c r="AH402" s="80" t="s">
        <v>2314</v>
      </c>
      <c r="AI402" s="80">
        <v>290</v>
      </c>
      <c r="AJ402" s="80">
        <v>0</v>
      </c>
      <c r="AK402" s="80">
        <v>11</v>
      </c>
      <c r="AL402" s="80">
        <v>0</v>
      </c>
      <c r="AM402" s="80" t="s">
        <v>2317</v>
      </c>
      <c r="AN402" s="98" t="str">
        <f>HYPERLINK("https://www.youtube.com/watch?v=V8LnNXsUaUQ")</f>
        <v>https://www.youtube.com/watch?v=V8LnNXsUaUQ</v>
      </c>
      <c r="AO402" s="80" t="str">
        <f>REPLACE(INDEX(GroupVertices[Group],MATCH(Vertices[[#This Row],[Vertex]],GroupVertices[Vertex],0)),1,1,"")</f>
        <v>8</v>
      </c>
      <c r="AP402" s="49"/>
      <c r="AQ402" s="50"/>
      <c r="AR402" s="49"/>
      <c r="AS402" s="50"/>
      <c r="AT402" s="49"/>
      <c r="AU402" s="50"/>
      <c r="AV402" s="49"/>
      <c r="AW402" s="50"/>
      <c r="AX402" s="49"/>
      <c r="AY402" s="49"/>
      <c r="AZ402" s="49"/>
      <c r="BA402" s="49"/>
      <c r="BB402" s="49"/>
      <c r="BC402" s="2"/>
      <c r="BD402" s="3"/>
      <c r="BE402" s="3"/>
      <c r="BF402" s="3"/>
      <c r="BG402" s="3"/>
    </row>
    <row r="403" spans="1:59" ht="15">
      <c r="A403" s="83" t="s">
        <v>611</v>
      </c>
      <c r="B403" s="84" t="s">
        <v>3536</v>
      </c>
      <c r="C403" s="84"/>
      <c r="D403" s="85">
        <v>212.5</v>
      </c>
      <c r="E403" s="86">
        <v>50</v>
      </c>
      <c r="F403" s="97" t="str">
        <f>HYPERLINK("https://i.ytimg.com/vi/3FmQaLFgep8/default.jpg")</f>
        <v>https://i.ytimg.com/vi/3FmQaLFgep8/default.jpg</v>
      </c>
      <c r="G403" s="84"/>
      <c r="H403" s="87" t="s">
        <v>1021</v>
      </c>
      <c r="I403" s="88"/>
      <c r="J403" s="88" t="s">
        <v>159</v>
      </c>
      <c r="K403" s="87" t="s">
        <v>1021</v>
      </c>
      <c r="L403" s="89">
        <v>1.0160877074679213</v>
      </c>
      <c r="M403" s="90">
        <v>9711.4619140625</v>
      </c>
      <c r="N403" s="90">
        <v>1807.67041015625</v>
      </c>
      <c r="O403" s="91"/>
      <c r="P403" s="92"/>
      <c r="Q403" s="92"/>
      <c r="R403" s="93"/>
      <c r="S403" s="49">
        <v>1</v>
      </c>
      <c r="T403" s="49">
        <v>0</v>
      </c>
      <c r="U403" s="50">
        <v>0</v>
      </c>
      <c r="V403" s="50">
        <v>0.023256</v>
      </c>
      <c r="W403" s="50">
        <v>0</v>
      </c>
      <c r="X403" s="50">
        <v>0.561424</v>
      </c>
      <c r="Y403" s="50">
        <v>0</v>
      </c>
      <c r="Z403" s="50">
        <v>0</v>
      </c>
      <c r="AA403" s="94">
        <v>403</v>
      </c>
      <c r="AB403" s="94"/>
      <c r="AC403" s="95"/>
      <c r="AD403" s="80" t="s">
        <v>1021</v>
      </c>
      <c r="AE403" s="80" t="s">
        <v>1389</v>
      </c>
      <c r="AF403" s="80"/>
      <c r="AG403" s="80" t="s">
        <v>1914</v>
      </c>
      <c r="AH403" s="80" t="s">
        <v>2315</v>
      </c>
      <c r="AI403" s="80">
        <v>377</v>
      </c>
      <c r="AJ403" s="80">
        <v>0</v>
      </c>
      <c r="AK403" s="80">
        <v>4</v>
      </c>
      <c r="AL403" s="80">
        <v>0</v>
      </c>
      <c r="AM403" s="80" t="s">
        <v>2317</v>
      </c>
      <c r="AN403" s="98" t="str">
        <f>HYPERLINK("https://www.youtube.com/watch?v=3FmQaLFgep8")</f>
        <v>https://www.youtube.com/watch?v=3FmQaLFgep8</v>
      </c>
      <c r="AO403" s="80" t="str">
        <f>REPLACE(INDEX(GroupVertices[Group],MATCH(Vertices[[#This Row],[Vertex]],GroupVertices[Vertex],0)),1,1,"")</f>
        <v>8</v>
      </c>
      <c r="AP403" s="49"/>
      <c r="AQ403" s="50"/>
      <c r="AR403" s="49"/>
      <c r="AS403" s="50"/>
      <c r="AT403" s="49"/>
      <c r="AU403" s="50"/>
      <c r="AV403" s="49"/>
      <c r="AW403" s="50"/>
      <c r="AX403" s="49"/>
      <c r="AY403" s="49"/>
      <c r="AZ403" s="49"/>
      <c r="BA403" s="49"/>
      <c r="BB403" s="49"/>
      <c r="BC403" s="2"/>
      <c r="BD403" s="3"/>
      <c r="BE403" s="3"/>
      <c r="BF403" s="3"/>
      <c r="BG4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3"/>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3"/>
    <dataValidation allowBlank="1" showInputMessage="1" promptTitle="Vertex Tooltip" prompt="Enter optional text that will pop up when the mouse is hovered over the vertex." errorTitle="Invalid Vertex Image Key" sqref="K3:K4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3"/>
    <dataValidation allowBlank="1" showInputMessage="1" promptTitle="Vertex Label Fill Color" prompt="To select an optional fill color for the Label shape, right-click and select Select Color on the right-click menu." sqref="I3:I403"/>
    <dataValidation allowBlank="1" showInputMessage="1" promptTitle="Vertex Image File" prompt="Enter the path to an image file.  Hover over the column header for examples." errorTitle="Invalid Vertex Image Key" sqref="F3:F403"/>
    <dataValidation allowBlank="1" showInputMessage="1" promptTitle="Vertex Color" prompt="To select an optional vertex color, right-click and select Select Color on the right-click menu." sqref="B3:B403"/>
    <dataValidation allowBlank="1" showInputMessage="1" promptTitle="Vertex Opacity" prompt="Enter an optional vertex opacity between 0 (transparent) and 100 (opaque)." errorTitle="Invalid Vertex Opacity" error="The optional vertex opacity must be a whole number between 0 and 10." sqref="E3:E403"/>
    <dataValidation type="list" allowBlank="1" showInputMessage="1" showErrorMessage="1" promptTitle="Vertex Shape" prompt="Select an optional vertex shape." errorTitle="Invalid Vertex Shape" error="You have entered an invalid vertex shape.  Try selecting from the drop-down list instead." sqref="C3:C4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3">
      <formula1>ValidVertexLabelPositions</formula1>
    </dataValidation>
    <dataValidation allowBlank="1" showInputMessage="1" showErrorMessage="1" promptTitle="Vertex Name" prompt="Enter the name of the vertex." sqref="A3:A4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2.57421875" style="0" bestFit="1" customWidth="1"/>
    <col min="35" max="35" width="13.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3382</v>
      </c>
      <c r="Z2" s="54" t="s">
        <v>3383</v>
      </c>
      <c r="AA2" s="54" t="s">
        <v>3384</v>
      </c>
      <c r="AB2" s="54" t="s">
        <v>3385</v>
      </c>
      <c r="AC2" s="54" t="s">
        <v>3386</v>
      </c>
      <c r="AD2" s="54" t="s">
        <v>3387</v>
      </c>
      <c r="AE2" s="54" t="s">
        <v>3388</v>
      </c>
      <c r="AF2" s="54" t="s">
        <v>3389</v>
      </c>
      <c r="AG2" s="54" t="s">
        <v>3392</v>
      </c>
      <c r="AH2" s="13" t="s">
        <v>3445</v>
      </c>
      <c r="AI2" s="13" t="s">
        <v>3520</v>
      </c>
    </row>
    <row r="3" spans="1:35" ht="15">
      <c r="A3" s="65" t="s">
        <v>2320</v>
      </c>
      <c r="B3" s="66" t="s">
        <v>2328</v>
      </c>
      <c r="C3" s="66" t="s">
        <v>56</v>
      </c>
      <c r="D3" s="100"/>
      <c r="E3" s="14"/>
      <c r="F3" s="15" t="s">
        <v>3544</v>
      </c>
      <c r="G3" s="64"/>
      <c r="H3" s="64"/>
      <c r="I3" s="101">
        <v>3</v>
      </c>
      <c r="J3" s="51"/>
      <c r="K3" s="49">
        <v>61</v>
      </c>
      <c r="L3" s="49">
        <v>72</v>
      </c>
      <c r="M3" s="49">
        <v>0</v>
      </c>
      <c r="N3" s="49">
        <v>72</v>
      </c>
      <c r="O3" s="49">
        <v>0</v>
      </c>
      <c r="P3" s="50">
        <v>0</v>
      </c>
      <c r="Q3" s="50">
        <v>0</v>
      </c>
      <c r="R3" s="49">
        <v>1</v>
      </c>
      <c r="S3" s="49">
        <v>0</v>
      </c>
      <c r="T3" s="49">
        <v>61</v>
      </c>
      <c r="U3" s="49">
        <v>72</v>
      </c>
      <c r="V3" s="49">
        <v>4</v>
      </c>
      <c r="W3" s="50">
        <v>2.521903</v>
      </c>
      <c r="X3" s="50">
        <v>0.019672131147540985</v>
      </c>
      <c r="Y3" s="49">
        <v>16</v>
      </c>
      <c r="Z3" s="50">
        <v>1.245136186770428</v>
      </c>
      <c r="AA3" s="49">
        <v>71</v>
      </c>
      <c r="AB3" s="50">
        <v>5.525291828793774</v>
      </c>
      <c r="AC3" s="49">
        <v>0</v>
      </c>
      <c r="AD3" s="50">
        <v>0</v>
      </c>
      <c r="AE3" s="49">
        <v>1198</v>
      </c>
      <c r="AF3" s="50">
        <v>93.2295719844358</v>
      </c>
      <c r="AG3" s="49">
        <v>1285</v>
      </c>
      <c r="AH3" s="102" t="s">
        <v>3446</v>
      </c>
      <c r="AI3" s="102" t="s">
        <v>3521</v>
      </c>
    </row>
    <row r="4" spans="1:35" ht="15">
      <c r="A4" s="65" t="s">
        <v>2321</v>
      </c>
      <c r="B4" s="66" t="s">
        <v>2329</v>
      </c>
      <c r="C4" s="66" t="s">
        <v>56</v>
      </c>
      <c r="D4" s="100"/>
      <c r="E4" s="14"/>
      <c r="F4" s="15" t="s">
        <v>3545</v>
      </c>
      <c r="G4" s="64"/>
      <c r="H4" s="64"/>
      <c r="I4" s="101">
        <v>4</v>
      </c>
      <c r="J4" s="78"/>
      <c r="K4" s="49">
        <v>58</v>
      </c>
      <c r="L4" s="49">
        <v>57</v>
      </c>
      <c r="M4" s="49">
        <v>0</v>
      </c>
      <c r="N4" s="49">
        <v>57</v>
      </c>
      <c r="O4" s="49">
        <v>0</v>
      </c>
      <c r="P4" s="50">
        <v>0</v>
      </c>
      <c r="Q4" s="50">
        <v>0</v>
      </c>
      <c r="R4" s="49">
        <v>1</v>
      </c>
      <c r="S4" s="49">
        <v>0</v>
      </c>
      <c r="T4" s="49">
        <v>58</v>
      </c>
      <c r="U4" s="49">
        <v>57</v>
      </c>
      <c r="V4" s="49">
        <v>2</v>
      </c>
      <c r="W4" s="50">
        <v>1.931629</v>
      </c>
      <c r="X4" s="50">
        <v>0.017241379310344827</v>
      </c>
      <c r="Y4" s="49">
        <v>26</v>
      </c>
      <c r="Z4" s="50">
        <v>1.4976958525345623</v>
      </c>
      <c r="AA4" s="49">
        <v>71</v>
      </c>
      <c r="AB4" s="50">
        <v>4.089861751152074</v>
      </c>
      <c r="AC4" s="49">
        <v>0</v>
      </c>
      <c r="AD4" s="50">
        <v>0</v>
      </c>
      <c r="AE4" s="49">
        <v>1639</v>
      </c>
      <c r="AF4" s="50">
        <v>94.41244239631337</v>
      </c>
      <c r="AG4" s="49">
        <v>1736</v>
      </c>
      <c r="AH4" s="102" t="s">
        <v>3447</v>
      </c>
      <c r="AI4" s="102" t="s">
        <v>3522</v>
      </c>
    </row>
    <row r="5" spans="1:35" ht="15">
      <c r="A5" s="65" t="s">
        <v>2322</v>
      </c>
      <c r="B5" s="66" t="s">
        <v>2330</v>
      </c>
      <c r="C5" s="66" t="s">
        <v>56</v>
      </c>
      <c r="D5" s="100"/>
      <c r="E5" s="14"/>
      <c r="F5" s="15" t="s">
        <v>3546</v>
      </c>
      <c r="G5" s="64"/>
      <c r="H5" s="64"/>
      <c r="I5" s="101">
        <v>5</v>
      </c>
      <c r="J5" s="78"/>
      <c r="K5" s="49">
        <v>55</v>
      </c>
      <c r="L5" s="49">
        <v>54</v>
      </c>
      <c r="M5" s="49">
        <v>0</v>
      </c>
      <c r="N5" s="49">
        <v>54</v>
      </c>
      <c r="O5" s="49">
        <v>0</v>
      </c>
      <c r="P5" s="50">
        <v>0</v>
      </c>
      <c r="Q5" s="50">
        <v>0</v>
      </c>
      <c r="R5" s="49">
        <v>1</v>
      </c>
      <c r="S5" s="49">
        <v>0</v>
      </c>
      <c r="T5" s="49">
        <v>55</v>
      </c>
      <c r="U5" s="49">
        <v>54</v>
      </c>
      <c r="V5" s="49">
        <v>2</v>
      </c>
      <c r="W5" s="50">
        <v>1.927934</v>
      </c>
      <c r="X5" s="50">
        <v>0.01818181818181818</v>
      </c>
      <c r="Y5" s="49">
        <v>19</v>
      </c>
      <c r="Z5" s="50">
        <v>1.6593886462882097</v>
      </c>
      <c r="AA5" s="49">
        <v>72</v>
      </c>
      <c r="AB5" s="50">
        <v>6.288209606986899</v>
      </c>
      <c r="AC5" s="49">
        <v>0</v>
      </c>
      <c r="AD5" s="50">
        <v>0</v>
      </c>
      <c r="AE5" s="49">
        <v>1054</v>
      </c>
      <c r="AF5" s="50">
        <v>92.0524017467249</v>
      </c>
      <c r="AG5" s="49">
        <v>1145</v>
      </c>
      <c r="AH5" s="102" t="s">
        <v>3448</v>
      </c>
      <c r="AI5" s="102" t="s">
        <v>3523</v>
      </c>
    </row>
    <row r="6" spans="1:35" ht="15">
      <c r="A6" s="65" t="s">
        <v>2323</v>
      </c>
      <c r="B6" s="66" t="s">
        <v>2331</v>
      </c>
      <c r="C6" s="66" t="s">
        <v>56</v>
      </c>
      <c r="D6" s="100"/>
      <c r="E6" s="14"/>
      <c r="F6" s="15" t="s">
        <v>3547</v>
      </c>
      <c r="G6" s="64"/>
      <c r="H6" s="64"/>
      <c r="I6" s="101">
        <v>6</v>
      </c>
      <c r="J6" s="78"/>
      <c r="K6" s="49">
        <v>53</v>
      </c>
      <c r="L6" s="49">
        <v>52</v>
      </c>
      <c r="M6" s="49">
        <v>0</v>
      </c>
      <c r="N6" s="49">
        <v>52</v>
      </c>
      <c r="O6" s="49">
        <v>0</v>
      </c>
      <c r="P6" s="50">
        <v>0</v>
      </c>
      <c r="Q6" s="50">
        <v>0</v>
      </c>
      <c r="R6" s="49">
        <v>1</v>
      </c>
      <c r="S6" s="49">
        <v>0</v>
      </c>
      <c r="T6" s="49">
        <v>53</v>
      </c>
      <c r="U6" s="49">
        <v>52</v>
      </c>
      <c r="V6" s="49">
        <v>2</v>
      </c>
      <c r="W6" s="50">
        <v>1.92524</v>
      </c>
      <c r="X6" s="50">
        <v>0.018867924528301886</v>
      </c>
      <c r="Y6" s="49">
        <v>31</v>
      </c>
      <c r="Z6" s="50">
        <v>2.770330652368186</v>
      </c>
      <c r="AA6" s="49">
        <v>16</v>
      </c>
      <c r="AB6" s="50">
        <v>1.4298480786416443</v>
      </c>
      <c r="AC6" s="49">
        <v>0</v>
      </c>
      <c r="AD6" s="50">
        <v>0</v>
      </c>
      <c r="AE6" s="49">
        <v>1072</v>
      </c>
      <c r="AF6" s="50">
        <v>95.79982126899017</v>
      </c>
      <c r="AG6" s="49">
        <v>1119</v>
      </c>
      <c r="AH6" s="102" t="s">
        <v>3449</v>
      </c>
      <c r="AI6" s="102" t="s">
        <v>3524</v>
      </c>
    </row>
    <row r="7" spans="1:35" ht="15">
      <c r="A7" s="65" t="s">
        <v>2324</v>
      </c>
      <c r="B7" s="66" t="s">
        <v>2332</v>
      </c>
      <c r="C7" s="66" t="s">
        <v>56</v>
      </c>
      <c r="D7" s="100"/>
      <c r="E7" s="14"/>
      <c r="F7" s="15" t="s">
        <v>3548</v>
      </c>
      <c r="G7" s="64"/>
      <c r="H7" s="64"/>
      <c r="I7" s="101">
        <v>7</v>
      </c>
      <c r="J7" s="78"/>
      <c r="K7" s="49">
        <v>51</v>
      </c>
      <c r="L7" s="49">
        <v>50</v>
      </c>
      <c r="M7" s="49">
        <v>0</v>
      </c>
      <c r="N7" s="49">
        <v>50</v>
      </c>
      <c r="O7" s="49">
        <v>0</v>
      </c>
      <c r="P7" s="50">
        <v>0</v>
      </c>
      <c r="Q7" s="50">
        <v>0</v>
      </c>
      <c r="R7" s="49">
        <v>1</v>
      </c>
      <c r="S7" s="49">
        <v>0</v>
      </c>
      <c r="T7" s="49">
        <v>51</v>
      </c>
      <c r="U7" s="49">
        <v>50</v>
      </c>
      <c r="V7" s="49">
        <v>2</v>
      </c>
      <c r="W7" s="50">
        <v>1.922338</v>
      </c>
      <c r="X7" s="50">
        <v>0.0196078431372549</v>
      </c>
      <c r="Y7" s="49">
        <v>25</v>
      </c>
      <c r="Z7" s="50">
        <v>1.7064846416382253</v>
      </c>
      <c r="AA7" s="49">
        <v>37</v>
      </c>
      <c r="AB7" s="50">
        <v>2.525597269624573</v>
      </c>
      <c r="AC7" s="49">
        <v>0</v>
      </c>
      <c r="AD7" s="50">
        <v>0</v>
      </c>
      <c r="AE7" s="49">
        <v>1403</v>
      </c>
      <c r="AF7" s="50">
        <v>95.7679180887372</v>
      </c>
      <c r="AG7" s="49">
        <v>1465</v>
      </c>
      <c r="AH7" s="102" t="s">
        <v>3450</v>
      </c>
      <c r="AI7" s="102" t="s">
        <v>3525</v>
      </c>
    </row>
    <row r="8" spans="1:35" ht="15">
      <c r="A8" s="65" t="s">
        <v>2325</v>
      </c>
      <c r="B8" s="66" t="s">
        <v>2333</v>
      </c>
      <c r="C8" s="66" t="s">
        <v>56</v>
      </c>
      <c r="D8" s="100"/>
      <c r="E8" s="14"/>
      <c r="F8" s="15" t="s">
        <v>3549</v>
      </c>
      <c r="G8" s="64"/>
      <c r="H8" s="64"/>
      <c r="I8" s="101">
        <v>8</v>
      </c>
      <c r="J8" s="78"/>
      <c r="K8" s="49">
        <v>51</v>
      </c>
      <c r="L8" s="49">
        <v>50</v>
      </c>
      <c r="M8" s="49">
        <v>0</v>
      </c>
      <c r="N8" s="49">
        <v>50</v>
      </c>
      <c r="O8" s="49">
        <v>0</v>
      </c>
      <c r="P8" s="50">
        <v>0</v>
      </c>
      <c r="Q8" s="50">
        <v>0</v>
      </c>
      <c r="R8" s="49">
        <v>1</v>
      </c>
      <c r="S8" s="49">
        <v>0</v>
      </c>
      <c r="T8" s="49">
        <v>51</v>
      </c>
      <c r="U8" s="49">
        <v>50</v>
      </c>
      <c r="V8" s="49">
        <v>2</v>
      </c>
      <c r="W8" s="50">
        <v>1.922338</v>
      </c>
      <c r="X8" s="50">
        <v>0.0196078431372549</v>
      </c>
      <c r="Y8" s="49">
        <v>43</v>
      </c>
      <c r="Z8" s="50">
        <v>2.2291342664593055</v>
      </c>
      <c r="AA8" s="49">
        <v>57</v>
      </c>
      <c r="AB8" s="50">
        <v>2.9548989113530326</v>
      </c>
      <c r="AC8" s="49">
        <v>0</v>
      </c>
      <c r="AD8" s="50">
        <v>0</v>
      </c>
      <c r="AE8" s="49">
        <v>1829</v>
      </c>
      <c r="AF8" s="50">
        <v>94.81596682218766</v>
      </c>
      <c r="AG8" s="49">
        <v>1929</v>
      </c>
      <c r="AH8" s="102" t="s">
        <v>3451</v>
      </c>
      <c r="AI8" s="102" t="s">
        <v>3526</v>
      </c>
    </row>
    <row r="9" spans="1:35" ht="15">
      <c r="A9" s="65" t="s">
        <v>2326</v>
      </c>
      <c r="B9" s="66" t="s">
        <v>2334</v>
      </c>
      <c r="C9" s="66" t="s">
        <v>56</v>
      </c>
      <c r="D9" s="100"/>
      <c r="E9" s="14"/>
      <c r="F9" s="15" t="s">
        <v>3550</v>
      </c>
      <c r="G9" s="64"/>
      <c r="H9" s="64"/>
      <c r="I9" s="101">
        <v>9</v>
      </c>
      <c r="J9" s="78"/>
      <c r="K9" s="49">
        <v>49</v>
      </c>
      <c r="L9" s="49">
        <v>48</v>
      </c>
      <c r="M9" s="49">
        <v>0</v>
      </c>
      <c r="N9" s="49">
        <v>48</v>
      </c>
      <c r="O9" s="49">
        <v>0</v>
      </c>
      <c r="P9" s="50">
        <v>0</v>
      </c>
      <c r="Q9" s="50">
        <v>0</v>
      </c>
      <c r="R9" s="49">
        <v>1</v>
      </c>
      <c r="S9" s="49">
        <v>0</v>
      </c>
      <c r="T9" s="49">
        <v>49</v>
      </c>
      <c r="U9" s="49">
        <v>48</v>
      </c>
      <c r="V9" s="49">
        <v>2</v>
      </c>
      <c r="W9" s="50">
        <v>1.9192</v>
      </c>
      <c r="X9" s="50">
        <v>0.02040816326530612</v>
      </c>
      <c r="Y9" s="49">
        <v>33</v>
      </c>
      <c r="Z9" s="50">
        <v>1.8987341772151898</v>
      </c>
      <c r="AA9" s="49">
        <v>62</v>
      </c>
      <c r="AB9" s="50">
        <v>3.567318757192175</v>
      </c>
      <c r="AC9" s="49">
        <v>0</v>
      </c>
      <c r="AD9" s="50">
        <v>0</v>
      </c>
      <c r="AE9" s="49">
        <v>1643</v>
      </c>
      <c r="AF9" s="50">
        <v>94.53394706559264</v>
      </c>
      <c r="AG9" s="49">
        <v>1738</v>
      </c>
      <c r="AH9" s="102" t="s">
        <v>3452</v>
      </c>
      <c r="AI9" s="102" t="s">
        <v>3527</v>
      </c>
    </row>
    <row r="10" spans="1:35" ht="14.25" customHeight="1">
      <c r="A10" s="65" t="s">
        <v>2327</v>
      </c>
      <c r="B10" s="66" t="s">
        <v>2335</v>
      </c>
      <c r="C10" s="66" t="s">
        <v>56</v>
      </c>
      <c r="D10" s="100"/>
      <c r="E10" s="14"/>
      <c r="F10" s="15" t="s">
        <v>3551</v>
      </c>
      <c r="G10" s="64"/>
      <c r="H10" s="64"/>
      <c r="I10" s="101">
        <v>10</v>
      </c>
      <c r="J10" s="78"/>
      <c r="K10" s="49">
        <v>23</v>
      </c>
      <c r="L10" s="49">
        <v>22</v>
      </c>
      <c r="M10" s="49">
        <v>0</v>
      </c>
      <c r="N10" s="49">
        <v>22</v>
      </c>
      <c r="O10" s="49">
        <v>0</v>
      </c>
      <c r="P10" s="50">
        <v>0</v>
      </c>
      <c r="Q10" s="50">
        <v>0</v>
      </c>
      <c r="R10" s="49">
        <v>1</v>
      </c>
      <c r="S10" s="49">
        <v>0</v>
      </c>
      <c r="T10" s="49">
        <v>23</v>
      </c>
      <c r="U10" s="49">
        <v>22</v>
      </c>
      <c r="V10" s="49">
        <v>2</v>
      </c>
      <c r="W10" s="50">
        <v>1.829868</v>
      </c>
      <c r="X10" s="50">
        <v>0.043478260869565216</v>
      </c>
      <c r="Y10" s="49">
        <v>6</v>
      </c>
      <c r="Z10" s="50">
        <v>6.521739130434782</v>
      </c>
      <c r="AA10" s="49">
        <v>5</v>
      </c>
      <c r="AB10" s="50">
        <v>5.434782608695652</v>
      </c>
      <c r="AC10" s="49">
        <v>0</v>
      </c>
      <c r="AD10" s="50">
        <v>0</v>
      </c>
      <c r="AE10" s="49">
        <v>81</v>
      </c>
      <c r="AF10" s="50">
        <v>88.04347826086956</v>
      </c>
      <c r="AG10" s="49">
        <v>92</v>
      </c>
      <c r="AH10" s="102" t="s">
        <v>3453</v>
      </c>
      <c r="AI10" s="102" t="s">
        <v>3528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2320</v>
      </c>
      <c r="B2" s="102" t="s">
        <v>393</v>
      </c>
      <c r="C2" s="80">
        <f>VLOOKUP(GroupVertices[[#This Row],[Vertex]],Vertices[],MATCH("ID",Vertices[[#Headers],[Vertex]:[Top Word Pairs in Tags by Salience]],0),FALSE)</f>
        <v>181</v>
      </c>
    </row>
    <row r="3" spans="1:3" ht="15">
      <c r="A3" s="81" t="s">
        <v>2320</v>
      </c>
      <c r="B3" s="102" t="s">
        <v>388</v>
      </c>
      <c r="C3" s="80">
        <f>VLOOKUP(GroupVertices[[#This Row],[Vertex]],Vertices[],MATCH("ID",Vertices[[#Headers],[Vertex]:[Top Word Pairs in Tags by Salience]],0),FALSE)</f>
        <v>176</v>
      </c>
    </row>
    <row r="4" spans="1:3" ht="15">
      <c r="A4" s="81" t="s">
        <v>2320</v>
      </c>
      <c r="B4" s="102" t="s">
        <v>389</v>
      </c>
      <c r="C4" s="80">
        <f>VLOOKUP(GroupVertices[[#This Row],[Vertex]],Vertices[],MATCH("ID",Vertices[[#Headers],[Vertex]:[Top Word Pairs in Tags by Salience]],0),FALSE)</f>
        <v>177</v>
      </c>
    </row>
    <row r="5" spans="1:3" ht="15">
      <c r="A5" s="81" t="s">
        <v>2320</v>
      </c>
      <c r="B5" s="102" t="s">
        <v>471</v>
      </c>
      <c r="C5" s="80">
        <f>VLOOKUP(GroupVertices[[#This Row],[Vertex]],Vertices[],MATCH("ID",Vertices[[#Headers],[Vertex]:[Top Word Pairs in Tags by Salience]],0),FALSE)</f>
        <v>261</v>
      </c>
    </row>
    <row r="6" spans="1:3" ht="15">
      <c r="A6" s="81" t="s">
        <v>2320</v>
      </c>
      <c r="B6" s="102" t="s">
        <v>386</v>
      </c>
      <c r="C6" s="80">
        <f>VLOOKUP(GroupVertices[[#This Row],[Vertex]],Vertices[],MATCH("ID",Vertices[[#Headers],[Vertex]:[Top Word Pairs in Tags by Salience]],0),FALSE)</f>
        <v>174</v>
      </c>
    </row>
    <row r="7" spans="1:3" ht="15">
      <c r="A7" s="81" t="s">
        <v>2320</v>
      </c>
      <c r="B7" s="102" t="s">
        <v>382</v>
      </c>
      <c r="C7" s="80">
        <f>VLOOKUP(GroupVertices[[#This Row],[Vertex]],Vertices[],MATCH("ID",Vertices[[#Headers],[Vertex]:[Top Word Pairs in Tags by Salience]],0),FALSE)</f>
        <v>170</v>
      </c>
    </row>
    <row r="8" spans="1:3" ht="15">
      <c r="A8" s="81" t="s">
        <v>2320</v>
      </c>
      <c r="B8" s="102" t="s">
        <v>469</v>
      </c>
      <c r="C8" s="80">
        <f>VLOOKUP(GroupVertices[[#This Row],[Vertex]],Vertices[],MATCH("ID",Vertices[[#Headers],[Vertex]:[Top Word Pairs in Tags by Salience]],0),FALSE)</f>
        <v>259</v>
      </c>
    </row>
    <row r="9" spans="1:3" ht="15">
      <c r="A9" s="81" t="s">
        <v>2320</v>
      </c>
      <c r="B9" s="102" t="s">
        <v>373</v>
      </c>
      <c r="C9" s="80">
        <f>VLOOKUP(GroupVertices[[#This Row],[Vertex]],Vertices[],MATCH("ID",Vertices[[#Headers],[Vertex]:[Top Word Pairs in Tags by Salience]],0),FALSE)</f>
        <v>160</v>
      </c>
    </row>
    <row r="10" spans="1:3" ht="15">
      <c r="A10" s="81" t="s">
        <v>2320</v>
      </c>
      <c r="B10" s="102" t="s">
        <v>468</v>
      </c>
      <c r="C10" s="80">
        <f>VLOOKUP(GroupVertices[[#This Row],[Vertex]],Vertices[],MATCH("ID",Vertices[[#Headers],[Vertex]:[Top Word Pairs in Tags by Salience]],0),FALSE)</f>
        <v>258</v>
      </c>
    </row>
    <row r="11" spans="1:3" ht="15">
      <c r="A11" s="81" t="s">
        <v>2320</v>
      </c>
      <c r="B11" s="102" t="s">
        <v>217</v>
      </c>
      <c r="C11" s="80">
        <f>VLOOKUP(GroupVertices[[#This Row],[Vertex]],Vertices[],MATCH("ID",Vertices[[#Headers],[Vertex]:[Top Word Pairs in Tags by Salience]],0),FALSE)</f>
        <v>236</v>
      </c>
    </row>
    <row r="12" spans="1:3" ht="15">
      <c r="A12" s="81" t="s">
        <v>2320</v>
      </c>
      <c r="B12" s="102" t="s">
        <v>466</v>
      </c>
      <c r="C12" s="80">
        <f>VLOOKUP(GroupVertices[[#This Row],[Vertex]],Vertices[],MATCH("ID",Vertices[[#Headers],[Vertex]:[Top Word Pairs in Tags by Salience]],0),FALSE)</f>
        <v>256</v>
      </c>
    </row>
    <row r="13" spans="1:3" ht="15">
      <c r="A13" s="81" t="s">
        <v>2320</v>
      </c>
      <c r="B13" s="102" t="s">
        <v>465</v>
      </c>
      <c r="C13" s="80">
        <f>VLOOKUP(GroupVertices[[#This Row],[Vertex]],Vertices[],MATCH("ID",Vertices[[#Headers],[Vertex]:[Top Word Pairs in Tags by Salience]],0),FALSE)</f>
        <v>255</v>
      </c>
    </row>
    <row r="14" spans="1:3" ht="15">
      <c r="A14" s="81" t="s">
        <v>2320</v>
      </c>
      <c r="B14" s="102" t="s">
        <v>464</v>
      </c>
      <c r="C14" s="80">
        <f>VLOOKUP(GroupVertices[[#This Row],[Vertex]],Vertices[],MATCH("ID",Vertices[[#Headers],[Vertex]:[Top Word Pairs in Tags by Salience]],0),FALSE)</f>
        <v>254</v>
      </c>
    </row>
    <row r="15" spans="1:3" ht="15">
      <c r="A15" s="81" t="s">
        <v>2320</v>
      </c>
      <c r="B15" s="102" t="s">
        <v>463</v>
      </c>
      <c r="C15" s="80">
        <f>VLOOKUP(GroupVertices[[#This Row],[Vertex]],Vertices[],MATCH("ID",Vertices[[#Headers],[Vertex]:[Top Word Pairs in Tags by Salience]],0),FALSE)</f>
        <v>253</v>
      </c>
    </row>
    <row r="16" spans="1:3" ht="15">
      <c r="A16" s="81" t="s">
        <v>2320</v>
      </c>
      <c r="B16" s="102" t="s">
        <v>462</v>
      </c>
      <c r="C16" s="80">
        <f>VLOOKUP(GroupVertices[[#This Row],[Vertex]],Vertices[],MATCH("ID",Vertices[[#Headers],[Vertex]:[Top Word Pairs in Tags by Salience]],0),FALSE)</f>
        <v>252</v>
      </c>
    </row>
    <row r="17" spans="1:3" ht="15">
      <c r="A17" s="81" t="s">
        <v>2320</v>
      </c>
      <c r="B17" s="102" t="s">
        <v>461</v>
      </c>
      <c r="C17" s="80">
        <f>VLOOKUP(GroupVertices[[#This Row],[Vertex]],Vertices[],MATCH("ID",Vertices[[#Headers],[Vertex]:[Top Word Pairs in Tags by Salience]],0),FALSE)</f>
        <v>251</v>
      </c>
    </row>
    <row r="18" spans="1:3" ht="15">
      <c r="A18" s="81" t="s">
        <v>2320</v>
      </c>
      <c r="B18" s="102" t="s">
        <v>460</v>
      </c>
      <c r="C18" s="80">
        <f>VLOOKUP(GroupVertices[[#This Row],[Vertex]],Vertices[],MATCH("ID",Vertices[[#Headers],[Vertex]:[Top Word Pairs in Tags by Salience]],0),FALSE)</f>
        <v>250</v>
      </c>
    </row>
    <row r="19" spans="1:3" ht="15">
      <c r="A19" s="81" t="s">
        <v>2320</v>
      </c>
      <c r="B19" s="102" t="s">
        <v>459</v>
      </c>
      <c r="C19" s="80">
        <f>VLOOKUP(GroupVertices[[#This Row],[Vertex]],Vertices[],MATCH("ID",Vertices[[#Headers],[Vertex]:[Top Word Pairs in Tags by Salience]],0),FALSE)</f>
        <v>249</v>
      </c>
    </row>
    <row r="20" spans="1:3" ht="15">
      <c r="A20" s="81" t="s">
        <v>2320</v>
      </c>
      <c r="B20" s="102" t="s">
        <v>458</v>
      </c>
      <c r="C20" s="80">
        <f>VLOOKUP(GroupVertices[[#This Row],[Vertex]],Vertices[],MATCH("ID",Vertices[[#Headers],[Vertex]:[Top Word Pairs in Tags by Salience]],0),FALSE)</f>
        <v>248</v>
      </c>
    </row>
    <row r="21" spans="1:3" ht="15">
      <c r="A21" s="81" t="s">
        <v>2320</v>
      </c>
      <c r="B21" s="102" t="s">
        <v>457</v>
      </c>
      <c r="C21" s="80">
        <f>VLOOKUP(GroupVertices[[#This Row],[Vertex]],Vertices[],MATCH("ID",Vertices[[#Headers],[Vertex]:[Top Word Pairs in Tags by Salience]],0),FALSE)</f>
        <v>247</v>
      </c>
    </row>
    <row r="22" spans="1:3" ht="15">
      <c r="A22" s="81" t="s">
        <v>2320</v>
      </c>
      <c r="B22" s="102" t="s">
        <v>456</v>
      </c>
      <c r="C22" s="80">
        <f>VLOOKUP(GroupVertices[[#This Row],[Vertex]],Vertices[],MATCH("ID",Vertices[[#Headers],[Vertex]:[Top Word Pairs in Tags by Salience]],0),FALSE)</f>
        <v>246</v>
      </c>
    </row>
    <row r="23" spans="1:3" ht="15">
      <c r="A23" s="81" t="s">
        <v>2320</v>
      </c>
      <c r="B23" s="102" t="s">
        <v>455</v>
      </c>
      <c r="C23" s="80">
        <f>VLOOKUP(GroupVertices[[#This Row],[Vertex]],Vertices[],MATCH("ID",Vertices[[#Headers],[Vertex]:[Top Word Pairs in Tags by Salience]],0),FALSE)</f>
        <v>245</v>
      </c>
    </row>
    <row r="24" spans="1:3" ht="15">
      <c r="A24" s="81" t="s">
        <v>2320</v>
      </c>
      <c r="B24" s="102" t="s">
        <v>454</v>
      </c>
      <c r="C24" s="80">
        <f>VLOOKUP(GroupVertices[[#This Row],[Vertex]],Vertices[],MATCH("ID",Vertices[[#Headers],[Vertex]:[Top Word Pairs in Tags by Salience]],0),FALSE)</f>
        <v>244</v>
      </c>
    </row>
    <row r="25" spans="1:3" ht="15">
      <c r="A25" s="81" t="s">
        <v>2320</v>
      </c>
      <c r="B25" s="102" t="s">
        <v>453</v>
      </c>
      <c r="C25" s="80">
        <f>VLOOKUP(GroupVertices[[#This Row],[Vertex]],Vertices[],MATCH("ID",Vertices[[#Headers],[Vertex]:[Top Word Pairs in Tags by Salience]],0),FALSE)</f>
        <v>243</v>
      </c>
    </row>
    <row r="26" spans="1:3" ht="15">
      <c r="A26" s="81" t="s">
        <v>2320</v>
      </c>
      <c r="B26" s="102" t="s">
        <v>452</v>
      </c>
      <c r="C26" s="80">
        <f>VLOOKUP(GroupVertices[[#This Row],[Vertex]],Vertices[],MATCH("ID",Vertices[[#Headers],[Vertex]:[Top Word Pairs in Tags by Salience]],0),FALSE)</f>
        <v>242</v>
      </c>
    </row>
    <row r="27" spans="1:3" ht="15">
      <c r="A27" s="81" t="s">
        <v>2320</v>
      </c>
      <c r="B27" s="102" t="s">
        <v>451</v>
      </c>
      <c r="C27" s="80">
        <f>VLOOKUP(GroupVertices[[#This Row],[Vertex]],Vertices[],MATCH("ID",Vertices[[#Headers],[Vertex]:[Top Word Pairs in Tags by Salience]],0),FALSE)</f>
        <v>241</v>
      </c>
    </row>
    <row r="28" spans="1:3" ht="15">
      <c r="A28" s="81" t="s">
        <v>2320</v>
      </c>
      <c r="B28" s="102" t="s">
        <v>450</v>
      </c>
      <c r="C28" s="80">
        <f>VLOOKUP(GroupVertices[[#This Row],[Vertex]],Vertices[],MATCH("ID",Vertices[[#Headers],[Vertex]:[Top Word Pairs in Tags by Salience]],0),FALSE)</f>
        <v>240</v>
      </c>
    </row>
    <row r="29" spans="1:3" ht="15">
      <c r="A29" s="81" t="s">
        <v>2320</v>
      </c>
      <c r="B29" s="102" t="s">
        <v>449</v>
      </c>
      <c r="C29" s="80">
        <f>VLOOKUP(GroupVertices[[#This Row],[Vertex]],Vertices[],MATCH("ID",Vertices[[#Headers],[Vertex]:[Top Word Pairs in Tags by Salience]],0),FALSE)</f>
        <v>239</v>
      </c>
    </row>
    <row r="30" spans="1:3" ht="15">
      <c r="A30" s="81" t="s">
        <v>2320</v>
      </c>
      <c r="B30" s="102" t="s">
        <v>448</v>
      </c>
      <c r="C30" s="80">
        <f>VLOOKUP(GroupVertices[[#This Row],[Vertex]],Vertices[],MATCH("ID",Vertices[[#Headers],[Vertex]:[Top Word Pairs in Tags by Salience]],0),FALSE)</f>
        <v>238</v>
      </c>
    </row>
    <row r="31" spans="1:3" ht="15">
      <c r="A31" s="81" t="s">
        <v>2320</v>
      </c>
      <c r="B31" s="102" t="s">
        <v>447</v>
      </c>
      <c r="C31" s="80">
        <f>VLOOKUP(GroupVertices[[#This Row],[Vertex]],Vertices[],MATCH("ID",Vertices[[#Headers],[Vertex]:[Top Word Pairs in Tags by Salience]],0),FALSE)</f>
        <v>237</v>
      </c>
    </row>
    <row r="32" spans="1:3" ht="15">
      <c r="A32" s="81" t="s">
        <v>2320</v>
      </c>
      <c r="B32" s="102" t="s">
        <v>387</v>
      </c>
      <c r="C32" s="80">
        <f>VLOOKUP(GroupVertices[[#This Row],[Vertex]],Vertices[],MATCH("ID",Vertices[[#Headers],[Vertex]:[Top Word Pairs in Tags by Salience]],0),FALSE)</f>
        <v>175</v>
      </c>
    </row>
    <row r="33" spans="1:3" ht="15">
      <c r="A33" s="81" t="s">
        <v>2320</v>
      </c>
      <c r="B33" s="102" t="s">
        <v>377</v>
      </c>
      <c r="C33" s="80">
        <f>VLOOKUP(GroupVertices[[#This Row],[Vertex]],Vertices[],MATCH("ID",Vertices[[#Headers],[Vertex]:[Top Word Pairs in Tags by Salience]],0),FALSE)</f>
        <v>164</v>
      </c>
    </row>
    <row r="34" spans="1:3" ht="15">
      <c r="A34" s="81" t="s">
        <v>2320</v>
      </c>
      <c r="B34" s="102" t="s">
        <v>391</v>
      </c>
      <c r="C34" s="80">
        <f>VLOOKUP(GroupVertices[[#This Row],[Vertex]],Vertices[],MATCH("ID",Vertices[[#Headers],[Vertex]:[Top Word Pairs in Tags by Salience]],0),FALSE)</f>
        <v>179</v>
      </c>
    </row>
    <row r="35" spans="1:3" ht="15">
      <c r="A35" s="81" t="s">
        <v>2320</v>
      </c>
      <c r="B35" s="102" t="s">
        <v>390</v>
      </c>
      <c r="C35" s="80">
        <f>VLOOKUP(GroupVertices[[#This Row],[Vertex]],Vertices[],MATCH("ID",Vertices[[#Headers],[Vertex]:[Top Word Pairs in Tags by Salience]],0),FALSE)</f>
        <v>178</v>
      </c>
    </row>
    <row r="36" spans="1:3" ht="15">
      <c r="A36" s="81" t="s">
        <v>2320</v>
      </c>
      <c r="B36" s="102" t="s">
        <v>392</v>
      </c>
      <c r="C36" s="80">
        <f>VLOOKUP(GroupVertices[[#This Row],[Vertex]],Vertices[],MATCH("ID",Vertices[[#Headers],[Vertex]:[Top Word Pairs in Tags by Salience]],0),FALSE)</f>
        <v>180</v>
      </c>
    </row>
    <row r="37" spans="1:3" ht="15">
      <c r="A37" s="81" t="s">
        <v>2320</v>
      </c>
      <c r="B37" s="102" t="s">
        <v>383</v>
      </c>
      <c r="C37" s="80">
        <f>VLOOKUP(GroupVertices[[#This Row],[Vertex]],Vertices[],MATCH("ID",Vertices[[#Headers],[Vertex]:[Top Word Pairs in Tags by Salience]],0),FALSE)</f>
        <v>171</v>
      </c>
    </row>
    <row r="38" spans="1:3" ht="15">
      <c r="A38" s="81" t="s">
        <v>2320</v>
      </c>
      <c r="B38" s="102" t="s">
        <v>371</v>
      </c>
      <c r="C38" s="80">
        <f>VLOOKUP(GroupVertices[[#This Row],[Vertex]],Vertices[],MATCH("ID",Vertices[[#Headers],[Vertex]:[Top Word Pairs in Tags by Salience]],0),FALSE)</f>
        <v>158</v>
      </c>
    </row>
    <row r="39" spans="1:3" ht="15">
      <c r="A39" s="81" t="s">
        <v>2320</v>
      </c>
      <c r="B39" s="102" t="s">
        <v>215</v>
      </c>
      <c r="C39" s="80">
        <f>VLOOKUP(GroupVertices[[#This Row],[Vertex]],Vertices[],MATCH("ID",Vertices[[#Headers],[Vertex]:[Top Word Pairs in Tags by Salience]],0),FALSE)</f>
        <v>127</v>
      </c>
    </row>
    <row r="40" spans="1:3" ht="15">
      <c r="A40" s="81" t="s">
        <v>2320</v>
      </c>
      <c r="B40" s="102" t="s">
        <v>367</v>
      </c>
      <c r="C40" s="80">
        <f>VLOOKUP(GroupVertices[[#This Row],[Vertex]],Vertices[],MATCH("ID",Vertices[[#Headers],[Vertex]:[Top Word Pairs in Tags by Salience]],0),FALSE)</f>
        <v>154</v>
      </c>
    </row>
    <row r="41" spans="1:3" ht="15">
      <c r="A41" s="81" t="s">
        <v>2320</v>
      </c>
      <c r="B41" s="102" t="s">
        <v>366</v>
      </c>
      <c r="C41" s="80">
        <f>VLOOKUP(GroupVertices[[#This Row],[Vertex]],Vertices[],MATCH("ID",Vertices[[#Headers],[Vertex]:[Top Word Pairs in Tags by Salience]],0),FALSE)</f>
        <v>153</v>
      </c>
    </row>
    <row r="42" spans="1:3" ht="15">
      <c r="A42" s="81" t="s">
        <v>2320</v>
      </c>
      <c r="B42" s="102" t="s">
        <v>365</v>
      </c>
      <c r="C42" s="80">
        <f>VLOOKUP(GroupVertices[[#This Row],[Vertex]],Vertices[],MATCH("ID",Vertices[[#Headers],[Vertex]:[Top Word Pairs in Tags by Salience]],0),FALSE)</f>
        <v>152</v>
      </c>
    </row>
    <row r="43" spans="1:3" ht="15">
      <c r="A43" s="81" t="s">
        <v>2320</v>
      </c>
      <c r="B43" s="102" t="s">
        <v>364</v>
      </c>
      <c r="C43" s="80">
        <f>VLOOKUP(GroupVertices[[#This Row],[Vertex]],Vertices[],MATCH("ID",Vertices[[#Headers],[Vertex]:[Top Word Pairs in Tags by Salience]],0),FALSE)</f>
        <v>151</v>
      </c>
    </row>
    <row r="44" spans="1:3" ht="15">
      <c r="A44" s="81" t="s">
        <v>2320</v>
      </c>
      <c r="B44" s="102" t="s">
        <v>363</v>
      </c>
      <c r="C44" s="80">
        <f>VLOOKUP(GroupVertices[[#This Row],[Vertex]],Vertices[],MATCH("ID",Vertices[[#Headers],[Vertex]:[Top Word Pairs in Tags by Salience]],0),FALSE)</f>
        <v>150</v>
      </c>
    </row>
    <row r="45" spans="1:3" ht="15">
      <c r="A45" s="81" t="s">
        <v>2320</v>
      </c>
      <c r="B45" s="102" t="s">
        <v>362</v>
      </c>
      <c r="C45" s="80">
        <f>VLOOKUP(GroupVertices[[#This Row],[Vertex]],Vertices[],MATCH("ID",Vertices[[#Headers],[Vertex]:[Top Word Pairs in Tags by Salience]],0),FALSE)</f>
        <v>149</v>
      </c>
    </row>
    <row r="46" spans="1:3" ht="15">
      <c r="A46" s="81" t="s">
        <v>2320</v>
      </c>
      <c r="B46" s="102" t="s">
        <v>361</v>
      </c>
      <c r="C46" s="80">
        <f>VLOOKUP(GroupVertices[[#This Row],[Vertex]],Vertices[],MATCH("ID",Vertices[[#Headers],[Vertex]:[Top Word Pairs in Tags by Salience]],0),FALSE)</f>
        <v>148</v>
      </c>
    </row>
    <row r="47" spans="1:3" ht="15">
      <c r="A47" s="81" t="s">
        <v>2320</v>
      </c>
      <c r="B47" s="102" t="s">
        <v>360</v>
      </c>
      <c r="C47" s="80">
        <f>VLOOKUP(GroupVertices[[#This Row],[Vertex]],Vertices[],MATCH("ID",Vertices[[#Headers],[Vertex]:[Top Word Pairs in Tags by Salience]],0),FALSE)</f>
        <v>147</v>
      </c>
    </row>
    <row r="48" spans="1:3" ht="15">
      <c r="A48" s="81" t="s">
        <v>2320</v>
      </c>
      <c r="B48" s="102" t="s">
        <v>358</v>
      </c>
      <c r="C48" s="80">
        <f>VLOOKUP(GroupVertices[[#This Row],[Vertex]],Vertices[],MATCH("ID",Vertices[[#Headers],[Vertex]:[Top Word Pairs in Tags by Salience]],0),FALSE)</f>
        <v>145</v>
      </c>
    </row>
    <row r="49" spans="1:3" ht="15">
      <c r="A49" s="81" t="s">
        <v>2320</v>
      </c>
      <c r="B49" s="102" t="s">
        <v>356</v>
      </c>
      <c r="C49" s="80">
        <f>VLOOKUP(GroupVertices[[#This Row],[Vertex]],Vertices[],MATCH("ID",Vertices[[#Headers],[Vertex]:[Top Word Pairs in Tags by Salience]],0),FALSE)</f>
        <v>143</v>
      </c>
    </row>
    <row r="50" spans="1:3" ht="15">
      <c r="A50" s="81" t="s">
        <v>2320</v>
      </c>
      <c r="B50" s="102" t="s">
        <v>353</v>
      </c>
      <c r="C50" s="80">
        <f>VLOOKUP(GroupVertices[[#This Row],[Vertex]],Vertices[],MATCH("ID",Vertices[[#Headers],[Vertex]:[Top Word Pairs in Tags by Salience]],0),FALSE)</f>
        <v>140</v>
      </c>
    </row>
    <row r="51" spans="1:3" ht="15">
      <c r="A51" s="81" t="s">
        <v>2320</v>
      </c>
      <c r="B51" s="102" t="s">
        <v>352</v>
      </c>
      <c r="C51" s="80">
        <f>VLOOKUP(GroupVertices[[#This Row],[Vertex]],Vertices[],MATCH("ID",Vertices[[#Headers],[Vertex]:[Top Word Pairs in Tags by Salience]],0),FALSE)</f>
        <v>139</v>
      </c>
    </row>
    <row r="52" spans="1:3" ht="15">
      <c r="A52" s="81" t="s">
        <v>2320</v>
      </c>
      <c r="B52" s="102" t="s">
        <v>351</v>
      </c>
      <c r="C52" s="80">
        <f>VLOOKUP(GroupVertices[[#This Row],[Vertex]],Vertices[],MATCH("ID",Vertices[[#Headers],[Vertex]:[Top Word Pairs in Tags by Salience]],0),FALSE)</f>
        <v>138</v>
      </c>
    </row>
    <row r="53" spans="1:3" ht="15">
      <c r="A53" s="81" t="s">
        <v>2320</v>
      </c>
      <c r="B53" s="102" t="s">
        <v>350</v>
      </c>
      <c r="C53" s="80">
        <f>VLOOKUP(GroupVertices[[#This Row],[Vertex]],Vertices[],MATCH("ID",Vertices[[#Headers],[Vertex]:[Top Word Pairs in Tags by Salience]],0),FALSE)</f>
        <v>137</v>
      </c>
    </row>
    <row r="54" spans="1:3" ht="15">
      <c r="A54" s="81" t="s">
        <v>2320</v>
      </c>
      <c r="B54" s="102" t="s">
        <v>349</v>
      </c>
      <c r="C54" s="80">
        <f>VLOOKUP(GroupVertices[[#This Row],[Vertex]],Vertices[],MATCH("ID",Vertices[[#Headers],[Vertex]:[Top Word Pairs in Tags by Salience]],0),FALSE)</f>
        <v>136</v>
      </c>
    </row>
    <row r="55" spans="1:3" ht="15">
      <c r="A55" s="81" t="s">
        <v>2320</v>
      </c>
      <c r="B55" s="102" t="s">
        <v>348</v>
      </c>
      <c r="C55" s="80">
        <f>VLOOKUP(GroupVertices[[#This Row],[Vertex]],Vertices[],MATCH("ID",Vertices[[#Headers],[Vertex]:[Top Word Pairs in Tags by Salience]],0),FALSE)</f>
        <v>135</v>
      </c>
    </row>
    <row r="56" spans="1:3" ht="15">
      <c r="A56" s="81" t="s">
        <v>2320</v>
      </c>
      <c r="B56" s="102" t="s">
        <v>347</v>
      </c>
      <c r="C56" s="80">
        <f>VLOOKUP(GroupVertices[[#This Row],[Vertex]],Vertices[],MATCH("ID",Vertices[[#Headers],[Vertex]:[Top Word Pairs in Tags by Salience]],0),FALSE)</f>
        <v>134</v>
      </c>
    </row>
    <row r="57" spans="1:3" ht="15">
      <c r="A57" s="81" t="s">
        <v>2320</v>
      </c>
      <c r="B57" s="102" t="s">
        <v>346</v>
      </c>
      <c r="C57" s="80">
        <f>VLOOKUP(GroupVertices[[#This Row],[Vertex]],Vertices[],MATCH("ID",Vertices[[#Headers],[Vertex]:[Top Word Pairs in Tags by Salience]],0),FALSE)</f>
        <v>133</v>
      </c>
    </row>
    <row r="58" spans="1:3" ht="15">
      <c r="A58" s="81" t="s">
        <v>2320</v>
      </c>
      <c r="B58" s="102" t="s">
        <v>345</v>
      </c>
      <c r="C58" s="80">
        <f>VLOOKUP(GroupVertices[[#This Row],[Vertex]],Vertices[],MATCH("ID",Vertices[[#Headers],[Vertex]:[Top Word Pairs in Tags by Salience]],0),FALSE)</f>
        <v>132</v>
      </c>
    </row>
    <row r="59" spans="1:3" ht="15">
      <c r="A59" s="81" t="s">
        <v>2320</v>
      </c>
      <c r="B59" s="102" t="s">
        <v>344</v>
      </c>
      <c r="C59" s="80">
        <f>VLOOKUP(GroupVertices[[#This Row],[Vertex]],Vertices[],MATCH("ID",Vertices[[#Headers],[Vertex]:[Top Word Pairs in Tags by Salience]],0),FALSE)</f>
        <v>131</v>
      </c>
    </row>
    <row r="60" spans="1:3" ht="15">
      <c r="A60" s="81" t="s">
        <v>2320</v>
      </c>
      <c r="B60" s="102" t="s">
        <v>343</v>
      </c>
      <c r="C60" s="80">
        <f>VLOOKUP(GroupVertices[[#This Row],[Vertex]],Vertices[],MATCH("ID",Vertices[[#Headers],[Vertex]:[Top Word Pairs in Tags by Salience]],0),FALSE)</f>
        <v>130</v>
      </c>
    </row>
    <row r="61" spans="1:3" ht="15">
      <c r="A61" s="81" t="s">
        <v>2320</v>
      </c>
      <c r="B61" s="102" t="s">
        <v>342</v>
      </c>
      <c r="C61" s="80">
        <f>VLOOKUP(GroupVertices[[#This Row],[Vertex]],Vertices[],MATCH("ID",Vertices[[#Headers],[Vertex]:[Top Word Pairs in Tags by Salience]],0),FALSE)</f>
        <v>129</v>
      </c>
    </row>
    <row r="62" spans="1:3" ht="15">
      <c r="A62" s="81" t="s">
        <v>2320</v>
      </c>
      <c r="B62" s="102" t="s">
        <v>341</v>
      </c>
      <c r="C62" s="80">
        <f>VLOOKUP(GroupVertices[[#This Row],[Vertex]],Vertices[],MATCH("ID",Vertices[[#Headers],[Vertex]:[Top Word Pairs in Tags by Salience]],0),FALSE)</f>
        <v>128</v>
      </c>
    </row>
    <row r="63" spans="1:3" ht="15">
      <c r="A63" s="81" t="s">
        <v>2321</v>
      </c>
      <c r="B63" s="102" t="s">
        <v>216</v>
      </c>
      <c r="C63" s="80">
        <f>VLOOKUP(GroupVertices[[#This Row],[Vertex]],Vertices[],MATCH("ID",Vertices[[#Headers],[Vertex]:[Top Word Pairs in Tags by Salience]],0),FALSE)</f>
        <v>167</v>
      </c>
    </row>
    <row r="64" spans="1:3" ht="15">
      <c r="A64" s="81" t="s">
        <v>2321</v>
      </c>
      <c r="B64" s="102" t="s">
        <v>561</v>
      </c>
      <c r="C64" s="80">
        <f>VLOOKUP(GroupVertices[[#This Row],[Vertex]],Vertices[],MATCH("ID",Vertices[[#Headers],[Vertex]:[Top Word Pairs in Tags by Salience]],0),FALSE)</f>
        <v>352</v>
      </c>
    </row>
    <row r="65" spans="1:3" ht="15">
      <c r="A65" s="81" t="s">
        <v>2321</v>
      </c>
      <c r="B65" s="102" t="s">
        <v>547</v>
      </c>
      <c r="C65" s="80">
        <f>VLOOKUP(GroupVertices[[#This Row],[Vertex]],Vertices[],MATCH("ID",Vertices[[#Headers],[Vertex]:[Top Word Pairs in Tags by Salience]],0),FALSE)</f>
        <v>338</v>
      </c>
    </row>
    <row r="66" spans="1:3" ht="15">
      <c r="A66" s="81" t="s">
        <v>2321</v>
      </c>
      <c r="B66" s="102" t="s">
        <v>446</v>
      </c>
      <c r="C66" s="80">
        <f>VLOOKUP(GroupVertices[[#This Row],[Vertex]],Vertices[],MATCH("ID",Vertices[[#Headers],[Vertex]:[Top Word Pairs in Tags by Salience]],0),FALSE)</f>
        <v>235</v>
      </c>
    </row>
    <row r="67" spans="1:3" ht="15">
      <c r="A67" s="81" t="s">
        <v>2321</v>
      </c>
      <c r="B67" s="102" t="s">
        <v>445</v>
      </c>
      <c r="C67" s="80">
        <f>VLOOKUP(GroupVertices[[#This Row],[Vertex]],Vertices[],MATCH("ID",Vertices[[#Headers],[Vertex]:[Top Word Pairs in Tags by Salience]],0),FALSE)</f>
        <v>234</v>
      </c>
    </row>
    <row r="68" spans="1:3" ht="15">
      <c r="A68" s="81" t="s">
        <v>2321</v>
      </c>
      <c r="B68" s="102" t="s">
        <v>444</v>
      </c>
      <c r="C68" s="80">
        <f>VLOOKUP(GroupVertices[[#This Row],[Vertex]],Vertices[],MATCH("ID",Vertices[[#Headers],[Vertex]:[Top Word Pairs in Tags by Salience]],0),FALSE)</f>
        <v>233</v>
      </c>
    </row>
    <row r="69" spans="1:3" ht="15">
      <c r="A69" s="81" t="s">
        <v>2321</v>
      </c>
      <c r="B69" s="102" t="s">
        <v>443</v>
      </c>
      <c r="C69" s="80">
        <f>VLOOKUP(GroupVertices[[#This Row],[Vertex]],Vertices[],MATCH("ID",Vertices[[#Headers],[Vertex]:[Top Word Pairs in Tags by Salience]],0),FALSE)</f>
        <v>232</v>
      </c>
    </row>
    <row r="70" spans="1:3" ht="15">
      <c r="A70" s="81" t="s">
        <v>2321</v>
      </c>
      <c r="B70" s="102" t="s">
        <v>442</v>
      </c>
      <c r="C70" s="80">
        <f>VLOOKUP(GroupVertices[[#This Row],[Vertex]],Vertices[],MATCH("ID",Vertices[[#Headers],[Vertex]:[Top Word Pairs in Tags by Salience]],0),FALSE)</f>
        <v>231</v>
      </c>
    </row>
    <row r="71" spans="1:3" ht="15">
      <c r="A71" s="81" t="s">
        <v>2321</v>
      </c>
      <c r="B71" s="102" t="s">
        <v>441</v>
      </c>
      <c r="C71" s="80">
        <f>VLOOKUP(GroupVertices[[#This Row],[Vertex]],Vertices[],MATCH("ID",Vertices[[#Headers],[Vertex]:[Top Word Pairs in Tags by Salience]],0),FALSE)</f>
        <v>230</v>
      </c>
    </row>
    <row r="72" spans="1:3" ht="15">
      <c r="A72" s="81" t="s">
        <v>2321</v>
      </c>
      <c r="B72" s="102" t="s">
        <v>440</v>
      </c>
      <c r="C72" s="80">
        <f>VLOOKUP(GroupVertices[[#This Row],[Vertex]],Vertices[],MATCH("ID",Vertices[[#Headers],[Vertex]:[Top Word Pairs in Tags by Salience]],0),FALSE)</f>
        <v>229</v>
      </c>
    </row>
    <row r="73" spans="1:3" ht="15">
      <c r="A73" s="81" t="s">
        <v>2321</v>
      </c>
      <c r="B73" s="102" t="s">
        <v>438</v>
      </c>
      <c r="C73" s="80">
        <f>VLOOKUP(GroupVertices[[#This Row],[Vertex]],Vertices[],MATCH("ID",Vertices[[#Headers],[Vertex]:[Top Word Pairs in Tags by Salience]],0),FALSE)</f>
        <v>227</v>
      </c>
    </row>
    <row r="74" spans="1:3" ht="15">
      <c r="A74" s="81" t="s">
        <v>2321</v>
      </c>
      <c r="B74" s="102" t="s">
        <v>437</v>
      </c>
      <c r="C74" s="80">
        <f>VLOOKUP(GroupVertices[[#This Row],[Vertex]],Vertices[],MATCH("ID",Vertices[[#Headers],[Vertex]:[Top Word Pairs in Tags by Salience]],0),FALSE)</f>
        <v>226</v>
      </c>
    </row>
    <row r="75" spans="1:3" ht="15">
      <c r="A75" s="81" t="s">
        <v>2321</v>
      </c>
      <c r="B75" s="102" t="s">
        <v>436</v>
      </c>
      <c r="C75" s="80">
        <f>VLOOKUP(GroupVertices[[#This Row],[Vertex]],Vertices[],MATCH("ID",Vertices[[#Headers],[Vertex]:[Top Word Pairs in Tags by Salience]],0),FALSE)</f>
        <v>225</v>
      </c>
    </row>
    <row r="76" spans="1:3" ht="15">
      <c r="A76" s="81" t="s">
        <v>2321</v>
      </c>
      <c r="B76" s="102" t="s">
        <v>435</v>
      </c>
      <c r="C76" s="80">
        <f>VLOOKUP(GroupVertices[[#This Row],[Vertex]],Vertices[],MATCH("ID",Vertices[[#Headers],[Vertex]:[Top Word Pairs in Tags by Salience]],0),FALSE)</f>
        <v>224</v>
      </c>
    </row>
    <row r="77" spans="1:3" ht="15">
      <c r="A77" s="81" t="s">
        <v>2321</v>
      </c>
      <c r="B77" s="102" t="s">
        <v>434</v>
      </c>
      <c r="C77" s="80">
        <f>VLOOKUP(GroupVertices[[#This Row],[Vertex]],Vertices[],MATCH("ID",Vertices[[#Headers],[Vertex]:[Top Word Pairs in Tags by Salience]],0),FALSE)</f>
        <v>223</v>
      </c>
    </row>
    <row r="78" spans="1:3" ht="15">
      <c r="A78" s="81" t="s">
        <v>2321</v>
      </c>
      <c r="B78" s="102" t="s">
        <v>433</v>
      </c>
      <c r="C78" s="80">
        <f>VLOOKUP(GroupVertices[[#This Row],[Vertex]],Vertices[],MATCH("ID",Vertices[[#Headers],[Vertex]:[Top Word Pairs in Tags by Salience]],0),FALSE)</f>
        <v>222</v>
      </c>
    </row>
    <row r="79" spans="1:3" ht="15">
      <c r="A79" s="81" t="s">
        <v>2321</v>
      </c>
      <c r="B79" s="102" t="s">
        <v>432</v>
      </c>
      <c r="C79" s="80">
        <f>VLOOKUP(GroupVertices[[#This Row],[Vertex]],Vertices[],MATCH("ID",Vertices[[#Headers],[Vertex]:[Top Word Pairs in Tags by Salience]],0),FALSE)</f>
        <v>221</v>
      </c>
    </row>
    <row r="80" spans="1:3" ht="15">
      <c r="A80" s="81" t="s">
        <v>2321</v>
      </c>
      <c r="B80" s="102" t="s">
        <v>431</v>
      </c>
      <c r="C80" s="80">
        <f>VLOOKUP(GroupVertices[[#This Row],[Vertex]],Vertices[],MATCH("ID",Vertices[[#Headers],[Vertex]:[Top Word Pairs in Tags by Salience]],0),FALSE)</f>
        <v>220</v>
      </c>
    </row>
    <row r="81" spans="1:3" ht="15">
      <c r="A81" s="81" t="s">
        <v>2321</v>
      </c>
      <c r="B81" s="102" t="s">
        <v>430</v>
      </c>
      <c r="C81" s="80">
        <f>VLOOKUP(GroupVertices[[#This Row],[Vertex]],Vertices[],MATCH("ID",Vertices[[#Headers],[Vertex]:[Top Word Pairs in Tags by Salience]],0),FALSE)</f>
        <v>219</v>
      </c>
    </row>
    <row r="82" spans="1:3" ht="15">
      <c r="A82" s="81" t="s">
        <v>2321</v>
      </c>
      <c r="B82" s="102" t="s">
        <v>429</v>
      </c>
      <c r="C82" s="80">
        <f>VLOOKUP(GroupVertices[[#This Row],[Vertex]],Vertices[],MATCH("ID",Vertices[[#Headers],[Vertex]:[Top Word Pairs in Tags by Salience]],0),FALSE)</f>
        <v>218</v>
      </c>
    </row>
    <row r="83" spans="1:3" ht="15">
      <c r="A83" s="81" t="s">
        <v>2321</v>
      </c>
      <c r="B83" s="102" t="s">
        <v>428</v>
      </c>
      <c r="C83" s="80">
        <f>VLOOKUP(GroupVertices[[#This Row],[Vertex]],Vertices[],MATCH("ID",Vertices[[#Headers],[Vertex]:[Top Word Pairs in Tags by Salience]],0),FALSE)</f>
        <v>217</v>
      </c>
    </row>
    <row r="84" spans="1:3" ht="15">
      <c r="A84" s="81" t="s">
        <v>2321</v>
      </c>
      <c r="B84" s="102" t="s">
        <v>427</v>
      </c>
      <c r="C84" s="80">
        <f>VLOOKUP(GroupVertices[[#This Row],[Vertex]],Vertices[],MATCH("ID",Vertices[[#Headers],[Vertex]:[Top Word Pairs in Tags by Salience]],0),FALSE)</f>
        <v>216</v>
      </c>
    </row>
    <row r="85" spans="1:3" ht="15">
      <c r="A85" s="81" t="s">
        <v>2321</v>
      </c>
      <c r="B85" s="102" t="s">
        <v>426</v>
      </c>
      <c r="C85" s="80">
        <f>VLOOKUP(GroupVertices[[#This Row],[Vertex]],Vertices[],MATCH("ID",Vertices[[#Headers],[Vertex]:[Top Word Pairs in Tags by Salience]],0),FALSE)</f>
        <v>215</v>
      </c>
    </row>
    <row r="86" spans="1:3" ht="15">
      <c r="A86" s="81" t="s">
        <v>2321</v>
      </c>
      <c r="B86" s="102" t="s">
        <v>425</v>
      </c>
      <c r="C86" s="80">
        <f>VLOOKUP(GroupVertices[[#This Row],[Vertex]],Vertices[],MATCH("ID",Vertices[[#Headers],[Vertex]:[Top Word Pairs in Tags by Salience]],0),FALSE)</f>
        <v>214</v>
      </c>
    </row>
    <row r="87" spans="1:3" ht="15">
      <c r="A87" s="81" t="s">
        <v>2321</v>
      </c>
      <c r="B87" s="102" t="s">
        <v>424</v>
      </c>
      <c r="C87" s="80">
        <f>VLOOKUP(GroupVertices[[#This Row],[Vertex]],Vertices[],MATCH("ID",Vertices[[#Headers],[Vertex]:[Top Word Pairs in Tags by Salience]],0),FALSE)</f>
        <v>213</v>
      </c>
    </row>
    <row r="88" spans="1:3" ht="15">
      <c r="A88" s="81" t="s">
        <v>2321</v>
      </c>
      <c r="B88" s="102" t="s">
        <v>422</v>
      </c>
      <c r="C88" s="80">
        <f>VLOOKUP(GroupVertices[[#This Row],[Vertex]],Vertices[],MATCH("ID",Vertices[[#Headers],[Vertex]:[Top Word Pairs in Tags by Salience]],0),FALSE)</f>
        <v>211</v>
      </c>
    </row>
    <row r="89" spans="1:3" ht="15">
      <c r="A89" s="81" t="s">
        <v>2321</v>
      </c>
      <c r="B89" s="102" t="s">
        <v>421</v>
      </c>
      <c r="C89" s="80">
        <f>VLOOKUP(GroupVertices[[#This Row],[Vertex]],Vertices[],MATCH("ID",Vertices[[#Headers],[Vertex]:[Top Word Pairs in Tags by Salience]],0),FALSE)</f>
        <v>210</v>
      </c>
    </row>
    <row r="90" spans="1:3" ht="15">
      <c r="A90" s="81" t="s">
        <v>2321</v>
      </c>
      <c r="B90" s="102" t="s">
        <v>420</v>
      </c>
      <c r="C90" s="80">
        <f>VLOOKUP(GroupVertices[[#This Row],[Vertex]],Vertices[],MATCH("ID",Vertices[[#Headers],[Vertex]:[Top Word Pairs in Tags by Salience]],0),FALSE)</f>
        <v>209</v>
      </c>
    </row>
    <row r="91" spans="1:3" ht="15">
      <c r="A91" s="81" t="s">
        <v>2321</v>
      </c>
      <c r="B91" s="102" t="s">
        <v>419</v>
      </c>
      <c r="C91" s="80">
        <f>VLOOKUP(GroupVertices[[#This Row],[Vertex]],Vertices[],MATCH("ID",Vertices[[#Headers],[Vertex]:[Top Word Pairs in Tags by Salience]],0),FALSE)</f>
        <v>208</v>
      </c>
    </row>
    <row r="92" spans="1:3" ht="15">
      <c r="A92" s="81" t="s">
        <v>2321</v>
      </c>
      <c r="B92" s="102" t="s">
        <v>418</v>
      </c>
      <c r="C92" s="80">
        <f>VLOOKUP(GroupVertices[[#This Row],[Vertex]],Vertices[],MATCH("ID",Vertices[[#Headers],[Vertex]:[Top Word Pairs in Tags by Salience]],0),FALSE)</f>
        <v>207</v>
      </c>
    </row>
    <row r="93" spans="1:3" ht="15">
      <c r="A93" s="81" t="s">
        <v>2321</v>
      </c>
      <c r="B93" s="102" t="s">
        <v>417</v>
      </c>
      <c r="C93" s="80">
        <f>VLOOKUP(GroupVertices[[#This Row],[Vertex]],Vertices[],MATCH("ID",Vertices[[#Headers],[Vertex]:[Top Word Pairs in Tags by Salience]],0),FALSE)</f>
        <v>206</v>
      </c>
    </row>
    <row r="94" spans="1:3" ht="15">
      <c r="A94" s="81" t="s">
        <v>2321</v>
      </c>
      <c r="B94" s="102" t="s">
        <v>416</v>
      </c>
      <c r="C94" s="80">
        <f>VLOOKUP(GroupVertices[[#This Row],[Vertex]],Vertices[],MATCH("ID",Vertices[[#Headers],[Vertex]:[Top Word Pairs in Tags by Salience]],0),FALSE)</f>
        <v>205</v>
      </c>
    </row>
    <row r="95" spans="1:3" ht="15">
      <c r="A95" s="81" t="s">
        <v>2321</v>
      </c>
      <c r="B95" s="102" t="s">
        <v>415</v>
      </c>
      <c r="C95" s="80">
        <f>VLOOKUP(GroupVertices[[#This Row],[Vertex]],Vertices[],MATCH("ID",Vertices[[#Headers],[Vertex]:[Top Word Pairs in Tags by Salience]],0),FALSE)</f>
        <v>204</v>
      </c>
    </row>
    <row r="96" spans="1:3" ht="15">
      <c r="A96" s="81" t="s">
        <v>2321</v>
      </c>
      <c r="B96" s="102" t="s">
        <v>414</v>
      </c>
      <c r="C96" s="80">
        <f>VLOOKUP(GroupVertices[[#This Row],[Vertex]],Vertices[],MATCH("ID",Vertices[[#Headers],[Vertex]:[Top Word Pairs in Tags by Salience]],0),FALSE)</f>
        <v>203</v>
      </c>
    </row>
    <row r="97" spans="1:3" ht="15">
      <c r="A97" s="81" t="s">
        <v>2321</v>
      </c>
      <c r="B97" s="102" t="s">
        <v>413</v>
      </c>
      <c r="C97" s="80">
        <f>VLOOKUP(GroupVertices[[#This Row],[Vertex]],Vertices[],MATCH("ID",Vertices[[#Headers],[Vertex]:[Top Word Pairs in Tags by Salience]],0),FALSE)</f>
        <v>202</v>
      </c>
    </row>
    <row r="98" spans="1:3" ht="15">
      <c r="A98" s="81" t="s">
        <v>2321</v>
      </c>
      <c r="B98" s="102" t="s">
        <v>412</v>
      </c>
      <c r="C98" s="80">
        <f>VLOOKUP(GroupVertices[[#This Row],[Vertex]],Vertices[],MATCH("ID",Vertices[[#Headers],[Vertex]:[Top Word Pairs in Tags by Salience]],0),FALSE)</f>
        <v>201</v>
      </c>
    </row>
    <row r="99" spans="1:3" ht="15">
      <c r="A99" s="81" t="s">
        <v>2321</v>
      </c>
      <c r="B99" s="102" t="s">
        <v>410</v>
      </c>
      <c r="C99" s="80">
        <f>VLOOKUP(GroupVertices[[#This Row],[Vertex]],Vertices[],MATCH("ID",Vertices[[#Headers],[Vertex]:[Top Word Pairs in Tags by Salience]],0),FALSE)</f>
        <v>199</v>
      </c>
    </row>
    <row r="100" spans="1:3" ht="15">
      <c r="A100" s="81" t="s">
        <v>2321</v>
      </c>
      <c r="B100" s="102" t="s">
        <v>409</v>
      </c>
      <c r="C100" s="80">
        <f>VLOOKUP(GroupVertices[[#This Row],[Vertex]],Vertices[],MATCH("ID",Vertices[[#Headers],[Vertex]:[Top Word Pairs in Tags by Salience]],0),FALSE)</f>
        <v>198</v>
      </c>
    </row>
    <row r="101" spans="1:3" ht="15">
      <c r="A101" s="81" t="s">
        <v>2321</v>
      </c>
      <c r="B101" s="102" t="s">
        <v>408</v>
      </c>
      <c r="C101" s="80">
        <f>VLOOKUP(GroupVertices[[#This Row],[Vertex]],Vertices[],MATCH("ID",Vertices[[#Headers],[Vertex]:[Top Word Pairs in Tags by Salience]],0),FALSE)</f>
        <v>197</v>
      </c>
    </row>
    <row r="102" spans="1:3" ht="15">
      <c r="A102" s="81" t="s">
        <v>2321</v>
      </c>
      <c r="B102" s="102" t="s">
        <v>407</v>
      </c>
      <c r="C102" s="80">
        <f>VLOOKUP(GroupVertices[[#This Row],[Vertex]],Vertices[],MATCH("ID",Vertices[[#Headers],[Vertex]:[Top Word Pairs in Tags by Salience]],0),FALSE)</f>
        <v>196</v>
      </c>
    </row>
    <row r="103" spans="1:3" ht="15">
      <c r="A103" s="81" t="s">
        <v>2321</v>
      </c>
      <c r="B103" s="102" t="s">
        <v>406</v>
      </c>
      <c r="C103" s="80">
        <f>VLOOKUP(GroupVertices[[#This Row],[Vertex]],Vertices[],MATCH("ID",Vertices[[#Headers],[Vertex]:[Top Word Pairs in Tags by Salience]],0),FALSE)</f>
        <v>195</v>
      </c>
    </row>
    <row r="104" spans="1:3" ht="15">
      <c r="A104" s="81" t="s">
        <v>2321</v>
      </c>
      <c r="B104" s="102" t="s">
        <v>405</v>
      </c>
      <c r="C104" s="80">
        <f>VLOOKUP(GroupVertices[[#This Row],[Vertex]],Vertices[],MATCH("ID",Vertices[[#Headers],[Vertex]:[Top Word Pairs in Tags by Salience]],0),FALSE)</f>
        <v>194</v>
      </c>
    </row>
    <row r="105" spans="1:3" ht="15">
      <c r="A105" s="81" t="s">
        <v>2321</v>
      </c>
      <c r="B105" s="102" t="s">
        <v>404</v>
      </c>
      <c r="C105" s="80">
        <f>VLOOKUP(GroupVertices[[#This Row],[Vertex]],Vertices[],MATCH("ID",Vertices[[#Headers],[Vertex]:[Top Word Pairs in Tags by Salience]],0),FALSE)</f>
        <v>193</v>
      </c>
    </row>
    <row r="106" spans="1:3" ht="15">
      <c r="A106" s="81" t="s">
        <v>2321</v>
      </c>
      <c r="B106" s="102" t="s">
        <v>403</v>
      </c>
      <c r="C106" s="80">
        <f>VLOOKUP(GroupVertices[[#This Row],[Vertex]],Vertices[],MATCH("ID",Vertices[[#Headers],[Vertex]:[Top Word Pairs in Tags by Salience]],0),FALSE)</f>
        <v>192</v>
      </c>
    </row>
    <row r="107" spans="1:3" ht="15">
      <c r="A107" s="81" t="s">
        <v>2321</v>
      </c>
      <c r="B107" s="102" t="s">
        <v>402</v>
      </c>
      <c r="C107" s="80">
        <f>VLOOKUP(GroupVertices[[#This Row],[Vertex]],Vertices[],MATCH("ID",Vertices[[#Headers],[Vertex]:[Top Word Pairs in Tags by Salience]],0),FALSE)</f>
        <v>191</v>
      </c>
    </row>
    <row r="108" spans="1:3" ht="15">
      <c r="A108" s="81" t="s">
        <v>2321</v>
      </c>
      <c r="B108" s="102" t="s">
        <v>401</v>
      </c>
      <c r="C108" s="80">
        <f>VLOOKUP(GroupVertices[[#This Row],[Vertex]],Vertices[],MATCH("ID",Vertices[[#Headers],[Vertex]:[Top Word Pairs in Tags by Salience]],0),FALSE)</f>
        <v>190</v>
      </c>
    </row>
    <row r="109" spans="1:3" ht="15">
      <c r="A109" s="81" t="s">
        <v>2321</v>
      </c>
      <c r="B109" s="102" t="s">
        <v>400</v>
      </c>
      <c r="C109" s="80">
        <f>VLOOKUP(GroupVertices[[#This Row],[Vertex]],Vertices[],MATCH("ID",Vertices[[#Headers],[Vertex]:[Top Word Pairs in Tags by Salience]],0),FALSE)</f>
        <v>189</v>
      </c>
    </row>
    <row r="110" spans="1:3" ht="15">
      <c r="A110" s="81" t="s">
        <v>2321</v>
      </c>
      <c r="B110" s="102" t="s">
        <v>399</v>
      </c>
      <c r="C110" s="80">
        <f>VLOOKUP(GroupVertices[[#This Row],[Vertex]],Vertices[],MATCH("ID",Vertices[[#Headers],[Vertex]:[Top Word Pairs in Tags by Salience]],0),FALSE)</f>
        <v>188</v>
      </c>
    </row>
    <row r="111" spans="1:3" ht="15">
      <c r="A111" s="81" t="s">
        <v>2321</v>
      </c>
      <c r="B111" s="102" t="s">
        <v>398</v>
      </c>
      <c r="C111" s="80">
        <f>VLOOKUP(GroupVertices[[#This Row],[Vertex]],Vertices[],MATCH("ID",Vertices[[#Headers],[Vertex]:[Top Word Pairs in Tags by Salience]],0),FALSE)</f>
        <v>187</v>
      </c>
    </row>
    <row r="112" spans="1:3" ht="15">
      <c r="A112" s="81" t="s">
        <v>2321</v>
      </c>
      <c r="B112" s="102" t="s">
        <v>397</v>
      </c>
      <c r="C112" s="80">
        <f>VLOOKUP(GroupVertices[[#This Row],[Vertex]],Vertices[],MATCH("ID",Vertices[[#Headers],[Vertex]:[Top Word Pairs in Tags by Salience]],0),FALSE)</f>
        <v>186</v>
      </c>
    </row>
    <row r="113" spans="1:3" ht="15">
      <c r="A113" s="81" t="s">
        <v>2321</v>
      </c>
      <c r="B113" s="102" t="s">
        <v>396</v>
      </c>
      <c r="C113" s="80">
        <f>VLOOKUP(GroupVertices[[#This Row],[Vertex]],Vertices[],MATCH("ID",Vertices[[#Headers],[Vertex]:[Top Word Pairs in Tags by Salience]],0),FALSE)</f>
        <v>185</v>
      </c>
    </row>
    <row r="114" spans="1:3" ht="15">
      <c r="A114" s="81" t="s">
        <v>2321</v>
      </c>
      <c r="B114" s="102" t="s">
        <v>395</v>
      </c>
      <c r="C114" s="80">
        <f>VLOOKUP(GroupVertices[[#This Row],[Vertex]],Vertices[],MATCH("ID",Vertices[[#Headers],[Vertex]:[Top Word Pairs in Tags by Salience]],0),FALSE)</f>
        <v>184</v>
      </c>
    </row>
    <row r="115" spans="1:3" ht="15">
      <c r="A115" s="81" t="s">
        <v>2321</v>
      </c>
      <c r="B115" s="102" t="s">
        <v>394</v>
      </c>
      <c r="C115" s="80">
        <f>VLOOKUP(GroupVertices[[#This Row],[Vertex]],Vertices[],MATCH("ID",Vertices[[#Headers],[Vertex]:[Top Word Pairs in Tags by Salience]],0),FALSE)</f>
        <v>183</v>
      </c>
    </row>
    <row r="116" spans="1:3" ht="15">
      <c r="A116" s="81" t="s">
        <v>2321</v>
      </c>
      <c r="B116" s="102" t="s">
        <v>381</v>
      </c>
      <c r="C116" s="80">
        <f>VLOOKUP(GroupVertices[[#This Row],[Vertex]],Vertices[],MATCH("ID",Vertices[[#Headers],[Vertex]:[Top Word Pairs in Tags by Salience]],0),FALSE)</f>
        <v>169</v>
      </c>
    </row>
    <row r="117" spans="1:3" ht="15">
      <c r="A117" s="81" t="s">
        <v>2321</v>
      </c>
      <c r="B117" s="102" t="s">
        <v>374</v>
      </c>
      <c r="C117" s="80">
        <f>VLOOKUP(GroupVertices[[#This Row],[Vertex]],Vertices[],MATCH("ID",Vertices[[#Headers],[Vertex]:[Top Word Pairs in Tags by Salience]],0),FALSE)</f>
        <v>161</v>
      </c>
    </row>
    <row r="118" spans="1:3" ht="15">
      <c r="A118" s="81" t="s">
        <v>2321</v>
      </c>
      <c r="B118" s="102" t="s">
        <v>380</v>
      </c>
      <c r="C118" s="80">
        <f>VLOOKUP(GroupVertices[[#This Row],[Vertex]],Vertices[],MATCH("ID",Vertices[[#Headers],[Vertex]:[Top Word Pairs in Tags by Salience]],0),FALSE)</f>
        <v>168</v>
      </c>
    </row>
    <row r="119" spans="1:3" ht="15">
      <c r="A119" s="81" t="s">
        <v>2321</v>
      </c>
      <c r="B119" s="102" t="s">
        <v>372</v>
      </c>
      <c r="C119" s="80">
        <f>VLOOKUP(GroupVertices[[#This Row],[Vertex]],Vertices[],MATCH("ID",Vertices[[#Headers],[Vertex]:[Top Word Pairs in Tags by Salience]],0),FALSE)</f>
        <v>159</v>
      </c>
    </row>
    <row r="120" spans="1:3" ht="15">
      <c r="A120" s="81" t="s">
        <v>2321</v>
      </c>
      <c r="B120" s="102" t="s">
        <v>370</v>
      </c>
      <c r="C120" s="80">
        <f>VLOOKUP(GroupVertices[[#This Row],[Vertex]],Vertices[],MATCH("ID",Vertices[[#Headers],[Vertex]:[Top Word Pairs in Tags by Salience]],0),FALSE)</f>
        <v>157</v>
      </c>
    </row>
    <row r="121" spans="1:3" ht="15">
      <c r="A121" s="81" t="s">
        <v>2322</v>
      </c>
      <c r="B121" s="102" t="s">
        <v>523</v>
      </c>
      <c r="C121" s="80">
        <f>VLOOKUP(GroupVertices[[#This Row],[Vertex]],Vertices[],MATCH("ID",Vertices[[#Headers],[Vertex]:[Top Word Pairs in Tags by Salience]],0),FALSE)</f>
        <v>314</v>
      </c>
    </row>
    <row r="122" spans="1:3" ht="15">
      <c r="A122" s="81" t="s">
        <v>2322</v>
      </c>
      <c r="B122" s="102" t="s">
        <v>218</v>
      </c>
      <c r="C122" s="80">
        <f>VLOOKUP(GroupVertices[[#This Row],[Vertex]],Vertices[],MATCH("ID",Vertices[[#Headers],[Vertex]:[Top Word Pairs in Tags by Salience]],0),FALSE)</f>
        <v>263</v>
      </c>
    </row>
    <row r="123" spans="1:3" ht="15">
      <c r="A123" s="81" t="s">
        <v>2322</v>
      </c>
      <c r="B123" s="102" t="s">
        <v>522</v>
      </c>
      <c r="C123" s="80">
        <f>VLOOKUP(GroupVertices[[#This Row],[Vertex]],Vertices[],MATCH("ID",Vertices[[#Headers],[Vertex]:[Top Word Pairs in Tags by Salience]],0),FALSE)</f>
        <v>313</v>
      </c>
    </row>
    <row r="124" spans="1:3" ht="15">
      <c r="A124" s="81" t="s">
        <v>2322</v>
      </c>
      <c r="B124" s="102" t="s">
        <v>521</v>
      </c>
      <c r="C124" s="80">
        <f>VLOOKUP(GroupVertices[[#This Row],[Vertex]],Vertices[],MATCH("ID",Vertices[[#Headers],[Vertex]:[Top Word Pairs in Tags by Salience]],0),FALSE)</f>
        <v>312</v>
      </c>
    </row>
    <row r="125" spans="1:3" ht="15">
      <c r="A125" s="81" t="s">
        <v>2322</v>
      </c>
      <c r="B125" s="102" t="s">
        <v>520</v>
      </c>
      <c r="C125" s="80">
        <f>VLOOKUP(GroupVertices[[#This Row],[Vertex]],Vertices[],MATCH("ID",Vertices[[#Headers],[Vertex]:[Top Word Pairs in Tags by Salience]],0),FALSE)</f>
        <v>311</v>
      </c>
    </row>
    <row r="126" spans="1:3" ht="15">
      <c r="A126" s="81" t="s">
        <v>2322</v>
      </c>
      <c r="B126" s="102" t="s">
        <v>519</v>
      </c>
      <c r="C126" s="80">
        <f>VLOOKUP(GroupVertices[[#This Row],[Vertex]],Vertices[],MATCH("ID",Vertices[[#Headers],[Vertex]:[Top Word Pairs in Tags by Salience]],0),FALSE)</f>
        <v>310</v>
      </c>
    </row>
    <row r="127" spans="1:3" ht="15">
      <c r="A127" s="81" t="s">
        <v>2322</v>
      </c>
      <c r="B127" s="102" t="s">
        <v>518</v>
      </c>
      <c r="C127" s="80">
        <f>VLOOKUP(GroupVertices[[#This Row],[Vertex]],Vertices[],MATCH("ID",Vertices[[#Headers],[Vertex]:[Top Word Pairs in Tags by Salience]],0),FALSE)</f>
        <v>309</v>
      </c>
    </row>
    <row r="128" spans="1:3" ht="15">
      <c r="A128" s="81" t="s">
        <v>2322</v>
      </c>
      <c r="B128" s="102" t="s">
        <v>517</v>
      </c>
      <c r="C128" s="80">
        <f>VLOOKUP(GroupVertices[[#This Row],[Vertex]],Vertices[],MATCH("ID",Vertices[[#Headers],[Vertex]:[Top Word Pairs in Tags by Salience]],0),FALSE)</f>
        <v>308</v>
      </c>
    </row>
    <row r="129" spans="1:3" ht="15">
      <c r="A129" s="81" t="s">
        <v>2322</v>
      </c>
      <c r="B129" s="102" t="s">
        <v>516</v>
      </c>
      <c r="C129" s="80">
        <f>VLOOKUP(GroupVertices[[#This Row],[Vertex]],Vertices[],MATCH("ID",Vertices[[#Headers],[Vertex]:[Top Word Pairs in Tags by Salience]],0),FALSE)</f>
        <v>307</v>
      </c>
    </row>
    <row r="130" spans="1:3" ht="15">
      <c r="A130" s="81" t="s">
        <v>2322</v>
      </c>
      <c r="B130" s="102" t="s">
        <v>515</v>
      </c>
      <c r="C130" s="80">
        <f>VLOOKUP(GroupVertices[[#This Row],[Vertex]],Vertices[],MATCH("ID",Vertices[[#Headers],[Vertex]:[Top Word Pairs in Tags by Salience]],0),FALSE)</f>
        <v>306</v>
      </c>
    </row>
    <row r="131" spans="1:3" ht="15">
      <c r="A131" s="81" t="s">
        <v>2322</v>
      </c>
      <c r="B131" s="102" t="s">
        <v>514</v>
      </c>
      <c r="C131" s="80">
        <f>VLOOKUP(GroupVertices[[#This Row],[Vertex]],Vertices[],MATCH("ID",Vertices[[#Headers],[Vertex]:[Top Word Pairs in Tags by Salience]],0),FALSE)</f>
        <v>305</v>
      </c>
    </row>
    <row r="132" spans="1:3" ht="15">
      <c r="A132" s="81" t="s">
        <v>2322</v>
      </c>
      <c r="B132" s="102" t="s">
        <v>513</v>
      </c>
      <c r="C132" s="80">
        <f>VLOOKUP(GroupVertices[[#This Row],[Vertex]],Vertices[],MATCH("ID",Vertices[[#Headers],[Vertex]:[Top Word Pairs in Tags by Salience]],0),FALSE)</f>
        <v>304</v>
      </c>
    </row>
    <row r="133" spans="1:3" ht="15">
      <c r="A133" s="81" t="s">
        <v>2322</v>
      </c>
      <c r="B133" s="102" t="s">
        <v>512</v>
      </c>
      <c r="C133" s="80">
        <f>VLOOKUP(GroupVertices[[#This Row],[Vertex]],Vertices[],MATCH("ID",Vertices[[#Headers],[Vertex]:[Top Word Pairs in Tags by Salience]],0),FALSE)</f>
        <v>303</v>
      </c>
    </row>
    <row r="134" spans="1:3" ht="15">
      <c r="A134" s="81" t="s">
        <v>2322</v>
      </c>
      <c r="B134" s="102" t="s">
        <v>511</v>
      </c>
      <c r="C134" s="80">
        <f>VLOOKUP(GroupVertices[[#This Row],[Vertex]],Vertices[],MATCH("ID",Vertices[[#Headers],[Vertex]:[Top Word Pairs in Tags by Salience]],0),FALSE)</f>
        <v>302</v>
      </c>
    </row>
    <row r="135" spans="1:3" ht="15">
      <c r="A135" s="81" t="s">
        <v>2322</v>
      </c>
      <c r="B135" s="102" t="s">
        <v>510</v>
      </c>
      <c r="C135" s="80">
        <f>VLOOKUP(GroupVertices[[#This Row],[Vertex]],Vertices[],MATCH("ID",Vertices[[#Headers],[Vertex]:[Top Word Pairs in Tags by Salience]],0),FALSE)</f>
        <v>301</v>
      </c>
    </row>
    <row r="136" spans="1:3" ht="15">
      <c r="A136" s="81" t="s">
        <v>2322</v>
      </c>
      <c r="B136" s="102" t="s">
        <v>509</v>
      </c>
      <c r="C136" s="80">
        <f>VLOOKUP(GroupVertices[[#This Row],[Vertex]],Vertices[],MATCH("ID",Vertices[[#Headers],[Vertex]:[Top Word Pairs in Tags by Salience]],0),FALSE)</f>
        <v>300</v>
      </c>
    </row>
    <row r="137" spans="1:3" ht="15">
      <c r="A137" s="81" t="s">
        <v>2322</v>
      </c>
      <c r="B137" s="102" t="s">
        <v>508</v>
      </c>
      <c r="C137" s="80">
        <f>VLOOKUP(GroupVertices[[#This Row],[Vertex]],Vertices[],MATCH("ID",Vertices[[#Headers],[Vertex]:[Top Word Pairs in Tags by Salience]],0),FALSE)</f>
        <v>299</v>
      </c>
    </row>
    <row r="138" spans="1:3" ht="15">
      <c r="A138" s="81" t="s">
        <v>2322</v>
      </c>
      <c r="B138" s="102" t="s">
        <v>507</v>
      </c>
      <c r="C138" s="80">
        <f>VLOOKUP(GroupVertices[[#This Row],[Vertex]],Vertices[],MATCH("ID",Vertices[[#Headers],[Vertex]:[Top Word Pairs in Tags by Salience]],0),FALSE)</f>
        <v>298</v>
      </c>
    </row>
    <row r="139" spans="1:3" ht="15">
      <c r="A139" s="81" t="s">
        <v>2322</v>
      </c>
      <c r="B139" s="102" t="s">
        <v>506</v>
      </c>
      <c r="C139" s="80">
        <f>VLOOKUP(GroupVertices[[#This Row],[Vertex]],Vertices[],MATCH("ID",Vertices[[#Headers],[Vertex]:[Top Word Pairs in Tags by Salience]],0),FALSE)</f>
        <v>297</v>
      </c>
    </row>
    <row r="140" spans="1:3" ht="15">
      <c r="A140" s="81" t="s">
        <v>2322</v>
      </c>
      <c r="B140" s="102" t="s">
        <v>505</v>
      </c>
      <c r="C140" s="80">
        <f>VLOOKUP(GroupVertices[[#This Row],[Vertex]],Vertices[],MATCH("ID",Vertices[[#Headers],[Vertex]:[Top Word Pairs in Tags by Salience]],0),FALSE)</f>
        <v>296</v>
      </c>
    </row>
    <row r="141" spans="1:3" ht="15">
      <c r="A141" s="81" t="s">
        <v>2322</v>
      </c>
      <c r="B141" s="102" t="s">
        <v>504</v>
      </c>
      <c r="C141" s="80">
        <f>VLOOKUP(GroupVertices[[#This Row],[Vertex]],Vertices[],MATCH("ID",Vertices[[#Headers],[Vertex]:[Top Word Pairs in Tags by Salience]],0),FALSE)</f>
        <v>295</v>
      </c>
    </row>
    <row r="142" spans="1:3" ht="15">
      <c r="A142" s="81" t="s">
        <v>2322</v>
      </c>
      <c r="B142" s="102" t="s">
        <v>503</v>
      </c>
      <c r="C142" s="80">
        <f>VLOOKUP(GroupVertices[[#This Row],[Vertex]],Vertices[],MATCH("ID",Vertices[[#Headers],[Vertex]:[Top Word Pairs in Tags by Salience]],0),FALSE)</f>
        <v>294</v>
      </c>
    </row>
    <row r="143" spans="1:3" ht="15">
      <c r="A143" s="81" t="s">
        <v>2322</v>
      </c>
      <c r="B143" s="102" t="s">
        <v>502</v>
      </c>
      <c r="C143" s="80">
        <f>VLOOKUP(GroupVertices[[#This Row],[Vertex]],Vertices[],MATCH("ID",Vertices[[#Headers],[Vertex]:[Top Word Pairs in Tags by Salience]],0),FALSE)</f>
        <v>293</v>
      </c>
    </row>
    <row r="144" spans="1:3" ht="15">
      <c r="A144" s="81" t="s">
        <v>2322</v>
      </c>
      <c r="B144" s="102" t="s">
        <v>501</v>
      </c>
      <c r="C144" s="80">
        <f>VLOOKUP(GroupVertices[[#This Row],[Vertex]],Vertices[],MATCH("ID",Vertices[[#Headers],[Vertex]:[Top Word Pairs in Tags by Salience]],0),FALSE)</f>
        <v>292</v>
      </c>
    </row>
    <row r="145" spans="1:3" ht="15">
      <c r="A145" s="81" t="s">
        <v>2322</v>
      </c>
      <c r="B145" s="102" t="s">
        <v>500</v>
      </c>
      <c r="C145" s="80">
        <f>VLOOKUP(GroupVertices[[#This Row],[Vertex]],Vertices[],MATCH("ID",Vertices[[#Headers],[Vertex]:[Top Word Pairs in Tags by Salience]],0),FALSE)</f>
        <v>291</v>
      </c>
    </row>
    <row r="146" spans="1:3" ht="15">
      <c r="A146" s="81" t="s">
        <v>2322</v>
      </c>
      <c r="B146" s="102" t="s">
        <v>499</v>
      </c>
      <c r="C146" s="80">
        <f>VLOOKUP(GroupVertices[[#This Row],[Vertex]],Vertices[],MATCH("ID",Vertices[[#Headers],[Vertex]:[Top Word Pairs in Tags by Salience]],0),FALSE)</f>
        <v>290</v>
      </c>
    </row>
    <row r="147" spans="1:3" ht="15">
      <c r="A147" s="81" t="s">
        <v>2322</v>
      </c>
      <c r="B147" s="102" t="s">
        <v>498</v>
      </c>
      <c r="C147" s="80">
        <f>VLOOKUP(GroupVertices[[#This Row],[Vertex]],Vertices[],MATCH("ID",Vertices[[#Headers],[Vertex]:[Top Word Pairs in Tags by Salience]],0),FALSE)</f>
        <v>289</v>
      </c>
    </row>
    <row r="148" spans="1:3" ht="15">
      <c r="A148" s="81" t="s">
        <v>2322</v>
      </c>
      <c r="B148" s="102" t="s">
        <v>497</v>
      </c>
      <c r="C148" s="80">
        <f>VLOOKUP(GroupVertices[[#This Row],[Vertex]],Vertices[],MATCH("ID",Vertices[[#Headers],[Vertex]:[Top Word Pairs in Tags by Salience]],0),FALSE)</f>
        <v>288</v>
      </c>
    </row>
    <row r="149" spans="1:3" ht="15">
      <c r="A149" s="81" t="s">
        <v>2322</v>
      </c>
      <c r="B149" s="102" t="s">
        <v>496</v>
      </c>
      <c r="C149" s="80">
        <f>VLOOKUP(GroupVertices[[#This Row],[Vertex]],Vertices[],MATCH("ID",Vertices[[#Headers],[Vertex]:[Top Word Pairs in Tags by Salience]],0),FALSE)</f>
        <v>287</v>
      </c>
    </row>
    <row r="150" spans="1:3" ht="15">
      <c r="A150" s="81" t="s">
        <v>2322</v>
      </c>
      <c r="B150" s="102" t="s">
        <v>495</v>
      </c>
      <c r="C150" s="80">
        <f>VLOOKUP(GroupVertices[[#This Row],[Vertex]],Vertices[],MATCH("ID",Vertices[[#Headers],[Vertex]:[Top Word Pairs in Tags by Salience]],0),FALSE)</f>
        <v>286</v>
      </c>
    </row>
    <row r="151" spans="1:3" ht="15">
      <c r="A151" s="81" t="s">
        <v>2322</v>
      </c>
      <c r="B151" s="102" t="s">
        <v>494</v>
      </c>
      <c r="C151" s="80">
        <f>VLOOKUP(GroupVertices[[#This Row],[Vertex]],Vertices[],MATCH("ID",Vertices[[#Headers],[Vertex]:[Top Word Pairs in Tags by Salience]],0),FALSE)</f>
        <v>285</v>
      </c>
    </row>
    <row r="152" spans="1:3" ht="15">
      <c r="A152" s="81" t="s">
        <v>2322</v>
      </c>
      <c r="B152" s="102" t="s">
        <v>493</v>
      </c>
      <c r="C152" s="80">
        <f>VLOOKUP(GroupVertices[[#This Row],[Vertex]],Vertices[],MATCH("ID",Vertices[[#Headers],[Vertex]:[Top Word Pairs in Tags by Salience]],0),FALSE)</f>
        <v>284</v>
      </c>
    </row>
    <row r="153" spans="1:3" ht="15">
      <c r="A153" s="81" t="s">
        <v>2322</v>
      </c>
      <c r="B153" s="102" t="s">
        <v>492</v>
      </c>
      <c r="C153" s="80">
        <f>VLOOKUP(GroupVertices[[#This Row],[Vertex]],Vertices[],MATCH("ID",Vertices[[#Headers],[Vertex]:[Top Word Pairs in Tags by Salience]],0),FALSE)</f>
        <v>283</v>
      </c>
    </row>
    <row r="154" spans="1:3" ht="15">
      <c r="A154" s="81" t="s">
        <v>2322</v>
      </c>
      <c r="B154" s="102" t="s">
        <v>491</v>
      </c>
      <c r="C154" s="80">
        <f>VLOOKUP(GroupVertices[[#This Row],[Vertex]],Vertices[],MATCH("ID",Vertices[[#Headers],[Vertex]:[Top Word Pairs in Tags by Salience]],0),FALSE)</f>
        <v>282</v>
      </c>
    </row>
    <row r="155" spans="1:3" ht="15">
      <c r="A155" s="81" t="s">
        <v>2322</v>
      </c>
      <c r="B155" s="102" t="s">
        <v>490</v>
      </c>
      <c r="C155" s="80">
        <f>VLOOKUP(GroupVertices[[#This Row],[Vertex]],Vertices[],MATCH("ID",Vertices[[#Headers],[Vertex]:[Top Word Pairs in Tags by Salience]],0),FALSE)</f>
        <v>281</v>
      </c>
    </row>
    <row r="156" spans="1:3" ht="15">
      <c r="A156" s="81" t="s">
        <v>2322</v>
      </c>
      <c r="B156" s="102" t="s">
        <v>489</v>
      </c>
      <c r="C156" s="80">
        <f>VLOOKUP(GroupVertices[[#This Row],[Vertex]],Vertices[],MATCH("ID",Vertices[[#Headers],[Vertex]:[Top Word Pairs in Tags by Salience]],0),FALSE)</f>
        <v>280</v>
      </c>
    </row>
    <row r="157" spans="1:3" ht="15">
      <c r="A157" s="81" t="s">
        <v>2322</v>
      </c>
      <c r="B157" s="102" t="s">
        <v>488</v>
      </c>
      <c r="C157" s="80">
        <f>VLOOKUP(GroupVertices[[#This Row],[Vertex]],Vertices[],MATCH("ID",Vertices[[#Headers],[Vertex]:[Top Word Pairs in Tags by Salience]],0),FALSE)</f>
        <v>279</v>
      </c>
    </row>
    <row r="158" spans="1:3" ht="15">
      <c r="A158" s="81" t="s">
        <v>2322</v>
      </c>
      <c r="B158" s="102" t="s">
        <v>487</v>
      </c>
      <c r="C158" s="80">
        <f>VLOOKUP(GroupVertices[[#This Row],[Vertex]],Vertices[],MATCH("ID",Vertices[[#Headers],[Vertex]:[Top Word Pairs in Tags by Salience]],0),FALSE)</f>
        <v>278</v>
      </c>
    </row>
    <row r="159" spans="1:3" ht="15">
      <c r="A159" s="81" t="s">
        <v>2322</v>
      </c>
      <c r="B159" s="102" t="s">
        <v>486</v>
      </c>
      <c r="C159" s="80">
        <f>VLOOKUP(GroupVertices[[#This Row],[Vertex]],Vertices[],MATCH("ID",Vertices[[#Headers],[Vertex]:[Top Word Pairs in Tags by Salience]],0),FALSE)</f>
        <v>277</v>
      </c>
    </row>
    <row r="160" spans="1:3" ht="15">
      <c r="A160" s="81" t="s">
        <v>2322</v>
      </c>
      <c r="B160" s="102" t="s">
        <v>485</v>
      </c>
      <c r="C160" s="80">
        <f>VLOOKUP(GroupVertices[[#This Row],[Vertex]],Vertices[],MATCH("ID",Vertices[[#Headers],[Vertex]:[Top Word Pairs in Tags by Salience]],0),FALSE)</f>
        <v>276</v>
      </c>
    </row>
    <row r="161" spans="1:3" ht="15">
      <c r="A161" s="81" t="s">
        <v>2322</v>
      </c>
      <c r="B161" s="102" t="s">
        <v>484</v>
      </c>
      <c r="C161" s="80">
        <f>VLOOKUP(GroupVertices[[#This Row],[Vertex]],Vertices[],MATCH("ID",Vertices[[#Headers],[Vertex]:[Top Word Pairs in Tags by Salience]],0),FALSE)</f>
        <v>275</v>
      </c>
    </row>
    <row r="162" spans="1:3" ht="15">
      <c r="A162" s="81" t="s">
        <v>2322</v>
      </c>
      <c r="B162" s="102" t="s">
        <v>483</v>
      </c>
      <c r="C162" s="80">
        <f>VLOOKUP(GroupVertices[[#This Row],[Vertex]],Vertices[],MATCH("ID",Vertices[[#Headers],[Vertex]:[Top Word Pairs in Tags by Salience]],0),FALSE)</f>
        <v>274</v>
      </c>
    </row>
    <row r="163" spans="1:3" ht="15">
      <c r="A163" s="81" t="s">
        <v>2322</v>
      </c>
      <c r="B163" s="102" t="s">
        <v>482</v>
      </c>
      <c r="C163" s="80">
        <f>VLOOKUP(GroupVertices[[#This Row],[Vertex]],Vertices[],MATCH("ID",Vertices[[#Headers],[Vertex]:[Top Word Pairs in Tags by Salience]],0),FALSE)</f>
        <v>273</v>
      </c>
    </row>
    <row r="164" spans="1:3" ht="15">
      <c r="A164" s="81" t="s">
        <v>2322</v>
      </c>
      <c r="B164" s="102" t="s">
        <v>481</v>
      </c>
      <c r="C164" s="80">
        <f>VLOOKUP(GroupVertices[[#This Row],[Vertex]],Vertices[],MATCH("ID",Vertices[[#Headers],[Vertex]:[Top Word Pairs in Tags by Salience]],0),FALSE)</f>
        <v>272</v>
      </c>
    </row>
    <row r="165" spans="1:3" ht="15">
      <c r="A165" s="81" t="s">
        <v>2322</v>
      </c>
      <c r="B165" s="102" t="s">
        <v>480</v>
      </c>
      <c r="C165" s="80">
        <f>VLOOKUP(GroupVertices[[#This Row],[Vertex]],Vertices[],MATCH("ID",Vertices[[#Headers],[Vertex]:[Top Word Pairs in Tags by Salience]],0),FALSE)</f>
        <v>271</v>
      </c>
    </row>
    <row r="166" spans="1:3" ht="15">
      <c r="A166" s="81" t="s">
        <v>2322</v>
      </c>
      <c r="B166" s="102" t="s">
        <v>479</v>
      </c>
      <c r="C166" s="80">
        <f>VLOOKUP(GroupVertices[[#This Row],[Vertex]],Vertices[],MATCH("ID",Vertices[[#Headers],[Vertex]:[Top Word Pairs in Tags by Salience]],0),FALSE)</f>
        <v>270</v>
      </c>
    </row>
    <row r="167" spans="1:3" ht="15">
      <c r="A167" s="81" t="s">
        <v>2322</v>
      </c>
      <c r="B167" s="102" t="s">
        <v>478</v>
      </c>
      <c r="C167" s="80">
        <f>VLOOKUP(GroupVertices[[#This Row],[Vertex]],Vertices[],MATCH("ID",Vertices[[#Headers],[Vertex]:[Top Word Pairs in Tags by Salience]],0),FALSE)</f>
        <v>269</v>
      </c>
    </row>
    <row r="168" spans="1:3" ht="15">
      <c r="A168" s="81" t="s">
        <v>2322</v>
      </c>
      <c r="B168" s="102" t="s">
        <v>477</v>
      </c>
      <c r="C168" s="80">
        <f>VLOOKUP(GroupVertices[[#This Row],[Vertex]],Vertices[],MATCH("ID",Vertices[[#Headers],[Vertex]:[Top Word Pairs in Tags by Salience]],0),FALSE)</f>
        <v>268</v>
      </c>
    </row>
    <row r="169" spans="1:3" ht="15">
      <c r="A169" s="81" t="s">
        <v>2322</v>
      </c>
      <c r="B169" s="102" t="s">
        <v>476</v>
      </c>
      <c r="C169" s="80">
        <f>VLOOKUP(GroupVertices[[#This Row],[Vertex]],Vertices[],MATCH("ID",Vertices[[#Headers],[Vertex]:[Top Word Pairs in Tags by Salience]],0),FALSE)</f>
        <v>267</v>
      </c>
    </row>
    <row r="170" spans="1:3" ht="15">
      <c r="A170" s="81" t="s">
        <v>2322</v>
      </c>
      <c r="B170" s="102" t="s">
        <v>475</v>
      </c>
      <c r="C170" s="80">
        <f>VLOOKUP(GroupVertices[[#This Row],[Vertex]],Vertices[],MATCH("ID",Vertices[[#Headers],[Vertex]:[Top Word Pairs in Tags by Salience]],0),FALSE)</f>
        <v>266</v>
      </c>
    </row>
    <row r="171" spans="1:3" ht="15">
      <c r="A171" s="81" t="s">
        <v>2322</v>
      </c>
      <c r="B171" s="102" t="s">
        <v>474</v>
      </c>
      <c r="C171" s="80">
        <f>VLOOKUP(GroupVertices[[#This Row],[Vertex]],Vertices[],MATCH("ID",Vertices[[#Headers],[Vertex]:[Top Word Pairs in Tags by Salience]],0),FALSE)</f>
        <v>265</v>
      </c>
    </row>
    <row r="172" spans="1:3" ht="15">
      <c r="A172" s="81" t="s">
        <v>2322</v>
      </c>
      <c r="B172" s="102" t="s">
        <v>473</v>
      </c>
      <c r="C172" s="80">
        <f>VLOOKUP(GroupVertices[[#This Row],[Vertex]],Vertices[],MATCH("ID",Vertices[[#Headers],[Vertex]:[Top Word Pairs in Tags by Salience]],0),FALSE)</f>
        <v>264</v>
      </c>
    </row>
    <row r="173" spans="1:3" ht="15">
      <c r="A173" s="81" t="s">
        <v>2322</v>
      </c>
      <c r="B173" s="102" t="s">
        <v>470</v>
      </c>
      <c r="C173" s="80">
        <f>VLOOKUP(GroupVertices[[#This Row],[Vertex]],Vertices[],MATCH("ID",Vertices[[#Headers],[Vertex]:[Top Word Pairs in Tags by Salience]],0),FALSE)</f>
        <v>260</v>
      </c>
    </row>
    <row r="174" spans="1:3" ht="15">
      <c r="A174" s="81" t="s">
        <v>2322</v>
      </c>
      <c r="B174" s="102" t="s">
        <v>472</v>
      </c>
      <c r="C174" s="80">
        <f>VLOOKUP(GroupVertices[[#This Row],[Vertex]],Vertices[],MATCH("ID",Vertices[[#Headers],[Vertex]:[Top Word Pairs in Tags by Salience]],0),FALSE)</f>
        <v>262</v>
      </c>
    </row>
    <row r="175" spans="1:3" ht="15">
      <c r="A175" s="81" t="s">
        <v>2322</v>
      </c>
      <c r="B175" s="102" t="s">
        <v>467</v>
      </c>
      <c r="C175" s="80">
        <f>VLOOKUP(GroupVertices[[#This Row],[Vertex]],Vertices[],MATCH("ID",Vertices[[#Headers],[Vertex]:[Top Word Pairs in Tags by Salience]],0),FALSE)</f>
        <v>257</v>
      </c>
    </row>
    <row r="176" spans="1:3" ht="15">
      <c r="A176" s="81" t="s">
        <v>2323</v>
      </c>
      <c r="B176" s="102" t="s">
        <v>583</v>
      </c>
      <c r="C176" s="80">
        <f>VLOOKUP(GroupVertices[[#This Row],[Vertex]],Vertices[],MATCH("ID",Vertices[[#Headers],[Vertex]:[Top Word Pairs in Tags by Salience]],0),FALSE)</f>
        <v>374</v>
      </c>
    </row>
    <row r="177" spans="1:3" ht="15">
      <c r="A177" s="81" t="s">
        <v>2323</v>
      </c>
      <c r="B177" s="102" t="s">
        <v>213</v>
      </c>
      <c r="C177" s="80">
        <f>VLOOKUP(GroupVertices[[#This Row],[Vertex]],Vertices[],MATCH("ID",Vertices[[#Headers],[Vertex]:[Top Word Pairs in Tags by Salience]],0),FALSE)</f>
        <v>37</v>
      </c>
    </row>
    <row r="178" spans="1:3" ht="15">
      <c r="A178" s="81" t="s">
        <v>2323</v>
      </c>
      <c r="B178" s="102" t="s">
        <v>577</v>
      </c>
      <c r="C178" s="80">
        <f>VLOOKUP(GroupVertices[[#This Row],[Vertex]],Vertices[],MATCH("ID",Vertices[[#Headers],[Vertex]:[Top Word Pairs in Tags by Salience]],0),FALSE)</f>
        <v>368</v>
      </c>
    </row>
    <row r="179" spans="1:3" ht="15">
      <c r="A179" s="81" t="s">
        <v>2323</v>
      </c>
      <c r="B179" s="102" t="s">
        <v>559</v>
      </c>
      <c r="C179" s="80">
        <f>VLOOKUP(GroupVertices[[#This Row],[Vertex]],Vertices[],MATCH("ID",Vertices[[#Headers],[Vertex]:[Top Word Pairs in Tags by Salience]],0),FALSE)</f>
        <v>350</v>
      </c>
    </row>
    <row r="180" spans="1:3" ht="15">
      <c r="A180" s="81" t="s">
        <v>2323</v>
      </c>
      <c r="B180" s="102" t="s">
        <v>556</v>
      </c>
      <c r="C180" s="80">
        <f>VLOOKUP(GroupVertices[[#This Row],[Vertex]],Vertices[],MATCH("ID",Vertices[[#Headers],[Vertex]:[Top Word Pairs in Tags by Salience]],0),FALSE)</f>
        <v>347</v>
      </c>
    </row>
    <row r="181" spans="1:3" ht="15">
      <c r="A181" s="81" t="s">
        <v>2323</v>
      </c>
      <c r="B181" s="102" t="s">
        <v>552</v>
      </c>
      <c r="C181" s="80">
        <f>VLOOKUP(GroupVertices[[#This Row],[Vertex]],Vertices[],MATCH("ID",Vertices[[#Headers],[Vertex]:[Top Word Pairs in Tags by Salience]],0),FALSE)</f>
        <v>343</v>
      </c>
    </row>
    <row r="182" spans="1:3" ht="15">
      <c r="A182" s="81" t="s">
        <v>2323</v>
      </c>
      <c r="B182" s="102" t="s">
        <v>533</v>
      </c>
      <c r="C182" s="80">
        <f>VLOOKUP(GroupVertices[[#This Row],[Vertex]],Vertices[],MATCH("ID",Vertices[[#Headers],[Vertex]:[Top Word Pairs in Tags by Salience]],0),FALSE)</f>
        <v>324</v>
      </c>
    </row>
    <row r="183" spans="1:3" ht="15">
      <c r="A183" s="81" t="s">
        <v>2323</v>
      </c>
      <c r="B183" s="102" t="s">
        <v>423</v>
      </c>
      <c r="C183" s="80">
        <f>VLOOKUP(GroupVertices[[#This Row],[Vertex]],Vertices[],MATCH("ID",Vertices[[#Headers],[Vertex]:[Top Word Pairs in Tags by Salience]],0),FALSE)</f>
        <v>212</v>
      </c>
    </row>
    <row r="184" spans="1:3" ht="15">
      <c r="A184" s="81" t="s">
        <v>2323</v>
      </c>
      <c r="B184" s="102" t="s">
        <v>384</v>
      </c>
      <c r="C184" s="80">
        <f>VLOOKUP(GroupVertices[[#This Row],[Vertex]],Vertices[],MATCH("ID",Vertices[[#Headers],[Vertex]:[Top Word Pairs in Tags by Salience]],0),FALSE)</f>
        <v>172</v>
      </c>
    </row>
    <row r="185" spans="1:3" ht="15">
      <c r="A185" s="81" t="s">
        <v>2323</v>
      </c>
      <c r="B185" s="102" t="s">
        <v>369</v>
      </c>
      <c r="C185" s="80">
        <f>VLOOKUP(GroupVertices[[#This Row],[Vertex]],Vertices[],MATCH("ID",Vertices[[#Headers],[Vertex]:[Top Word Pairs in Tags by Salience]],0),FALSE)</f>
        <v>156</v>
      </c>
    </row>
    <row r="186" spans="1:3" ht="15">
      <c r="A186" s="81" t="s">
        <v>2323</v>
      </c>
      <c r="B186" s="102" t="s">
        <v>368</v>
      </c>
      <c r="C186" s="80">
        <f>VLOOKUP(GroupVertices[[#This Row],[Vertex]],Vertices[],MATCH("ID",Vertices[[#Headers],[Vertex]:[Top Word Pairs in Tags by Salience]],0),FALSE)</f>
        <v>155</v>
      </c>
    </row>
    <row r="187" spans="1:3" ht="15">
      <c r="A187" s="81" t="s">
        <v>2323</v>
      </c>
      <c r="B187" s="102" t="s">
        <v>294</v>
      </c>
      <c r="C187" s="80">
        <f>VLOOKUP(GroupVertices[[#This Row],[Vertex]],Vertices[],MATCH("ID",Vertices[[#Headers],[Vertex]:[Top Word Pairs in Tags by Salience]],0),FALSE)</f>
        <v>79</v>
      </c>
    </row>
    <row r="188" spans="1:3" ht="15">
      <c r="A188" s="81" t="s">
        <v>2323</v>
      </c>
      <c r="B188" s="102" t="s">
        <v>293</v>
      </c>
      <c r="C188" s="80">
        <f>VLOOKUP(GroupVertices[[#This Row],[Vertex]],Vertices[],MATCH("ID",Vertices[[#Headers],[Vertex]:[Top Word Pairs in Tags by Salience]],0),FALSE)</f>
        <v>78</v>
      </c>
    </row>
    <row r="189" spans="1:3" ht="15">
      <c r="A189" s="81" t="s">
        <v>2323</v>
      </c>
      <c r="B189" s="102" t="s">
        <v>292</v>
      </c>
      <c r="C189" s="80">
        <f>VLOOKUP(GroupVertices[[#This Row],[Vertex]],Vertices[],MATCH("ID",Vertices[[#Headers],[Vertex]:[Top Word Pairs in Tags by Salience]],0),FALSE)</f>
        <v>77</v>
      </c>
    </row>
    <row r="190" spans="1:3" ht="15">
      <c r="A190" s="81" t="s">
        <v>2323</v>
      </c>
      <c r="B190" s="102" t="s">
        <v>291</v>
      </c>
      <c r="C190" s="80">
        <f>VLOOKUP(GroupVertices[[#This Row],[Vertex]],Vertices[],MATCH("ID",Vertices[[#Headers],[Vertex]:[Top Word Pairs in Tags by Salience]],0),FALSE)</f>
        <v>76</v>
      </c>
    </row>
    <row r="191" spans="1:3" ht="15">
      <c r="A191" s="81" t="s">
        <v>2323</v>
      </c>
      <c r="B191" s="102" t="s">
        <v>290</v>
      </c>
      <c r="C191" s="80">
        <f>VLOOKUP(GroupVertices[[#This Row],[Vertex]],Vertices[],MATCH("ID",Vertices[[#Headers],[Vertex]:[Top Word Pairs in Tags by Salience]],0),FALSE)</f>
        <v>75</v>
      </c>
    </row>
    <row r="192" spans="1:3" ht="15">
      <c r="A192" s="81" t="s">
        <v>2323</v>
      </c>
      <c r="B192" s="102" t="s">
        <v>289</v>
      </c>
      <c r="C192" s="80">
        <f>VLOOKUP(GroupVertices[[#This Row],[Vertex]],Vertices[],MATCH("ID",Vertices[[#Headers],[Vertex]:[Top Word Pairs in Tags by Salience]],0),FALSE)</f>
        <v>74</v>
      </c>
    </row>
    <row r="193" spans="1:3" ht="15">
      <c r="A193" s="81" t="s">
        <v>2323</v>
      </c>
      <c r="B193" s="102" t="s">
        <v>288</v>
      </c>
      <c r="C193" s="80">
        <f>VLOOKUP(GroupVertices[[#This Row],[Vertex]],Vertices[],MATCH("ID",Vertices[[#Headers],[Vertex]:[Top Word Pairs in Tags by Salience]],0),FALSE)</f>
        <v>73</v>
      </c>
    </row>
    <row r="194" spans="1:3" ht="15">
      <c r="A194" s="81" t="s">
        <v>2323</v>
      </c>
      <c r="B194" s="102" t="s">
        <v>287</v>
      </c>
      <c r="C194" s="80">
        <f>VLOOKUP(GroupVertices[[#This Row],[Vertex]],Vertices[],MATCH("ID",Vertices[[#Headers],[Vertex]:[Top Word Pairs in Tags by Salience]],0),FALSE)</f>
        <v>72</v>
      </c>
    </row>
    <row r="195" spans="1:3" ht="15">
      <c r="A195" s="81" t="s">
        <v>2323</v>
      </c>
      <c r="B195" s="102" t="s">
        <v>286</v>
      </c>
      <c r="C195" s="80">
        <f>VLOOKUP(GroupVertices[[#This Row],[Vertex]],Vertices[],MATCH("ID",Vertices[[#Headers],[Vertex]:[Top Word Pairs in Tags by Salience]],0),FALSE)</f>
        <v>71</v>
      </c>
    </row>
    <row r="196" spans="1:3" ht="15">
      <c r="A196" s="81" t="s">
        <v>2323</v>
      </c>
      <c r="B196" s="102" t="s">
        <v>285</v>
      </c>
      <c r="C196" s="80">
        <f>VLOOKUP(GroupVertices[[#This Row],[Vertex]],Vertices[],MATCH("ID",Vertices[[#Headers],[Vertex]:[Top Word Pairs in Tags by Salience]],0),FALSE)</f>
        <v>70</v>
      </c>
    </row>
    <row r="197" spans="1:3" ht="15">
      <c r="A197" s="81" t="s">
        <v>2323</v>
      </c>
      <c r="B197" s="102" t="s">
        <v>284</v>
      </c>
      <c r="C197" s="80">
        <f>VLOOKUP(GroupVertices[[#This Row],[Vertex]],Vertices[],MATCH("ID",Vertices[[#Headers],[Vertex]:[Top Word Pairs in Tags by Salience]],0),FALSE)</f>
        <v>69</v>
      </c>
    </row>
    <row r="198" spans="1:3" ht="15">
      <c r="A198" s="81" t="s">
        <v>2323</v>
      </c>
      <c r="B198" s="102" t="s">
        <v>283</v>
      </c>
      <c r="C198" s="80">
        <f>VLOOKUP(GroupVertices[[#This Row],[Vertex]],Vertices[],MATCH("ID",Vertices[[#Headers],[Vertex]:[Top Word Pairs in Tags by Salience]],0),FALSE)</f>
        <v>68</v>
      </c>
    </row>
    <row r="199" spans="1:3" ht="15">
      <c r="A199" s="81" t="s">
        <v>2323</v>
      </c>
      <c r="B199" s="102" t="s">
        <v>282</v>
      </c>
      <c r="C199" s="80">
        <f>VLOOKUP(GroupVertices[[#This Row],[Vertex]],Vertices[],MATCH("ID",Vertices[[#Headers],[Vertex]:[Top Word Pairs in Tags by Salience]],0),FALSE)</f>
        <v>67</v>
      </c>
    </row>
    <row r="200" spans="1:3" ht="15">
      <c r="A200" s="81" t="s">
        <v>2323</v>
      </c>
      <c r="B200" s="102" t="s">
        <v>281</v>
      </c>
      <c r="C200" s="80">
        <f>VLOOKUP(GroupVertices[[#This Row],[Vertex]],Vertices[],MATCH("ID",Vertices[[#Headers],[Vertex]:[Top Word Pairs in Tags by Salience]],0),FALSE)</f>
        <v>66</v>
      </c>
    </row>
    <row r="201" spans="1:3" ht="15">
      <c r="A201" s="81" t="s">
        <v>2323</v>
      </c>
      <c r="B201" s="102" t="s">
        <v>280</v>
      </c>
      <c r="C201" s="80">
        <f>VLOOKUP(GroupVertices[[#This Row],[Vertex]],Vertices[],MATCH("ID",Vertices[[#Headers],[Vertex]:[Top Word Pairs in Tags by Salience]],0),FALSE)</f>
        <v>65</v>
      </c>
    </row>
    <row r="202" spans="1:3" ht="15">
      <c r="A202" s="81" t="s">
        <v>2323</v>
      </c>
      <c r="B202" s="102" t="s">
        <v>279</v>
      </c>
      <c r="C202" s="80">
        <f>VLOOKUP(GroupVertices[[#This Row],[Vertex]],Vertices[],MATCH("ID",Vertices[[#Headers],[Vertex]:[Top Word Pairs in Tags by Salience]],0),FALSE)</f>
        <v>64</v>
      </c>
    </row>
    <row r="203" spans="1:3" ht="15">
      <c r="A203" s="81" t="s">
        <v>2323</v>
      </c>
      <c r="B203" s="102" t="s">
        <v>278</v>
      </c>
      <c r="C203" s="80">
        <f>VLOOKUP(GroupVertices[[#This Row],[Vertex]],Vertices[],MATCH("ID",Vertices[[#Headers],[Vertex]:[Top Word Pairs in Tags by Salience]],0),FALSE)</f>
        <v>63</v>
      </c>
    </row>
    <row r="204" spans="1:3" ht="15">
      <c r="A204" s="81" t="s">
        <v>2323</v>
      </c>
      <c r="B204" s="102" t="s">
        <v>277</v>
      </c>
      <c r="C204" s="80">
        <f>VLOOKUP(GroupVertices[[#This Row],[Vertex]],Vertices[],MATCH("ID",Vertices[[#Headers],[Vertex]:[Top Word Pairs in Tags by Salience]],0),FALSE)</f>
        <v>62</v>
      </c>
    </row>
    <row r="205" spans="1:3" ht="15">
      <c r="A205" s="81" t="s">
        <v>2323</v>
      </c>
      <c r="B205" s="102" t="s">
        <v>276</v>
      </c>
      <c r="C205" s="80">
        <f>VLOOKUP(GroupVertices[[#This Row],[Vertex]],Vertices[],MATCH("ID",Vertices[[#Headers],[Vertex]:[Top Word Pairs in Tags by Salience]],0),FALSE)</f>
        <v>61</v>
      </c>
    </row>
    <row r="206" spans="1:3" ht="15">
      <c r="A206" s="81" t="s">
        <v>2323</v>
      </c>
      <c r="B206" s="102" t="s">
        <v>275</v>
      </c>
      <c r="C206" s="80">
        <f>VLOOKUP(GroupVertices[[#This Row],[Vertex]],Vertices[],MATCH("ID",Vertices[[#Headers],[Vertex]:[Top Word Pairs in Tags by Salience]],0),FALSE)</f>
        <v>60</v>
      </c>
    </row>
    <row r="207" spans="1:3" ht="15">
      <c r="A207" s="81" t="s">
        <v>2323</v>
      </c>
      <c r="B207" s="102" t="s">
        <v>274</v>
      </c>
      <c r="C207" s="80">
        <f>VLOOKUP(GroupVertices[[#This Row],[Vertex]],Vertices[],MATCH("ID",Vertices[[#Headers],[Vertex]:[Top Word Pairs in Tags by Salience]],0),FALSE)</f>
        <v>59</v>
      </c>
    </row>
    <row r="208" spans="1:3" ht="15">
      <c r="A208" s="81" t="s">
        <v>2323</v>
      </c>
      <c r="B208" s="102" t="s">
        <v>273</v>
      </c>
      <c r="C208" s="80">
        <f>VLOOKUP(GroupVertices[[#This Row],[Vertex]],Vertices[],MATCH("ID",Vertices[[#Headers],[Vertex]:[Top Word Pairs in Tags by Salience]],0),FALSE)</f>
        <v>58</v>
      </c>
    </row>
    <row r="209" spans="1:3" ht="15">
      <c r="A209" s="81" t="s">
        <v>2323</v>
      </c>
      <c r="B209" s="102" t="s">
        <v>272</v>
      </c>
      <c r="C209" s="80">
        <f>VLOOKUP(GroupVertices[[#This Row],[Vertex]],Vertices[],MATCH("ID",Vertices[[#Headers],[Vertex]:[Top Word Pairs in Tags by Salience]],0),FALSE)</f>
        <v>57</v>
      </c>
    </row>
    <row r="210" spans="1:3" ht="15">
      <c r="A210" s="81" t="s">
        <v>2323</v>
      </c>
      <c r="B210" s="102" t="s">
        <v>271</v>
      </c>
      <c r="C210" s="80">
        <f>VLOOKUP(GroupVertices[[#This Row],[Vertex]],Vertices[],MATCH("ID",Vertices[[#Headers],[Vertex]:[Top Word Pairs in Tags by Salience]],0),FALSE)</f>
        <v>56</v>
      </c>
    </row>
    <row r="211" spans="1:3" ht="15">
      <c r="A211" s="81" t="s">
        <v>2323</v>
      </c>
      <c r="B211" s="102" t="s">
        <v>270</v>
      </c>
      <c r="C211" s="80">
        <f>VLOOKUP(GroupVertices[[#This Row],[Vertex]],Vertices[],MATCH("ID",Vertices[[#Headers],[Vertex]:[Top Word Pairs in Tags by Salience]],0),FALSE)</f>
        <v>55</v>
      </c>
    </row>
    <row r="212" spans="1:3" ht="15">
      <c r="A212" s="81" t="s">
        <v>2323</v>
      </c>
      <c r="B212" s="102" t="s">
        <v>269</v>
      </c>
      <c r="C212" s="80">
        <f>VLOOKUP(GroupVertices[[#This Row],[Vertex]],Vertices[],MATCH("ID",Vertices[[#Headers],[Vertex]:[Top Word Pairs in Tags by Salience]],0),FALSE)</f>
        <v>54</v>
      </c>
    </row>
    <row r="213" spans="1:3" ht="15">
      <c r="A213" s="81" t="s">
        <v>2323</v>
      </c>
      <c r="B213" s="102" t="s">
        <v>268</v>
      </c>
      <c r="C213" s="80">
        <f>VLOOKUP(GroupVertices[[#This Row],[Vertex]],Vertices[],MATCH("ID",Vertices[[#Headers],[Vertex]:[Top Word Pairs in Tags by Salience]],0),FALSE)</f>
        <v>53</v>
      </c>
    </row>
    <row r="214" spans="1:3" ht="15">
      <c r="A214" s="81" t="s">
        <v>2323</v>
      </c>
      <c r="B214" s="102" t="s">
        <v>267</v>
      </c>
      <c r="C214" s="80">
        <f>VLOOKUP(GroupVertices[[#This Row],[Vertex]],Vertices[],MATCH("ID",Vertices[[#Headers],[Vertex]:[Top Word Pairs in Tags by Salience]],0),FALSE)</f>
        <v>52</v>
      </c>
    </row>
    <row r="215" spans="1:3" ht="15">
      <c r="A215" s="81" t="s">
        <v>2323</v>
      </c>
      <c r="B215" s="102" t="s">
        <v>266</v>
      </c>
      <c r="C215" s="80">
        <f>VLOOKUP(GroupVertices[[#This Row],[Vertex]],Vertices[],MATCH("ID",Vertices[[#Headers],[Vertex]:[Top Word Pairs in Tags by Salience]],0),FALSE)</f>
        <v>51</v>
      </c>
    </row>
    <row r="216" spans="1:3" ht="15">
      <c r="A216" s="81" t="s">
        <v>2323</v>
      </c>
      <c r="B216" s="102" t="s">
        <v>265</v>
      </c>
      <c r="C216" s="80">
        <f>VLOOKUP(GroupVertices[[#This Row],[Vertex]],Vertices[],MATCH("ID",Vertices[[#Headers],[Vertex]:[Top Word Pairs in Tags by Salience]],0),FALSE)</f>
        <v>50</v>
      </c>
    </row>
    <row r="217" spans="1:3" ht="15">
      <c r="A217" s="81" t="s">
        <v>2323</v>
      </c>
      <c r="B217" s="102" t="s">
        <v>264</v>
      </c>
      <c r="C217" s="80">
        <f>VLOOKUP(GroupVertices[[#This Row],[Vertex]],Vertices[],MATCH("ID",Vertices[[#Headers],[Vertex]:[Top Word Pairs in Tags by Salience]],0),FALSE)</f>
        <v>49</v>
      </c>
    </row>
    <row r="218" spans="1:3" ht="15">
      <c r="A218" s="81" t="s">
        <v>2323</v>
      </c>
      <c r="B218" s="102" t="s">
        <v>263</v>
      </c>
      <c r="C218" s="80">
        <f>VLOOKUP(GroupVertices[[#This Row],[Vertex]],Vertices[],MATCH("ID",Vertices[[#Headers],[Vertex]:[Top Word Pairs in Tags by Salience]],0),FALSE)</f>
        <v>48</v>
      </c>
    </row>
    <row r="219" spans="1:3" ht="15">
      <c r="A219" s="81" t="s">
        <v>2323</v>
      </c>
      <c r="B219" s="102" t="s">
        <v>262</v>
      </c>
      <c r="C219" s="80">
        <f>VLOOKUP(GroupVertices[[#This Row],[Vertex]],Vertices[],MATCH("ID",Vertices[[#Headers],[Vertex]:[Top Word Pairs in Tags by Salience]],0),FALSE)</f>
        <v>47</v>
      </c>
    </row>
    <row r="220" spans="1:3" ht="15">
      <c r="A220" s="81" t="s">
        <v>2323</v>
      </c>
      <c r="B220" s="102" t="s">
        <v>261</v>
      </c>
      <c r="C220" s="80">
        <f>VLOOKUP(GroupVertices[[#This Row],[Vertex]],Vertices[],MATCH("ID",Vertices[[#Headers],[Vertex]:[Top Word Pairs in Tags by Salience]],0),FALSE)</f>
        <v>46</v>
      </c>
    </row>
    <row r="221" spans="1:3" ht="15">
      <c r="A221" s="81" t="s">
        <v>2323</v>
      </c>
      <c r="B221" s="102" t="s">
        <v>260</v>
      </c>
      <c r="C221" s="80">
        <f>VLOOKUP(GroupVertices[[#This Row],[Vertex]],Vertices[],MATCH("ID",Vertices[[#Headers],[Vertex]:[Top Word Pairs in Tags by Salience]],0),FALSE)</f>
        <v>45</v>
      </c>
    </row>
    <row r="222" spans="1:3" ht="15">
      <c r="A222" s="81" t="s">
        <v>2323</v>
      </c>
      <c r="B222" s="102" t="s">
        <v>259</v>
      </c>
      <c r="C222" s="80">
        <f>VLOOKUP(GroupVertices[[#This Row],[Vertex]],Vertices[],MATCH("ID",Vertices[[#Headers],[Vertex]:[Top Word Pairs in Tags by Salience]],0),FALSE)</f>
        <v>44</v>
      </c>
    </row>
    <row r="223" spans="1:3" ht="15">
      <c r="A223" s="81" t="s">
        <v>2323</v>
      </c>
      <c r="B223" s="102" t="s">
        <v>258</v>
      </c>
      <c r="C223" s="80">
        <f>VLOOKUP(GroupVertices[[#This Row],[Vertex]],Vertices[],MATCH("ID",Vertices[[#Headers],[Vertex]:[Top Word Pairs in Tags by Salience]],0),FALSE)</f>
        <v>43</v>
      </c>
    </row>
    <row r="224" spans="1:3" ht="15">
      <c r="A224" s="81" t="s">
        <v>2323</v>
      </c>
      <c r="B224" s="102" t="s">
        <v>257</v>
      </c>
      <c r="C224" s="80">
        <f>VLOOKUP(GroupVertices[[#This Row],[Vertex]],Vertices[],MATCH("ID",Vertices[[#Headers],[Vertex]:[Top Word Pairs in Tags by Salience]],0),FALSE)</f>
        <v>42</v>
      </c>
    </row>
    <row r="225" spans="1:3" ht="15">
      <c r="A225" s="81" t="s">
        <v>2323</v>
      </c>
      <c r="B225" s="102" t="s">
        <v>256</v>
      </c>
      <c r="C225" s="80">
        <f>VLOOKUP(GroupVertices[[#This Row],[Vertex]],Vertices[],MATCH("ID",Vertices[[#Headers],[Vertex]:[Top Word Pairs in Tags by Salience]],0),FALSE)</f>
        <v>41</v>
      </c>
    </row>
    <row r="226" spans="1:3" ht="15">
      <c r="A226" s="81" t="s">
        <v>2323</v>
      </c>
      <c r="B226" s="102" t="s">
        <v>255</v>
      </c>
      <c r="C226" s="80">
        <f>VLOOKUP(GroupVertices[[#This Row],[Vertex]],Vertices[],MATCH("ID",Vertices[[#Headers],[Vertex]:[Top Word Pairs in Tags by Salience]],0),FALSE)</f>
        <v>40</v>
      </c>
    </row>
    <row r="227" spans="1:3" ht="15">
      <c r="A227" s="81" t="s">
        <v>2323</v>
      </c>
      <c r="B227" s="102" t="s">
        <v>254</v>
      </c>
      <c r="C227" s="80">
        <f>VLOOKUP(GroupVertices[[#This Row],[Vertex]],Vertices[],MATCH("ID",Vertices[[#Headers],[Vertex]:[Top Word Pairs in Tags by Salience]],0),FALSE)</f>
        <v>39</v>
      </c>
    </row>
    <row r="228" spans="1:3" ht="15">
      <c r="A228" s="81" t="s">
        <v>2323</v>
      </c>
      <c r="B228" s="102" t="s">
        <v>253</v>
      </c>
      <c r="C228" s="80">
        <f>VLOOKUP(GroupVertices[[#This Row],[Vertex]],Vertices[],MATCH("ID",Vertices[[#Headers],[Vertex]:[Top Word Pairs in Tags by Salience]],0),FALSE)</f>
        <v>38</v>
      </c>
    </row>
    <row r="229" spans="1:3" ht="15">
      <c r="A229" s="81" t="s">
        <v>2324</v>
      </c>
      <c r="B229" s="102" t="s">
        <v>219</v>
      </c>
      <c r="C229" s="80">
        <f>VLOOKUP(GroupVertices[[#This Row],[Vertex]],Vertices[],MATCH("ID",Vertices[[#Headers],[Vertex]:[Top Word Pairs in Tags by Salience]],0),FALSE)</f>
        <v>182</v>
      </c>
    </row>
    <row r="230" spans="1:3" ht="15">
      <c r="A230" s="81" t="s">
        <v>2324</v>
      </c>
      <c r="B230" s="102" t="s">
        <v>589</v>
      </c>
      <c r="C230" s="80">
        <f>VLOOKUP(GroupVertices[[#This Row],[Vertex]],Vertices[],MATCH("ID",Vertices[[#Headers],[Vertex]:[Top Word Pairs in Tags by Salience]],0),FALSE)</f>
        <v>380</v>
      </c>
    </row>
    <row r="231" spans="1:3" ht="15">
      <c r="A231" s="81" t="s">
        <v>2324</v>
      </c>
      <c r="B231" s="102" t="s">
        <v>588</v>
      </c>
      <c r="C231" s="80">
        <f>VLOOKUP(GroupVertices[[#This Row],[Vertex]],Vertices[],MATCH("ID",Vertices[[#Headers],[Vertex]:[Top Word Pairs in Tags by Salience]],0),FALSE)</f>
        <v>379</v>
      </c>
    </row>
    <row r="232" spans="1:3" ht="15">
      <c r="A232" s="81" t="s">
        <v>2324</v>
      </c>
      <c r="B232" s="102" t="s">
        <v>587</v>
      </c>
      <c r="C232" s="80">
        <f>VLOOKUP(GroupVertices[[#This Row],[Vertex]],Vertices[],MATCH("ID",Vertices[[#Headers],[Vertex]:[Top Word Pairs in Tags by Salience]],0),FALSE)</f>
        <v>378</v>
      </c>
    </row>
    <row r="233" spans="1:3" ht="15">
      <c r="A233" s="81" t="s">
        <v>2324</v>
      </c>
      <c r="B233" s="102" t="s">
        <v>586</v>
      </c>
      <c r="C233" s="80">
        <f>VLOOKUP(GroupVertices[[#This Row],[Vertex]],Vertices[],MATCH("ID",Vertices[[#Headers],[Vertex]:[Top Word Pairs in Tags by Salience]],0),FALSE)</f>
        <v>377</v>
      </c>
    </row>
    <row r="234" spans="1:3" ht="15">
      <c r="A234" s="81" t="s">
        <v>2324</v>
      </c>
      <c r="B234" s="102" t="s">
        <v>585</v>
      </c>
      <c r="C234" s="80">
        <f>VLOOKUP(GroupVertices[[#This Row],[Vertex]],Vertices[],MATCH("ID",Vertices[[#Headers],[Vertex]:[Top Word Pairs in Tags by Salience]],0),FALSE)</f>
        <v>376</v>
      </c>
    </row>
    <row r="235" spans="1:3" ht="15">
      <c r="A235" s="81" t="s">
        <v>2324</v>
      </c>
      <c r="B235" s="102" t="s">
        <v>584</v>
      </c>
      <c r="C235" s="80">
        <f>VLOOKUP(GroupVertices[[#This Row],[Vertex]],Vertices[],MATCH("ID",Vertices[[#Headers],[Vertex]:[Top Word Pairs in Tags by Salience]],0),FALSE)</f>
        <v>375</v>
      </c>
    </row>
    <row r="236" spans="1:3" ht="15">
      <c r="A236" s="81" t="s">
        <v>2324</v>
      </c>
      <c r="B236" s="102" t="s">
        <v>582</v>
      </c>
      <c r="C236" s="80">
        <f>VLOOKUP(GroupVertices[[#This Row],[Vertex]],Vertices[],MATCH("ID",Vertices[[#Headers],[Vertex]:[Top Word Pairs in Tags by Salience]],0),FALSE)</f>
        <v>373</v>
      </c>
    </row>
    <row r="237" spans="1:3" ht="15">
      <c r="A237" s="81" t="s">
        <v>2324</v>
      </c>
      <c r="B237" s="102" t="s">
        <v>581</v>
      </c>
      <c r="C237" s="80">
        <f>VLOOKUP(GroupVertices[[#This Row],[Vertex]],Vertices[],MATCH("ID",Vertices[[#Headers],[Vertex]:[Top Word Pairs in Tags by Salience]],0),FALSE)</f>
        <v>372</v>
      </c>
    </row>
    <row r="238" spans="1:3" ht="15">
      <c r="A238" s="81" t="s">
        <v>2324</v>
      </c>
      <c r="B238" s="102" t="s">
        <v>580</v>
      </c>
      <c r="C238" s="80">
        <f>VLOOKUP(GroupVertices[[#This Row],[Vertex]],Vertices[],MATCH("ID",Vertices[[#Headers],[Vertex]:[Top Word Pairs in Tags by Salience]],0),FALSE)</f>
        <v>371</v>
      </c>
    </row>
    <row r="239" spans="1:3" ht="15">
      <c r="A239" s="81" t="s">
        <v>2324</v>
      </c>
      <c r="B239" s="102" t="s">
        <v>579</v>
      </c>
      <c r="C239" s="80">
        <f>VLOOKUP(GroupVertices[[#This Row],[Vertex]],Vertices[],MATCH("ID",Vertices[[#Headers],[Vertex]:[Top Word Pairs in Tags by Salience]],0),FALSE)</f>
        <v>370</v>
      </c>
    </row>
    <row r="240" spans="1:3" ht="15">
      <c r="A240" s="81" t="s">
        <v>2324</v>
      </c>
      <c r="B240" s="102" t="s">
        <v>578</v>
      </c>
      <c r="C240" s="80">
        <f>VLOOKUP(GroupVertices[[#This Row],[Vertex]],Vertices[],MATCH("ID",Vertices[[#Headers],[Vertex]:[Top Word Pairs in Tags by Salience]],0),FALSE)</f>
        <v>369</v>
      </c>
    </row>
    <row r="241" spans="1:3" ht="15">
      <c r="A241" s="81" t="s">
        <v>2324</v>
      </c>
      <c r="B241" s="102" t="s">
        <v>576</v>
      </c>
      <c r="C241" s="80">
        <f>VLOOKUP(GroupVertices[[#This Row],[Vertex]],Vertices[],MATCH("ID",Vertices[[#Headers],[Vertex]:[Top Word Pairs in Tags by Salience]],0),FALSE)</f>
        <v>367</v>
      </c>
    </row>
    <row r="242" spans="1:3" ht="15">
      <c r="A242" s="81" t="s">
        <v>2324</v>
      </c>
      <c r="B242" s="102" t="s">
        <v>575</v>
      </c>
      <c r="C242" s="80">
        <f>VLOOKUP(GroupVertices[[#This Row],[Vertex]],Vertices[],MATCH("ID",Vertices[[#Headers],[Vertex]:[Top Word Pairs in Tags by Salience]],0),FALSE)</f>
        <v>366</v>
      </c>
    </row>
    <row r="243" spans="1:3" ht="15">
      <c r="A243" s="81" t="s">
        <v>2324</v>
      </c>
      <c r="B243" s="102" t="s">
        <v>574</v>
      </c>
      <c r="C243" s="80">
        <f>VLOOKUP(GroupVertices[[#This Row],[Vertex]],Vertices[],MATCH("ID",Vertices[[#Headers],[Vertex]:[Top Word Pairs in Tags by Salience]],0),FALSE)</f>
        <v>365</v>
      </c>
    </row>
    <row r="244" spans="1:3" ht="15">
      <c r="A244" s="81" t="s">
        <v>2324</v>
      </c>
      <c r="B244" s="102" t="s">
        <v>573</v>
      </c>
      <c r="C244" s="80">
        <f>VLOOKUP(GroupVertices[[#This Row],[Vertex]],Vertices[],MATCH("ID",Vertices[[#Headers],[Vertex]:[Top Word Pairs in Tags by Salience]],0),FALSE)</f>
        <v>364</v>
      </c>
    </row>
    <row r="245" spans="1:3" ht="15">
      <c r="A245" s="81" t="s">
        <v>2324</v>
      </c>
      <c r="B245" s="102" t="s">
        <v>572</v>
      </c>
      <c r="C245" s="80">
        <f>VLOOKUP(GroupVertices[[#This Row],[Vertex]],Vertices[],MATCH("ID",Vertices[[#Headers],[Vertex]:[Top Word Pairs in Tags by Salience]],0),FALSE)</f>
        <v>363</v>
      </c>
    </row>
    <row r="246" spans="1:3" ht="15">
      <c r="A246" s="81" t="s">
        <v>2324</v>
      </c>
      <c r="B246" s="102" t="s">
        <v>571</v>
      </c>
      <c r="C246" s="80">
        <f>VLOOKUP(GroupVertices[[#This Row],[Vertex]],Vertices[],MATCH("ID",Vertices[[#Headers],[Vertex]:[Top Word Pairs in Tags by Salience]],0),FALSE)</f>
        <v>362</v>
      </c>
    </row>
    <row r="247" spans="1:3" ht="15">
      <c r="A247" s="81" t="s">
        <v>2324</v>
      </c>
      <c r="B247" s="102" t="s">
        <v>570</v>
      </c>
      <c r="C247" s="80">
        <f>VLOOKUP(GroupVertices[[#This Row],[Vertex]],Vertices[],MATCH("ID",Vertices[[#Headers],[Vertex]:[Top Word Pairs in Tags by Salience]],0),FALSE)</f>
        <v>361</v>
      </c>
    </row>
    <row r="248" spans="1:3" ht="15">
      <c r="A248" s="81" t="s">
        <v>2324</v>
      </c>
      <c r="B248" s="102" t="s">
        <v>569</v>
      </c>
      <c r="C248" s="80">
        <f>VLOOKUP(GroupVertices[[#This Row],[Vertex]],Vertices[],MATCH("ID",Vertices[[#Headers],[Vertex]:[Top Word Pairs in Tags by Salience]],0),FALSE)</f>
        <v>360</v>
      </c>
    </row>
    <row r="249" spans="1:3" ht="15">
      <c r="A249" s="81" t="s">
        <v>2324</v>
      </c>
      <c r="B249" s="102" t="s">
        <v>568</v>
      </c>
      <c r="C249" s="80">
        <f>VLOOKUP(GroupVertices[[#This Row],[Vertex]],Vertices[],MATCH("ID",Vertices[[#Headers],[Vertex]:[Top Word Pairs in Tags by Salience]],0),FALSE)</f>
        <v>359</v>
      </c>
    </row>
    <row r="250" spans="1:3" ht="15">
      <c r="A250" s="81" t="s">
        <v>2324</v>
      </c>
      <c r="B250" s="102" t="s">
        <v>567</v>
      </c>
      <c r="C250" s="80">
        <f>VLOOKUP(GroupVertices[[#This Row],[Vertex]],Vertices[],MATCH("ID",Vertices[[#Headers],[Vertex]:[Top Word Pairs in Tags by Salience]],0),FALSE)</f>
        <v>358</v>
      </c>
    </row>
    <row r="251" spans="1:3" ht="15">
      <c r="A251" s="81" t="s">
        <v>2324</v>
      </c>
      <c r="B251" s="102" t="s">
        <v>566</v>
      </c>
      <c r="C251" s="80">
        <f>VLOOKUP(GroupVertices[[#This Row],[Vertex]],Vertices[],MATCH("ID",Vertices[[#Headers],[Vertex]:[Top Word Pairs in Tags by Salience]],0),FALSE)</f>
        <v>357</v>
      </c>
    </row>
    <row r="252" spans="1:3" ht="15">
      <c r="A252" s="81" t="s">
        <v>2324</v>
      </c>
      <c r="B252" s="102" t="s">
        <v>565</v>
      </c>
      <c r="C252" s="80">
        <f>VLOOKUP(GroupVertices[[#This Row],[Vertex]],Vertices[],MATCH("ID",Vertices[[#Headers],[Vertex]:[Top Word Pairs in Tags by Salience]],0),FALSE)</f>
        <v>356</v>
      </c>
    </row>
    <row r="253" spans="1:3" ht="15">
      <c r="A253" s="81" t="s">
        <v>2324</v>
      </c>
      <c r="B253" s="102" t="s">
        <v>563</v>
      </c>
      <c r="C253" s="80">
        <f>VLOOKUP(GroupVertices[[#This Row],[Vertex]],Vertices[],MATCH("ID",Vertices[[#Headers],[Vertex]:[Top Word Pairs in Tags by Salience]],0),FALSE)</f>
        <v>354</v>
      </c>
    </row>
    <row r="254" spans="1:3" ht="15">
      <c r="A254" s="81" t="s">
        <v>2324</v>
      </c>
      <c r="B254" s="102" t="s">
        <v>560</v>
      </c>
      <c r="C254" s="80">
        <f>VLOOKUP(GroupVertices[[#This Row],[Vertex]],Vertices[],MATCH("ID",Vertices[[#Headers],[Vertex]:[Top Word Pairs in Tags by Salience]],0),FALSE)</f>
        <v>351</v>
      </c>
    </row>
    <row r="255" spans="1:3" ht="15">
      <c r="A255" s="81" t="s">
        <v>2324</v>
      </c>
      <c r="B255" s="102" t="s">
        <v>557</v>
      </c>
      <c r="C255" s="80">
        <f>VLOOKUP(GroupVertices[[#This Row],[Vertex]],Vertices[],MATCH("ID",Vertices[[#Headers],[Vertex]:[Top Word Pairs in Tags by Salience]],0),FALSE)</f>
        <v>348</v>
      </c>
    </row>
    <row r="256" spans="1:3" ht="15">
      <c r="A256" s="81" t="s">
        <v>2324</v>
      </c>
      <c r="B256" s="102" t="s">
        <v>555</v>
      </c>
      <c r="C256" s="80">
        <f>VLOOKUP(GroupVertices[[#This Row],[Vertex]],Vertices[],MATCH("ID",Vertices[[#Headers],[Vertex]:[Top Word Pairs in Tags by Salience]],0),FALSE)</f>
        <v>346</v>
      </c>
    </row>
    <row r="257" spans="1:3" ht="15">
      <c r="A257" s="81" t="s">
        <v>2324</v>
      </c>
      <c r="B257" s="102" t="s">
        <v>554</v>
      </c>
      <c r="C257" s="80">
        <f>VLOOKUP(GroupVertices[[#This Row],[Vertex]],Vertices[],MATCH("ID",Vertices[[#Headers],[Vertex]:[Top Word Pairs in Tags by Salience]],0),FALSE)</f>
        <v>345</v>
      </c>
    </row>
    <row r="258" spans="1:3" ht="15">
      <c r="A258" s="81" t="s">
        <v>2324</v>
      </c>
      <c r="B258" s="102" t="s">
        <v>553</v>
      </c>
      <c r="C258" s="80">
        <f>VLOOKUP(GroupVertices[[#This Row],[Vertex]],Vertices[],MATCH("ID",Vertices[[#Headers],[Vertex]:[Top Word Pairs in Tags by Salience]],0),FALSE)</f>
        <v>344</v>
      </c>
    </row>
    <row r="259" spans="1:3" ht="15">
      <c r="A259" s="81" t="s">
        <v>2324</v>
      </c>
      <c r="B259" s="102" t="s">
        <v>550</v>
      </c>
      <c r="C259" s="80">
        <f>VLOOKUP(GroupVertices[[#This Row],[Vertex]],Vertices[],MATCH("ID",Vertices[[#Headers],[Vertex]:[Top Word Pairs in Tags by Salience]],0),FALSE)</f>
        <v>341</v>
      </c>
    </row>
    <row r="260" spans="1:3" ht="15">
      <c r="A260" s="81" t="s">
        <v>2324</v>
      </c>
      <c r="B260" s="102" t="s">
        <v>549</v>
      </c>
      <c r="C260" s="80">
        <f>VLOOKUP(GroupVertices[[#This Row],[Vertex]],Vertices[],MATCH("ID",Vertices[[#Headers],[Vertex]:[Top Word Pairs in Tags by Salience]],0),FALSE)</f>
        <v>340</v>
      </c>
    </row>
    <row r="261" spans="1:3" ht="15">
      <c r="A261" s="81" t="s">
        <v>2324</v>
      </c>
      <c r="B261" s="102" t="s">
        <v>545</v>
      </c>
      <c r="C261" s="80">
        <f>VLOOKUP(GroupVertices[[#This Row],[Vertex]],Vertices[],MATCH("ID",Vertices[[#Headers],[Vertex]:[Top Word Pairs in Tags by Salience]],0),FALSE)</f>
        <v>336</v>
      </c>
    </row>
    <row r="262" spans="1:3" ht="15">
      <c r="A262" s="81" t="s">
        <v>2324</v>
      </c>
      <c r="B262" s="102" t="s">
        <v>544</v>
      </c>
      <c r="C262" s="80">
        <f>VLOOKUP(GroupVertices[[#This Row],[Vertex]],Vertices[],MATCH("ID",Vertices[[#Headers],[Vertex]:[Top Word Pairs in Tags by Salience]],0),FALSE)</f>
        <v>335</v>
      </c>
    </row>
    <row r="263" spans="1:3" ht="15">
      <c r="A263" s="81" t="s">
        <v>2324</v>
      </c>
      <c r="B263" s="102" t="s">
        <v>543</v>
      </c>
      <c r="C263" s="80">
        <f>VLOOKUP(GroupVertices[[#This Row],[Vertex]],Vertices[],MATCH("ID",Vertices[[#Headers],[Vertex]:[Top Word Pairs in Tags by Salience]],0),FALSE)</f>
        <v>334</v>
      </c>
    </row>
    <row r="264" spans="1:3" ht="15">
      <c r="A264" s="81" t="s">
        <v>2324</v>
      </c>
      <c r="B264" s="102" t="s">
        <v>542</v>
      </c>
      <c r="C264" s="80">
        <f>VLOOKUP(GroupVertices[[#This Row],[Vertex]],Vertices[],MATCH("ID",Vertices[[#Headers],[Vertex]:[Top Word Pairs in Tags by Salience]],0),FALSE)</f>
        <v>333</v>
      </c>
    </row>
    <row r="265" spans="1:3" ht="15">
      <c r="A265" s="81" t="s">
        <v>2324</v>
      </c>
      <c r="B265" s="102" t="s">
        <v>541</v>
      </c>
      <c r="C265" s="80">
        <f>VLOOKUP(GroupVertices[[#This Row],[Vertex]],Vertices[],MATCH("ID",Vertices[[#Headers],[Vertex]:[Top Word Pairs in Tags by Salience]],0),FALSE)</f>
        <v>332</v>
      </c>
    </row>
    <row r="266" spans="1:3" ht="15">
      <c r="A266" s="81" t="s">
        <v>2324</v>
      </c>
      <c r="B266" s="102" t="s">
        <v>540</v>
      </c>
      <c r="C266" s="80">
        <f>VLOOKUP(GroupVertices[[#This Row],[Vertex]],Vertices[],MATCH("ID",Vertices[[#Headers],[Vertex]:[Top Word Pairs in Tags by Salience]],0),FALSE)</f>
        <v>331</v>
      </c>
    </row>
    <row r="267" spans="1:3" ht="15">
      <c r="A267" s="81" t="s">
        <v>2324</v>
      </c>
      <c r="B267" s="102" t="s">
        <v>538</v>
      </c>
      <c r="C267" s="80">
        <f>VLOOKUP(GroupVertices[[#This Row],[Vertex]],Vertices[],MATCH("ID",Vertices[[#Headers],[Vertex]:[Top Word Pairs in Tags by Salience]],0),FALSE)</f>
        <v>329</v>
      </c>
    </row>
    <row r="268" spans="1:3" ht="15">
      <c r="A268" s="81" t="s">
        <v>2324</v>
      </c>
      <c r="B268" s="102" t="s">
        <v>537</v>
      </c>
      <c r="C268" s="80">
        <f>VLOOKUP(GroupVertices[[#This Row],[Vertex]],Vertices[],MATCH("ID",Vertices[[#Headers],[Vertex]:[Top Word Pairs in Tags by Salience]],0),FALSE)</f>
        <v>328</v>
      </c>
    </row>
    <row r="269" spans="1:3" ht="15">
      <c r="A269" s="81" t="s">
        <v>2324</v>
      </c>
      <c r="B269" s="102" t="s">
        <v>536</v>
      </c>
      <c r="C269" s="80">
        <f>VLOOKUP(GroupVertices[[#This Row],[Vertex]],Vertices[],MATCH("ID",Vertices[[#Headers],[Vertex]:[Top Word Pairs in Tags by Salience]],0),FALSE)</f>
        <v>327</v>
      </c>
    </row>
    <row r="270" spans="1:3" ht="15">
      <c r="A270" s="81" t="s">
        <v>2324</v>
      </c>
      <c r="B270" s="102" t="s">
        <v>534</v>
      </c>
      <c r="C270" s="80">
        <f>VLOOKUP(GroupVertices[[#This Row],[Vertex]],Vertices[],MATCH("ID",Vertices[[#Headers],[Vertex]:[Top Word Pairs in Tags by Salience]],0),FALSE)</f>
        <v>325</v>
      </c>
    </row>
    <row r="271" spans="1:3" ht="15">
      <c r="A271" s="81" t="s">
        <v>2324</v>
      </c>
      <c r="B271" s="102" t="s">
        <v>531</v>
      </c>
      <c r="C271" s="80">
        <f>VLOOKUP(GroupVertices[[#This Row],[Vertex]],Vertices[],MATCH("ID",Vertices[[#Headers],[Vertex]:[Top Word Pairs in Tags by Salience]],0),FALSE)</f>
        <v>322</v>
      </c>
    </row>
    <row r="272" spans="1:3" ht="15">
      <c r="A272" s="81" t="s">
        <v>2324</v>
      </c>
      <c r="B272" s="102" t="s">
        <v>530</v>
      </c>
      <c r="C272" s="80">
        <f>VLOOKUP(GroupVertices[[#This Row],[Vertex]],Vertices[],MATCH("ID",Vertices[[#Headers],[Vertex]:[Top Word Pairs in Tags by Salience]],0),FALSE)</f>
        <v>321</v>
      </c>
    </row>
    <row r="273" spans="1:3" ht="15">
      <c r="A273" s="81" t="s">
        <v>2324</v>
      </c>
      <c r="B273" s="102" t="s">
        <v>529</v>
      </c>
      <c r="C273" s="80">
        <f>VLOOKUP(GroupVertices[[#This Row],[Vertex]],Vertices[],MATCH("ID",Vertices[[#Headers],[Vertex]:[Top Word Pairs in Tags by Salience]],0),FALSE)</f>
        <v>320</v>
      </c>
    </row>
    <row r="274" spans="1:3" ht="15">
      <c r="A274" s="81" t="s">
        <v>2324</v>
      </c>
      <c r="B274" s="102" t="s">
        <v>528</v>
      </c>
      <c r="C274" s="80">
        <f>VLOOKUP(GroupVertices[[#This Row],[Vertex]],Vertices[],MATCH("ID",Vertices[[#Headers],[Vertex]:[Top Word Pairs in Tags by Salience]],0),FALSE)</f>
        <v>319</v>
      </c>
    </row>
    <row r="275" spans="1:3" ht="15">
      <c r="A275" s="81" t="s">
        <v>2324</v>
      </c>
      <c r="B275" s="102" t="s">
        <v>527</v>
      </c>
      <c r="C275" s="80">
        <f>VLOOKUP(GroupVertices[[#This Row],[Vertex]],Vertices[],MATCH("ID",Vertices[[#Headers],[Vertex]:[Top Word Pairs in Tags by Salience]],0),FALSE)</f>
        <v>318</v>
      </c>
    </row>
    <row r="276" spans="1:3" ht="15">
      <c r="A276" s="81" t="s">
        <v>2324</v>
      </c>
      <c r="B276" s="102" t="s">
        <v>526</v>
      </c>
      <c r="C276" s="80">
        <f>VLOOKUP(GroupVertices[[#This Row],[Vertex]],Vertices[],MATCH("ID",Vertices[[#Headers],[Vertex]:[Top Word Pairs in Tags by Salience]],0),FALSE)</f>
        <v>317</v>
      </c>
    </row>
    <row r="277" spans="1:3" ht="15">
      <c r="A277" s="81" t="s">
        <v>2324</v>
      </c>
      <c r="B277" s="102" t="s">
        <v>525</v>
      </c>
      <c r="C277" s="80">
        <f>VLOOKUP(GroupVertices[[#This Row],[Vertex]],Vertices[],MATCH("ID",Vertices[[#Headers],[Vertex]:[Top Word Pairs in Tags by Salience]],0),FALSE)</f>
        <v>316</v>
      </c>
    </row>
    <row r="278" spans="1:3" ht="15">
      <c r="A278" s="81" t="s">
        <v>2324</v>
      </c>
      <c r="B278" s="102" t="s">
        <v>524</v>
      </c>
      <c r="C278" s="80">
        <f>VLOOKUP(GroupVertices[[#This Row],[Vertex]],Vertices[],MATCH("ID",Vertices[[#Headers],[Vertex]:[Top Word Pairs in Tags by Salience]],0),FALSE)</f>
        <v>315</v>
      </c>
    </row>
    <row r="279" spans="1:3" ht="15">
      <c r="A279" s="81" t="s">
        <v>2324</v>
      </c>
      <c r="B279" s="102" t="s">
        <v>375</v>
      </c>
      <c r="C279" s="80">
        <f>VLOOKUP(GroupVertices[[#This Row],[Vertex]],Vertices[],MATCH("ID",Vertices[[#Headers],[Vertex]:[Top Word Pairs in Tags by Salience]],0),FALSE)</f>
        <v>162</v>
      </c>
    </row>
    <row r="280" spans="1:3" ht="15">
      <c r="A280" s="81" t="s">
        <v>2325</v>
      </c>
      <c r="B280" s="102" t="s">
        <v>214</v>
      </c>
      <c r="C280" s="80">
        <f>VLOOKUP(GroupVertices[[#This Row],[Vertex]],Vertices[],MATCH("ID",Vertices[[#Headers],[Vertex]:[Top Word Pairs in Tags by Salience]],0),FALSE)</f>
        <v>80</v>
      </c>
    </row>
    <row r="281" spans="1:3" ht="15">
      <c r="A281" s="81" t="s">
        <v>2325</v>
      </c>
      <c r="B281" s="102" t="s">
        <v>564</v>
      </c>
      <c r="C281" s="80">
        <f>VLOOKUP(GroupVertices[[#This Row],[Vertex]],Vertices[],MATCH("ID",Vertices[[#Headers],[Vertex]:[Top Word Pairs in Tags by Salience]],0),FALSE)</f>
        <v>355</v>
      </c>
    </row>
    <row r="282" spans="1:3" ht="15">
      <c r="A282" s="81" t="s">
        <v>2325</v>
      </c>
      <c r="B282" s="102" t="s">
        <v>548</v>
      </c>
      <c r="C282" s="80">
        <f>VLOOKUP(GroupVertices[[#This Row],[Vertex]],Vertices[],MATCH("ID",Vertices[[#Headers],[Vertex]:[Top Word Pairs in Tags by Salience]],0),FALSE)</f>
        <v>339</v>
      </c>
    </row>
    <row r="283" spans="1:3" ht="15">
      <c r="A283" s="81" t="s">
        <v>2325</v>
      </c>
      <c r="B283" s="102" t="s">
        <v>546</v>
      </c>
      <c r="C283" s="80">
        <f>VLOOKUP(GroupVertices[[#This Row],[Vertex]],Vertices[],MATCH("ID",Vertices[[#Headers],[Vertex]:[Top Word Pairs in Tags by Salience]],0),FALSE)</f>
        <v>337</v>
      </c>
    </row>
    <row r="284" spans="1:3" ht="15">
      <c r="A284" s="81" t="s">
        <v>2325</v>
      </c>
      <c r="B284" s="102" t="s">
        <v>539</v>
      </c>
      <c r="C284" s="80">
        <f>VLOOKUP(GroupVertices[[#This Row],[Vertex]],Vertices[],MATCH("ID",Vertices[[#Headers],[Vertex]:[Top Word Pairs in Tags by Salience]],0),FALSE)</f>
        <v>330</v>
      </c>
    </row>
    <row r="285" spans="1:3" ht="15">
      <c r="A285" s="81" t="s">
        <v>2325</v>
      </c>
      <c r="B285" s="102" t="s">
        <v>411</v>
      </c>
      <c r="C285" s="80">
        <f>VLOOKUP(GroupVertices[[#This Row],[Vertex]],Vertices[],MATCH("ID",Vertices[[#Headers],[Vertex]:[Top Word Pairs in Tags by Salience]],0),FALSE)</f>
        <v>200</v>
      </c>
    </row>
    <row r="286" spans="1:3" ht="15">
      <c r="A286" s="81" t="s">
        <v>2325</v>
      </c>
      <c r="B286" s="102" t="s">
        <v>385</v>
      </c>
      <c r="C286" s="80">
        <f>VLOOKUP(GroupVertices[[#This Row],[Vertex]],Vertices[],MATCH("ID",Vertices[[#Headers],[Vertex]:[Top Word Pairs in Tags by Salience]],0),FALSE)</f>
        <v>173</v>
      </c>
    </row>
    <row r="287" spans="1:3" ht="15">
      <c r="A287" s="81" t="s">
        <v>2325</v>
      </c>
      <c r="B287" s="102" t="s">
        <v>379</v>
      </c>
      <c r="C287" s="80">
        <f>VLOOKUP(GroupVertices[[#This Row],[Vertex]],Vertices[],MATCH("ID",Vertices[[#Headers],[Vertex]:[Top Word Pairs in Tags by Salience]],0),FALSE)</f>
        <v>166</v>
      </c>
    </row>
    <row r="288" spans="1:3" ht="15">
      <c r="A288" s="81" t="s">
        <v>2325</v>
      </c>
      <c r="B288" s="102" t="s">
        <v>378</v>
      </c>
      <c r="C288" s="80">
        <f>VLOOKUP(GroupVertices[[#This Row],[Vertex]],Vertices[],MATCH("ID",Vertices[[#Headers],[Vertex]:[Top Word Pairs in Tags by Salience]],0),FALSE)</f>
        <v>165</v>
      </c>
    </row>
    <row r="289" spans="1:3" ht="15">
      <c r="A289" s="81" t="s">
        <v>2325</v>
      </c>
      <c r="B289" s="102" t="s">
        <v>340</v>
      </c>
      <c r="C289" s="80">
        <f>VLOOKUP(GroupVertices[[#This Row],[Vertex]],Vertices[],MATCH("ID",Vertices[[#Headers],[Vertex]:[Top Word Pairs in Tags by Salience]],0),FALSE)</f>
        <v>126</v>
      </c>
    </row>
    <row r="290" spans="1:3" ht="15">
      <c r="A290" s="81" t="s">
        <v>2325</v>
      </c>
      <c r="B290" s="102" t="s">
        <v>339</v>
      </c>
      <c r="C290" s="80">
        <f>VLOOKUP(GroupVertices[[#This Row],[Vertex]],Vertices[],MATCH("ID",Vertices[[#Headers],[Vertex]:[Top Word Pairs in Tags by Salience]],0),FALSE)</f>
        <v>125</v>
      </c>
    </row>
    <row r="291" spans="1:3" ht="15">
      <c r="A291" s="81" t="s">
        <v>2325</v>
      </c>
      <c r="B291" s="102" t="s">
        <v>338</v>
      </c>
      <c r="C291" s="80">
        <f>VLOOKUP(GroupVertices[[#This Row],[Vertex]],Vertices[],MATCH("ID",Vertices[[#Headers],[Vertex]:[Top Word Pairs in Tags by Salience]],0),FALSE)</f>
        <v>124</v>
      </c>
    </row>
    <row r="292" spans="1:3" ht="15">
      <c r="A292" s="81" t="s">
        <v>2325</v>
      </c>
      <c r="B292" s="102" t="s">
        <v>337</v>
      </c>
      <c r="C292" s="80">
        <f>VLOOKUP(GroupVertices[[#This Row],[Vertex]],Vertices[],MATCH("ID",Vertices[[#Headers],[Vertex]:[Top Word Pairs in Tags by Salience]],0),FALSE)</f>
        <v>123</v>
      </c>
    </row>
    <row r="293" spans="1:3" ht="15">
      <c r="A293" s="81" t="s">
        <v>2325</v>
      </c>
      <c r="B293" s="102" t="s">
        <v>336</v>
      </c>
      <c r="C293" s="80">
        <f>VLOOKUP(GroupVertices[[#This Row],[Vertex]],Vertices[],MATCH("ID",Vertices[[#Headers],[Vertex]:[Top Word Pairs in Tags by Salience]],0),FALSE)</f>
        <v>122</v>
      </c>
    </row>
    <row r="294" spans="1:3" ht="15">
      <c r="A294" s="81" t="s">
        <v>2325</v>
      </c>
      <c r="B294" s="102" t="s">
        <v>335</v>
      </c>
      <c r="C294" s="80">
        <f>VLOOKUP(GroupVertices[[#This Row],[Vertex]],Vertices[],MATCH("ID",Vertices[[#Headers],[Vertex]:[Top Word Pairs in Tags by Salience]],0),FALSE)</f>
        <v>121</v>
      </c>
    </row>
    <row r="295" spans="1:3" ht="15">
      <c r="A295" s="81" t="s">
        <v>2325</v>
      </c>
      <c r="B295" s="102" t="s">
        <v>334</v>
      </c>
      <c r="C295" s="80">
        <f>VLOOKUP(GroupVertices[[#This Row],[Vertex]],Vertices[],MATCH("ID",Vertices[[#Headers],[Vertex]:[Top Word Pairs in Tags by Salience]],0),FALSE)</f>
        <v>120</v>
      </c>
    </row>
    <row r="296" spans="1:3" ht="15">
      <c r="A296" s="81" t="s">
        <v>2325</v>
      </c>
      <c r="B296" s="102" t="s">
        <v>333</v>
      </c>
      <c r="C296" s="80">
        <f>VLOOKUP(GroupVertices[[#This Row],[Vertex]],Vertices[],MATCH("ID",Vertices[[#Headers],[Vertex]:[Top Word Pairs in Tags by Salience]],0),FALSE)</f>
        <v>119</v>
      </c>
    </row>
    <row r="297" spans="1:3" ht="15">
      <c r="A297" s="81" t="s">
        <v>2325</v>
      </c>
      <c r="B297" s="102" t="s">
        <v>331</v>
      </c>
      <c r="C297" s="80">
        <f>VLOOKUP(GroupVertices[[#This Row],[Vertex]],Vertices[],MATCH("ID",Vertices[[#Headers],[Vertex]:[Top Word Pairs in Tags by Salience]],0),FALSE)</f>
        <v>117</v>
      </c>
    </row>
    <row r="298" spans="1:3" ht="15">
      <c r="A298" s="81" t="s">
        <v>2325</v>
      </c>
      <c r="B298" s="102" t="s">
        <v>330</v>
      </c>
      <c r="C298" s="80">
        <f>VLOOKUP(GroupVertices[[#This Row],[Vertex]],Vertices[],MATCH("ID",Vertices[[#Headers],[Vertex]:[Top Word Pairs in Tags by Salience]],0),FALSE)</f>
        <v>116</v>
      </c>
    </row>
    <row r="299" spans="1:3" ht="15">
      <c r="A299" s="81" t="s">
        <v>2325</v>
      </c>
      <c r="B299" s="102" t="s">
        <v>329</v>
      </c>
      <c r="C299" s="80">
        <f>VLOOKUP(GroupVertices[[#This Row],[Vertex]],Vertices[],MATCH("ID",Vertices[[#Headers],[Vertex]:[Top Word Pairs in Tags by Salience]],0),FALSE)</f>
        <v>115</v>
      </c>
    </row>
    <row r="300" spans="1:3" ht="15">
      <c r="A300" s="81" t="s">
        <v>2325</v>
      </c>
      <c r="B300" s="102" t="s">
        <v>328</v>
      </c>
      <c r="C300" s="80">
        <f>VLOOKUP(GroupVertices[[#This Row],[Vertex]],Vertices[],MATCH("ID",Vertices[[#Headers],[Vertex]:[Top Word Pairs in Tags by Salience]],0),FALSE)</f>
        <v>114</v>
      </c>
    </row>
    <row r="301" spans="1:3" ht="15">
      <c r="A301" s="81" t="s">
        <v>2325</v>
      </c>
      <c r="B301" s="102" t="s">
        <v>326</v>
      </c>
      <c r="C301" s="80">
        <f>VLOOKUP(GroupVertices[[#This Row],[Vertex]],Vertices[],MATCH("ID",Vertices[[#Headers],[Vertex]:[Top Word Pairs in Tags by Salience]],0),FALSE)</f>
        <v>112</v>
      </c>
    </row>
    <row r="302" spans="1:3" ht="15">
      <c r="A302" s="81" t="s">
        <v>2325</v>
      </c>
      <c r="B302" s="102" t="s">
        <v>325</v>
      </c>
      <c r="C302" s="80">
        <f>VLOOKUP(GroupVertices[[#This Row],[Vertex]],Vertices[],MATCH("ID",Vertices[[#Headers],[Vertex]:[Top Word Pairs in Tags by Salience]],0),FALSE)</f>
        <v>111</v>
      </c>
    </row>
    <row r="303" spans="1:3" ht="15">
      <c r="A303" s="81" t="s">
        <v>2325</v>
      </c>
      <c r="B303" s="102" t="s">
        <v>323</v>
      </c>
      <c r="C303" s="80">
        <f>VLOOKUP(GroupVertices[[#This Row],[Vertex]],Vertices[],MATCH("ID",Vertices[[#Headers],[Vertex]:[Top Word Pairs in Tags by Salience]],0),FALSE)</f>
        <v>109</v>
      </c>
    </row>
    <row r="304" spans="1:3" ht="15">
      <c r="A304" s="81" t="s">
        <v>2325</v>
      </c>
      <c r="B304" s="102" t="s">
        <v>322</v>
      </c>
      <c r="C304" s="80">
        <f>VLOOKUP(GroupVertices[[#This Row],[Vertex]],Vertices[],MATCH("ID",Vertices[[#Headers],[Vertex]:[Top Word Pairs in Tags by Salience]],0),FALSE)</f>
        <v>108</v>
      </c>
    </row>
    <row r="305" spans="1:3" ht="15">
      <c r="A305" s="81" t="s">
        <v>2325</v>
      </c>
      <c r="B305" s="102" t="s">
        <v>321</v>
      </c>
      <c r="C305" s="80">
        <f>VLOOKUP(GroupVertices[[#This Row],[Vertex]],Vertices[],MATCH("ID",Vertices[[#Headers],[Vertex]:[Top Word Pairs in Tags by Salience]],0),FALSE)</f>
        <v>107</v>
      </c>
    </row>
    <row r="306" spans="1:3" ht="15">
      <c r="A306" s="81" t="s">
        <v>2325</v>
      </c>
      <c r="B306" s="102" t="s">
        <v>320</v>
      </c>
      <c r="C306" s="80">
        <f>VLOOKUP(GroupVertices[[#This Row],[Vertex]],Vertices[],MATCH("ID",Vertices[[#Headers],[Vertex]:[Top Word Pairs in Tags by Salience]],0),FALSE)</f>
        <v>106</v>
      </c>
    </row>
    <row r="307" spans="1:3" ht="15">
      <c r="A307" s="81" t="s">
        <v>2325</v>
      </c>
      <c r="B307" s="102" t="s">
        <v>319</v>
      </c>
      <c r="C307" s="80">
        <f>VLOOKUP(GroupVertices[[#This Row],[Vertex]],Vertices[],MATCH("ID",Vertices[[#Headers],[Vertex]:[Top Word Pairs in Tags by Salience]],0),FALSE)</f>
        <v>105</v>
      </c>
    </row>
    <row r="308" spans="1:3" ht="15">
      <c r="A308" s="81" t="s">
        <v>2325</v>
      </c>
      <c r="B308" s="102" t="s">
        <v>318</v>
      </c>
      <c r="C308" s="80">
        <f>VLOOKUP(GroupVertices[[#This Row],[Vertex]],Vertices[],MATCH("ID",Vertices[[#Headers],[Vertex]:[Top Word Pairs in Tags by Salience]],0),FALSE)</f>
        <v>104</v>
      </c>
    </row>
    <row r="309" spans="1:3" ht="15">
      <c r="A309" s="81" t="s">
        <v>2325</v>
      </c>
      <c r="B309" s="102" t="s">
        <v>317</v>
      </c>
      <c r="C309" s="80">
        <f>VLOOKUP(GroupVertices[[#This Row],[Vertex]],Vertices[],MATCH("ID",Vertices[[#Headers],[Vertex]:[Top Word Pairs in Tags by Salience]],0),FALSE)</f>
        <v>103</v>
      </c>
    </row>
    <row r="310" spans="1:3" ht="15">
      <c r="A310" s="81" t="s">
        <v>2325</v>
      </c>
      <c r="B310" s="102" t="s">
        <v>316</v>
      </c>
      <c r="C310" s="80">
        <f>VLOOKUP(GroupVertices[[#This Row],[Vertex]],Vertices[],MATCH("ID",Vertices[[#Headers],[Vertex]:[Top Word Pairs in Tags by Salience]],0),FALSE)</f>
        <v>102</v>
      </c>
    </row>
    <row r="311" spans="1:3" ht="15">
      <c r="A311" s="81" t="s">
        <v>2325</v>
      </c>
      <c r="B311" s="102" t="s">
        <v>315</v>
      </c>
      <c r="C311" s="80">
        <f>VLOOKUP(GroupVertices[[#This Row],[Vertex]],Vertices[],MATCH("ID",Vertices[[#Headers],[Vertex]:[Top Word Pairs in Tags by Salience]],0),FALSE)</f>
        <v>101</v>
      </c>
    </row>
    <row r="312" spans="1:3" ht="15">
      <c r="A312" s="81" t="s">
        <v>2325</v>
      </c>
      <c r="B312" s="102" t="s">
        <v>314</v>
      </c>
      <c r="C312" s="80">
        <f>VLOOKUP(GroupVertices[[#This Row],[Vertex]],Vertices[],MATCH("ID",Vertices[[#Headers],[Vertex]:[Top Word Pairs in Tags by Salience]],0),FALSE)</f>
        <v>100</v>
      </c>
    </row>
    <row r="313" spans="1:3" ht="15">
      <c r="A313" s="81" t="s">
        <v>2325</v>
      </c>
      <c r="B313" s="102" t="s">
        <v>313</v>
      </c>
      <c r="C313" s="80">
        <f>VLOOKUP(GroupVertices[[#This Row],[Vertex]],Vertices[],MATCH("ID",Vertices[[#Headers],[Vertex]:[Top Word Pairs in Tags by Salience]],0),FALSE)</f>
        <v>99</v>
      </c>
    </row>
    <row r="314" spans="1:3" ht="15">
      <c r="A314" s="81" t="s">
        <v>2325</v>
      </c>
      <c r="B314" s="102" t="s">
        <v>312</v>
      </c>
      <c r="C314" s="80">
        <f>VLOOKUP(GroupVertices[[#This Row],[Vertex]],Vertices[],MATCH("ID",Vertices[[#Headers],[Vertex]:[Top Word Pairs in Tags by Salience]],0),FALSE)</f>
        <v>98</v>
      </c>
    </row>
    <row r="315" spans="1:3" ht="15">
      <c r="A315" s="81" t="s">
        <v>2325</v>
      </c>
      <c r="B315" s="102" t="s">
        <v>310</v>
      </c>
      <c r="C315" s="80">
        <f>VLOOKUP(GroupVertices[[#This Row],[Vertex]],Vertices[],MATCH("ID",Vertices[[#Headers],[Vertex]:[Top Word Pairs in Tags by Salience]],0),FALSE)</f>
        <v>96</v>
      </c>
    </row>
    <row r="316" spans="1:3" ht="15">
      <c r="A316" s="81" t="s">
        <v>2325</v>
      </c>
      <c r="B316" s="102" t="s">
        <v>309</v>
      </c>
      <c r="C316" s="80">
        <f>VLOOKUP(GroupVertices[[#This Row],[Vertex]],Vertices[],MATCH("ID",Vertices[[#Headers],[Vertex]:[Top Word Pairs in Tags by Salience]],0),FALSE)</f>
        <v>95</v>
      </c>
    </row>
    <row r="317" spans="1:3" ht="15">
      <c r="A317" s="81" t="s">
        <v>2325</v>
      </c>
      <c r="B317" s="102" t="s">
        <v>308</v>
      </c>
      <c r="C317" s="80">
        <f>VLOOKUP(GroupVertices[[#This Row],[Vertex]],Vertices[],MATCH("ID",Vertices[[#Headers],[Vertex]:[Top Word Pairs in Tags by Salience]],0),FALSE)</f>
        <v>94</v>
      </c>
    </row>
    <row r="318" spans="1:3" ht="15">
      <c r="A318" s="81" t="s">
        <v>2325</v>
      </c>
      <c r="B318" s="102" t="s">
        <v>307</v>
      </c>
      <c r="C318" s="80">
        <f>VLOOKUP(GroupVertices[[#This Row],[Vertex]],Vertices[],MATCH("ID",Vertices[[#Headers],[Vertex]:[Top Word Pairs in Tags by Salience]],0),FALSE)</f>
        <v>93</v>
      </c>
    </row>
    <row r="319" spans="1:3" ht="15">
      <c r="A319" s="81" t="s">
        <v>2325</v>
      </c>
      <c r="B319" s="102" t="s">
        <v>306</v>
      </c>
      <c r="C319" s="80">
        <f>VLOOKUP(GroupVertices[[#This Row],[Vertex]],Vertices[],MATCH("ID",Vertices[[#Headers],[Vertex]:[Top Word Pairs in Tags by Salience]],0),FALSE)</f>
        <v>92</v>
      </c>
    </row>
    <row r="320" spans="1:3" ht="15">
      <c r="A320" s="81" t="s">
        <v>2325</v>
      </c>
      <c r="B320" s="102" t="s">
        <v>305</v>
      </c>
      <c r="C320" s="80">
        <f>VLOOKUP(GroupVertices[[#This Row],[Vertex]],Vertices[],MATCH("ID",Vertices[[#Headers],[Vertex]:[Top Word Pairs in Tags by Salience]],0),FALSE)</f>
        <v>91</v>
      </c>
    </row>
    <row r="321" spans="1:3" ht="15">
      <c r="A321" s="81" t="s">
        <v>2325</v>
      </c>
      <c r="B321" s="102" t="s">
        <v>304</v>
      </c>
      <c r="C321" s="80">
        <f>VLOOKUP(GroupVertices[[#This Row],[Vertex]],Vertices[],MATCH("ID",Vertices[[#Headers],[Vertex]:[Top Word Pairs in Tags by Salience]],0),FALSE)</f>
        <v>90</v>
      </c>
    </row>
    <row r="322" spans="1:3" ht="15">
      <c r="A322" s="81" t="s">
        <v>2325</v>
      </c>
      <c r="B322" s="102" t="s">
        <v>303</v>
      </c>
      <c r="C322" s="80">
        <f>VLOOKUP(GroupVertices[[#This Row],[Vertex]],Vertices[],MATCH("ID",Vertices[[#Headers],[Vertex]:[Top Word Pairs in Tags by Salience]],0),FALSE)</f>
        <v>89</v>
      </c>
    </row>
    <row r="323" spans="1:3" ht="15">
      <c r="A323" s="81" t="s">
        <v>2325</v>
      </c>
      <c r="B323" s="102" t="s">
        <v>302</v>
      </c>
      <c r="C323" s="80">
        <f>VLOOKUP(GroupVertices[[#This Row],[Vertex]],Vertices[],MATCH("ID",Vertices[[#Headers],[Vertex]:[Top Word Pairs in Tags by Salience]],0),FALSE)</f>
        <v>88</v>
      </c>
    </row>
    <row r="324" spans="1:3" ht="15">
      <c r="A324" s="81" t="s">
        <v>2325</v>
      </c>
      <c r="B324" s="102" t="s">
        <v>301</v>
      </c>
      <c r="C324" s="80">
        <f>VLOOKUP(GroupVertices[[#This Row],[Vertex]],Vertices[],MATCH("ID",Vertices[[#Headers],[Vertex]:[Top Word Pairs in Tags by Salience]],0),FALSE)</f>
        <v>87</v>
      </c>
    </row>
    <row r="325" spans="1:3" ht="15">
      <c r="A325" s="81" t="s">
        <v>2325</v>
      </c>
      <c r="B325" s="102" t="s">
        <v>300</v>
      </c>
      <c r="C325" s="80">
        <f>VLOOKUP(GroupVertices[[#This Row],[Vertex]],Vertices[],MATCH("ID",Vertices[[#Headers],[Vertex]:[Top Word Pairs in Tags by Salience]],0),FALSE)</f>
        <v>86</v>
      </c>
    </row>
    <row r="326" spans="1:3" ht="15">
      <c r="A326" s="81" t="s">
        <v>2325</v>
      </c>
      <c r="B326" s="102" t="s">
        <v>299</v>
      </c>
      <c r="C326" s="80">
        <f>VLOOKUP(GroupVertices[[#This Row],[Vertex]],Vertices[],MATCH("ID",Vertices[[#Headers],[Vertex]:[Top Word Pairs in Tags by Salience]],0),FALSE)</f>
        <v>85</v>
      </c>
    </row>
    <row r="327" spans="1:3" ht="15">
      <c r="A327" s="81" t="s">
        <v>2325</v>
      </c>
      <c r="B327" s="102" t="s">
        <v>298</v>
      </c>
      <c r="C327" s="80">
        <f>VLOOKUP(GroupVertices[[#This Row],[Vertex]],Vertices[],MATCH("ID",Vertices[[#Headers],[Vertex]:[Top Word Pairs in Tags by Salience]],0),FALSE)</f>
        <v>84</v>
      </c>
    </row>
    <row r="328" spans="1:3" ht="15">
      <c r="A328" s="81" t="s">
        <v>2325</v>
      </c>
      <c r="B328" s="102" t="s">
        <v>297</v>
      </c>
      <c r="C328" s="80">
        <f>VLOOKUP(GroupVertices[[#This Row],[Vertex]],Vertices[],MATCH("ID",Vertices[[#Headers],[Vertex]:[Top Word Pairs in Tags by Salience]],0),FALSE)</f>
        <v>83</v>
      </c>
    </row>
    <row r="329" spans="1:3" ht="15">
      <c r="A329" s="81" t="s">
        <v>2325</v>
      </c>
      <c r="B329" s="102" t="s">
        <v>296</v>
      </c>
      <c r="C329" s="80">
        <f>VLOOKUP(GroupVertices[[#This Row],[Vertex]],Vertices[],MATCH("ID",Vertices[[#Headers],[Vertex]:[Top Word Pairs in Tags by Salience]],0),FALSE)</f>
        <v>82</v>
      </c>
    </row>
    <row r="330" spans="1:3" ht="15">
      <c r="A330" s="81" t="s">
        <v>2325</v>
      </c>
      <c r="B330" s="102" t="s">
        <v>295</v>
      </c>
      <c r="C330" s="80">
        <f>VLOOKUP(GroupVertices[[#This Row],[Vertex]],Vertices[],MATCH("ID",Vertices[[#Headers],[Vertex]:[Top Word Pairs in Tags by Salience]],0),FALSE)</f>
        <v>81</v>
      </c>
    </row>
    <row r="331" spans="1:3" ht="15">
      <c r="A331" s="81" t="s">
        <v>2326</v>
      </c>
      <c r="B331" s="102" t="s">
        <v>212</v>
      </c>
      <c r="C331" s="80">
        <f>VLOOKUP(GroupVertices[[#This Row],[Vertex]],Vertices[],MATCH("ID",Vertices[[#Headers],[Vertex]:[Top Word Pairs in Tags by Salience]],0),FALSE)</f>
        <v>3</v>
      </c>
    </row>
    <row r="332" spans="1:3" ht="15">
      <c r="A332" s="81" t="s">
        <v>2326</v>
      </c>
      <c r="B332" s="102" t="s">
        <v>562</v>
      </c>
      <c r="C332" s="80">
        <f>VLOOKUP(GroupVertices[[#This Row],[Vertex]],Vertices[],MATCH("ID",Vertices[[#Headers],[Vertex]:[Top Word Pairs in Tags by Salience]],0),FALSE)</f>
        <v>353</v>
      </c>
    </row>
    <row r="333" spans="1:3" ht="15">
      <c r="A333" s="81" t="s">
        <v>2326</v>
      </c>
      <c r="B333" s="102" t="s">
        <v>558</v>
      </c>
      <c r="C333" s="80">
        <f>VLOOKUP(GroupVertices[[#This Row],[Vertex]],Vertices[],MATCH("ID",Vertices[[#Headers],[Vertex]:[Top Word Pairs in Tags by Salience]],0),FALSE)</f>
        <v>349</v>
      </c>
    </row>
    <row r="334" spans="1:3" ht="15">
      <c r="A334" s="81" t="s">
        <v>2326</v>
      </c>
      <c r="B334" s="102" t="s">
        <v>551</v>
      </c>
      <c r="C334" s="80">
        <f>VLOOKUP(GroupVertices[[#This Row],[Vertex]],Vertices[],MATCH("ID",Vertices[[#Headers],[Vertex]:[Top Word Pairs in Tags by Salience]],0),FALSE)</f>
        <v>342</v>
      </c>
    </row>
    <row r="335" spans="1:3" ht="15">
      <c r="A335" s="81" t="s">
        <v>2326</v>
      </c>
      <c r="B335" s="102" t="s">
        <v>535</v>
      </c>
      <c r="C335" s="80">
        <f>VLOOKUP(GroupVertices[[#This Row],[Vertex]],Vertices[],MATCH("ID",Vertices[[#Headers],[Vertex]:[Top Word Pairs in Tags by Salience]],0),FALSE)</f>
        <v>326</v>
      </c>
    </row>
    <row r="336" spans="1:3" ht="15">
      <c r="A336" s="81" t="s">
        <v>2326</v>
      </c>
      <c r="B336" s="102" t="s">
        <v>532</v>
      </c>
      <c r="C336" s="80">
        <f>VLOOKUP(GroupVertices[[#This Row],[Vertex]],Vertices[],MATCH("ID",Vertices[[#Headers],[Vertex]:[Top Word Pairs in Tags by Salience]],0),FALSE)</f>
        <v>323</v>
      </c>
    </row>
    <row r="337" spans="1:3" ht="15">
      <c r="A337" s="81" t="s">
        <v>2326</v>
      </c>
      <c r="B337" s="102" t="s">
        <v>439</v>
      </c>
      <c r="C337" s="80">
        <f>VLOOKUP(GroupVertices[[#This Row],[Vertex]],Vertices[],MATCH("ID",Vertices[[#Headers],[Vertex]:[Top Word Pairs in Tags by Salience]],0),FALSE)</f>
        <v>228</v>
      </c>
    </row>
    <row r="338" spans="1:3" ht="15">
      <c r="A338" s="81" t="s">
        <v>2326</v>
      </c>
      <c r="B338" s="102" t="s">
        <v>376</v>
      </c>
      <c r="C338" s="80">
        <f>VLOOKUP(GroupVertices[[#This Row],[Vertex]],Vertices[],MATCH("ID",Vertices[[#Headers],[Vertex]:[Top Word Pairs in Tags by Salience]],0),FALSE)</f>
        <v>163</v>
      </c>
    </row>
    <row r="339" spans="1:3" ht="15">
      <c r="A339" s="81" t="s">
        <v>2326</v>
      </c>
      <c r="B339" s="102" t="s">
        <v>359</v>
      </c>
      <c r="C339" s="80">
        <f>VLOOKUP(GroupVertices[[#This Row],[Vertex]],Vertices[],MATCH("ID",Vertices[[#Headers],[Vertex]:[Top Word Pairs in Tags by Salience]],0),FALSE)</f>
        <v>146</v>
      </c>
    </row>
    <row r="340" spans="1:3" ht="15">
      <c r="A340" s="81" t="s">
        <v>2326</v>
      </c>
      <c r="B340" s="102" t="s">
        <v>357</v>
      </c>
      <c r="C340" s="80">
        <f>VLOOKUP(GroupVertices[[#This Row],[Vertex]],Vertices[],MATCH("ID",Vertices[[#Headers],[Vertex]:[Top Word Pairs in Tags by Salience]],0),FALSE)</f>
        <v>144</v>
      </c>
    </row>
    <row r="341" spans="1:3" ht="15">
      <c r="A341" s="81" t="s">
        <v>2326</v>
      </c>
      <c r="B341" s="102" t="s">
        <v>355</v>
      </c>
      <c r="C341" s="80">
        <f>VLOOKUP(GroupVertices[[#This Row],[Vertex]],Vertices[],MATCH("ID",Vertices[[#Headers],[Vertex]:[Top Word Pairs in Tags by Salience]],0),FALSE)</f>
        <v>142</v>
      </c>
    </row>
    <row r="342" spans="1:3" ht="15">
      <c r="A342" s="81" t="s">
        <v>2326</v>
      </c>
      <c r="B342" s="102" t="s">
        <v>354</v>
      </c>
      <c r="C342" s="80">
        <f>VLOOKUP(GroupVertices[[#This Row],[Vertex]],Vertices[],MATCH("ID",Vertices[[#Headers],[Vertex]:[Top Word Pairs in Tags by Salience]],0),FALSE)</f>
        <v>141</v>
      </c>
    </row>
    <row r="343" spans="1:3" ht="15">
      <c r="A343" s="81" t="s">
        <v>2326</v>
      </c>
      <c r="B343" s="102" t="s">
        <v>332</v>
      </c>
      <c r="C343" s="80">
        <f>VLOOKUP(GroupVertices[[#This Row],[Vertex]],Vertices[],MATCH("ID",Vertices[[#Headers],[Vertex]:[Top Word Pairs in Tags by Salience]],0),FALSE)</f>
        <v>118</v>
      </c>
    </row>
    <row r="344" spans="1:3" ht="15">
      <c r="A344" s="81" t="s">
        <v>2326</v>
      </c>
      <c r="B344" s="102" t="s">
        <v>327</v>
      </c>
      <c r="C344" s="80">
        <f>VLOOKUP(GroupVertices[[#This Row],[Vertex]],Vertices[],MATCH("ID",Vertices[[#Headers],[Vertex]:[Top Word Pairs in Tags by Salience]],0),FALSE)</f>
        <v>113</v>
      </c>
    </row>
    <row r="345" spans="1:3" ht="15">
      <c r="A345" s="81" t="s">
        <v>2326</v>
      </c>
      <c r="B345" s="102" t="s">
        <v>324</v>
      </c>
      <c r="C345" s="80">
        <f>VLOOKUP(GroupVertices[[#This Row],[Vertex]],Vertices[],MATCH("ID",Vertices[[#Headers],[Vertex]:[Top Word Pairs in Tags by Salience]],0),FALSE)</f>
        <v>110</v>
      </c>
    </row>
    <row r="346" spans="1:3" ht="15">
      <c r="A346" s="81" t="s">
        <v>2326</v>
      </c>
      <c r="B346" s="102" t="s">
        <v>311</v>
      </c>
      <c r="C346" s="80">
        <f>VLOOKUP(GroupVertices[[#This Row],[Vertex]],Vertices[],MATCH("ID",Vertices[[#Headers],[Vertex]:[Top Word Pairs in Tags by Salience]],0),FALSE)</f>
        <v>97</v>
      </c>
    </row>
    <row r="347" spans="1:3" ht="15">
      <c r="A347" s="81" t="s">
        <v>2326</v>
      </c>
      <c r="B347" s="102" t="s">
        <v>252</v>
      </c>
      <c r="C347" s="80">
        <f>VLOOKUP(GroupVertices[[#This Row],[Vertex]],Vertices[],MATCH("ID",Vertices[[#Headers],[Vertex]:[Top Word Pairs in Tags by Salience]],0),FALSE)</f>
        <v>36</v>
      </c>
    </row>
    <row r="348" spans="1:3" ht="15">
      <c r="A348" s="81" t="s">
        <v>2326</v>
      </c>
      <c r="B348" s="102" t="s">
        <v>251</v>
      </c>
      <c r="C348" s="80">
        <f>VLOOKUP(GroupVertices[[#This Row],[Vertex]],Vertices[],MATCH("ID",Vertices[[#Headers],[Vertex]:[Top Word Pairs in Tags by Salience]],0),FALSE)</f>
        <v>35</v>
      </c>
    </row>
    <row r="349" spans="1:3" ht="15">
      <c r="A349" s="81" t="s">
        <v>2326</v>
      </c>
      <c r="B349" s="102" t="s">
        <v>250</v>
      </c>
      <c r="C349" s="80">
        <f>VLOOKUP(GroupVertices[[#This Row],[Vertex]],Vertices[],MATCH("ID",Vertices[[#Headers],[Vertex]:[Top Word Pairs in Tags by Salience]],0),FALSE)</f>
        <v>34</v>
      </c>
    </row>
    <row r="350" spans="1:3" ht="15">
      <c r="A350" s="81" t="s">
        <v>2326</v>
      </c>
      <c r="B350" s="102" t="s">
        <v>249</v>
      </c>
      <c r="C350" s="80">
        <f>VLOOKUP(GroupVertices[[#This Row],[Vertex]],Vertices[],MATCH("ID",Vertices[[#Headers],[Vertex]:[Top Word Pairs in Tags by Salience]],0),FALSE)</f>
        <v>33</v>
      </c>
    </row>
    <row r="351" spans="1:3" ht="15">
      <c r="A351" s="81" t="s">
        <v>2326</v>
      </c>
      <c r="B351" s="102" t="s">
        <v>248</v>
      </c>
      <c r="C351" s="80">
        <f>VLOOKUP(GroupVertices[[#This Row],[Vertex]],Vertices[],MATCH("ID",Vertices[[#Headers],[Vertex]:[Top Word Pairs in Tags by Salience]],0),FALSE)</f>
        <v>32</v>
      </c>
    </row>
    <row r="352" spans="1:3" ht="15">
      <c r="A352" s="81" t="s">
        <v>2326</v>
      </c>
      <c r="B352" s="102" t="s">
        <v>247</v>
      </c>
      <c r="C352" s="80">
        <f>VLOOKUP(GroupVertices[[#This Row],[Vertex]],Vertices[],MATCH("ID",Vertices[[#Headers],[Vertex]:[Top Word Pairs in Tags by Salience]],0),FALSE)</f>
        <v>31</v>
      </c>
    </row>
    <row r="353" spans="1:3" ht="15">
      <c r="A353" s="81" t="s">
        <v>2326</v>
      </c>
      <c r="B353" s="102" t="s">
        <v>246</v>
      </c>
      <c r="C353" s="80">
        <f>VLOOKUP(GroupVertices[[#This Row],[Vertex]],Vertices[],MATCH("ID",Vertices[[#Headers],[Vertex]:[Top Word Pairs in Tags by Salience]],0),FALSE)</f>
        <v>30</v>
      </c>
    </row>
    <row r="354" spans="1:3" ht="15">
      <c r="A354" s="81" t="s">
        <v>2326</v>
      </c>
      <c r="B354" s="102" t="s">
        <v>245</v>
      </c>
      <c r="C354" s="80">
        <f>VLOOKUP(GroupVertices[[#This Row],[Vertex]],Vertices[],MATCH("ID",Vertices[[#Headers],[Vertex]:[Top Word Pairs in Tags by Salience]],0),FALSE)</f>
        <v>29</v>
      </c>
    </row>
    <row r="355" spans="1:3" ht="15">
      <c r="A355" s="81" t="s">
        <v>2326</v>
      </c>
      <c r="B355" s="102" t="s">
        <v>244</v>
      </c>
      <c r="C355" s="80">
        <f>VLOOKUP(GroupVertices[[#This Row],[Vertex]],Vertices[],MATCH("ID",Vertices[[#Headers],[Vertex]:[Top Word Pairs in Tags by Salience]],0),FALSE)</f>
        <v>28</v>
      </c>
    </row>
    <row r="356" spans="1:3" ht="15">
      <c r="A356" s="81" t="s">
        <v>2326</v>
      </c>
      <c r="B356" s="102" t="s">
        <v>243</v>
      </c>
      <c r="C356" s="80">
        <f>VLOOKUP(GroupVertices[[#This Row],[Vertex]],Vertices[],MATCH("ID",Vertices[[#Headers],[Vertex]:[Top Word Pairs in Tags by Salience]],0),FALSE)</f>
        <v>27</v>
      </c>
    </row>
    <row r="357" spans="1:3" ht="15">
      <c r="A357" s="81" t="s">
        <v>2326</v>
      </c>
      <c r="B357" s="102" t="s">
        <v>242</v>
      </c>
      <c r="C357" s="80">
        <f>VLOOKUP(GroupVertices[[#This Row],[Vertex]],Vertices[],MATCH("ID",Vertices[[#Headers],[Vertex]:[Top Word Pairs in Tags by Salience]],0),FALSE)</f>
        <v>26</v>
      </c>
    </row>
    <row r="358" spans="1:3" ht="15">
      <c r="A358" s="81" t="s">
        <v>2326</v>
      </c>
      <c r="B358" s="102" t="s">
        <v>241</v>
      </c>
      <c r="C358" s="80">
        <f>VLOOKUP(GroupVertices[[#This Row],[Vertex]],Vertices[],MATCH("ID",Vertices[[#Headers],[Vertex]:[Top Word Pairs in Tags by Salience]],0),FALSE)</f>
        <v>25</v>
      </c>
    </row>
    <row r="359" spans="1:3" ht="15">
      <c r="A359" s="81" t="s">
        <v>2326</v>
      </c>
      <c r="B359" s="102" t="s">
        <v>240</v>
      </c>
      <c r="C359" s="80">
        <f>VLOOKUP(GroupVertices[[#This Row],[Vertex]],Vertices[],MATCH("ID",Vertices[[#Headers],[Vertex]:[Top Word Pairs in Tags by Salience]],0),FALSE)</f>
        <v>24</v>
      </c>
    </row>
    <row r="360" spans="1:3" ht="15">
      <c r="A360" s="81" t="s">
        <v>2326</v>
      </c>
      <c r="B360" s="102" t="s">
        <v>239</v>
      </c>
      <c r="C360" s="80">
        <f>VLOOKUP(GroupVertices[[#This Row],[Vertex]],Vertices[],MATCH("ID",Vertices[[#Headers],[Vertex]:[Top Word Pairs in Tags by Salience]],0),FALSE)</f>
        <v>23</v>
      </c>
    </row>
    <row r="361" spans="1:3" ht="15">
      <c r="A361" s="81" t="s">
        <v>2326</v>
      </c>
      <c r="B361" s="102" t="s">
        <v>238</v>
      </c>
      <c r="C361" s="80">
        <f>VLOOKUP(GroupVertices[[#This Row],[Vertex]],Vertices[],MATCH("ID",Vertices[[#Headers],[Vertex]:[Top Word Pairs in Tags by Salience]],0),FALSE)</f>
        <v>22</v>
      </c>
    </row>
    <row r="362" spans="1:3" ht="15">
      <c r="A362" s="81" t="s">
        <v>2326</v>
      </c>
      <c r="B362" s="102" t="s">
        <v>237</v>
      </c>
      <c r="C362" s="80">
        <f>VLOOKUP(GroupVertices[[#This Row],[Vertex]],Vertices[],MATCH("ID",Vertices[[#Headers],[Vertex]:[Top Word Pairs in Tags by Salience]],0),FALSE)</f>
        <v>21</v>
      </c>
    </row>
    <row r="363" spans="1:3" ht="15">
      <c r="A363" s="81" t="s">
        <v>2326</v>
      </c>
      <c r="B363" s="102" t="s">
        <v>236</v>
      </c>
      <c r="C363" s="80">
        <f>VLOOKUP(GroupVertices[[#This Row],[Vertex]],Vertices[],MATCH("ID",Vertices[[#Headers],[Vertex]:[Top Word Pairs in Tags by Salience]],0),FALSE)</f>
        <v>20</v>
      </c>
    </row>
    <row r="364" spans="1:3" ht="15">
      <c r="A364" s="81" t="s">
        <v>2326</v>
      </c>
      <c r="B364" s="102" t="s">
        <v>235</v>
      </c>
      <c r="C364" s="80">
        <f>VLOOKUP(GroupVertices[[#This Row],[Vertex]],Vertices[],MATCH("ID",Vertices[[#Headers],[Vertex]:[Top Word Pairs in Tags by Salience]],0),FALSE)</f>
        <v>19</v>
      </c>
    </row>
    <row r="365" spans="1:3" ht="15">
      <c r="A365" s="81" t="s">
        <v>2326</v>
      </c>
      <c r="B365" s="102" t="s">
        <v>234</v>
      </c>
      <c r="C365" s="80">
        <f>VLOOKUP(GroupVertices[[#This Row],[Vertex]],Vertices[],MATCH("ID",Vertices[[#Headers],[Vertex]:[Top Word Pairs in Tags by Salience]],0),FALSE)</f>
        <v>18</v>
      </c>
    </row>
    <row r="366" spans="1:3" ht="15">
      <c r="A366" s="81" t="s">
        <v>2326</v>
      </c>
      <c r="B366" s="102" t="s">
        <v>233</v>
      </c>
      <c r="C366" s="80">
        <f>VLOOKUP(GroupVertices[[#This Row],[Vertex]],Vertices[],MATCH("ID",Vertices[[#Headers],[Vertex]:[Top Word Pairs in Tags by Salience]],0),FALSE)</f>
        <v>17</v>
      </c>
    </row>
    <row r="367" spans="1:3" ht="15">
      <c r="A367" s="81" t="s">
        <v>2326</v>
      </c>
      <c r="B367" s="102" t="s">
        <v>232</v>
      </c>
      <c r="C367" s="80">
        <f>VLOOKUP(GroupVertices[[#This Row],[Vertex]],Vertices[],MATCH("ID",Vertices[[#Headers],[Vertex]:[Top Word Pairs in Tags by Salience]],0),FALSE)</f>
        <v>16</v>
      </c>
    </row>
    <row r="368" spans="1:3" ht="15">
      <c r="A368" s="81" t="s">
        <v>2326</v>
      </c>
      <c r="B368" s="102" t="s">
        <v>231</v>
      </c>
      <c r="C368" s="80">
        <f>VLOOKUP(GroupVertices[[#This Row],[Vertex]],Vertices[],MATCH("ID",Vertices[[#Headers],[Vertex]:[Top Word Pairs in Tags by Salience]],0),FALSE)</f>
        <v>15</v>
      </c>
    </row>
    <row r="369" spans="1:3" ht="15">
      <c r="A369" s="81" t="s">
        <v>2326</v>
      </c>
      <c r="B369" s="102" t="s">
        <v>230</v>
      </c>
      <c r="C369" s="80">
        <f>VLOOKUP(GroupVertices[[#This Row],[Vertex]],Vertices[],MATCH("ID",Vertices[[#Headers],[Vertex]:[Top Word Pairs in Tags by Salience]],0),FALSE)</f>
        <v>14</v>
      </c>
    </row>
    <row r="370" spans="1:3" ht="15">
      <c r="A370" s="81" t="s">
        <v>2326</v>
      </c>
      <c r="B370" s="102" t="s">
        <v>229</v>
      </c>
      <c r="C370" s="80">
        <f>VLOOKUP(GroupVertices[[#This Row],[Vertex]],Vertices[],MATCH("ID",Vertices[[#Headers],[Vertex]:[Top Word Pairs in Tags by Salience]],0),FALSE)</f>
        <v>13</v>
      </c>
    </row>
    <row r="371" spans="1:3" ht="15">
      <c r="A371" s="81" t="s">
        <v>2326</v>
      </c>
      <c r="B371" s="102" t="s">
        <v>228</v>
      </c>
      <c r="C371" s="80">
        <f>VLOOKUP(GroupVertices[[#This Row],[Vertex]],Vertices[],MATCH("ID",Vertices[[#Headers],[Vertex]:[Top Word Pairs in Tags by Salience]],0),FALSE)</f>
        <v>12</v>
      </c>
    </row>
    <row r="372" spans="1:3" ht="15">
      <c r="A372" s="81" t="s">
        <v>2326</v>
      </c>
      <c r="B372" s="102" t="s">
        <v>227</v>
      </c>
      <c r="C372" s="80">
        <f>VLOOKUP(GroupVertices[[#This Row],[Vertex]],Vertices[],MATCH("ID",Vertices[[#Headers],[Vertex]:[Top Word Pairs in Tags by Salience]],0),FALSE)</f>
        <v>11</v>
      </c>
    </row>
    <row r="373" spans="1:3" ht="15">
      <c r="A373" s="81" t="s">
        <v>2326</v>
      </c>
      <c r="B373" s="102" t="s">
        <v>226</v>
      </c>
      <c r="C373" s="80">
        <f>VLOOKUP(GroupVertices[[#This Row],[Vertex]],Vertices[],MATCH("ID",Vertices[[#Headers],[Vertex]:[Top Word Pairs in Tags by Salience]],0),FALSE)</f>
        <v>10</v>
      </c>
    </row>
    <row r="374" spans="1:3" ht="15">
      <c r="A374" s="81" t="s">
        <v>2326</v>
      </c>
      <c r="B374" s="102" t="s">
        <v>225</v>
      </c>
      <c r="C374" s="80">
        <f>VLOOKUP(GroupVertices[[#This Row],[Vertex]],Vertices[],MATCH("ID",Vertices[[#Headers],[Vertex]:[Top Word Pairs in Tags by Salience]],0),FALSE)</f>
        <v>9</v>
      </c>
    </row>
    <row r="375" spans="1:3" ht="15">
      <c r="A375" s="81" t="s">
        <v>2326</v>
      </c>
      <c r="B375" s="102" t="s">
        <v>224</v>
      </c>
      <c r="C375" s="80">
        <f>VLOOKUP(GroupVertices[[#This Row],[Vertex]],Vertices[],MATCH("ID",Vertices[[#Headers],[Vertex]:[Top Word Pairs in Tags by Salience]],0),FALSE)</f>
        <v>8</v>
      </c>
    </row>
    <row r="376" spans="1:3" ht="15">
      <c r="A376" s="81" t="s">
        <v>2326</v>
      </c>
      <c r="B376" s="102" t="s">
        <v>223</v>
      </c>
      <c r="C376" s="80">
        <f>VLOOKUP(GroupVertices[[#This Row],[Vertex]],Vertices[],MATCH("ID",Vertices[[#Headers],[Vertex]:[Top Word Pairs in Tags by Salience]],0),FALSE)</f>
        <v>7</v>
      </c>
    </row>
    <row r="377" spans="1:3" ht="15">
      <c r="A377" s="81" t="s">
        <v>2326</v>
      </c>
      <c r="B377" s="102" t="s">
        <v>222</v>
      </c>
      <c r="C377" s="80">
        <f>VLOOKUP(GroupVertices[[#This Row],[Vertex]],Vertices[],MATCH("ID",Vertices[[#Headers],[Vertex]:[Top Word Pairs in Tags by Salience]],0),FALSE)</f>
        <v>6</v>
      </c>
    </row>
    <row r="378" spans="1:3" ht="15">
      <c r="A378" s="81" t="s">
        <v>2326</v>
      </c>
      <c r="B378" s="102" t="s">
        <v>221</v>
      </c>
      <c r="C378" s="80">
        <f>VLOOKUP(GroupVertices[[#This Row],[Vertex]],Vertices[],MATCH("ID",Vertices[[#Headers],[Vertex]:[Top Word Pairs in Tags by Salience]],0),FALSE)</f>
        <v>5</v>
      </c>
    </row>
    <row r="379" spans="1:3" ht="15">
      <c r="A379" s="81" t="s">
        <v>2326</v>
      </c>
      <c r="B379" s="102" t="s">
        <v>612</v>
      </c>
      <c r="C379" s="80">
        <f>VLOOKUP(GroupVertices[[#This Row],[Vertex]],Vertices[],MATCH("ID",Vertices[[#Headers],[Vertex]:[Top Word Pairs in Tags by Salience]],0),FALSE)</f>
        <v>4</v>
      </c>
    </row>
    <row r="380" spans="1:3" ht="15">
      <c r="A380" s="81" t="s">
        <v>2327</v>
      </c>
      <c r="B380" s="102" t="s">
        <v>220</v>
      </c>
      <c r="C380" s="80">
        <f>VLOOKUP(GroupVertices[[#This Row],[Vertex]],Vertices[],MATCH("ID",Vertices[[#Headers],[Vertex]:[Top Word Pairs in Tags by Salience]],0),FALSE)</f>
        <v>381</v>
      </c>
    </row>
    <row r="381" spans="1:3" ht="15">
      <c r="A381" s="81" t="s">
        <v>2327</v>
      </c>
      <c r="B381" s="102" t="s">
        <v>611</v>
      </c>
      <c r="C381" s="80">
        <f>VLOOKUP(GroupVertices[[#This Row],[Vertex]],Vertices[],MATCH("ID",Vertices[[#Headers],[Vertex]:[Top Word Pairs in Tags by Salience]],0),FALSE)</f>
        <v>403</v>
      </c>
    </row>
    <row r="382" spans="1:3" ht="15">
      <c r="A382" s="81" t="s">
        <v>2327</v>
      </c>
      <c r="B382" s="102" t="s">
        <v>610</v>
      </c>
      <c r="C382" s="80">
        <f>VLOOKUP(GroupVertices[[#This Row],[Vertex]],Vertices[],MATCH("ID",Vertices[[#Headers],[Vertex]:[Top Word Pairs in Tags by Salience]],0),FALSE)</f>
        <v>402</v>
      </c>
    </row>
    <row r="383" spans="1:3" ht="15">
      <c r="A383" s="81" t="s">
        <v>2327</v>
      </c>
      <c r="B383" s="102" t="s">
        <v>609</v>
      </c>
      <c r="C383" s="80">
        <f>VLOOKUP(GroupVertices[[#This Row],[Vertex]],Vertices[],MATCH("ID",Vertices[[#Headers],[Vertex]:[Top Word Pairs in Tags by Salience]],0),FALSE)</f>
        <v>401</v>
      </c>
    </row>
    <row r="384" spans="1:3" ht="15">
      <c r="A384" s="81" t="s">
        <v>2327</v>
      </c>
      <c r="B384" s="102" t="s">
        <v>608</v>
      </c>
      <c r="C384" s="80">
        <f>VLOOKUP(GroupVertices[[#This Row],[Vertex]],Vertices[],MATCH("ID",Vertices[[#Headers],[Vertex]:[Top Word Pairs in Tags by Salience]],0),FALSE)</f>
        <v>400</v>
      </c>
    </row>
    <row r="385" spans="1:3" ht="15">
      <c r="A385" s="81" t="s">
        <v>2327</v>
      </c>
      <c r="B385" s="102" t="s">
        <v>607</v>
      </c>
      <c r="C385" s="80">
        <f>VLOOKUP(GroupVertices[[#This Row],[Vertex]],Vertices[],MATCH("ID",Vertices[[#Headers],[Vertex]:[Top Word Pairs in Tags by Salience]],0),FALSE)</f>
        <v>399</v>
      </c>
    </row>
    <row r="386" spans="1:3" ht="15">
      <c r="A386" s="81" t="s">
        <v>2327</v>
      </c>
      <c r="B386" s="102" t="s">
        <v>606</v>
      </c>
      <c r="C386" s="80">
        <f>VLOOKUP(GroupVertices[[#This Row],[Vertex]],Vertices[],MATCH("ID",Vertices[[#Headers],[Vertex]:[Top Word Pairs in Tags by Salience]],0),FALSE)</f>
        <v>398</v>
      </c>
    </row>
    <row r="387" spans="1:3" ht="15">
      <c r="A387" s="81" t="s">
        <v>2327</v>
      </c>
      <c r="B387" s="102" t="s">
        <v>605</v>
      </c>
      <c r="C387" s="80">
        <f>VLOOKUP(GroupVertices[[#This Row],[Vertex]],Vertices[],MATCH("ID",Vertices[[#Headers],[Vertex]:[Top Word Pairs in Tags by Salience]],0),FALSE)</f>
        <v>397</v>
      </c>
    </row>
    <row r="388" spans="1:3" ht="15">
      <c r="A388" s="81" t="s">
        <v>2327</v>
      </c>
      <c r="B388" s="102" t="s">
        <v>604</v>
      </c>
      <c r="C388" s="80">
        <f>VLOOKUP(GroupVertices[[#This Row],[Vertex]],Vertices[],MATCH("ID",Vertices[[#Headers],[Vertex]:[Top Word Pairs in Tags by Salience]],0),FALSE)</f>
        <v>396</v>
      </c>
    </row>
    <row r="389" spans="1:3" ht="15">
      <c r="A389" s="81" t="s">
        <v>2327</v>
      </c>
      <c r="B389" s="102" t="s">
        <v>603</v>
      </c>
      <c r="C389" s="80">
        <f>VLOOKUP(GroupVertices[[#This Row],[Vertex]],Vertices[],MATCH("ID",Vertices[[#Headers],[Vertex]:[Top Word Pairs in Tags by Salience]],0),FALSE)</f>
        <v>395</v>
      </c>
    </row>
    <row r="390" spans="1:3" ht="15">
      <c r="A390" s="81" t="s">
        <v>2327</v>
      </c>
      <c r="B390" s="102" t="s">
        <v>602</v>
      </c>
      <c r="C390" s="80">
        <f>VLOOKUP(GroupVertices[[#This Row],[Vertex]],Vertices[],MATCH("ID",Vertices[[#Headers],[Vertex]:[Top Word Pairs in Tags by Salience]],0),FALSE)</f>
        <v>394</v>
      </c>
    </row>
    <row r="391" spans="1:3" ht="15">
      <c r="A391" s="81" t="s">
        <v>2327</v>
      </c>
      <c r="B391" s="102" t="s">
        <v>601</v>
      </c>
      <c r="C391" s="80">
        <f>VLOOKUP(GroupVertices[[#This Row],[Vertex]],Vertices[],MATCH("ID",Vertices[[#Headers],[Vertex]:[Top Word Pairs in Tags by Salience]],0),FALSE)</f>
        <v>393</v>
      </c>
    </row>
    <row r="392" spans="1:3" ht="15">
      <c r="A392" s="81" t="s">
        <v>2327</v>
      </c>
      <c r="B392" s="102" t="s">
        <v>600</v>
      </c>
      <c r="C392" s="80">
        <f>VLOOKUP(GroupVertices[[#This Row],[Vertex]],Vertices[],MATCH("ID",Vertices[[#Headers],[Vertex]:[Top Word Pairs in Tags by Salience]],0),FALSE)</f>
        <v>392</v>
      </c>
    </row>
    <row r="393" spans="1:3" ht="15">
      <c r="A393" s="81" t="s">
        <v>2327</v>
      </c>
      <c r="B393" s="102" t="s">
        <v>599</v>
      </c>
      <c r="C393" s="80">
        <f>VLOOKUP(GroupVertices[[#This Row],[Vertex]],Vertices[],MATCH("ID",Vertices[[#Headers],[Vertex]:[Top Word Pairs in Tags by Salience]],0),FALSE)</f>
        <v>391</v>
      </c>
    </row>
    <row r="394" spans="1:3" ht="15">
      <c r="A394" s="81" t="s">
        <v>2327</v>
      </c>
      <c r="B394" s="102" t="s">
        <v>598</v>
      </c>
      <c r="C394" s="80">
        <f>VLOOKUP(GroupVertices[[#This Row],[Vertex]],Vertices[],MATCH("ID",Vertices[[#Headers],[Vertex]:[Top Word Pairs in Tags by Salience]],0),FALSE)</f>
        <v>390</v>
      </c>
    </row>
    <row r="395" spans="1:3" ht="15">
      <c r="A395" s="81" t="s">
        <v>2327</v>
      </c>
      <c r="B395" s="102" t="s">
        <v>597</v>
      </c>
      <c r="C395" s="80">
        <f>VLOOKUP(GroupVertices[[#This Row],[Vertex]],Vertices[],MATCH("ID",Vertices[[#Headers],[Vertex]:[Top Word Pairs in Tags by Salience]],0),FALSE)</f>
        <v>389</v>
      </c>
    </row>
    <row r="396" spans="1:3" ht="15">
      <c r="A396" s="81" t="s">
        <v>2327</v>
      </c>
      <c r="B396" s="102" t="s">
        <v>596</v>
      </c>
      <c r="C396" s="80">
        <f>VLOOKUP(GroupVertices[[#This Row],[Vertex]],Vertices[],MATCH("ID",Vertices[[#Headers],[Vertex]:[Top Word Pairs in Tags by Salience]],0),FALSE)</f>
        <v>388</v>
      </c>
    </row>
    <row r="397" spans="1:3" ht="15">
      <c r="A397" s="81" t="s">
        <v>2327</v>
      </c>
      <c r="B397" s="102" t="s">
        <v>595</v>
      </c>
      <c r="C397" s="80">
        <f>VLOOKUP(GroupVertices[[#This Row],[Vertex]],Vertices[],MATCH("ID",Vertices[[#Headers],[Vertex]:[Top Word Pairs in Tags by Salience]],0),FALSE)</f>
        <v>387</v>
      </c>
    </row>
    <row r="398" spans="1:3" ht="15">
      <c r="A398" s="81" t="s">
        <v>2327</v>
      </c>
      <c r="B398" s="102" t="s">
        <v>594</v>
      </c>
      <c r="C398" s="80">
        <f>VLOOKUP(GroupVertices[[#This Row],[Vertex]],Vertices[],MATCH("ID",Vertices[[#Headers],[Vertex]:[Top Word Pairs in Tags by Salience]],0),FALSE)</f>
        <v>386</v>
      </c>
    </row>
    <row r="399" spans="1:3" ht="15">
      <c r="A399" s="81" t="s">
        <v>2327</v>
      </c>
      <c r="B399" s="102" t="s">
        <v>593</v>
      </c>
      <c r="C399" s="80">
        <f>VLOOKUP(GroupVertices[[#This Row],[Vertex]],Vertices[],MATCH("ID",Vertices[[#Headers],[Vertex]:[Top Word Pairs in Tags by Salience]],0),FALSE)</f>
        <v>385</v>
      </c>
    </row>
    <row r="400" spans="1:3" ht="15">
      <c r="A400" s="81" t="s">
        <v>2327</v>
      </c>
      <c r="B400" s="102" t="s">
        <v>592</v>
      </c>
      <c r="C400" s="80">
        <f>VLOOKUP(GroupVertices[[#This Row],[Vertex]],Vertices[],MATCH("ID",Vertices[[#Headers],[Vertex]:[Top Word Pairs in Tags by Salience]],0),FALSE)</f>
        <v>384</v>
      </c>
    </row>
    <row r="401" spans="1:3" ht="15">
      <c r="A401" s="81" t="s">
        <v>2327</v>
      </c>
      <c r="B401" s="102" t="s">
        <v>591</v>
      </c>
      <c r="C401" s="80">
        <f>VLOOKUP(GroupVertices[[#This Row],[Vertex]],Vertices[],MATCH("ID",Vertices[[#Headers],[Vertex]:[Top Word Pairs in Tags by Salience]],0),FALSE)</f>
        <v>383</v>
      </c>
    </row>
    <row r="402" spans="1:3" ht="15">
      <c r="A402" s="81" t="s">
        <v>2327</v>
      </c>
      <c r="B402" s="102" t="s">
        <v>590</v>
      </c>
      <c r="C402" s="80">
        <f>VLOOKUP(GroupVertices[[#This Row],[Vertex]],Vertices[],MATCH("ID",Vertices[[#Headers],[Vertex]:[Top Word Pairs in Tags by Salience]],0),FALSE)</f>
        <v>382</v>
      </c>
    </row>
  </sheetData>
  <dataValidations count="3" xWindow="58" yWindow="226">
    <dataValidation allowBlank="1" showInputMessage="1" showErrorMessage="1" promptTitle="Group Name" prompt="Enter the name of the group.  The group name must also be entered on the Groups worksheet." sqref="A2:A402"/>
    <dataValidation allowBlank="1" showInputMessage="1" showErrorMessage="1" promptTitle="Vertex Name" prompt="Enter the name of a vertex to include in the group." sqref="B2:B402"/>
    <dataValidation allowBlank="1" showInputMessage="1" promptTitle="Vertex ID" prompt="This is the value of the hidden ID cell in the Vertices worksheet.  It gets filled in by the items on the NodeXL, Analysis, Groups menu." sqref="C2:C4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3396</v>
      </c>
      <c r="B2" s="35" t="s">
        <v>2318</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392</v>
      </c>
      <c r="J2" s="38">
        <f>MIN(Vertices[Betweenness Centrality])</f>
        <v>0</v>
      </c>
      <c r="K2" s="39">
        <f>COUNTIF(Vertices[Betweenness Centrality],"&gt;= "&amp;J2)-COUNTIF(Vertices[Betweenness Centrality],"&gt;="&amp;J3)</f>
        <v>385</v>
      </c>
      <c r="L2" s="38">
        <f>MIN(Vertices[Closeness Centrality])</f>
        <v>0.000728</v>
      </c>
      <c r="M2" s="39">
        <f>COUNTIF(Vertices[Closeness Centrality],"&gt;= "&amp;L2)-COUNTIF(Vertices[Closeness Centrality],"&gt;="&amp;L3)</f>
        <v>378</v>
      </c>
      <c r="N2" s="38">
        <f>MIN(Vertices[Eigenvector Centrality])</f>
        <v>0</v>
      </c>
      <c r="O2" s="39">
        <f>COUNTIF(Vertices[Eigenvector Centrality],"&gt;= "&amp;N2)-COUNTIF(Vertices[Eigenvector Centrality],"&gt;="&amp;N3)</f>
        <v>90</v>
      </c>
      <c r="P2" s="38">
        <f>MIN(Vertices[PageRank])</f>
        <v>0.392961</v>
      </c>
      <c r="Q2" s="39">
        <f>COUNTIF(Vertices[PageRank],"&gt;= "&amp;P2)-COUNTIF(Vertices[PageRank],"&gt;="&amp;P3)</f>
        <v>373</v>
      </c>
      <c r="R2" s="38">
        <f>MIN(Vertices[Clustering Coefficient])</f>
        <v>0</v>
      </c>
      <c r="S2" s="44">
        <f>COUNTIF(Vertices[Clustering Coefficient],"&gt;= "&amp;R2)-COUNTIF(Vertices[Clustering Coefficient],"&gt;="&amp;R3)</f>
        <v>331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0"/>
      <c r="B3" s="110"/>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2.676470588235294</v>
      </c>
      <c r="I3" s="41">
        <f>COUNTIF(Vertices[Out-Degree],"&gt;= "&amp;H3)-COUNTIF(Vertices[Out-Degree],"&gt;="&amp;H4)</f>
        <v>0</v>
      </c>
      <c r="J3" s="40">
        <f aca="true" t="shared" si="4" ref="J3:J35">J2+($J$36-$J$2)/BinDivisor</f>
        <v>1072.836762617647</v>
      </c>
      <c r="K3" s="41">
        <f>COUNTIF(Vertices[Betweenness Centrality],"&gt;= "&amp;J3)-COUNTIF(Vertices[Betweenness Centrality],"&gt;="&amp;J4)</f>
        <v>5</v>
      </c>
      <c r="L3" s="40">
        <f aca="true" t="shared" si="5" ref="L3:L35">L2+($L$36-$L$2)/BinDivisor</f>
        <v>0.0020435</v>
      </c>
      <c r="M3" s="41">
        <f>COUNTIF(Vertices[Closeness Centrality],"&gt;= "&amp;L3)-COUNTIF(Vertices[Closeness Centrality],"&gt;="&amp;L4)</f>
        <v>0</v>
      </c>
      <c r="N3" s="40">
        <f aca="true" t="shared" si="6" ref="N3:N35">N2+($N$36-$N$2)/BinDivisor</f>
        <v>0.0009047058823529412</v>
      </c>
      <c r="O3" s="41">
        <f>COUNTIF(Vertices[Eigenvector Centrality],"&gt;= "&amp;N3)-COUNTIF(Vertices[Eigenvector Centrality],"&gt;="&amp;N4)</f>
        <v>146</v>
      </c>
      <c r="P3" s="40">
        <f aca="true" t="shared" si="7" ref="P3:P35">P2+($P$36-$P$2)/BinDivisor</f>
        <v>1.184182794117647</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401</v>
      </c>
      <c r="D4" s="33">
        <f t="shared" si="1"/>
        <v>0</v>
      </c>
      <c r="E4" s="3">
        <f>COUNTIF(Vertices[Degree],"&gt;= "&amp;D4)-COUNTIF(Vertices[Degree],"&gt;="&amp;D5)</f>
        <v>0</v>
      </c>
      <c r="F4" s="38">
        <f t="shared" si="2"/>
        <v>0.47058823529411764</v>
      </c>
      <c r="G4" s="39">
        <f>COUNTIF(Vertices[In-Degree],"&gt;= "&amp;F4)-COUNTIF(Vertices[In-Degree],"&gt;="&amp;F5)</f>
        <v>0</v>
      </c>
      <c r="H4" s="38">
        <f t="shared" si="3"/>
        <v>5.352941176470588</v>
      </c>
      <c r="I4" s="39">
        <f>COUNTIF(Vertices[Out-Degree],"&gt;= "&amp;H4)-COUNTIF(Vertices[Out-Degree],"&gt;="&amp;H5)</f>
        <v>0</v>
      </c>
      <c r="J4" s="38">
        <f t="shared" si="4"/>
        <v>2145.673525235294</v>
      </c>
      <c r="K4" s="39">
        <f>COUNTIF(Vertices[Betweenness Centrality],"&gt;= "&amp;J4)-COUNTIF(Vertices[Betweenness Centrality],"&gt;="&amp;J5)</f>
        <v>0</v>
      </c>
      <c r="L4" s="38">
        <f t="shared" si="5"/>
        <v>0.003359</v>
      </c>
      <c r="M4" s="39">
        <f>COUNTIF(Vertices[Closeness Centrality],"&gt;= "&amp;L4)-COUNTIF(Vertices[Closeness Centrality],"&gt;="&amp;L5)</f>
        <v>0</v>
      </c>
      <c r="N4" s="38">
        <f t="shared" si="6"/>
        <v>0.0018094117647058823</v>
      </c>
      <c r="O4" s="39">
        <f>COUNTIF(Vertices[Eigenvector Centrality],"&gt;= "&amp;N4)-COUNTIF(Vertices[Eigenvector Centrality],"&gt;="&amp;N5)</f>
        <v>86</v>
      </c>
      <c r="P4" s="38">
        <f t="shared" si="7"/>
        <v>1.9754045882352942</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0.7058823529411764</v>
      </c>
      <c r="G5" s="41">
        <f>COUNTIF(Vertices[In-Degree],"&gt;= "&amp;F5)-COUNTIF(Vertices[In-Degree],"&gt;="&amp;F6)</f>
        <v>0</v>
      </c>
      <c r="H5" s="40">
        <f t="shared" si="3"/>
        <v>8.029411764705882</v>
      </c>
      <c r="I5" s="41">
        <f>COUNTIF(Vertices[Out-Degree],"&gt;= "&amp;H5)-COUNTIF(Vertices[Out-Degree],"&gt;="&amp;H6)</f>
        <v>0</v>
      </c>
      <c r="J5" s="40">
        <f t="shared" si="4"/>
        <v>3218.5102878529415</v>
      </c>
      <c r="K5" s="41">
        <f>COUNTIF(Vertices[Betweenness Centrality],"&gt;= "&amp;J5)-COUNTIF(Vertices[Betweenness Centrality],"&gt;="&amp;J6)</f>
        <v>0</v>
      </c>
      <c r="L5" s="40">
        <f t="shared" si="5"/>
        <v>0.0046745</v>
      </c>
      <c r="M5" s="41">
        <f>COUNTIF(Vertices[Closeness Centrality],"&gt;= "&amp;L5)-COUNTIF(Vertices[Closeness Centrality],"&gt;="&amp;L6)</f>
        <v>0</v>
      </c>
      <c r="N5" s="40">
        <f t="shared" si="6"/>
        <v>0.0027141176470588235</v>
      </c>
      <c r="O5" s="41">
        <f>COUNTIF(Vertices[Eigenvector Centrality],"&gt;= "&amp;N5)-COUNTIF(Vertices[Eigenvector Centrality],"&gt;="&amp;N6)</f>
        <v>21</v>
      </c>
      <c r="P5" s="40">
        <f t="shared" si="7"/>
        <v>2.7666263823529413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608</v>
      </c>
      <c r="D6" s="33">
        <f t="shared" si="1"/>
        <v>0</v>
      </c>
      <c r="E6" s="3">
        <f>COUNTIF(Vertices[Degree],"&gt;= "&amp;D6)-COUNTIF(Vertices[Degree],"&gt;="&amp;D7)</f>
        <v>0</v>
      </c>
      <c r="F6" s="38">
        <f t="shared" si="2"/>
        <v>0.9411764705882353</v>
      </c>
      <c r="G6" s="39">
        <f>COUNTIF(Vertices[In-Degree],"&gt;= "&amp;F6)-COUNTIF(Vertices[In-Degree],"&gt;="&amp;F7)</f>
        <v>309</v>
      </c>
      <c r="H6" s="38">
        <f t="shared" si="3"/>
        <v>10.705882352941176</v>
      </c>
      <c r="I6" s="39">
        <f>COUNTIF(Vertices[Out-Degree],"&gt;= "&amp;H6)-COUNTIF(Vertices[Out-Degree],"&gt;="&amp;H7)</f>
        <v>0</v>
      </c>
      <c r="J6" s="38">
        <f t="shared" si="4"/>
        <v>4291.347050470588</v>
      </c>
      <c r="K6" s="39">
        <f>COUNTIF(Vertices[Betweenness Centrality],"&gt;= "&amp;J6)-COUNTIF(Vertices[Betweenness Centrality],"&gt;="&amp;J7)</f>
        <v>2</v>
      </c>
      <c r="L6" s="38">
        <f t="shared" si="5"/>
        <v>0.00599</v>
      </c>
      <c r="M6" s="39">
        <f>COUNTIF(Vertices[Closeness Centrality],"&gt;= "&amp;L6)-COUNTIF(Vertices[Closeness Centrality],"&gt;="&amp;L7)</f>
        <v>0</v>
      </c>
      <c r="N6" s="38">
        <f t="shared" si="6"/>
        <v>0.0036188235294117646</v>
      </c>
      <c r="O6" s="39">
        <f>COUNTIF(Vertices[Eigenvector Centrality],"&gt;= "&amp;N6)-COUNTIF(Vertices[Eigenvector Centrality],"&gt;="&amp;N7)</f>
        <v>10</v>
      </c>
      <c r="P6" s="38">
        <f t="shared" si="7"/>
        <v>3.5578481764705883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1.1764705882352942</v>
      </c>
      <c r="G7" s="41">
        <f>COUNTIF(Vertices[In-Degree],"&gt;= "&amp;F7)-COUNTIF(Vertices[In-Degree],"&gt;="&amp;F8)</f>
        <v>0</v>
      </c>
      <c r="H7" s="40">
        <f t="shared" si="3"/>
        <v>13.38235294117647</v>
      </c>
      <c r="I7" s="41">
        <f>COUNTIF(Vertices[Out-Degree],"&gt;= "&amp;H7)-COUNTIF(Vertices[Out-Degree],"&gt;="&amp;H8)</f>
        <v>0</v>
      </c>
      <c r="J7" s="40">
        <f t="shared" si="4"/>
        <v>5364.183813088235</v>
      </c>
      <c r="K7" s="41">
        <f>COUNTIF(Vertices[Betweenness Centrality],"&gt;= "&amp;J7)-COUNTIF(Vertices[Betweenness Centrality],"&gt;="&amp;J8)</f>
        <v>0</v>
      </c>
      <c r="L7" s="40">
        <f t="shared" si="5"/>
        <v>0.0073054999999999995</v>
      </c>
      <c r="M7" s="41">
        <f>COUNTIF(Vertices[Closeness Centrality],"&gt;= "&amp;L7)-COUNTIF(Vertices[Closeness Centrality],"&gt;="&amp;L8)</f>
        <v>0</v>
      </c>
      <c r="N7" s="40">
        <f t="shared" si="6"/>
        <v>0.004523529411764706</v>
      </c>
      <c r="O7" s="41">
        <f>COUNTIF(Vertices[Eigenvector Centrality],"&gt;= "&amp;N7)-COUNTIF(Vertices[Eigenvector Centrality],"&gt;="&amp;N8)</f>
        <v>16</v>
      </c>
      <c r="P7" s="40">
        <f t="shared" si="7"/>
        <v>4.349069970588236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608</v>
      </c>
      <c r="D8" s="33">
        <f t="shared" si="1"/>
        <v>0</v>
      </c>
      <c r="E8" s="3">
        <f>COUNTIF(Vertices[Degree],"&gt;= "&amp;D8)-COUNTIF(Vertices[Degree],"&gt;="&amp;D9)</f>
        <v>0</v>
      </c>
      <c r="F8" s="38">
        <f t="shared" si="2"/>
        <v>1.411764705882353</v>
      </c>
      <c r="G8" s="39">
        <f>COUNTIF(Vertices[In-Degree],"&gt;= "&amp;F8)-COUNTIF(Vertices[In-Degree],"&gt;="&amp;F9)</f>
        <v>0</v>
      </c>
      <c r="H8" s="38">
        <f t="shared" si="3"/>
        <v>16.058823529411764</v>
      </c>
      <c r="I8" s="39">
        <f>COUNTIF(Vertices[Out-Degree],"&gt;= "&amp;H8)-COUNTIF(Vertices[Out-Degree],"&gt;="&amp;H9)</f>
        <v>0</v>
      </c>
      <c r="J8" s="38">
        <f t="shared" si="4"/>
        <v>6437.020575705882</v>
      </c>
      <c r="K8" s="39">
        <f>COUNTIF(Vertices[Betweenness Centrality],"&gt;= "&amp;J8)-COUNTIF(Vertices[Betweenness Centrality],"&gt;="&amp;J9)</f>
        <v>0</v>
      </c>
      <c r="L8" s="38">
        <f t="shared" si="5"/>
        <v>0.008621</v>
      </c>
      <c r="M8" s="39">
        <f>COUNTIF(Vertices[Closeness Centrality],"&gt;= "&amp;L8)-COUNTIF(Vertices[Closeness Centrality],"&gt;="&amp;L9)</f>
        <v>0</v>
      </c>
      <c r="N8" s="38">
        <f t="shared" si="6"/>
        <v>0.005428235294117647</v>
      </c>
      <c r="O8" s="39">
        <f>COUNTIF(Vertices[Eigenvector Centrality],"&gt;= "&amp;N8)-COUNTIF(Vertices[Eigenvector Centrality],"&gt;="&amp;N9)</f>
        <v>0</v>
      </c>
      <c r="P8" s="38">
        <f t="shared" si="7"/>
        <v>5.140291764705883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0"/>
      <c r="B9" s="110"/>
      <c r="D9" s="33">
        <f t="shared" si="1"/>
        <v>0</v>
      </c>
      <c r="E9" s="3">
        <f>COUNTIF(Vertices[Degree],"&gt;= "&amp;D9)-COUNTIF(Vertices[Degree],"&gt;="&amp;D10)</f>
        <v>0</v>
      </c>
      <c r="F9" s="40">
        <f t="shared" si="2"/>
        <v>1.647058823529412</v>
      </c>
      <c r="G9" s="41">
        <f>COUNTIF(Vertices[In-Degree],"&gt;= "&amp;F9)-COUNTIF(Vertices[In-Degree],"&gt;="&amp;F10)</f>
        <v>0</v>
      </c>
      <c r="H9" s="40">
        <f t="shared" si="3"/>
        <v>18.735294117647058</v>
      </c>
      <c r="I9" s="41">
        <f>COUNTIF(Vertices[Out-Degree],"&gt;= "&amp;H9)-COUNTIF(Vertices[Out-Degree],"&gt;="&amp;H10)</f>
        <v>0</v>
      </c>
      <c r="J9" s="40">
        <f t="shared" si="4"/>
        <v>7509.857338323529</v>
      </c>
      <c r="K9" s="41">
        <f>COUNTIF(Vertices[Betweenness Centrality],"&gt;= "&amp;J9)-COUNTIF(Vertices[Betweenness Centrality],"&gt;="&amp;J10)</f>
        <v>0</v>
      </c>
      <c r="L9" s="40">
        <f t="shared" si="5"/>
        <v>0.009936500000000001</v>
      </c>
      <c r="M9" s="41">
        <f>COUNTIF(Vertices[Closeness Centrality],"&gt;= "&amp;L9)-COUNTIF(Vertices[Closeness Centrality],"&gt;="&amp;L10)</f>
        <v>0</v>
      </c>
      <c r="N9" s="40">
        <f t="shared" si="6"/>
        <v>0.006332941176470588</v>
      </c>
      <c r="O9" s="41">
        <f>COUNTIF(Vertices[Eigenvector Centrality],"&gt;= "&amp;N9)-COUNTIF(Vertices[Eigenvector Centrality],"&gt;="&amp;N10)</f>
        <v>9</v>
      </c>
      <c r="P9" s="40">
        <f t="shared" si="7"/>
        <v>5.93151355882353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1.8823529411764708</v>
      </c>
      <c r="G10" s="39">
        <f>COUNTIF(Vertices[In-Degree],"&gt;= "&amp;F10)-COUNTIF(Vertices[In-Degree],"&gt;="&amp;F11)</f>
        <v>34</v>
      </c>
      <c r="H10" s="38">
        <f t="shared" si="3"/>
        <v>21.41176470588235</v>
      </c>
      <c r="I10" s="39">
        <f>COUNTIF(Vertices[Out-Degree],"&gt;= "&amp;H10)-COUNTIF(Vertices[Out-Degree],"&gt;="&amp;H11)</f>
        <v>1</v>
      </c>
      <c r="J10" s="38">
        <f t="shared" si="4"/>
        <v>8582.694100941177</v>
      </c>
      <c r="K10" s="39">
        <f>COUNTIF(Vertices[Betweenness Centrality],"&gt;= "&amp;J10)-COUNTIF(Vertices[Betweenness Centrality],"&gt;="&amp;J11)</f>
        <v>0</v>
      </c>
      <c r="L10" s="38">
        <f t="shared" si="5"/>
        <v>0.011252000000000002</v>
      </c>
      <c r="M10" s="39">
        <f>COUNTIF(Vertices[Closeness Centrality],"&gt;= "&amp;L10)-COUNTIF(Vertices[Closeness Centrality],"&gt;="&amp;L11)</f>
        <v>0</v>
      </c>
      <c r="N10" s="38">
        <f t="shared" si="6"/>
        <v>0.007237647058823529</v>
      </c>
      <c r="O10" s="39">
        <f>COUNTIF(Vertices[Eigenvector Centrality],"&gt;= "&amp;N10)-COUNTIF(Vertices[Eigenvector Centrality],"&gt;="&amp;N11)</f>
        <v>1</v>
      </c>
      <c r="P10" s="38">
        <f t="shared" si="7"/>
        <v>6.722735352941178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0"/>
      <c r="B11" s="110"/>
      <c r="D11" s="33">
        <f t="shared" si="1"/>
        <v>0</v>
      </c>
      <c r="E11" s="3">
        <f>COUNTIF(Vertices[Degree],"&gt;= "&amp;D11)-COUNTIF(Vertices[Degree],"&gt;="&amp;D12)</f>
        <v>0</v>
      </c>
      <c r="F11" s="40">
        <f t="shared" si="2"/>
        <v>2.1176470588235294</v>
      </c>
      <c r="G11" s="41">
        <f>COUNTIF(Vertices[In-Degree],"&gt;= "&amp;F11)-COUNTIF(Vertices[In-Degree],"&gt;="&amp;F12)</f>
        <v>0</v>
      </c>
      <c r="H11" s="40">
        <f t="shared" si="3"/>
        <v>24.088235294117645</v>
      </c>
      <c r="I11" s="41">
        <f>COUNTIF(Vertices[Out-Degree],"&gt;= "&amp;H11)-COUNTIF(Vertices[Out-Degree],"&gt;="&amp;H12)</f>
        <v>0</v>
      </c>
      <c r="J11" s="40">
        <f t="shared" si="4"/>
        <v>9655.530863558824</v>
      </c>
      <c r="K11" s="41">
        <f>COUNTIF(Vertices[Betweenness Centrality],"&gt;= "&amp;J11)-COUNTIF(Vertices[Betweenness Centrality],"&gt;="&amp;J12)</f>
        <v>0</v>
      </c>
      <c r="L11" s="40">
        <f t="shared" si="5"/>
        <v>0.012567500000000002</v>
      </c>
      <c r="M11" s="41">
        <f>COUNTIF(Vertices[Closeness Centrality],"&gt;= "&amp;L11)-COUNTIF(Vertices[Closeness Centrality],"&gt;="&amp;L12)</f>
        <v>0</v>
      </c>
      <c r="N11" s="40">
        <f t="shared" si="6"/>
        <v>0.00814235294117647</v>
      </c>
      <c r="O11" s="41">
        <f>COUNTIF(Vertices[Eigenvector Centrality],"&gt;= "&amp;N11)-COUNTIF(Vertices[Eigenvector Centrality],"&gt;="&amp;N12)</f>
        <v>8</v>
      </c>
      <c r="P11" s="40">
        <f t="shared" si="7"/>
        <v>7.513957147058825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0.016722408026755852</v>
      </c>
      <c r="D12" s="33">
        <f t="shared" si="1"/>
        <v>0</v>
      </c>
      <c r="E12" s="3">
        <f>COUNTIF(Vertices[Degree],"&gt;= "&amp;D12)-COUNTIF(Vertices[Degree],"&gt;="&amp;D13)</f>
        <v>0</v>
      </c>
      <c r="F12" s="38">
        <f t="shared" si="2"/>
        <v>2.3529411764705883</v>
      </c>
      <c r="G12" s="39">
        <f>COUNTIF(Vertices[In-Degree],"&gt;= "&amp;F12)-COUNTIF(Vertices[In-Degree],"&gt;="&amp;F13)</f>
        <v>0</v>
      </c>
      <c r="H12" s="38">
        <f t="shared" si="3"/>
        <v>26.76470588235294</v>
      </c>
      <c r="I12" s="39">
        <f>COUNTIF(Vertices[Out-Degree],"&gt;= "&amp;H12)-COUNTIF(Vertices[Out-Degree],"&gt;="&amp;H13)</f>
        <v>0</v>
      </c>
      <c r="J12" s="38">
        <f t="shared" si="4"/>
        <v>10728.367626176472</v>
      </c>
      <c r="K12" s="39">
        <f>COUNTIF(Vertices[Betweenness Centrality],"&gt;= "&amp;J12)-COUNTIF(Vertices[Betweenness Centrality],"&gt;="&amp;J13)</f>
        <v>0</v>
      </c>
      <c r="L12" s="38">
        <f t="shared" si="5"/>
        <v>0.013883000000000003</v>
      </c>
      <c r="M12" s="39">
        <f>COUNTIF(Vertices[Closeness Centrality],"&gt;= "&amp;L12)-COUNTIF(Vertices[Closeness Centrality],"&gt;="&amp;L13)</f>
        <v>0</v>
      </c>
      <c r="N12" s="38">
        <f t="shared" si="6"/>
        <v>0.009047058823529412</v>
      </c>
      <c r="O12" s="39">
        <f>COUNTIF(Vertices[Eigenvector Centrality],"&gt;= "&amp;N12)-COUNTIF(Vertices[Eigenvector Centrality],"&gt;="&amp;N13)</f>
        <v>1</v>
      </c>
      <c r="P12" s="38">
        <f t="shared" si="7"/>
        <v>8.305178941176472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0.03289473684210526</v>
      </c>
      <c r="D13" s="33">
        <f t="shared" si="1"/>
        <v>0</v>
      </c>
      <c r="E13" s="3">
        <f>COUNTIF(Vertices[Degree],"&gt;= "&amp;D13)-COUNTIF(Vertices[Degree],"&gt;="&amp;D14)</f>
        <v>0</v>
      </c>
      <c r="F13" s="40">
        <f t="shared" si="2"/>
        <v>2.588235294117647</v>
      </c>
      <c r="G13" s="41">
        <f>COUNTIF(Vertices[In-Degree],"&gt;= "&amp;F13)-COUNTIF(Vertices[In-Degree],"&gt;="&amp;F14)</f>
        <v>0</v>
      </c>
      <c r="H13" s="40">
        <f t="shared" si="3"/>
        <v>29.441176470588232</v>
      </c>
      <c r="I13" s="41">
        <f>COUNTIF(Vertices[Out-Degree],"&gt;= "&amp;H13)-COUNTIF(Vertices[Out-Degree],"&gt;="&amp;H14)</f>
        <v>0</v>
      </c>
      <c r="J13" s="40">
        <f t="shared" si="4"/>
        <v>11801.20438879412</v>
      </c>
      <c r="K13" s="41">
        <f>COUNTIF(Vertices[Betweenness Centrality],"&gt;= "&amp;J13)-COUNTIF(Vertices[Betweenness Centrality],"&gt;="&amp;J14)</f>
        <v>1</v>
      </c>
      <c r="L13" s="40">
        <f t="shared" si="5"/>
        <v>0.015198500000000004</v>
      </c>
      <c r="M13" s="41">
        <f>COUNTIF(Vertices[Closeness Centrality],"&gt;= "&amp;L13)-COUNTIF(Vertices[Closeness Centrality],"&gt;="&amp;L14)</f>
        <v>0</v>
      </c>
      <c r="N13" s="40">
        <f t="shared" si="6"/>
        <v>0.009951764705882353</v>
      </c>
      <c r="O13" s="41">
        <f>COUNTIF(Vertices[Eigenvector Centrality],"&gt;= "&amp;N13)-COUNTIF(Vertices[Eigenvector Centrality],"&gt;="&amp;N14)</f>
        <v>5</v>
      </c>
      <c r="P13" s="40">
        <f t="shared" si="7"/>
        <v>9.096400735294118</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110"/>
      <c r="B14" s="110"/>
      <c r="D14" s="33">
        <f t="shared" si="1"/>
        <v>0</v>
      </c>
      <c r="E14" s="3">
        <f>COUNTIF(Vertices[Degree],"&gt;= "&amp;D14)-COUNTIF(Vertices[Degree],"&gt;="&amp;D15)</f>
        <v>0</v>
      </c>
      <c r="F14" s="38">
        <f t="shared" si="2"/>
        <v>2.823529411764706</v>
      </c>
      <c r="G14" s="39">
        <f>COUNTIF(Vertices[In-Degree],"&gt;= "&amp;F14)-COUNTIF(Vertices[In-Degree],"&gt;="&amp;F15)</f>
        <v>23</v>
      </c>
      <c r="H14" s="38">
        <f t="shared" si="3"/>
        <v>32.11764705882353</v>
      </c>
      <c r="I14" s="39">
        <f>COUNTIF(Vertices[Out-Degree],"&gt;= "&amp;H14)-COUNTIF(Vertices[Out-Degree],"&gt;="&amp;H15)</f>
        <v>0</v>
      </c>
      <c r="J14" s="38">
        <f t="shared" si="4"/>
        <v>12874.041151411768</v>
      </c>
      <c r="K14" s="39">
        <f>COUNTIF(Vertices[Betweenness Centrality],"&gt;= "&amp;J14)-COUNTIF(Vertices[Betweenness Centrality],"&gt;="&amp;J15)</f>
        <v>0</v>
      </c>
      <c r="L14" s="38">
        <f t="shared" si="5"/>
        <v>0.016514000000000004</v>
      </c>
      <c r="M14" s="39">
        <f>COUNTIF(Vertices[Closeness Centrality],"&gt;= "&amp;L14)-COUNTIF(Vertices[Closeness Centrality],"&gt;="&amp;L15)</f>
        <v>0</v>
      </c>
      <c r="N14" s="38">
        <f t="shared" si="6"/>
        <v>0.010856470588235294</v>
      </c>
      <c r="O14" s="39">
        <f>COUNTIF(Vertices[Eigenvector Centrality],"&gt;= "&amp;N14)-COUNTIF(Vertices[Eigenvector Centrality],"&gt;="&amp;N15)</f>
        <v>1</v>
      </c>
      <c r="P14" s="38">
        <f t="shared" si="7"/>
        <v>9.887622529411765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152</v>
      </c>
      <c r="B15" s="35">
        <v>2</v>
      </c>
      <c r="D15" s="33">
        <f t="shared" si="1"/>
        <v>0</v>
      </c>
      <c r="E15" s="3">
        <f>COUNTIF(Vertices[Degree],"&gt;= "&amp;D15)-COUNTIF(Vertices[Degree],"&gt;="&amp;D16)</f>
        <v>0</v>
      </c>
      <c r="F15" s="40">
        <f t="shared" si="2"/>
        <v>3.058823529411765</v>
      </c>
      <c r="G15" s="41">
        <f>COUNTIF(Vertices[In-Degree],"&gt;= "&amp;F15)-COUNTIF(Vertices[In-Degree],"&gt;="&amp;F16)</f>
        <v>0</v>
      </c>
      <c r="H15" s="40">
        <f t="shared" si="3"/>
        <v>34.794117647058826</v>
      </c>
      <c r="I15" s="41">
        <f>COUNTIF(Vertices[Out-Degree],"&gt;= "&amp;H15)-COUNTIF(Vertices[Out-Degree],"&gt;="&amp;H16)</f>
        <v>0</v>
      </c>
      <c r="J15" s="40">
        <f t="shared" si="4"/>
        <v>13946.877914029415</v>
      </c>
      <c r="K15" s="41">
        <f>COUNTIF(Vertices[Betweenness Centrality],"&gt;= "&amp;J15)-COUNTIF(Vertices[Betweenness Centrality],"&gt;="&amp;J16)</f>
        <v>0</v>
      </c>
      <c r="L15" s="40">
        <f t="shared" si="5"/>
        <v>0.017829500000000005</v>
      </c>
      <c r="M15" s="41">
        <f>COUNTIF(Vertices[Closeness Centrality],"&gt;= "&amp;L15)-COUNTIF(Vertices[Closeness Centrality],"&gt;="&amp;L16)</f>
        <v>0</v>
      </c>
      <c r="N15" s="40">
        <f t="shared" si="6"/>
        <v>0.011761176470588235</v>
      </c>
      <c r="O15" s="41">
        <f>COUNTIF(Vertices[Eigenvector Centrality],"&gt;= "&amp;N15)-COUNTIF(Vertices[Eigenvector Centrality],"&gt;="&amp;N16)</f>
        <v>0</v>
      </c>
      <c r="P15" s="40">
        <f t="shared" si="7"/>
        <v>10.678844323529411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3.294117647058824</v>
      </c>
      <c r="G16" s="39">
        <f>COUNTIF(Vertices[In-Degree],"&gt;= "&amp;F16)-COUNTIF(Vertices[In-Degree],"&gt;="&amp;F17)</f>
        <v>0</v>
      </c>
      <c r="H16" s="38">
        <f t="shared" si="3"/>
        <v>37.47058823529412</v>
      </c>
      <c r="I16" s="39">
        <f>COUNTIF(Vertices[Out-Degree],"&gt;= "&amp;H16)-COUNTIF(Vertices[Out-Degree],"&gt;="&amp;H17)</f>
        <v>0</v>
      </c>
      <c r="J16" s="38">
        <f t="shared" si="4"/>
        <v>15019.714676647063</v>
      </c>
      <c r="K16" s="39">
        <f>COUNTIF(Vertices[Betweenness Centrality],"&gt;= "&amp;J16)-COUNTIF(Vertices[Betweenness Centrality],"&gt;="&amp;J17)</f>
        <v>0</v>
      </c>
      <c r="L16" s="38">
        <f t="shared" si="5"/>
        <v>0.019145000000000006</v>
      </c>
      <c r="M16" s="39">
        <f>COUNTIF(Vertices[Closeness Centrality],"&gt;= "&amp;L16)-COUNTIF(Vertices[Closeness Centrality],"&gt;="&amp;L17)</f>
        <v>0</v>
      </c>
      <c r="N16" s="38">
        <f t="shared" si="6"/>
        <v>0.012665882352941176</v>
      </c>
      <c r="O16" s="39">
        <f>COUNTIF(Vertices[Eigenvector Centrality],"&gt;= "&amp;N16)-COUNTIF(Vertices[Eigenvector Centrality],"&gt;="&amp;N17)</f>
        <v>1</v>
      </c>
      <c r="P16" s="38">
        <f t="shared" si="7"/>
        <v>11.470066117647058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378</v>
      </c>
      <c r="D17" s="33">
        <f t="shared" si="1"/>
        <v>0</v>
      </c>
      <c r="E17" s="3">
        <f>COUNTIF(Vertices[Degree],"&gt;= "&amp;D17)-COUNTIF(Vertices[Degree],"&gt;="&amp;D18)</f>
        <v>0</v>
      </c>
      <c r="F17" s="40">
        <f t="shared" si="2"/>
        <v>3.5294117647058827</v>
      </c>
      <c r="G17" s="41">
        <f>COUNTIF(Vertices[In-Degree],"&gt;= "&amp;F17)-COUNTIF(Vertices[In-Degree],"&gt;="&amp;F18)</f>
        <v>0</v>
      </c>
      <c r="H17" s="40">
        <f t="shared" si="3"/>
        <v>40.14705882352942</v>
      </c>
      <c r="I17" s="41">
        <f>COUNTIF(Vertices[Out-Degree],"&gt;= "&amp;H17)-COUNTIF(Vertices[Out-Degree],"&gt;="&amp;H18)</f>
        <v>0</v>
      </c>
      <c r="J17" s="40">
        <f t="shared" si="4"/>
        <v>16092.551439264711</v>
      </c>
      <c r="K17" s="41">
        <f>COUNTIF(Vertices[Betweenness Centrality],"&gt;= "&amp;J17)-COUNTIF(Vertices[Betweenness Centrality],"&gt;="&amp;J18)</f>
        <v>0</v>
      </c>
      <c r="L17" s="40">
        <f t="shared" si="5"/>
        <v>0.020460500000000006</v>
      </c>
      <c r="M17" s="41">
        <f>COUNTIF(Vertices[Closeness Centrality],"&gt;= "&amp;L17)-COUNTIF(Vertices[Closeness Centrality],"&gt;="&amp;L18)</f>
        <v>0</v>
      </c>
      <c r="N17" s="40">
        <f t="shared" si="6"/>
        <v>0.013570588235294117</v>
      </c>
      <c r="O17" s="41">
        <f>COUNTIF(Vertices[Eigenvector Centrality],"&gt;= "&amp;N17)-COUNTIF(Vertices[Eigenvector Centrality],"&gt;="&amp;N18)</f>
        <v>0</v>
      </c>
      <c r="P17" s="40">
        <f t="shared" si="7"/>
        <v>12.261287911764704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155</v>
      </c>
      <c r="B18" s="35">
        <v>586</v>
      </c>
      <c r="D18" s="33">
        <f t="shared" si="1"/>
        <v>0</v>
      </c>
      <c r="E18" s="3">
        <f>COUNTIF(Vertices[Degree],"&gt;= "&amp;D18)-COUNTIF(Vertices[Degree],"&gt;="&amp;D19)</f>
        <v>0</v>
      </c>
      <c r="F18" s="38">
        <f t="shared" si="2"/>
        <v>3.7647058823529416</v>
      </c>
      <c r="G18" s="39">
        <f>COUNTIF(Vertices[In-Degree],"&gt;= "&amp;F18)-COUNTIF(Vertices[In-Degree],"&gt;="&amp;F19)</f>
        <v>0</v>
      </c>
      <c r="H18" s="38">
        <f t="shared" si="3"/>
        <v>42.82352941176472</v>
      </c>
      <c r="I18" s="39">
        <f>COUNTIF(Vertices[Out-Degree],"&gt;= "&amp;H18)-COUNTIF(Vertices[Out-Degree],"&gt;="&amp;H19)</f>
        <v>1</v>
      </c>
      <c r="J18" s="38">
        <f t="shared" si="4"/>
        <v>17165.388201882357</v>
      </c>
      <c r="K18" s="39">
        <f>COUNTIF(Vertices[Betweenness Centrality],"&gt;= "&amp;J18)-COUNTIF(Vertices[Betweenness Centrality],"&gt;="&amp;J19)</f>
        <v>1</v>
      </c>
      <c r="L18" s="38">
        <f t="shared" si="5"/>
        <v>0.021776000000000007</v>
      </c>
      <c r="M18" s="39">
        <f>COUNTIF(Vertices[Closeness Centrality],"&gt;= "&amp;L18)-COUNTIF(Vertices[Closeness Centrality],"&gt;="&amp;L19)</f>
        <v>0</v>
      </c>
      <c r="N18" s="38">
        <f t="shared" si="6"/>
        <v>0.014475294117647058</v>
      </c>
      <c r="O18" s="39">
        <f>COUNTIF(Vertices[Eigenvector Centrality],"&gt;= "&amp;N18)-COUNTIF(Vertices[Eigenvector Centrality],"&gt;="&amp;N19)</f>
        <v>0</v>
      </c>
      <c r="P18" s="38">
        <f t="shared" si="7"/>
        <v>13.05250970588235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0"/>
      <c r="B19" s="110"/>
      <c r="D19" s="33">
        <f t="shared" si="1"/>
        <v>0</v>
      </c>
      <c r="E19" s="3">
        <f>COUNTIF(Vertices[Degree],"&gt;= "&amp;D19)-COUNTIF(Vertices[Degree],"&gt;="&amp;D20)</f>
        <v>0</v>
      </c>
      <c r="F19" s="40">
        <f t="shared" si="2"/>
        <v>4</v>
      </c>
      <c r="G19" s="41">
        <f>COUNTIF(Vertices[In-Degree],"&gt;= "&amp;F19)-COUNTIF(Vertices[In-Degree],"&gt;="&amp;F20)</f>
        <v>8</v>
      </c>
      <c r="H19" s="40">
        <f t="shared" si="3"/>
        <v>45.500000000000014</v>
      </c>
      <c r="I19" s="41">
        <f>COUNTIF(Vertices[Out-Degree],"&gt;= "&amp;H19)-COUNTIF(Vertices[Out-Degree],"&gt;="&amp;H20)</f>
        <v>0</v>
      </c>
      <c r="J19" s="40">
        <f t="shared" si="4"/>
        <v>18238.224964500005</v>
      </c>
      <c r="K19" s="41">
        <f>COUNTIF(Vertices[Betweenness Centrality],"&gt;= "&amp;J19)-COUNTIF(Vertices[Betweenness Centrality],"&gt;="&amp;J20)</f>
        <v>0</v>
      </c>
      <c r="L19" s="40">
        <f t="shared" si="5"/>
        <v>0.023091500000000008</v>
      </c>
      <c r="M19" s="41">
        <f>COUNTIF(Vertices[Closeness Centrality],"&gt;= "&amp;L19)-COUNTIF(Vertices[Closeness Centrality],"&gt;="&amp;L20)</f>
        <v>22</v>
      </c>
      <c r="N19" s="40">
        <f t="shared" si="6"/>
        <v>0.01538</v>
      </c>
      <c r="O19" s="41">
        <f>COUNTIF(Vertices[Eigenvector Centrality],"&gt;= "&amp;N19)-COUNTIF(Vertices[Eigenvector Centrality],"&gt;="&amp;N20)</f>
        <v>0</v>
      </c>
      <c r="P19" s="40">
        <f t="shared" si="7"/>
        <v>13.843731499999997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4.235294117647059</v>
      </c>
      <c r="G20" s="39">
        <f>COUNTIF(Vertices[In-Degree],"&gt;= "&amp;F20)-COUNTIF(Vertices[In-Degree],"&gt;="&amp;F21)</f>
        <v>0</v>
      </c>
      <c r="H20" s="38">
        <f t="shared" si="3"/>
        <v>48.17647058823531</v>
      </c>
      <c r="I20" s="39">
        <f>COUNTIF(Vertices[Out-Degree],"&gt;= "&amp;H20)-COUNTIF(Vertices[Out-Degree],"&gt;="&amp;H21)</f>
        <v>0</v>
      </c>
      <c r="J20" s="38">
        <f t="shared" si="4"/>
        <v>19311.061727117652</v>
      </c>
      <c r="K20" s="39">
        <f>COUNTIF(Vertices[Betweenness Centrality],"&gt;= "&amp;J20)-COUNTIF(Vertices[Betweenness Centrality],"&gt;="&amp;J21)</f>
        <v>0</v>
      </c>
      <c r="L20" s="38">
        <f t="shared" si="5"/>
        <v>0.02440700000000001</v>
      </c>
      <c r="M20" s="39">
        <f>COUNTIF(Vertices[Closeness Centrality],"&gt;= "&amp;L20)-COUNTIF(Vertices[Closeness Centrality],"&gt;="&amp;L21)</f>
        <v>0</v>
      </c>
      <c r="N20" s="38">
        <f t="shared" si="6"/>
        <v>0.01628470588235294</v>
      </c>
      <c r="O20" s="39">
        <f>COUNTIF(Vertices[Eigenvector Centrality],"&gt;= "&amp;N20)-COUNTIF(Vertices[Eigenvector Centrality],"&gt;="&amp;N21)</f>
        <v>0</v>
      </c>
      <c r="P20" s="38">
        <f t="shared" si="7"/>
        <v>14.634953294117643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157</v>
      </c>
      <c r="B21" s="35">
        <v>2.928312</v>
      </c>
      <c r="D21" s="33">
        <f t="shared" si="1"/>
        <v>0</v>
      </c>
      <c r="E21" s="3">
        <f>COUNTIF(Vertices[Degree],"&gt;= "&amp;D21)-COUNTIF(Vertices[Degree],"&gt;="&amp;D22)</f>
        <v>0</v>
      </c>
      <c r="F21" s="40">
        <f t="shared" si="2"/>
        <v>4.470588235294118</v>
      </c>
      <c r="G21" s="41">
        <f>COUNTIF(Vertices[In-Degree],"&gt;= "&amp;F21)-COUNTIF(Vertices[In-Degree],"&gt;="&amp;F22)</f>
        <v>0</v>
      </c>
      <c r="H21" s="40">
        <f t="shared" si="3"/>
        <v>50.85294117647061</v>
      </c>
      <c r="I21" s="41">
        <f>COUNTIF(Vertices[Out-Degree],"&gt;= "&amp;H21)-COUNTIF(Vertices[Out-Degree],"&gt;="&amp;H22)</f>
        <v>0</v>
      </c>
      <c r="J21" s="40">
        <f t="shared" si="4"/>
        <v>20383.8984897353</v>
      </c>
      <c r="K21" s="41">
        <f>COUNTIF(Vertices[Betweenness Centrality],"&gt;= "&amp;J21)-COUNTIF(Vertices[Betweenness Centrality],"&gt;="&amp;J22)</f>
        <v>1</v>
      </c>
      <c r="L21" s="40">
        <f t="shared" si="5"/>
        <v>0.02572250000000001</v>
      </c>
      <c r="M21" s="41">
        <f>COUNTIF(Vertices[Closeness Centrality],"&gt;= "&amp;L21)-COUNTIF(Vertices[Closeness Centrality],"&gt;="&amp;L22)</f>
        <v>0</v>
      </c>
      <c r="N21" s="40">
        <f t="shared" si="6"/>
        <v>0.017189411764705884</v>
      </c>
      <c r="O21" s="41">
        <f>COUNTIF(Vertices[Eigenvector Centrality],"&gt;= "&amp;N21)-COUNTIF(Vertices[Eigenvector Centrality],"&gt;="&amp;N22)</f>
        <v>0</v>
      </c>
      <c r="P21" s="40">
        <f t="shared" si="7"/>
        <v>15.42617508823529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0"/>
      <c r="B22" s="110"/>
      <c r="D22" s="33">
        <f t="shared" si="1"/>
        <v>0</v>
      </c>
      <c r="E22" s="3">
        <f>COUNTIF(Vertices[Degree],"&gt;= "&amp;D22)-COUNTIF(Vertices[Degree],"&gt;="&amp;D23)</f>
        <v>0</v>
      </c>
      <c r="F22" s="38">
        <f t="shared" si="2"/>
        <v>4.705882352941177</v>
      </c>
      <c r="G22" s="39">
        <f>COUNTIF(Vertices[In-Degree],"&gt;= "&amp;F22)-COUNTIF(Vertices[In-Degree],"&gt;="&amp;F23)</f>
        <v>0</v>
      </c>
      <c r="H22" s="38">
        <f t="shared" si="3"/>
        <v>53.529411764705905</v>
      </c>
      <c r="I22" s="39">
        <f>COUNTIF(Vertices[Out-Degree],"&gt;= "&amp;H22)-COUNTIF(Vertices[Out-Degree],"&gt;="&amp;H23)</f>
        <v>0</v>
      </c>
      <c r="J22" s="38">
        <f t="shared" si="4"/>
        <v>21456.735252352948</v>
      </c>
      <c r="K22" s="39">
        <f>COUNTIF(Vertices[Betweenness Centrality],"&gt;= "&amp;J22)-COUNTIF(Vertices[Betweenness Centrality],"&gt;="&amp;J23)</f>
        <v>0</v>
      </c>
      <c r="L22" s="38">
        <f t="shared" si="5"/>
        <v>0.02703800000000001</v>
      </c>
      <c r="M22" s="39">
        <f>COUNTIF(Vertices[Closeness Centrality],"&gt;= "&amp;L22)-COUNTIF(Vertices[Closeness Centrality],"&gt;="&amp;L23)</f>
        <v>0</v>
      </c>
      <c r="N22" s="38">
        <f t="shared" si="6"/>
        <v>0.018094117647058823</v>
      </c>
      <c r="O22" s="39">
        <f>COUNTIF(Vertices[Eigenvector Centrality],"&gt;= "&amp;N22)-COUNTIF(Vertices[Eigenvector Centrality],"&gt;="&amp;N23)</f>
        <v>0</v>
      </c>
      <c r="P22" s="38">
        <f t="shared" si="7"/>
        <v>16.217396882352936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0.0037905236907730673</v>
      </c>
      <c r="D23" s="33">
        <f t="shared" si="1"/>
        <v>0</v>
      </c>
      <c r="E23" s="3">
        <f>COUNTIF(Vertices[Degree],"&gt;= "&amp;D23)-COUNTIF(Vertices[Degree],"&gt;="&amp;D24)</f>
        <v>0</v>
      </c>
      <c r="F23" s="40">
        <f t="shared" si="2"/>
        <v>4.9411764705882355</v>
      </c>
      <c r="G23" s="41">
        <f>COUNTIF(Vertices[In-Degree],"&gt;= "&amp;F23)-COUNTIF(Vertices[In-Degree],"&gt;="&amp;F24)</f>
        <v>11</v>
      </c>
      <c r="H23" s="40">
        <f t="shared" si="3"/>
        <v>56.2058823529412</v>
      </c>
      <c r="I23" s="41">
        <f>COUNTIF(Vertices[Out-Degree],"&gt;= "&amp;H23)-COUNTIF(Vertices[Out-Degree],"&gt;="&amp;H24)</f>
        <v>1</v>
      </c>
      <c r="J23" s="40">
        <f t="shared" si="4"/>
        <v>22529.572014970596</v>
      </c>
      <c r="K23" s="41">
        <f>COUNTIF(Vertices[Betweenness Centrality],"&gt;= "&amp;J23)-COUNTIF(Vertices[Betweenness Centrality],"&gt;="&amp;J24)</f>
        <v>0</v>
      </c>
      <c r="L23" s="40">
        <f t="shared" si="5"/>
        <v>0.02835350000000001</v>
      </c>
      <c r="M23" s="41">
        <f>COUNTIF(Vertices[Closeness Centrality],"&gt;= "&amp;L23)-COUNTIF(Vertices[Closeness Centrality],"&gt;="&amp;L24)</f>
        <v>0</v>
      </c>
      <c r="N23" s="40">
        <f t="shared" si="6"/>
        <v>0.018998823529411762</v>
      </c>
      <c r="O23" s="41">
        <f>COUNTIF(Vertices[Eigenvector Centrality],"&gt;= "&amp;N23)-COUNTIF(Vertices[Eigenvector Centrality],"&gt;="&amp;N24)</f>
        <v>0</v>
      </c>
      <c r="P23" s="40">
        <f t="shared" si="7"/>
        <v>17.008618676470583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3397</v>
      </c>
      <c r="B24" s="35">
        <v>0.53438</v>
      </c>
      <c r="D24" s="33">
        <f t="shared" si="1"/>
        <v>0</v>
      </c>
      <c r="E24" s="3">
        <f>COUNTIF(Vertices[Degree],"&gt;= "&amp;D24)-COUNTIF(Vertices[Degree],"&gt;="&amp;D25)</f>
        <v>0</v>
      </c>
      <c r="F24" s="38">
        <f t="shared" si="2"/>
        <v>5.176470588235294</v>
      </c>
      <c r="G24" s="39">
        <f>COUNTIF(Vertices[In-Degree],"&gt;= "&amp;F24)-COUNTIF(Vertices[In-Degree],"&gt;="&amp;F25)</f>
        <v>0</v>
      </c>
      <c r="H24" s="38">
        <f t="shared" si="3"/>
        <v>58.8823529411765</v>
      </c>
      <c r="I24" s="39">
        <f>COUNTIF(Vertices[Out-Degree],"&gt;= "&amp;H24)-COUNTIF(Vertices[Out-Degree],"&gt;="&amp;H25)</f>
        <v>0</v>
      </c>
      <c r="J24" s="38">
        <f t="shared" si="4"/>
        <v>23602.408777588244</v>
      </c>
      <c r="K24" s="39">
        <f>COUNTIF(Vertices[Betweenness Centrality],"&gt;= "&amp;J24)-COUNTIF(Vertices[Betweenness Centrality],"&gt;="&amp;J25)</f>
        <v>0</v>
      </c>
      <c r="L24" s="38">
        <f t="shared" si="5"/>
        <v>0.02966900000000001</v>
      </c>
      <c r="M24" s="39">
        <f>COUNTIF(Vertices[Closeness Centrality],"&gt;= "&amp;L24)-COUNTIF(Vertices[Closeness Centrality],"&gt;="&amp;L25)</f>
        <v>0</v>
      </c>
      <c r="N24" s="38">
        <f t="shared" si="6"/>
        <v>0.019903529411764702</v>
      </c>
      <c r="O24" s="39">
        <f>COUNTIF(Vertices[Eigenvector Centrality],"&gt;= "&amp;N24)-COUNTIF(Vertices[Eigenvector Centrality],"&gt;="&amp;N25)</f>
        <v>0</v>
      </c>
      <c r="P24" s="38">
        <f t="shared" si="7"/>
        <v>17.79984047058823</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0"/>
      <c r="B25" s="110"/>
      <c r="D25" s="33">
        <f t="shared" si="1"/>
        <v>0</v>
      </c>
      <c r="E25" s="3">
        <f>COUNTIF(Vertices[Degree],"&gt;= "&amp;D25)-COUNTIF(Vertices[Degree],"&gt;="&amp;D26)</f>
        <v>0</v>
      </c>
      <c r="F25" s="40">
        <f t="shared" si="2"/>
        <v>5.411764705882353</v>
      </c>
      <c r="G25" s="41">
        <f>COUNTIF(Vertices[In-Degree],"&gt;= "&amp;F25)-COUNTIF(Vertices[In-Degree],"&gt;="&amp;F26)</f>
        <v>0</v>
      </c>
      <c r="H25" s="40">
        <f t="shared" si="3"/>
        <v>61.5588235294118</v>
      </c>
      <c r="I25" s="41">
        <f>COUNTIF(Vertices[Out-Degree],"&gt;= "&amp;H25)-COUNTIF(Vertices[Out-Degree],"&gt;="&amp;H26)</f>
        <v>1</v>
      </c>
      <c r="J25" s="40">
        <f t="shared" si="4"/>
        <v>24675.24554020589</v>
      </c>
      <c r="K25" s="41">
        <f>COUNTIF(Vertices[Betweenness Centrality],"&gt;= "&amp;J25)-COUNTIF(Vertices[Betweenness Centrality],"&gt;="&amp;J26)</f>
        <v>0</v>
      </c>
      <c r="L25" s="40">
        <f t="shared" si="5"/>
        <v>0.030984500000000012</v>
      </c>
      <c r="M25" s="41">
        <f>COUNTIF(Vertices[Closeness Centrality],"&gt;= "&amp;L25)-COUNTIF(Vertices[Closeness Centrality],"&gt;="&amp;L26)</f>
        <v>0</v>
      </c>
      <c r="N25" s="40">
        <f t="shared" si="6"/>
        <v>0.02080823529411764</v>
      </c>
      <c r="O25" s="41">
        <f>COUNTIF(Vertices[Eigenvector Centrality],"&gt;= "&amp;N25)-COUNTIF(Vertices[Eigenvector Centrality],"&gt;="&amp;N26)</f>
        <v>1</v>
      </c>
      <c r="P25" s="40">
        <f t="shared" si="7"/>
        <v>18.591062264705876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3398</v>
      </c>
      <c r="B26" s="35" t="s">
        <v>3413</v>
      </c>
      <c r="D26" s="33">
        <f t="shared" si="1"/>
        <v>0</v>
      </c>
      <c r="E26" s="3">
        <f>COUNTIF(Vertices[Degree],"&gt;= "&amp;D26)-COUNTIF(Vertices[Degree],"&gt;="&amp;D27)</f>
        <v>0</v>
      </c>
      <c r="F26" s="38">
        <f t="shared" si="2"/>
        <v>5.647058823529412</v>
      </c>
      <c r="G26" s="39">
        <f>COUNTIF(Vertices[In-Degree],"&gt;= "&amp;F26)-COUNTIF(Vertices[In-Degree],"&gt;="&amp;F27)</f>
        <v>0</v>
      </c>
      <c r="H26" s="38">
        <f t="shared" si="3"/>
        <v>64.23529411764709</v>
      </c>
      <c r="I26" s="39">
        <f>COUNTIF(Vertices[Out-Degree],"&gt;= "&amp;H26)-COUNTIF(Vertices[Out-Degree],"&gt;="&amp;H27)</f>
        <v>0</v>
      </c>
      <c r="J26" s="38">
        <f t="shared" si="4"/>
        <v>25748.08230282354</v>
      </c>
      <c r="K26" s="39">
        <f>COUNTIF(Vertices[Betweenness Centrality],"&gt;= "&amp;J26)-COUNTIF(Vertices[Betweenness Centrality],"&gt;="&amp;J27)</f>
        <v>0</v>
      </c>
      <c r="L26" s="38">
        <f t="shared" si="5"/>
        <v>0.03230000000000001</v>
      </c>
      <c r="M26" s="39">
        <f>COUNTIF(Vertices[Closeness Centrality],"&gt;= "&amp;L26)-COUNTIF(Vertices[Closeness Centrality],"&gt;="&amp;L27)</f>
        <v>0</v>
      </c>
      <c r="N26" s="38">
        <f t="shared" si="6"/>
        <v>0.02171294117647058</v>
      </c>
      <c r="O26" s="39">
        <f>COUNTIF(Vertices[Eigenvector Centrality],"&gt;= "&amp;N26)-COUNTIF(Vertices[Eigenvector Centrality],"&gt;="&amp;N27)</f>
        <v>0</v>
      </c>
      <c r="P26" s="38">
        <f t="shared" si="7"/>
        <v>19.382284058823522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0"/>
      <c r="B27" s="110"/>
      <c r="D27" s="33">
        <f t="shared" si="1"/>
        <v>0</v>
      </c>
      <c r="E27" s="3">
        <f>COUNTIF(Vertices[Degree],"&gt;= "&amp;D27)-COUNTIF(Vertices[Degree],"&gt;="&amp;D28)</f>
        <v>0</v>
      </c>
      <c r="F27" s="40">
        <f t="shared" si="2"/>
        <v>5.882352941176471</v>
      </c>
      <c r="G27" s="41">
        <f>COUNTIF(Vertices[In-Degree],"&gt;= "&amp;F27)-COUNTIF(Vertices[In-Degree],"&gt;="&amp;F28)</f>
        <v>10</v>
      </c>
      <c r="H27" s="40">
        <f t="shared" si="3"/>
        <v>66.91176470588238</v>
      </c>
      <c r="I27" s="41">
        <f>COUNTIF(Vertices[Out-Degree],"&gt;= "&amp;H27)-COUNTIF(Vertices[Out-Degree],"&gt;="&amp;H28)</f>
        <v>0</v>
      </c>
      <c r="J27" s="40">
        <f t="shared" si="4"/>
        <v>26820.919065441187</v>
      </c>
      <c r="K27" s="41">
        <f>COUNTIF(Vertices[Betweenness Centrality],"&gt;= "&amp;J27)-COUNTIF(Vertices[Betweenness Centrality],"&gt;="&amp;J28)</f>
        <v>0</v>
      </c>
      <c r="L27" s="40">
        <f t="shared" si="5"/>
        <v>0.033615500000000006</v>
      </c>
      <c r="M27" s="41">
        <f>COUNTIF(Vertices[Closeness Centrality],"&gt;= "&amp;L27)-COUNTIF(Vertices[Closeness Centrality],"&gt;="&amp;L28)</f>
        <v>0</v>
      </c>
      <c r="N27" s="40">
        <f t="shared" si="6"/>
        <v>0.02261764705882352</v>
      </c>
      <c r="O27" s="41">
        <f>COUNTIF(Vertices[Eigenvector Centrality],"&gt;= "&amp;N27)-COUNTIF(Vertices[Eigenvector Centrality],"&gt;="&amp;N28)</f>
        <v>0</v>
      </c>
      <c r="P27" s="40">
        <f t="shared" si="7"/>
        <v>20.17350585294117</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3399</v>
      </c>
      <c r="B28" s="35" t="s">
        <v>3560</v>
      </c>
      <c r="D28" s="33">
        <f t="shared" si="1"/>
        <v>0</v>
      </c>
      <c r="E28" s="3">
        <f>COUNTIF(Vertices[Degree],"&gt;= "&amp;D28)-COUNTIF(Vertices[Degree],"&gt;="&amp;D29)</f>
        <v>0</v>
      </c>
      <c r="F28" s="38">
        <f t="shared" si="2"/>
        <v>6.11764705882353</v>
      </c>
      <c r="G28" s="39">
        <f>COUNTIF(Vertices[In-Degree],"&gt;= "&amp;F28)-COUNTIF(Vertices[In-Degree],"&gt;="&amp;F29)</f>
        <v>0</v>
      </c>
      <c r="H28" s="38">
        <f t="shared" si="3"/>
        <v>69.58823529411767</v>
      </c>
      <c r="I28" s="39">
        <f>COUNTIF(Vertices[Out-Degree],"&gt;= "&amp;H28)-COUNTIF(Vertices[Out-Degree],"&gt;="&amp;H29)</f>
        <v>0</v>
      </c>
      <c r="J28" s="38">
        <f t="shared" si="4"/>
        <v>27893.755828058835</v>
      </c>
      <c r="K28" s="39">
        <f>COUNTIF(Vertices[Betweenness Centrality],"&gt;= "&amp;J28)-COUNTIF(Vertices[Betweenness Centrality],"&gt;="&amp;J29)</f>
        <v>0</v>
      </c>
      <c r="L28" s="38">
        <f t="shared" si="5"/>
        <v>0.034931000000000004</v>
      </c>
      <c r="M28" s="39">
        <f>COUNTIF(Vertices[Closeness Centrality],"&gt;= "&amp;L28)-COUNTIF(Vertices[Closeness Centrality],"&gt;="&amp;L29)</f>
        <v>0</v>
      </c>
      <c r="N28" s="38">
        <f t="shared" si="6"/>
        <v>0.02352235294117646</v>
      </c>
      <c r="O28" s="39">
        <f>COUNTIF(Vertices[Eigenvector Centrality],"&gt;= "&amp;N28)-COUNTIF(Vertices[Eigenvector Centrality],"&gt;="&amp;N29)</f>
        <v>0</v>
      </c>
      <c r="P28" s="38">
        <f t="shared" si="7"/>
        <v>20.964727647058815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3400</v>
      </c>
      <c r="B29" s="35" t="s">
        <v>3561</v>
      </c>
      <c r="D29" s="33">
        <f t="shared" si="1"/>
        <v>0</v>
      </c>
      <c r="E29" s="3">
        <f>COUNTIF(Vertices[Degree],"&gt;= "&amp;D29)-COUNTIF(Vertices[Degree],"&gt;="&amp;D30)</f>
        <v>0</v>
      </c>
      <c r="F29" s="40">
        <f t="shared" si="2"/>
        <v>6.352941176470589</v>
      </c>
      <c r="G29" s="41">
        <f>COUNTIF(Vertices[In-Degree],"&gt;= "&amp;F29)-COUNTIF(Vertices[In-Degree],"&gt;="&amp;F30)</f>
        <v>0</v>
      </c>
      <c r="H29" s="40">
        <f t="shared" si="3"/>
        <v>72.26470588235296</v>
      </c>
      <c r="I29" s="41">
        <f>COUNTIF(Vertices[Out-Degree],"&gt;= "&amp;H29)-COUNTIF(Vertices[Out-Degree],"&gt;="&amp;H30)</f>
        <v>0</v>
      </c>
      <c r="J29" s="40">
        <f t="shared" si="4"/>
        <v>28966.592590676482</v>
      </c>
      <c r="K29" s="41">
        <f>COUNTIF(Vertices[Betweenness Centrality],"&gt;= "&amp;J29)-COUNTIF(Vertices[Betweenness Centrality],"&gt;="&amp;J30)</f>
        <v>0</v>
      </c>
      <c r="L29" s="40">
        <f t="shared" si="5"/>
        <v>0.0362465</v>
      </c>
      <c r="M29" s="41">
        <f>COUNTIF(Vertices[Closeness Centrality],"&gt;= "&amp;L29)-COUNTIF(Vertices[Closeness Centrality],"&gt;="&amp;L30)</f>
        <v>0</v>
      </c>
      <c r="N29" s="40">
        <f t="shared" si="6"/>
        <v>0.0244270588235294</v>
      </c>
      <c r="O29" s="41">
        <f>COUNTIF(Vertices[Eigenvector Centrality],"&gt;= "&amp;N29)-COUNTIF(Vertices[Eigenvector Centrality],"&gt;="&amp;N30)</f>
        <v>0</v>
      </c>
      <c r="P29" s="40">
        <f t="shared" si="7"/>
        <v>21.755949441176462</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0"/>
      <c r="B30" s="110"/>
      <c r="D30" s="33">
        <f t="shared" si="1"/>
        <v>0</v>
      </c>
      <c r="E30" s="3">
        <f>COUNTIF(Vertices[Degree],"&gt;= "&amp;D30)-COUNTIF(Vertices[Degree],"&gt;="&amp;D31)</f>
        <v>0</v>
      </c>
      <c r="F30" s="38">
        <f t="shared" si="2"/>
        <v>6.588235294117648</v>
      </c>
      <c r="G30" s="39">
        <f>COUNTIF(Vertices[In-Degree],"&gt;= "&amp;F30)-COUNTIF(Vertices[In-Degree],"&gt;="&amp;F31)</f>
        <v>0</v>
      </c>
      <c r="H30" s="38">
        <f t="shared" si="3"/>
        <v>74.94117647058825</v>
      </c>
      <c r="I30" s="39">
        <f>COUNTIF(Vertices[Out-Degree],"&gt;= "&amp;H30)-COUNTIF(Vertices[Out-Degree],"&gt;="&amp;H31)</f>
        <v>0</v>
      </c>
      <c r="J30" s="38">
        <f t="shared" si="4"/>
        <v>30039.42935329413</v>
      </c>
      <c r="K30" s="39">
        <f>COUNTIF(Vertices[Betweenness Centrality],"&gt;= "&amp;J30)-COUNTIF(Vertices[Betweenness Centrality],"&gt;="&amp;J31)</f>
        <v>1</v>
      </c>
      <c r="L30" s="38">
        <f t="shared" si="5"/>
        <v>0.037562</v>
      </c>
      <c r="M30" s="39">
        <f>COUNTIF(Vertices[Closeness Centrality],"&gt;= "&amp;L30)-COUNTIF(Vertices[Closeness Centrality],"&gt;="&amp;L31)</f>
        <v>0</v>
      </c>
      <c r="N30" s="38">
        <f t="shared" si="6"/>
        <v>0.02533176470588234</v>
      </c>
      <c r="O30" s="39">
        <f>COUNTIF(Vertices[Eigenvector Centrality],"&gt;= "&amp;N30)-COUNTIF(Vertices[Eigenvector Centrality],"&gt;="&amp;N31)</f>
        <v>0</v>
      </c>
      <c r="P30" s="38">
        <f t="shared" si="7"/>
        <v>22.54717123529411</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3401</v>
      </c>
      <c r="B31" s="35" t="s">
        <v>3555</v>
      </c>
      <c r="D31" s="33">
        <f t="shared" si="1"/>
        <v>0</v>
      </c>
      <c r="E31" s="3">
        <f>COUNTIF(Vertices[Degree],"&gt;= "&amp;D31)-COUNTIF(Vertices[Degree],"&gt;="&amp;D32)</f>
        <v>0</v>
      </c>
      <c r="F31" s="40">
        <f t="shared" si="2"/>
        <v>6.8235294117647065</v>
      </c>
      <c r="G31" s="41">
        <f>COUNTIF(Vertices[In-Degree],"&gt;= "&amp;F31)-COUNTIF(Vertices[In-Degree],"&gt;="&amp;F32)</f>
        <v>1</v>
      </c>
      <c r="H31" s="40">
        <f t="shared" si="3"/>
        <v>77.61764705882354</v>
      </c>
      <c r="I31" s="41">
        <f>COUNTIF(Vertices[Out-Degree],"&gt;= "&amp;H31)-COUNTIF(Vertices[Out-Degree],"&gt;="&amp;H32)</f>
        <v>1</v>
      </c>
      <c r="J31" s="40">
        <f t="shared" si="4"/>
        <v>31112.266115911778</v>
      </c>
      <c r="K31" s="41">
        <f>COUNTIF(Vertices[Betweenness Centrality],"&gt;= "&amp;J31)-COUNTIF(Vertices[Betweenness Centrality],"&gt;="&amp;J32)</f>
        <v>0</v>
      </c>
      <c r="L31" s="40">
        <f t="shared" si="5"/>
        <v>0.038877499999999995</v>
      </c>
      <c r="M31" s="41">
        <f>COUNTIF(Vertices[Closeness Centrality],"&gt;= "&amp;L31)-COUNTIF(Vertices[Closeness Centrality],"&gt;="&amp;L32)</f>
        <v>0</v>
      </c>
      <c r="N31" s="40">
        <f t="shared" si="6"/>
        <v>0.026236470588235278</v>
      </c>
      <c r="O31" s="41">
        <f>COUNTIF(Vertices[Eigenvector Centrality],"&gt;= "&amp;N31)-COUNTIF(Vertices[Eigenvector Centrality],"&gt;="&amp;N32)</f>
        <v>0</v>
      </c>
      <c r="P31" s="40">
        <f t="shared" si="7"/>
        <v>23.338393029411755</v>
      </c>
      <c r="Q31" s="41">
        <f>COUNTIF(Vertices[PageRank],"&gt;= "&amp;P31)-COUNTIF(Vertices[PageRank],"&gt;="&amp;P32)</f>
        <v>2</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3402</v>
      </c>
      <c r="B32" s="35" t="s">
        <v>3556</v>
      </c>
      <c r="D32" s="33">
        <f t="shared" si="1"/>
        <v>0</v>
      </c>
      <c r="E32" s="3">
        <f>COUNTIF(Vertices[Degree],"&gt;= "&amp;D32)-COUNTIF(Vertices[Degree],"&gt;="&amp;D33)</f>
        <v>0</v>
      </c>
      <c r="F32" s="38">
        <f t="shared" si="2"/>
        <v>7.058823529411765</v>
      </c>
      <c r="G32" s="39">
        <f>COUNTIF(Vertices[In-Degree],"&gt;= "&amp;F32)-COUNTIF(Vertices[In-Degree],"&gt;="&amp;F33)</f>
        <v>0</v>
      </c>
      <c r="H32" s="38">
        <f t="shared" si="3"/>
        <v>80.29411764705883</v>
      </c>
      <c r="I32" s="39">
        <f>COUNTIF(Vertices[Out-Degree],"&gt;= "&amp;H32)-COUNTIF(Vertices[Out-Degree],"&gt;="&amp;H33)</f>
        <v>1</v>
      </c>
      <c r="J32" s="38">
        <f t="shared" si="4"/>
        <v>32185.102878529426</v>
      </c>
      <c r="K32" s="39">
        <f>COUNTIF(Vertices[Betweenness Centrality],"&gt;= "&amp;J32)-COUNTIF(Vertices[Betweenness Centrality],"&gt;="&amp;J33)</f>
        <v>1</v>
      </c>
      <c r="L32" s="38">
        <f t="shared" si="5"/>
        <v>0.04019299999999999</v>
      </c>
      <c r="M32" s="39">
        <f>COUNTIF(Vertices[Closeness Centrality],"&gt;= "&amp;L32)-COUNTIF(Vertices[Closeness Centrality],"&gt;="&amp;L33)</f>
        <v>0</v>
      </c>
      <c r="N32" s="38">
        <f t="shared" si="6"/>
        <v>0.027141176470588217</v>
      </c>
      <c r="O32" s="39">
        <f>COUNTIF(Vertices[Eigenvector Centrality],"&gt;= "&amp;N32)-COUNTIF(Vertices[Eigenvector Centrality],"&gt;="&amp;N33)</f>
        <v>1</v>
      </c>
      <c r="P32" s="38">
        <f t="shared" si="7"/>
        <v>24.1296148235294</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403.2">
      <c r="A33" s="35" t="s">
        <v>3403</v>
      </c>
      <c r="B33" s="54" t="s">
        <v>3557</v>
      </c>
      <c r="D33" s="33">
        <f t="shared" si="1"/>
        <v>0</v>
      </c>
      <c r="E33" s="3">
        <f>COUNTIF(Vertices[Degree],"&gt;= "&amp;D33)-COUNTIF(Vertices[Degree],"&gt;="&amp;D34)</f>
        <v>0</v>
      </c>
      <c r="F33" s="40">
        <f t="shared" si="2"/>
        <v>7.294117647058824</v>
      </c>
      <c r="G33" s="41">
        <f>COUNTIF(Vertices[In-Degree],"&gt;= "&amp;F33)-COUNTIF(Vertices[In-Degree],"&gt;="&amp;F34)</f>
        <v>0</v>
      </c>
      <c r="H33" s="40">
        <f t="shared" si="3"/>
        <v>82.97058823529412</v>
      </c>
      <c r="I33" s="41">
        <f>COUNTIF(Vertices[Out-Degree],"&gt;= "&amp;H33)-COUNTIF(Vertices[Out-Degree],"&gt;="&amp;H34)</f>
        <v>2</v>
      </c>
      <c r="J33" s="40">
        <f t="shared" si="4"/>
        <v>33257.93964114707</v>
      </c>
      <c r="K33" s="41">
        <f>COUNTIF(Vertices[Betweenness Centrality],"&gt;= "&amp;J33)-COUNTIF(Vertices[Betweenness Centrality],"&gt;="&amp;J34)</f>
        <v>1</v>
      </c>
      <c r="L33" s="40">
        <f t="shared" si="5"/>
        <v>0.04150849999999999</v>
      </c>
      <c r="M33" s="41">
        <f>COUNTIF(Vertices[Closeness Centrality],"&gt;= "&amp;L33)-COUNTIF(Vertices[Closeness Centrality],"&gt;="&amp;L34)</f>
        <v>0</v>
      </c>
      <c r="N33" s="40">
        <f t="shared" si="6"/>
        <v>0.028045882352941157</v>
      </c>
      <c r="O33" s="41">
        <f>COUNTIF(Vertices[Eigenvector Centrality],"&gt;= "&amp;N33)-COUNTIF(Vertices[Eigenvector Centrality],"&gt;="&amp;N34)</f>
        <v>2</v>
      </c>
      <c r="P33" s="40">
        <f t="shared" si="7"/>
        <v>24.920836617647048</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3404</v>
      </c>
      <c r="B34" s="35" t="s">
        <v>3558</v>
      </c>
      <c r="D34" s="33">
        <f t="shared" si="1"/>
        <v>0</v>
      </c>
      <c r="E34" s="3">
        <f>COUNTIF(Vertices[Degree],"&gt;= "&amp;D34)-COUNTIF(Vertices[Degree],"&gt;="&amp;D35)</f>
        <v>0</v>
      </c>
      <c r="F34" s="38">
        <f t="shared" si="2"/>
        <v>7.529411764705883</v>
      </c>
      <c r="G34" s="39">
        <f>COUNTIF(Vertices[In-Degree],"&gt;= "&amp;F34)-COUNTIF(Vertices[In-Degree],"&gt;="&amp;F35)</f>
        <v>0</v>
      </c>
      <c r="H34" s="38">
        <f t="shared" si="3"/>
        <v>85.6470588235294</v>
      </c>
      <c r="I34" s="39">
        <f>COUNTIF(Vertices[Out-Degree],"&gt;= "&amp;H34)-COUNTIF(Vertices[Out-Degree],"&gt;="&amp;H35)</f>
        <v>0</v>
      </c>
      <c r="J34" s="38">
        <f t="shared" si="4"/>
        <v>34330.77640376472</v>
      </c>
      <c r="K34" s="39">
        <f>COUNTIF(Vertices[Betweenness Centrality],"&gt;= "&amp;J34)-COUNTIF(Vertices[Betweenness Centrality],"&gt;="&amp;J35)</f>
        <v>1</v>
      </c>
      <c r="L34" s="38">
        <f t="shared" si="5"/>
        <v>0.04282399999999999</v>
      </c>
      <c r="M34" s="39">
        <f>COUNTIF(Vertices[Closeness Centrality],"&gt;= "&amp;L34)-COUNTIF(Vertices[Closeness Centrality],"&gt;="&amp;L35)</f>
        <v>0</v>
      </c>
      <c r="N34" s="38">
        <f t="shared" si="6"/>
        <v>0.028950588235294096</v>
      </c>
      <c r="O34" s="39">
        <f>COUNTIF(Vertices[Eigenvector Centrality],"&gt;= "&amp;N34)-COUNTIF(Vertices[Eigenvector Centrality],"&gt;="&amp;N35)</f>
        <v>0</v>
      </c>
      <c r="P34" s="38">
        <f t="shared" si="7"/>
        <v>25.712058411764694</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3405</v>
      </c>
      <c r="B35" s="35" t="s">
        <v>3559</v>
      </c>
      <c r="D35" s="33">
        <f t="shared" si="1"/>
        <v>0</v>
      </c>
      <c r="E35" s="3">
        <f>COUNTIF(Vertices[Degree],"&gt;= "&amp;D35)-COUNTIF(Vertices[Degree],"&gt;="&amp;D36)</f>
        <v>0</v>
      </c>
      <c r="F35" s="40">
        <f t="shared" si="2"/>
        <v>7.764705882352942</v>
      </c>
      <c r="G35" s="41">
        <f>COUNTIF(Vertices[In-Degree],"&gt;= "&amp;F35)-COUNTIF(Vertices[In-Degree],"&gt;="&amp;F36)</f>
        <v>0</v>
      </c>
      <c r="H35" s="40">
        <f t="shared" si="3"/>
        <v>88.3235294117647</v>
      </c>
      <c r="I35" s="41">
        <f>COUNTIF(Vertices[Out-Degree],"&gt;= "&amp;H35)-COUNTIF(Vertices[Out-Degree],"&gt;="&amp;H36)</f>
        <v>0</v>
      </c>
      <c r="J35" s="40">
        <f t="shared" si="4"/>
        <v>35403.61316638237</v>
      </c>
      <c r="K35" s="41">
        <f>COUNTIF(Vertices[Betweenness Centrality],"&gt;= "&amp;J35)-COUNTIF(Vertices[Betweenness Centrality],"&gt;="&amp;J36)</f>
        <v>1</v>
      </c>
      <c r="L35" s="40">
        <f t="shared" si="5"/>
        <v>0.044139499999999984</v>
      </c>
      <c r="M35" s="41">
        <f>COUNTIF(Vertices[Closeness Centrality],"&gt;= "&amp;L35)-COUNTIF(Vertices[Closeness Centrality],"&gt;="&amp;L36)</f>
        <v>0</v>
      </c>
      <c r="N35" s="40">
        <f t="shared" si="6"/>
        <v>0.029855294117647035</v>
      </c>
      <c r="O35" s="41">
        <f>COUNTIF(Vertices[Eigenvector Centrality],"&gt;= "&amp;N35)-COUNTIF(Vertices[Eigenvector Centrality],"&gt;="&amp;N36)</f>
        <v>1</v>
      </c>
      <c r="P35" s="40">
        <f t="shared" si="7"/>
        <v>26.50328020588234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3406</v>
      </c>
      <c r="B36" s="35" t="s">
        <v>2319</v>
      </c>
      <c r="D36" s="33">
        <f>MAX(Vertices[Degree])</f>
        <v>0</v>
      </c>
      <c r="E36" s="3">
        <f>COUNTIF(Vertices[Degree],"&gt;= "&amp;D36)-COUNTIF(Vertices[Degree],"&gt;="&amp;#REF!)</f>
        <v>0</v>
      </c>
      <c r="F36" s="42">
        <f>MAX(Vertices[In-Degree])</f>
        <v>8</v>
      </c>
      <c r="G36" s="43">
        <f>COUNTIF(Vertices[In-Degree],"&gt;= "&amp;F36)-COUNTIF(Vertices[In-Degree],"&gt;="&amp;#REF!)</f>
        <v>1</v>
      </c>
      <c r="H36" s="42">
        <f>MAX(Vertices[Out-Degree])</f>
        <v>91</v>
      </c>
      <c r="I36" s="43">
        <f>COUNTIF(Vertices[Out-Degree],"&gt;= "&amp;H36)-COUNTIF(Vertices[Out-Degree],"&gt;="&amp;#REF!)</f>
        <v>1</v>
      </c>
      <c r="J36" s="42">
        <f>MAX(Vertices[Betweenness Centrality])</f>
        <v>36476.449929</v>
      </c>
      <c r="K36" s="43">
        <f>COUNTIF(Vertices[Betweenness Centrality],"&gt;= "&amp;J36)-COUNTIF(Vertices[Betweenness Centrality],"&gt;="&amp;#REF!)</f>
        <v>1</v>
      </c>
      <c r="L36" s="42">
        <f>MAX(Vertices[Closeness Centrality])</f>
        <v>0.045455</v>
      </c>
      <c r="M36" s="43">
        <f>COUNTIF(Vertices[Closeness Centrality],"&gt;= "&amp;L36)-COUNTIF(Vertices[Closeness Centrality],"&gt;="&amp;#REF!)</f>
        <v>1</v>
      </c>
      <c r="N36" s="42">
        <f>MAX(Vertices[Eigenvector Centrality])</f>
        <v>0.03076</v>
      </c>
      <c r="O36" s="43">
        <f>COUNTIF(Vertices[Eigenvector Centrality],"&gt;= "&amp;N36)-COUNTIF(Vertices[Eigenvector Centrality],"&gt;="&amp;#REF!)</f>
        <v>1</v>
      </c>
      <c r="P36" s="42">
        <f>MAX(Vertices[PageRank])</f>
        <v>27.294502</v>
      </c>
      <c r="Q36" s="43">
        <f>COUNTIF(Vertices[PageRank],"&gt;= "&amp;P36)-COUNTIF(Vertices[PageRank],"&gt;="&amp;#REF!)</f>
        <v>1</v>
      </c>
      <c r="R36" s="42">
        <f>MAX(Vertices[Clustering Coefficient])</f>
        <v>1</v>
      </c>
      <c r="S36" s="46">
        <f>COUNTIF(Vertices[Clustering Coefficient],"&gt;= "&amp;R36)-COUNTIF(Vertices[Clustering Coefficient],"&gt;="&amp;#REF!)</f>
        <v>43</v>
      </c>
      <c r="T36" s="42" t="e">
        <f ca="1">MAX(INDIRECT(DynamicFilterSourceColumnRange))</f>
        <v>#REF!</v>
      </c>
      <c r="U36" s="43" t="e">
        <f ca="1">COUNTIF(INDIRECT(DynamicFilterSourceColumnRange),"&gt;= "&amp;T36)-COUNTIF(INDIRECT(DynamicFilterSourceColumnRange),"&gt;="&amp;#REF!)</f>
        <v>#REF!</v>
      </c>
    </row>
    <row r="37" spans="1:2" ht="15">
      <c r="A37" s="35" t="s">
        <v>3407</v>
      </c>
      <c r="B37" s="35" t="s">
        <v>2319</v>
      </c>
    </row>
    <row r="38" spans="1:2" ht="15">
      <c r="A38" s="35" t="s">
        <v>3408</v>
      </c>
      <c r="B38" s="35" t="s">
        <v>2319</v>
      </c>
    </row>
    <row r="39" spans="1:2" ht="15">
      <c r="A39" s="35" t="s">
        <v>3409</v>
      </c>
      <c r="B39" s="35" t="s">
        <v>32</v>
      </c>
    </row>
    <row r="40" spans="1:2" ht="15">
      <c r="A40" s="35" t="s">
        <v>21</v>
      </c>
      <c r="B40" s="35" t="s">
        <v>33</v>
      </c>
    </row>
    <row r="41" spans="1:2" ht="15">
      <c r="A41" s="35" t="s">
        <v>3410</v>
      </c>
      <c r="B41" s="35" t="s">
        <v>32</v>
      </c>
    </row>
    <row r="42" spans="1:2" ht="15">
      <c r="A42" s="35" t="s">
        <v>3411</v>
      </c>
      <c r="B42" s="35"/>
    </row>
    <row r="43" spans="1:2" ht="15">
      <c r="A43" s="35" t="s">
        <v>3412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1.5162094763092269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91</v>
      </c>
    </row>
    <row r="97" spans="1:2" ht="15">
      <c r="A97" s="34" t="s">
        <v>96</v>
      </c>
      <c r="B97" s="48">
        <f>_xlfn.IFERROR(AVERAGE(Vertices[Out-Degree]),NoMetricMessage)</f>
        <v>1.5162094763092269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36476.449929</v>
      </c>
    </row>
    <row r="111" spans="1:2" ht="15">
      <c r="A111" s="34" t="s">
        <v>102</v>
      </c>
      <c r="B111" s="48">
        <f>_xlfn.IFERROR(AVERAGE(Vertices[Betweenness Centrality]),NoMetricMessage)</f>
        <v>690.6384039875313</v>
      </c>
    </row>
    <row r="112" spans="1:2" ht="15">
      <c r="A112" s="34" t="s">
        <v>103</v>
      </c>
      <c r="B112" s="48">
        <f>_xlfn.IFERROR(MEDIAN(Vertices[Betweenness Centrality]),NoMetricMessage)</f>
        <v>0</v>
      </c>
    </row>
    <row r="123" spans="1:2" ht="15">
      <c r="A123" s="34" t="s">
        <v>106</v>
      </c>
      <c r="B123" s="48">
        <f>IF(COUNT(Vertices[Closeness Centrality])&gt;0,L2,NoMetricMessage)</f>
        <v>0.000728</v>
      </c>
    </row>
    <row r="124" spans="1:2" ht="15">
      <c r="A124" s="34" t="s">
        <v>107</v>
      </c>
      <c r="B124" s="48">
        <f>IF(COUNT(Vertices[Closeness Centrality])&gt;0,L36,NoMetricMessage)</f>
        <v>0.045455</v>
      </c>
    </row>
    <row r="125" spans="1:2" ht="15">
      <c r="A125" s="34" t="s">
        <v>108</v>
      </c>
      <c r="B125" s="48">
        <f>_xlfn.IFERROR(AVERAGE(Vertices[Closeness Centrality]),NoMetricMessage)</f>
        <v>0.002251680798004982</v>
      </c>
    </row>
    <row r="126" spans="1:2" ht="15">
      <c r="A126" s="34" t="s">
        <v>109</v>
      </c>
      <c r="B126" s="48">
        <f>_xlfn.IFERROR(MEDIAN(Vertices[Closeness Centrality]),NoMetricMessage)</f>
        <v>0.000915</v>
      </c>
    </row>
    <row r="137" spans="1:2" ht="15">
      <c r="A137" s="34" t="s">
        <v>112</v>
      </c>
      <c r="B137" s="48">
        <f>IF(COUNT(Vertices[Eigenvector Centrality])&gt;0,N2,NoMetricMessage)</f>
        <v>0</v>
      </c>
    </row>
    <row r="138" spans="1:2" ht="15">
      <c r="A138" s="34" t="s">
        <v>113</v>
      </c>
      <c r="B138" s="48">
        <f>IF(COUNT(Vertices[Eigenvector Centrality])&gt;0,N36,NoMetricMessage)</f>
        <v>0.03076</v>
      </c>
    </row>
    <row r="139" spans="1:2" ht="15">
      <c r="A139" s="34" t="s">
        <v>114</v>
      </c>
      <c r="B139" s="48">
        <f>_xlfn.IFERROR(AVERAGE(Vertices[Eigenvector Centrality]),NoMetricMessage)</f>
        <v>0.002493765586034902</v>
      </c>
    </row>
    <row r="140" spans="1:2" ht="15">
      <c r="A140" s="34" t="s">
        <v>115</v>
      </c>
      <c r="B140" s="48">
        <f>_xlfn.IFERROR(MEDIAN(Vertices[Eigenvector Centrality]),NoMetricMessage)</f>
        <v>0.001702</v>
      </c>
    </row>
    <row r="151" spans="1:2" ht="15">
      <c r="A151" s="34" t="s">
        <v>140</v>
      </c>
      <c r="B151" s="48">
        <f>IF(COUNT(Vertices[PageRank])&gt;0,P2,NoMetricMessage)</f>
        <v>0.392961</v>
      </c>
    </row>
    <row r="152" spans="1:2" ht="15">
      <c r="A152" s="34" t="s">
        <v>141</v>
      </c>
      <c r="B152" s="48">
        <f>IF(COUNT(Vertices[PageRank])&gt;0,P36,NoMetricMessage)</f>
        <v>27.294502</v>
      </c>
    </row>
    <row r="153" spans="1:2" ht="15">
      <c r="A153" s="34" t="s">
        <v>142</v>
      </c>
      <c r="B153" s="48">
        <f>_xlfn.IFERROR(AVERAGE(Vertices[PageRank]),NoMetricMessage)</f>
        <v>0.9999985960099741</v>
      </c>
    </row>
    <row r="154" spans="1:2" ht="15">
      <c r="A154" s="34" t="s">
        <v>143</v>
      </c>
      <c r="B154" s="48">
        <f>_xlfn.IFERROR(MEDIAN(Vertices[PageRank]),NoMetricMessage)</f>
        <v>0.408323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0.14899489556050455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409.6">
      <c r="D22">
        <v>10</v>
      </c>
      <c r="J22" t="s">
        <v>205</v>
      </c>
      <c r="K22" s="13" t="s">
        <v>3554</v>
      </c>
    </row>
    <row r="23" spans="4:11" ht="409.6">
      <c r="D23">
        <v>11</v>
      </c>
      <c r="J23" t="s">
        <v>206</v>
      </c>
      <c r="K23" s="13" t="s">
        <v>207</v>
      </c>
    </row>
    <row r="24" spans="10:11" ht="409.6">
      <c r="J24" t="s">
        <v>208</v>
      </c>
      <c r="K24" s="13" t="s">
        <v>3562</v>
      </c>
    </row>
    <row r="25" spans="10:11" ht="15">
      <c r="J25" t="s">
        <v>209</v>
      </c>
      <c r="K25" t="s">
        <v>3552</v>
      </c>
    </row>
    <row r="26" spans="10:11" ht="409.6">
      <c r="J26" t="s">
        <v>210</v>
      </c>
      <c r="K26" s="13" t="s">
        <v>3553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E546-CCA8-42DA-81AE-5C7FE8B84910}">
  <dimension ref="A1:G227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2339</v>
      </c>
      <c r="B1" s="13" t="s">
        <v>3364</v>
      </c>
      <c r="C1" s="13" t="s">
        <v>3368</v>
      </c>
      <c r="D1" s="13" t="s">
        <v>144</v>
      </c>
      <c r="E1" s="13" t="s">
        <v>3370</v>
      </c>
      <c r="F1" s="13" t="s">
        <v>3371</v>
      </c>
      <c r="G1" s="13" t="s">
        <v>3372</v>
      </c>
    </row>
    <row r="2" spans="1:7" ht="15">
      <c r="A2" s="80" t="s">
        <v>2340</v>
      </c>
      <c r="B2" s="80" t="s">
        <v>3365</v>
      </c>
      <c r="C2" s="105"/>
      <c r="D2" s="80"/>
      <c r="E2" s="80"/>
      <c r="F2" s="80"/>
      <c r="G2" s="80"/>
    </row>
    <row r="3" spans="1:7" ht="15">
      <c r="A3" s="81" t="s">
        <v>2341</v>
      </c>
      <c r="B3" s="80" t="s">
        <v>3366</v>
      </c>
      <c r="C3" s="105"/>
      <c r="D3" s="80"/>
      <c r="E3" s="80"/>
      <c r="F3" s="80"/>
      <c r="G3" s="80"/>
    </row>
    <row r="4" spans="1:7" ht="15">
      <c r="A4" s="81" t="s">
        <v>2342</v>
      </c>
      <c r="B4" s="80" t="s">
        <v>3367</v>
      </c>
      <c r="C4" s="105"/>
      <c r="D4" s="80"/>
      <c r="E4" s="80"/>
      <c r="F4" s="80"/>
      <c r="G4" s="80"/>
    </row>
    <row r="5" spans="1:7" ht="15">
      <c r="A5" s="81" t="s">
        <v>2343</v>
      </c>
      <c r="B5" s="80">
        <v>199</v>
      </c>
      <c r="C5" s="105">
        <v>0.018936149966695213</v>
      </c>
      <c r="D5" s="80"/>
      <c r="E5" s="80"/>
      <c r="F5" s="80"/>
      <c r="G5" s="80"/>
    </row>
    <row r="6" spans="1:7" ht="15">
      <c r="A6" s="81" t="s">
        <v>2344</v>
      </c>
      <c r="B6" s="80">
        <v>391</v>
      </c>
      <c r="C6" s="105">
        <v>0.03720620420591873</v>
      </c>
      <c r="D6" s="80"/>
      <c r="E6" s="80"/>
      <c r="F6" s="80"/>
      <c r="G6" s="80"/>
    </row>
    <row r="7" spans="1:7" ht="15">
      <c r="A7" s="81" t="s">
        <v>2345</v>
      </c>
      <c r="B7" s="80">
        <v>0</v>
      </c>
      <c r="C7" s="105">
        <v>0</v>
      </c>
      <c r="D7" s="80"/>
      <c r="E7" s="80"/>
      <c r="F7" s="80"/>
      <c r="G7" s="80"/>
    </row>
    <row r="8" spans="1:7" ht="15">
      <c r="A8" s="81" t="s">
        <v>2346</v>
      </c>
      <c r="B8" s="80">
        <v>9919</v>
      </c>
      <c r="C8" s="105">
        <v>0.9438576458273861</v>
      </c>
      <c r="D8" s="80"/>
      <c r="E8" s="80"/>
      <c r="F8" s="80"/>
      <c r="G8" s="80"/>
    </row>
    <row r="9" spans="1:7" ht="15">
      <c r="A9" s="81" t="s">
        <v>2347</v>
      </c>
      <c r="B9" s="80">
        <v>10509</v>
      </c>
      <c r="C9" s="105">
        <v>1</v>
      </c>
      <c r="D9" s="80"/>
      <c r="E9" s="80"/>
      <c r="F9" s="80"/>
      <c r="G9" s="80"/>
    </row>
    <row r="10" spans="1:7" ht="15">
      <c r="A10" s="104" t="s">
        <v>2348</v>
      </c>
      <c r="B10" s="102">
        <v>230</v>
      </c>
      <c r="C10" s="106">
        <v>0.016787408448928162</v>
      </c>
      <c r="D10" s="102" t="s">
        <v>3369</v>
      </c>
      <c r="E10" s="102" t="b">
        <v>0</v>
      </c>
      <c r="F10" s="102" t="b">
        <v>0</v>
      </c>
      <c r="G10" s="102" t="b">
        <v>0</v>
      </c>
    </row>
    <row r="11" spans="1:7" ht="15">
      <c r="A11" s="104" t="s">
        <v>2349</v>
      </c>
      <c r="B11" s="102">
        <v>223</v>
      </c>
      <c r="C11" s="106">
        <v>0.01277572947778992</v>
      </c>
      <c r="D11" s="102" t="s">
        <v>3369</v>
      </c>
      <c r="E11" s="102" t="b">
        <v>0</v>
      </c>
      <c r="F11" s="102" t="b">
        <v>0</v>
      </c>
      <c r="G11" s="102" t="b">
        <v>0</v>
      </c>
    </row>
    <row r="12" spans="1:7" ht="15">
      <c r="A12" s="104" t="s">
        <v>2350</v>
      </c>
      <c r="B12" s="102">
        <v>207</v>
      </c>
      <c r="C12" s="106">
        <v>0.010647300803526372</v>
      </c>
      <c r="D12" s="102" t="s">
        <v>3369</v>
      </c>
      <c r="E12" s="102" t="b">
        <v>0</v>
      </c>
      <c r="F12" s="102" t="b">
        <v>0</v>
      </c>
      <c r="G12" s="102" t="b">
        <v>0</v>
      </c>
    </row>
    <row r="13" spans="1:7" ht="15">
      <c r="A13" s="104" t="s">
        <v>2351</v>
      </c>
      <c r="B13" s="102">
        <v>187</v>
      </c>
      <c r="C13" s="106">
        <v>0.014776849873960114</v>
      </c>
      <c r="D13" s="102" t="s">
        <v>3369</v>
      </c>
      <c r="E13" s="102" t="b">
        <v>0</v>
      </c>
      <c r="F13" s="102" t="b">
        <v>0</v>
      </c>
      <c r="G13" s="102" t="b">
        <v>0</v>
      </c>
    </row>
    <row r="14" spans="1:7" ht="15">
      <c r="A14" s="104" t="s">
        <v>2352</v>
      </c>
      <c r="B14" s="102">
        <v>117</v>
      </c>
      <c r="C14" s="106">
        <v>0.015270400048755557</v>
      </c>
      <c r="D14" s="102" t="s">
        <v>3369</v>
      </c>
      <c r="E14" s="102" t="b">
        <v>0</v>
      </c>
      <c r="F14" s="102" t="b">
        <v>0</v>
      </c>
      <c r="G14" s="102" t="b">
        <v>0</v>
      </c>
    </row>
    <row r="15" spans="1:7" ht="15">
      <c r="A15" s="104" t="s">
        <v>2353</v>
      </c>
      <c r="B15" s="102">
        <v>77</v>
      </c>
      <c r="C15" s="106">
        <v>0.011779515586020795</v>
      </c>
      <c r="D15" s="102" t="s">
        <v>3369</v>
      </c>
      <c r="E15" s="102" t="b">
        <v>0</v>
      </c>
      <c r="F15" s="102" t="b">
        <v>0</v>
      </c>
      <c r="G15" s="102" t="b">
        <v>0</v>
      </c>
    </row>
    <row r="16" spans="1:7" ht="15">
      <c r="A16" s="104" t="s">
        <v>2354</v>
      </c>
      <c r="B16" s="102">
        <v>64</v>
      </c>
      <c r="C16" s="106">
        <v>0.0061481961611174465</v>
      </c>
      <c r="D16" s="102" t="s">
        <v>3369</v>
      </c>
      <c r="E16" s="102" t="b">
        <v>0</v>
      </c>
      <c r="F16" s="102" t="b">
        <v>0</v>
      </c>
      <c r="G16" s="102" t="b">
        <v>0</v>
      </c>
    </row>
    <row r="17" spans="1:7" ht="15">
      <c r="A17" s="104" t="s">
        <v>2355</v>
      </c>
      <c r="B17" s="102">
        <v>64</v>
      </c>
      <c r="C17" s="106">
        <v>0.009173172165570006</v>
      </c>
      <c r="D17" s="102" t="s">
        <v>3369</v>
      </c>
      <c r="E17" s="102" t="b">
        <v>0</v>
      </c>
      <c r="F17" s="102" t="b">
        <v>0</v>
      </c>
      <c r="G17" s="102" t="b">
        <v>0</v>
      </c>
    </row>
    <row r="18" spans="1:7" ht="15">
      <c r="A18" s="104" t="s">
        <v>2356</v>
      </c>
      <c r="B18" s="102">
        <v>63</v>
      </c>
      <c r="C18" s="106">
        <v>0.006350567213743404</v>
      </c>
      <c r="D18" s="102" t="s">
        <v>3369</v>
      </c>
      <c r="E18" s="102" t="b">
        <v>0</v>
      </c>
      <c r="F18" s="102" t="b">
        <v>0</v>
      </c>
      <c r="G18" s="102" t="b">
        <v>0</v>
      </c>
    </row>
    <row r="19" spans="1:7" ht="15">
      <c r="A19" s="104" t="s">
        <v>2357</v>
      </c>
      <c r="B19" s="102">
        <v>61</v>
      </c>
      <c r="C19" s="106">
        <v>0.007230332878033715</v>
      </c>
      <c r="D19" s="102" t="s">
        <v>3369</v>
      </c>
      <c r="E19" s="102" t="b">
        <v>0</v>
      </c>
      <c r="F19" s="102" t="b">
        <v>0</v>
      </c>
      <c r="G19" s="102" t="b">
        <v>0</v>
      </c>
    </row>
    <row r="20" spans="1:7" ht="15">
      <c r="A20" s="104" t="s">
        <v>2358</v>
      </c>
      <c r="B20" s="102">
        <v>60</v>
      </c>
      <c r="C20" s="106">
        <v>0.009638537451781613</v>
      </c>
      <c r="D20" s="102" t="s">
        <v>3369</v>
      </c>
      <c r="E20" s="102" t="b">
        <v>0</v>
      </c>
      <c r="F20" s="102" t="b">
        <v>0</v>
      </c>
      <c r="G20" s="102" t="b">
        <v>0</v>
      </c>
    </row>
    <row r="21" spans="1:7" ht="15">
      <c r="A21" s="104" t="s">
        <v>2359</v>
      </c>
      <c r="B21" s="102">
        <v>51</v>
      </c>
      <c r="C21" s="106">
        <v>0.0078020168167150725</v>
      </c>
      <c r="D21" s="102" t="s">
        <v>3369</v>
      </c>
      <c r="E21" s="102" t="b">
        <v>0</v>
      </c>
      <c r="F21" s="102" t="b">
        <v>0</v>
      </c>
      <c r="G21" s="102" t="b">
        <v>0</v>
      </c>
    </row>
    <row r="22" spans="1:7" ht="15">
      <c r="A22" s="104" t="s">
        <v>2360</v>
      </c>
      <c r="B22" s="102">
        <v>46</v>
      </c>
      <c r="C22" s="106">
        <v>0.0058048143427865415</v>
      </c>
      <c r="D22" s="102" t="s">
        <v>3369</v>
      </c>
      <c r="E22" s="102" t="b">
        <v>0</v>
      </c>
      <c r="F22" s="102" t="b">
        <v>1</v>
      </c>
      <c r="G22" s="102" t="b">
        <v>0</v>
      </c>
    </row>
    <row r="23" spans="1:7" ht="15">
      <c r="A23" s="104" t="s">
        <v>2361</v>
      </c>
      <c r="B23" s="102">
        <v>46</v>
      </c>
      <c r="C23" s="106">
        <v>0.005902117691599153</v>
      </c>
      <c r="D23" s="102" t="s">
        <v>3369</v>
      </c>
      <c r="E23" s="102" t="b">
        <v>0</v>
      </c>
      <c r="F23" s="102" t="b">
        <v>0</v>
      </c>
      <c r="G23" s="102" t="b">
        <v>0</v>
      </c>
    </row>
    <row r="24" spans="1:7" ht="15">
      <c r="A24" s="104" t="s">
        <v>2362</v>
      </c>
      <c r="B24" s="102">
        <v>46</v>
      </c>
      <c r="C24" s="106">
        <v>0.0062216531294872444</v>
      </c>
      <c r="D24" s="102" t="s">
        <v>3369</v>
      </c>
      <c r="E24" s="102" t="b">
        <v>0</v>
      </c>
      <c r="F24" s="102" t="b">
        <v>0</v>
      </c>
      <c r="G24" s="102" t="b">
        <v>0</v>
      </c>
    </row>
    <row r="25" spans="1:7" ht="15">
      <c r="A25" s="104" t="s">
        <v>2363</v>
      </c>
      <c r="B25" s="102">
        <v>46</v>
      </c>
      <c r="C25" s="106">
        <v>0.009391115203312636</v>
      </c>
      <c r="D25" s="102" t="s">
        <v>3369</v>
      </c>
      <c r="E25" s="102" t="b">
        <v>0</v>
      </c>
      <c r="F25" s="102" t="b">
        <v>0</v>
      </c>
      <c r="G25" s="102" t="b">
        <v>0</v>
      </c>
    </row>
    <row r="26" spans="1:7" ht="15">
      <c r="A26" s="104" t="s">
        <v>2364</v>
      </c>
      <c r="B26" s="102">
        <v>45</v>
      </c>
      <c r="C26" s="106">
        <v>0.005333852123139625</v>
      </c>
      <c r="D26" s="102" t="s">
        <v>3369</v>
      </c>
      <c r="E26" s="102" t="b">
        <v>0</v>
      </c>
      <c r="F26" s="102" t="b">
        <v>0</v>
      </c>
      <c r="G26" s="102" t="b">
        <v>0</v>
      </c>
    </row>
    <row r="27" spans="1:7" ht="15">
      <c r="A27" s="104" t="s">
        <v>2365</v>
      </c>
      <c r="B27" s="102">
        <v>45</v>
      </c>
      <c r="C27" s="106">
        <v>0.005678622726639007</v>
      </c>
      <c r="D27" s="102" t="s">
        <v>3369</v>
      </c>
      <c r="E27" s="102" t="b">
        <v>0</v>
      </c>
      <c r="F27" s="102" t="b">
        <v>0</v>
      </c>
      <c r="G27" s="102" t="b">
        <v>0</v>
      </c>
    </row>
    <row r="28" spans="1:7" ht="15">
      <c r="A28" s="104" t="s">
        <v>2366</v>
      </c>
      <c r="B28" s="102">
        <v>42</v>
      </c>
      <c r="C28" s="106">
        <v>0.006019894233655316</v>
      </c>
      <c r="D28" s="102" t="s">
        <v>3369</v>
      </c>
      <c r="E28" s="102" t="b">
        <v>0</v>
      </c>
      <c r="F28" s="102" t="b">
        <v>0</v>
      </c>
      <c r="G28" s="102" t="b">
        <v>0</v>
      </c>
    </row>
    <row r="29" spans="1:7" ht="15">
      <c r="A29" s="104" t="s">
        <v>2367</v>
      </c>
      <c r="B29" s="102">
        <v>40</v>
      </c>
      <c r="C29" s="106">
        <v>0.005132276253564481</v>
      </c>
      <c r="D29" s="102" t="s">
        <v>3369</v>
      </c>
      <c r="E29" s="102" t="b">
        <v>0</v>
      </c>
      <c r="F29" s="102" t="b">
        <v>0</v>
      </c>
      <c r="G29" s="102" t="b">
        <v>0</v>
      </c>
    </row>
    <row r="30" spans="1:7" ht="15">
      <c r="A30" s="104" t="s">
        <v>2368</v>
      </c>
      <c r="B30" s="102">
        <v>37</v>
      </c>
      <c r="C30" s="106">
        <v>0.005796568843919767</v>
      </c>
      <c r="D30" s="102" t="s">
        <v>3369</v>
      </c>
      <c r="E30" s="102" t="b">
        <v>0</v>
      </c>
      <c r="F30" s="102" t="b">
        <v>0</v>
      </c>
      <c r="G30" s="102" t="b">
        <v>0</v>
      </c>
    </row>
    <row r="31" spans="1:7" ht="15">
      <c r="A31" s="104" t="s">
        <v>2369</v>
      </c>
      <c r="B31" s="102">
        <v>37</v>
      </c>
      <c r="C31" s="106">
        <v>0.004452490652282142</v>
      </c>
      <c r="D31" s="102" t="s">
        <v>3369</v>
      </c>
      <c r="E31" s="102" t="b">
        <v>0</v>
      </c>
      <c r="F31" s="102" t="b">
        <v>0</v>
      </c>
      <c r="G31" s="102" t="b">
        <v>0</v>
      </c>
    </row>
    <row r="32" spans="1:7" ht="15">
      <c r="A32" s="104" t="s">
        <v>2370</v>
      </c>
      <c r="B32" s="102">
        <v>34</v>
      </c>
      <c r="C32" s="106">
        <v>0.005769936122991259</v>
      </c>
      <c r="D32" s="102" t="s">
        <v>3369</v>
      </c>
      <c r="E32" s="102" t="b">
        <v>0</v>
      </c>
      <c r="F32" s="102" t="b">
        <v>0</v>
      </c>
      <c r="G32" s="102" t="b">
        <v>0</v>
      </c>
    </row>
    <row r="33" spans="1:7" ht="15">
      <c r="A33" s="104" t="s">
        <v>2371</v>
      </c>
      <c r="B33" s="102">
        <v>33</v>
      </c>
      <c r="C33" s="106">
        <v>0.006737104384985151</v>
      </c>
      <c r="D33" s="102" t="s">
        <v>3369</v>
      </c>
      <c r="E33" s="102" t="b">
        <v>0</v>
      </c>
      <c r="F33" s="102" t="b">
        <v>0</v>
      </c>
      <c r="G33" s="102" t="b">
        <v>0</v>
      </c>
    </row>
    <row r="34" spans="1:7" ht="15">
      <c r="A34" s="104" t="s">
        <v>2372</v>
      </c>
      <c r="B34" s="102">
        <v>33</v>
      </c>
      <c r="C34" s="106">
        <v>0.004636167954987385</v>
      </c>
      <c r="D34" s="102" t="s">
        <v>3369</v>
      </c>
      <c r="E34" s="102" t="b">
        <v>0</v>
      </c>
      <c r="F34" s="102" t="b">
        <v>0</v>
      </c>
      <c r="G34" s="102" t="b">
        <v>0</v>
      </c>
    </row>
    <row r="35" spans="1:7" ht="15">
      <c r="A35" s="104" t="s">
        <v>2373</v>
      </c>
      <c r="B35" s="102">
        <v>32</v>
      </c>
      <c r="C35" s="106">
        <v>0.004586586082785003</v>
      </c>
      <c r="D35" s="102" t="s">
        <v>3369</v>
      </c>
      <c r="E35" s="102" t="b">
        <v>0</v>
      </c>
      <c r="F35" s="102" t="b">
        <v>0</v>
      </c>
      <c r="G35" s="102" t="b">
        <v>0</v>
      </c>
    </row>
    <row r="36" spans="1:7" ht="15">
      <c r="A36" s="104" t="s">
        <v>2374</v>
      </c>
      <c r="B36" s="102">
        <v>31</v>
      </c>
      <c r="C36" s="106">
        <v>0.004536663038399827</v>
      </c>
      <c r="D36" s="102" t="s">
        <v>3369</v>
      </c>
      <c r="E36" s="102" t="b">
        <v>0</v>
      </c>
      <c r="F36" s="102" t="b">
        <v>0</v>
      </c>
      <c r="G36" s="102" t="b">
        <v>0</v>
      </c>
    </row>
    <row r="37" spans="1:7" ht="15">
      <c r="A37" s="104" t="s">
        <v>2375</v>
      </c>
      <c r="B37" s="102">
        <v>31</v>
      </c>
      <c r="C37" s="106">
        <v>0.0071158528491144235</v>
      </c>
      <c r="D37" s="102" t="s">
        <v>3369</v>
      </c>
      <c r="E37" s="102" t="b">
        <v>0</v>
      </c>
      <c r="F37" s="102" t="b">
        <v>0</v>
      </c>
      <c r="G37" s="102" t="b">
        <v>0</v>
      </c>
    </row>
    <row r="38" spans="1:7" ht="15">
      <c r="A38" s="104" t="s">
        <v>2376</v>
      </c>
      <c r="B38" s="102">
        <v>30</v>
      </c>
      <c r="C38" s="106">
        <v>0.00429992445261094</v>
      </c>
      <c r="D38" s="102" t="s">
        <v>3369</v>
      </c>
      <c r="E38" s="102" t="b">
        <v>0</v>
      </c>
      <c r="F38" s="102" t="b">
        <v>0</v>
      </c>
      <c r="G38" s="102" t="b">
        <v>0</v>
      </c>
    </row>
    <row r="39" spans="1:7" ht="15">
      <c r="A39" s="104" t="s">
        <v>2377</v>
      </c>
      <c r="B39" s="102">
        <v>30</v>
      </c>
      <c r="C39" s="106">
        <v>0.004589421656891219</v>
      </c>
      <c r="D39" s="102" t="s">
        <v>3369</v>
      </c>
      <c r="E39" s="102" t="b">
        <v>0</v>
      </c>
      <c r="F39" s="102" t="b">
        <v>0</v>
      </c>
      <c r="G39" s="102" t="b">
        <v>0</v>
      </c>
    </row>
    <row r="40" spans="1:7" ht="15">
      <c r="A40" s="104" t="s">
        <v>2378</v>
      </c>
      <c r="B40" s="102">
        <v>30</v>
      </c>
      <c r="C40" s="106">
        <v>0.007490879793813594</v>
      </c>
      <c r="D40" s="102" t="s">
        <v>3369</v>
      </c>
      <c r="E40" s="102" t="b">
        <v>0</v>
      </c>
      <c r="F40" s="102" t="b">
        <v>0</v>
      </c>
      <c r="G40" s="102" t="b">
        <v>0</v>
      </c>
    </row>
    <row r="41" spans="1:7" ht="15">
      <c r="A41" s="104" t="s">
        <v>2379</v>
      </c>
      <c r="B41" s="102">
        <v>29</v>
      </c>
      <c r="C41" s="106">
        <v>0.004243975100438549</v>
      </c>
      <c r="D41" s="102" t="s">
        <v>3369</v>
      </c>
      <c r="E41" s="102" t="b">
        <v>0</v>
      </c>
      <c r="F41" s="102" t="b">
        <v>0</v>
      </c>
      <c r="G41" s="102" t="b">
        <v>0</v>
      </c>
    </row>
    <row r="42" spans="1:7" ht="15">
      <c r="A42" s="104" t="s">
        <v>2380</v>
      </c>
      <c r="B42" s="102">
        <v>29</v>
      </c>
      <c r="C42" s="106">
        <v>0.004436440934994845</v>
      </c>
      <c r="D42" s="102" t="s">
        <v>3369</v>
      </c>
      <c r="E42" s="102" t="b">
        <v>0</v>
      </c>
      <c r="F42" s="102" t="b">
        <v>0</v>
      </c>
      <c r="G42" s="102" t="b">
        <v>0</v>
      </c>
    </row>
    <row r="43" spans="1:7" ht="15">
      <c r="A43" s="104" t="s">
        <v>2381</v>
      </c>
      <c r="B43" s="102">
        <v>29</v>
      </c>
      <c r="C43" s="106">
        <v>0.004336997872744232</v>
      </c>
      <c r="D43" s="102" t="s">
        <v>3369</v>
      </c>
      <c r="E43" s="102" t="b">
        <v>0</v>
      </c>
      <c r="F43" s="102" t="b">
        <v>0</v>
      </c>
      <c r="G43" s="102" t="b">
        <v>0</v>
      </c>
    </row>
    <row r="44" spans="1:7" ht="15">
      <c r="A44" s="104" t="s">
        <v>2382</v>
      </c>
      <c r="B44" s="102">
        <v>29</v>
      </c>
      <c r="C44" s="106">
        <v>0.005243044667187857</v>
      </c>
      <c r="D44" s="102" t="s">
        <v>3369</v>
      </c>
      <c r="E44" s="102" t="b">
        <v>0</v>
      </c>
      <c r="F44" s="102" t="b">
        <v>0</v>
      </c>
      <c r="G44" s="102" t="b">
        <v>0</v>
      </c>
    </row>
    <row r="45" spans="1:7" ht="15">
      <c r="A45" s="104" t="s">
        <v>2383</v>
      </c>
      <c r="B45" s="102">
        <v>28</v>
      </c>
      <c r="C45" s="106">
        <v>0.0037191943337715</v>
      </c>
      <c r="D45" s="102" t="s">
        <v>3369</v>
      </c>
      <c r="E45" s="102" t="b">
        <v>0</v>
      </c>
      <c r="F45" s="102" t="b">
        <v>0</v>
      </c>
      <c r="G45" s="102" t="b">
        <v>0</v>
      </c>
    </row>
    <row r="46" spans="1:7" ht="15">
      <c r="A46" s="104" t="s">
        <v>2384</v>
      </c>
      <c r="B46" s="102">
        <v>28</v>
      </c>
      <c r="C46" s="106">
        <v>0.0042834602130984705</v>
      </c>
      <c r="D46" s="102" t="s">
        <v>3369</v>
      </c>
      <c r="E46" s="102" t="b">
        <v>0</v>
      </c>
      <c r="F46" s="102" t="b">
        <v>0</v>
      </c>
      <c r="G46" s="102" t="b">
        <v>0</v>
      </c>
    </row>
    <row r="47" spans="1:7" ht="15">
      <c r="A47" s="104" t="s">
        <v>2385</v>
      </c>
      <c r="B47" s="102">
        <v>27</v>
      </c>
      <c r="C47" s="106">
        <v>0.0034071736359834043</v>
      </c>
      <c r="D47" s="102" t="s">
        <v>3369</v>
      </c>
      <c r="E47" s="102" t="b">
        <v>0</v>
      </c>
      <c r="F47" s="102" t="b">
        <v>0</v>
      </c>
      <c r="G47" s="102" t="b">
        <v>0</v>
      </c>
    </row>
    <row r="48" spans="1:7" ht="15">
      <c r="A48" s="104" t="s">
        <v>2386</v>
      </c>
      <c r="B48" s="102">
        <v>27</v>
      </c>
      <c r="C48" s="106">
        <v>0.005060647708520418</v>
      </c>
      <c r="D48" s="102" t="s">
        <v>3369</v>
      </c>
      <c r="E48" s="102" t="b">
        <v>0</v>
      </c>
      <c r="F48" s="102" t="b">
        <v>0</v>
      </c>
      <c r="G48" s="102" t="b">
        <v>0</v>
      </c>
    </row>
    <row r="49" spans="1:7" ht="15">
      <c r="A49" s="104" t="s">
        <v>2387</v>
      </c>
      <c r="B49" s="102">
        <v>26</v>
      </c>
      <c r="C49" s="106">
        <v>0.0038883429203913807</v>
      </c>
      <c r="D49" s="102" t="s">
        <v>3369</v>
      </c>
      <c r="E49" s="102" t="b">
        <v>0</v>
      </c>
      <c r="F49" s="102" t="b">
        <v>0</v>
      </c>
      <c r="G49" s="102" t="b">
        <v>0</v>
      </c>
    </row>
    <row r="50" spans="1:7" ht="15">
      <c r="A50" s="104" t="s">
        <v>2388</v>
      </c>
      <c r="B50" s="102">
        <v>24</v>
      </c>
      <c r="C50" s="106">
        <v>0.0036715373255129754</v>
      </c>
      <c r="D50" s="102" t="s">
        <v>3369</v>
      </c>
      <c r="E50" s="102" t="b">
        <v>0</v>
      </c>
      <c r="F50" s="102" t="b">
        <v>0</v>
      </c>
      <c r="G50" s="102" t="b">
        <v>0</v>
      </c>
    </row>
    <row r="51" spans="1:7" ht="15">
      <c r="A51" s="104" t="s">
        <v>2389</v>
      </c>
      <c r="B51" s="102">
        <v>23</v>
      </c>
      <c r="C51" s="106">
        <v>0.003296608747001721</v>
      </c>
      <c r="D51" s="102" t="s">
        <v>3369</v>
      </c>
      <c r="E51" s="102" t="b">
        <v>0</v>
      </c>
      <c r="F51" s="102" t="b">
        <v>0</v>
      </c>
      <c r="G51" s="102" t="b">
        <v>0</v>
      </c>
    </row>
    <row r="52" spans="1:7" ht="15">
      <c r="A52" s="104" t="s">
        <v>2390</v>
      </c>
      <c r="B52" s="102">
        <v>23</v>
      </c>
      <c r="C52" s="106">
        <v>0.003365911286554711</v>
      </c>
      <c r="D52" s="102" t="s">
        <v>3369</v>
      </c>
      <c r="E52" s="102" t="b">
        <v>0</v>
      </c>
      <c r="F52" s="102" t="b">
        <v>0</v>
      </c>
      <c r="G52" s="102" t="b">
        <v>0</v>
      </c>
    </row>
    <row r="53" spans="1:7" ht="15">
      <c r="A53" s="104" t="s">
        <v>2391</v>
      </c>
      <c r="B53" s="102">
        <v>23</v>
      </c>
      <c r="C53" s="106">
        <v>0.004023634093144526</v>
      </c>
      <c r="D53" s="102" t="s">
        <v>3369</v>
      </c>
      <c r="E53" s="102" t="b">
        <v>0</v>
      </c>
      <c r="F53" s="102" t="b">
        <v>0</v>
      </c>
      <c r="G53" s="102" t="b">
        <v>0</v>
      </c>
    </row>
    <row r="54" spans="1:7" ht="15">
      <c r="A54" s="104" t="s">
        <v>2392</v>
      </c>
      <c r="B54" s="102">
        <v>23</v>
      </c>
      <c r="C54" s="106">
        <v>0.0035185566036166015</v>
      </c>
      <c r="D54" s="102" t="s">
        <v>3369</v>
      </c>
      <c r="E54" s="102" t="b">
        <v>0</v>
      </c>
      <c r="F54" s="102" t="b">
        <v>0</v>
      </c>
      <c r="G54" s="102" t="b">
        <v>0</v>
      </c>
    </row>
    <row r="55" spans="1:7" ht="15">
      <c r="A55" s="104" t="s">
        <v>2393</v>
      </c>
      <c r="B55" s="102">
        <v>23</v>
      </c>
      <c r="C55" s="106">
        <v>0.004023634093144526</v>
      </c>
      <c r="D55" s="102" t="s">
        <v>3369</v>
      </c>
      <c r="E55" s="102" t="b">
        <v>0</v>
      </c>
      <c r="F55" s="102" t="b">
        <v>0</v>
      </c>
      <c r="G55" s="102" t="b">
        <v>0</v>
      </c>
    </row>
    <row r="56" spans="1:7" ht="15">
      <c r="A56" s="104" t="s">
        <v>2394</v>
      </c>
      <c r="B56" s="102">
        <v>21</v>
      </c>
      <c r="C56" s="106">
        <v>0.003073223348593432</v>
      </c>
      <c r="D56" s="102" t="s">
        <v>3369</v>
      </c>
      <c r="E56" s="102" t="b">
        <v>0</v>
      </c>
      <c r="F56" s="102" t="b">
        <v>0</v>
      </c>
      <c r="G56" s="102" t="b">
        <v>0</v>
      </c>
    </row>
    <row r="57" spans="1:7" ht="15">
      <c r="A57" s="104" t="s">
        <v>2395</v>
      </c>
      <c r="B57" s="102">
        <v>21</v>
      </c>
      <c r="C57" s="106">
        <v>0.0037966875176187933</v>
      </c>
      <c r="D57" s="102" t="s">
        <v>3369</v>
      </c>
      <c r="E57" s="102" t="b">
        <v>0</v>
      </c>
      <c r="F57" s="102" t="b">
        <v>0</v>
      </c>
      <c r="G57" s="102" t="b">
        <v>0</v>
      </c>
    </row>
    <row r="58" spans="1:7" ht="15">
      <c r="A58" s="104" t="s">
        <v>2396</v>
      </c>
      <c r="B58" s="102">
        <v>21</v>
      </c>
      <c r="C58" s="106">
        <v>0.0036737528676536973</v>
      </c>
      <c r="D58" s="102" t="s">
        <v>3369</v>
      </c>
      <c r="E58" s="102" t="b">
        <v>0</v>
      </c>
      <c r="F58" s="102" t="b">
        <v>0</v>
      </c>
      <c r="G58" s="102" t="b">
        <v>0</v>
      </c>
    </row>
    <row r="59" spans="1:7" ht="15">
      <c r="A59" s="104" t="s">
        <v>2397</v>
      </c>
      <c r="B59" s="102">
        <v>21</v>
      </c>
      <c r="C59" s="106">
        <v>0.003073223348593432</v>
      </c>
      <c r="D59" s="102" t="s">
        <v>3369</v>
      </c>
      <c r="E59" s="102" t="b">
        <v>0</v>
      </c>
      <c r="F59" s="102" t="b">
        <v>0</v>
      </c>
      <c r="G59" s="102" t="b">
        <v>0</v>
      </c>
    </row>
    <row r="60" spans="1:7" ht="15">
      <c r="A60" s="104" t="s">
        <v>2398</v>
      </c>
      <c r="B60" s="102">
        <v>21</v>
      </c>
      <c r="C60" s="106">
        <v>0.0032125951598238533</v>
      </c>
      <c r="D60" s="102" t="s">
        <v>3369</v>
      </c>
      <c r="E60" s="102" t="b">
        <v>0</v>
      </c>
      <c r="F60" s="102" t="b">
        <v>0</v>
      </c>
      <c r="G60" s="102" t="b">
        <v>0</v>
      </c>
    </row>
    <row r="61" spans="1:7" ht="15">
      <c r="A61" s="104" t="s">
        <v>2399</v>
      </c>
      <c r="B61" s="102">
        <v>21</v>
      </c>
      <c r="C61" s="106">
        <v>0.004096952277148925</v>
      </c>
      <c r="D61" s="102" t="s">
        <v>3369</v>
      </c>
      <c r="E61" s="102" t="b">
        <v>0</v>
      </c>
      <c r="F61" s="102" t="b">
        <v>0</v>
      </c>
      <c r="G61" s="102" t="b">
        <v>0</v>
      </c>
    </row>
    <row r="62" spans="1:7" ht="15">
      <c r="A62" s="104" t="s">
        <v>2400</v>
      </c>
      <c r="B62" s="102">
        <v>20</v>
      </c>
      <c r="C62" s="106">
        <v>0.002756053977239471</v>
      </c>
      <c r="D62" s="102" t="s">
        <v>3369</v>
      </c>
      <c r="E62" s="102" t="b">
        <v>0</v>
      </c>
      <c r="F62" s="102" t="b">
        <v>0</v>
      </c>
      <c r="G62" s="102" t="b">
        <v>0</v>
      </c>
    </row>
    <row r="63" spans="1:7" ht="15">
      <c r="A63" s="104" t="s">
        <v>2401</v>
      </c>
      <c r="B63" s="102">
        <v>20</v>
      </c>
      <c r="C63" s="106">
        <v>0.0029910330156856777</v>
      </c>
      <c r="D63" s="102" t="s">
        <v>3369</v>
      </c>
      <c r="E63" s="102" t="b">
        <v>0</v>
      </c>
      <c r="F63" s="102" t="b">
        <v>0</v>
      </c>
      <c r="G63" s="102" t="b">
        <v>0</v>
      </c>
    </row>
    <row r="64" spans="1:7" ht="15">
      <c r="A64" s="104" t="s">
        <v>2402</v>
      </c>
      <c r="B64" s="102">
        <v>20</v>
      </c>
      <c r="C64" s="106">
        <v>0.0030596144379274794</v>
      </c>
      <c r="D64" s="102" t="s">
        <v>3369</v>
      </c>
      <c r="E64" s="102" t="b">
        <v>0</v>
      </c>
      <c r="F64" s="102" t="b">
        <v>0</v>
      </c>
      <c r="G64" s="102" t="b">
        <v>0</v>
      </c>
    </row>
    <row r="65" spans="1:7" ht="15">
      <c r="A65" s="104" t="s">
        <v>2403</v>
      </c>
      <c r="B65" s="102">
        <v>20</v>
      </c>
      <c r="C65" s="106">
        <v>0.004304906368232528</v>
      </c>
      <c r="D65" s="102" t="s">
        <v>3369</v>
      </c>
      <c r="E65" s="102" t="b">
        <v>0</v>
      </c>
      <c r="F65" s="102" t="b">
        <v>0</v>
      </c>
      <c r="G65" s="102" t="b">
        <v>0</v>
      </c>
    </row>
    <row r="66" spans="1:7" ht="15">
      <c r="A66" s="104" t="s">
        <v>2404</v>
      </c>
      <c r="B66" s="102">
        <v>20</v>
      </c>
      <c r="C66" s="106">
        <v>0.005682933356852263</v>
      </c>
      <c r="D66" s="102" t="s">
        <v>3369</v>
      </c>
      <c r="E66" s="102" t="b">
        <v>0</v>
      </c>
      <c r="F66" s="102" t="b">
        <v>0</v>
      </c>
      <c r="G66" s="102" t="b">
        <v>0</v>
      </c>
    </row>
    <row r="67" spans="1:7" ht="15">
      <c r="A67" s="104" t="s">
        <v>2405</v>
      </c>
      <c r="B67" s="102">
        <v>20</v>
      </c>
      <c r="C67" s="106">
        <v>0.004083093566657667</v>
      </c>
      <c r="D67" s="102" t="s">
        <v>3369</v>
      </c>
      <c r="E67" s="102" t="b">
        <v>0</v>
      </c>
      <c r="F67" s="102" t="b">
        <v>0</v>
      </c>
      <c r="G67" s="102" t="b">
        <v>0</v>
      </c>
    </row>
    <row r="68" spans="1:7" ht="15">
      <c r="A68" s="104" t="s">
        <v>2406</v>
      </c>
      <c r="B68" s="102">
        <v>19</v>
      </c>
      <c r="C68" s="106">
        <v>0.0031343713745204905</v>
      </c>
      <c r="D68" s="102" t="s">
        <v>3369</v>
      </c>
      <c r="E68" s="102" t="b">
        <v>0</v>
      </c>
      <c r="F68" s="102" t="b">
        <v>1</v>
      </c>
      <c r="G68" s="102" t="b">
        <v>0</v>
      </c>
    </row>
    <row r="69" spans="1:7" ht="15">
      <c r="A69" s="104" t="s">
        <v>2407</v>
      </c>
      <c r="B69" s="102">
        <v>18</v>
      </c>
      <c r="C69" s="106">
        <v>0.002528818884538574</v>
      </c>
      <c r="D69" s="102" t="s">
        <v>3369</v>
      </c>
      <c r="E69" s="102" t="b">
        <v>0</v>
      </c>
      <c r="F69" s="102" t="b">
        <v>0</v>
      </c>
      <c r="G69" s="102" t="b">
        <v>0</v>
      </c>
    </row>
    <row r="70" spans="1:7" ht="15">
      <c r="A70" s="104" t="s">
        <v>2408</v>
      </c>
      <c r="B70" s="102">
        <v>18</v>
      </c>
      <c r="C70" s="106">
        <v>0.0033737651390136126</v>
      </c>
      <c r="D70" s="102" t="s">
        <v>3369</v>
      </c>
      <c r="E70" s="102" t="b">
        <v>0</v>
      </c>
      <c r="F70" s="102" t="b">
        <v>1</v>
      </c>
      <c r="G70" s="102" t="b">
        <v>0</v>
      </c>
    </row>
    <row r="71" spans="1:7" ht="15">
      <c r="A71" s="104" t="s">
        <v>2409</v>
      </c>
      <c r="B71" s="102">
        <v>18</v>
      </c>
      <c r="C71" s="106">
        <v>0.003148931029417455</v>
      </c>
      <c r="D71" s="102" t="s">
        <v>3369</v>
      </c>
      <c r="E71" s="102" t="b">
        <v>0</v>
      </c>
      <c r="F71" s="102" t="b">
        <v>0</v>
      </c>
      <c r="G71" s="102" t="b">
        <v>0</v>
      </c>
    </row>
    <row r="72" spans="1:7" ht="15">
      <c r="A72" s="104" t="s">
        <v>2410</v>
      </c>
      <c r="B72" s="102">
        <v>18</v>
      </c>
      <c r="C72" s="106">
        <v>0.0028199524105555623</v>
      </c>
      <c r="D72" s="102" t="s">
        <v>3369</v>
      </c>
      <c r="E72" s="102" t="b">
        <v>0</v>
      </c>
      <c r="F72" s="102" t="b">
        <v>0</v>
      </c>
      <c r="G72" s="102" t="b">
        <v>0</v>
      </c>
    </row>
    <row r="73" spans="1:7" ht="15">
      <c r="A73" s="104" t="s">
        <v>2411</v>
      </c>
      <c r="B73" s="102">
        <v>18</v>
      </c>
      <c r="C73" s="106">
        <v>0.0028915612355344842</v>
      </c>
      <c r="D73" s="102" t="s">
        <v>3369</v>
      </c>
      <c r="E73" s="102" t="b">
        <v>0</v>
      </c>
      <c r="F73" s="102" t="b">
        <v>0</v>
      </c>
      <c r="G73" s="102" t="b">
        <v>0</v>
      </c>
    </row>
    <row r="74" spans="1:7" ht="15">
      <c r="A74" s="104" t="s">
        <v>2412</v>
      </c>
      <c r="B74" s="102">
        <v>18</v>
      </c>
      <c r="C74" s="106">
        <v>0.003674784209991901</v>
      </c>
      <c r="D74" s="102" t="s">
        <v>3369</v>
      </c>
      <c r="E74" s="102" t="b">
        <v>0</v>
      </c>
      <c r="F74" s="102" t="b">
        <v>0</v>
      </c>
      <c r="G74" s="102" t="b">
        <v>0</v>
      </c>
    </row>
    <row r="75" spans="1:7" ht="15">
      <c r="A75" s="104" t="s">
        <v>2413</v>
      </c>
      <c r="B75" s="102">
        <v>18</v>
      </c>
      <c r="C75" s="106">
        <v>0.002528818884538574</v>
      </c>
      <c r="D75" s="102" t="s">
        <v>3369</v>
      </c>
      <c r="E75" s="102" t="b">
        <v>0</v>
      </c>
      <c r="F75" s="102" t="b">
        <v>0</v>
      </c>
      <c r="G75" s="102" t="b">
        <v>0</v>
      </c>
    </row>
    <row r="76" spans="1:7" ht="15">
      <c r="A76" s="104" t="s">
        <v>2414</v>
      </c>
      <c r="B76" s="102">
        <v>17</v>
      </c>
      <c r="C76" s="106">
        <v>0.002542378063332826</v>
      </c>
      <c r="D76" s="102" t="s">
        <v>3369</v>
      </c>
      <c r="E76" s="102" t="b">
        <v>0</v>
      </c>
      <c r="F76" s="102" t="b">
        <v>0</v>
      </c>
      <c r="G76" s="102" t="b">
        <v>0</v>
      </c>
    </row>
    <row r="77" spans="1:7" ht="15">
      <c r="A77" s="104" t="s">
        <v>2415</v>
      </c>
      <c r="B77" s="102">
        <v>17</v>
      </c>
      <c r="C77" s="106">
        <v>0.002730918944671457</v>
      </c>
      <c r="D77" s="102" t="s">
        <v>3369</v>
      </c>
      <c r="E77" s="102" t="b">
        <v>0</v>
      </c>
      <c r="F77" s="102" t="b">
        <v>0</v>
      </c>
      <c r="G77" s="102" t="b">
        <v>0</v>
      </c>
    </row>
    <row r="78" spans="1:7" ht="15">
      <c r="A78" s="104" t="s">
        <v>2416</v>
      </c>
      <c r="B78" s="102">
        <v>17</v>
      </c>
      <c r="C78" s="106">
        <v>0.002804437545623597</v>
      </c>
      <c r="D78" s="102" t="s">
        <v>3369</v>
      </c>
      <c r="E78" s="102" t="b">
        <v>0</v>
      </c>
      <c r="F78" s="102" t="b">
        <v>0</v>
      </c>
      <c r="G78" s="102" t="b">
        <v>0</v>
      </c>
    </row>
    <row r="79" spans="1:7" ht="15">
      <c r="A79" s="104" t="s">
        <v>2417</v>
      </c>
      <c r="B79" s="102">
        <v>17</v>
      </c>
      <c r="C79" s="106">
        <v>0.003073508942834261</v>
      </c>
      <c r="D79" s="102" t="s">
        <v>3369</v>
      </c>
      <c r="E79" s="102" t="b">
        <v>0</v>
      </c>
      <c r="F79" s="102" t="b">
        <v>0</v>
      </c>
      <c r="G79" s="102" t="b">
        <v>0</v>
      </c>
    </row>
    <row r="80" spans="1:7" ht="15">
      <c r="A80" s="104" t="s">
        <v>2418</v>
      </c>
      <c r="B80" s="102">
        <v>17</v>
      </c>
      <c r="C80" s="106">
        <v>0.0033165804148348444</v>
      </c>
      <c r="D80" s="102" t="s">
        <v>3369</v>
      </c>
      <c r="E80" s="102" t="b">
        <v>0</v>
      </c>
      <c r="F80" s="102" t="b">
        <v>0</v>
      </c>
      <c r="G80" s="102" t="b">
        <v>0</v>
      </c>
    </row>
    <row r="81" spans="1:7" ht="15">
      <c r="A81" s="104" t="s">
        <v>2419</v>
      </c>
      <c r="B81" s="102">
        <v>16</v>
      </c>
      <c r="C81" s="106">
        <v>0.0029989023457898775</v>
      </c>
      <c r="D81" s="102" t="s">
        <v>3369</v>
      </c>
      <c r="E81" s="102" t="b">
        <v>0</v>
      </c>
      <c r="F81" s="102" t="b">
        <v>0</v>
      </c>
      <c r="G81" s="102" t="b">
        <v>0</v>
      </c>
    </row>
    <row r="82" spans="1:7" ht="15">
      <c r="A82" s="104" t="s">
        <v>2420</v>
      </c>
      <c r="B82" s="102">
        <v>16</v>
      </c>
      <c r="C82" s="106">
        <v>0.002392826412548542</v>
      </c>
      <c r="D82" s="102" t="s">
        <v>3369</v>
      </c>
      <c r="E82" s="102" t="b">
        <v>0</v>
      </c>
      <c r="F82" s="102" t="b">
        <v>0</v>
      </c>
      <c r="G82" s="102" t="b">
        <v>0</v>
      </c>
    </row>
    <row r="83" spans="1:7" ht="15">
      <c r="A83" s="104" t="s">
        <v>2421</v>
      </c>
      <c r="B83" s="102">
        <v>16</v>
      </c>
      <c r="C83" s="106">
        <v>0.002892714299138128</v>
      </c>
      <c r="D83" s="102" t="s">
        <v>3369</v>
      </c>
      <c r="E83" s="102" t="b">
        <v>0</v>
      </c>
      <c r="F83" s="102" t="b">
        <v>0</v>
      </c>
      <c r="G83" s="102" t="b">
        <v>0</v>
      </c>
    </row>
    <row r="84" spans="1:7" ht="15">
      <c r="A84" s="104" t="s">
        <v>2422</v>
      </c>
      <c r="B84" s="102">
        <v>16</v>
      </c>
      <c r="C84" s="106">
        <v>0.0027152640578782397</v>
      </c>
      <c r="D84" s="102" t="s">
        <v>3369</v>
      </c>
      <c r="E84" s="102" t="b">
        <v>0</v>
      </c>
      <c r="F84" s="102" t="b">
        <v>0</v>
      </c>
      <c r="G84" s="102" t="b">
        <v>0</v>
      </c>
    </row>
    <row r="85" spans="1:7" ht="15">
      <c r="A85" s="104" t="s">
        <v>2423</v>
      </c>
      <c r="B85" s="102">
        <v>16</v>
      </c>
      <c r="C85" s="106">
        <v>0.002892714299138128</v>
      </c>
      <c r="D85" s="102" t="s">
        <v>3369</v>
      </c>
      <c r="E85" s="102" t="b">
        <v>0</v>
      </c>
      <c r="F85" s="102" t="b">
        <v>0</v>
      </c>
      <c r="G85" s="102" t="b">
        <v>0</v>
      </c>
    </row>
    <row r="86" spans="1:7" ht="15">
      <c r="A86" s="104" t="s">
        <v>2424</v>
      </c>
      <c r="B86" s="102">
        <v>16</v>
      </c>
      <c r="C86" s="106">
        <v>0.004546346685481811</v>
      </c>
      <c r="D86" s="102" t="s">
        <v>3369</v>
      </c>
      <c r="E86" s="102" t="b">
        <v>0</v>
      </c>
      <c r="F86" s="102" t="b">
        <v>1</v>
      </c>
      <c r="G86" s="102" t="b">
        <v>0</v>
      </c>
    </row>
    <row r="87" spans="1:7" ht="15">
      <c r="A87" s="104" t="s">
        <v>2425</v>
      </c>
      <c r="B87" s="102">
        <v>16</v>
      </c>
      <c r="C87" s="106">
        <v>0.0023415035036902336</v>
      </c>
      <c r="D87" s="102" t="s">
        <v>3369</v>
      </c>
      <c r="E87" s="102" t="b">
        <v>0</v>
      </c>
      <c r="F87" s="102" t="b">
        <v>0</v>
      </c>
      <c r="G87" s="102" t="b">
        <v>0</v>
      </c>
    </row>
    <row r="88" spans="1:7" ht="15">
      <c r="A88" s="104" t="s">
        <v>2426</v>
      </c>
      <c r="B88" s="102">
        <v>15</v>
      </c>
      <c r="C88" s="106">
        <v>0.004262200017639197</v>
      </c>
      <c r="D88" s="102" t="s">
        <v>3369</v>
      </c>
      <c r="E88" s="102" t="b">
        <v>0</v>
      </c>
      <c r="F88" s="102" t="b">
        <v>0</v>
      </c>
      <c r="G88" s="102" t="b">
        <v>0</v>
      </c>
    </row>
    <row r="89" spans="1:7" ht="15">
      <c r="A89" s="104" t="s">
        <v>2427</v>
      </c>
      <c r="B89" s="102">
        <v>15</v>
      </c>
      <c r="C89" s="106">
        <v>0.00254556005426085</v>
      </c>
      <c r="D89" s="102" t="s">
        <v>3369</v>
      </c>
      <c r="E89" s="102" t="b">
        <v>0</v>
      </c>
      <c r="F89" s="102" t="b">
        <v>0</v>
      </c>
      <c r="G89" s="102" t="b">
        <v>0</v>
      </c>
    </row>
    <row r="90" spans="1:7" ht="15">
      <c r="A90" s="104" t="s">
        <v>2428</v>
      </c>
      <c r="B90" s="102">
        <v>15</v>
      </c>
      <c r="C90" s="106">
        <v>0.0028114709491780104</v>
      </c>
      <c r="D90" s="102" t="s">
        <v>3369</v>
      </c>
      <c r="E90" s="102" t="b">
        <v>0</v>
      </c>
      <c r="F90" s="102" t="b">
        <v>0</v>
      </c>
      <c r="G90" s="102" t="b">
        <v>0</v>
      </c>
    </row>
    <row r="91" spans="1:7" ht="15">
      <c r="A91" s="104" t="s">
        <v>2429</v>
      </c>
      <c r="B91" s="102">
        <v>15</v>
      </c>
      <c r="C91" s="106">
        <v>0.002474503716726703</v>
      </c>
      <c r="D91" s="102" t="s">
        <v>3369</v>
      </c>
      <c r="E91" s="102" t="b">
        <v>0</v>
      </c>
      <c r="F91" s="102" t="b">
        <v>0</v>
      </c>
      <c r="G91" s="102" t="b">
        <v>0</v>
      </c>
    </row>
    <row r="92" spans="1:7" ht="15">
      <c r="A92" s="104" t="s">
        <v>2430</v>
      </c>
      <c r="B92" s="102">
        <v>15</v>
      </c>
      <c r="C92" s="106">
        <v>0.0034431546044102045</v>
      </c>
      <c r="D92" s="102" t="s">
        <v>3369</v>
      </c>
      <c r="E92" s="102" t="b">
        <v>0</v>
      </c>
      <c r="F92" s="102" t="b">
        <v>0</v>
      </c>
      <c r="G92" s="102" t="b">
        <v>0</v>
      </c>
    </row>
    <row r="93" spans="1:7" ht="15">
      <c r="A93" s="104" t="s">
        <v>2431</v>
      </c>
      <c r="B93" s="102">
        <v>15</v>
      </c>
      <c r="C93" s="106">
        <v>0.002474503716726703</v>
      </c>
      <c r="D93" s="102" t="s">
        <v>3369</v>
      </c>
      <c r="E93" s="102" t="b">
        <v>1</v>
      </c>
      <c r="F93" s="102" t="b">
        <v>0</v>
      </c>
      <c r="G93" s="102" t="b">
        <v>0</v>
      </c>
    </row>
    <row r="94" spans="1:7" ht="15">
      <c r="A94" s="104" t="s">
        <v>2432</v>
      </c>
      <c r="B94" s="102">
        <v>15</v>
      </c>
      <c r="C94" s="106">
        <v>0.002711919655441995</v>
      </c>
      <c r="D94" s="102" t="s">
        <v>3369</v>
      </c>
      <c r="E94" s="102" t="b">
        <v>0</v>
      </c>
      <c r="F94" s="102" t="b">
        <v>0</v>
      </c>
      <c r="G94" s="102" t="b">
        <v>0</v>
      </c>
    </row>
    <row r="95" spans="1:7" ht="15">
      <c r="A95" s="104" t="s">
        <v>2433</v>
      </c>
      <c r="B95" s="102">
        <v>15</v>
      </c>
      <c r="C95" s="106">
        <v>0.002711919655441995</v>
      </c>
      <c r="D95" s="102" t="s">
        <v>3369</v>
      </c>
      <c r="E95" s="102" t="b">
        <v>0</v>
      </c>
      <c r="F95" s="102" t="b">
        <v>0</v>
      </c>
      <c r="G95" s="102" t="b">
        <v>0</v>
      </c>
    </row>
    <row r="96" spans="1:7" ht="15">
      <c r="A96" s="104" t="s">
        <v>2434</v>
      </c>
      <c r="B96" s="102">
        <v>14</v>
      </c>
      <c r="C96" s="106">
        <v>0.0023758560506434595</v>
      </c>
      <c r="D96" s="102" t="s">
        <v>3369</v>
      </c>
      <c r="E96" s="102" t="b">
        <v>0</v>
      </c>
      <c r="F96" s="102" t="b">
        <v>0</v>
      </c>
      <c r="G96" s="102" t="b">
        <v>0</v>
      </c>
    </row>
    <row r="97" spans="1:7" ht="15">
      <c r="A97" s="104" t="s">
        <v>2435</v>
      </c>
      <c r="B97" s="102">
        <v>14</v>
      </c>
      <c r="C97" s="106">
        <v>0.0024491685784357982</v>
      </c>
      <c r="D97" s="102" t="s">
        <v>3369</v>
      </c>
      <c r="E97" s="102" t="b">
        <v>0</v>
      </c>
      <c r="F97" s="102" t="b">
        <v>0</v>
      </c>
      <c r="G97" s="102" t="b">
        <v>0</v>
      </c>
    </row>
    <row r="98" spans="1:7" ht="15">
      <c r="A98" s="104" t="s">
        <v>2436</v>
      </c>
      <c r="B98" s="102">
        <v>14</v>
      </c>
      <c r="C98" s="106">
        <v>0.0027313015180992837</v>
      </c>
      <c r="D98" s="102" t="s">
        <v>3369</v>
      </c>
      <c r="E98" s="102" t="b">
        <v>0</v>
      </c>
      <c r="F98" s="102" t="b">
        <v>0</v>
      </c>
      <c r="G98" s="102" t="b">
        <v>0</v>
      </c>
    </row>
    <row r="99" spans="1:7" ht="15">
      <c r="A99" s="104" t="s">
        <v>2437</v>
      </c>
      <c r="B99" s="102">
        <v>14</v>
      </c>
      <c r="C99" s="106">
        <v>0.0039780533497965846</v>
      </c>
      <c r="D99" s="102" t="s">
        <v>3369</v>
      </c>
      <c r="E99" s="102" t="b">
        <v>0</v>
      </c>
      <c r="F99" s="102" t="b">
        <v>0</v>
      </c>
      <c r="G99" s="102" t="b">
        <v>0</v>
      </c>
    </row>
    <row r="100" spans="1:7" ht="15">
      <c r="A100" s="104" t="s">
        <v>2438</v>
      </c>
      <c r="B100" s="102">
        <v>14</v>
      </c>
      <c r="C100" s="106">
        <v>0.002309536802278256</v>
      </c>
      <c r="D100" s="102" t="s">
        <v>3369</v>
      </c>
      <c r="E100" s="102" t="b">
        <v>0</v>
      </c>
      <c r="F100" s="102" t="b">
        <v>0</v>
      </c>
      <c r="G100" s="102" t="b">
        <v>0</v>
      </c>
    </row>
    <row r="101" spans="1:7" ht="15">
      <c r="A101" s="104" t="s">
        <v>2439</v>
      </c>
      <c r="B101" s="102">
        <v>14</v>
      </c>
      <c r="C101" s="106">
        <v>0.003213610964116191</v>
      </c>
      <c r="D101" s="102" t="s">
        <v>3369</v>
      </c>
      <c r="E101" s="102" t="b">
        <v>0</v>
      </c>
      <c r="F101" s="102" t="b">
        <v>0</v>
      </c>
      <c r="G101" s="102" t="b">
        <v>0</v>
      </c>
    </row>
    <row r="102" spans="1:7" ht="15">
      <c r="A102" s="104" t="s">
        <v>2440</v>
      </c>
      <c r="B102" s="102">
        <v>14</v>
      </c>
      <c r="C102" s="106">
        <v>0.002531125011745862</v>
      </c>
      <c r="D102" s="102" t="s">
        <v>3369</v>
      </c>
      <c r="E102" s="102" t="b">
        <v>0</v>
      </c>
      <c r="F102" s="102" t="b">
        <v>0</v>
      </c>
      <c r="G102" s="102" t="b">
        <v>0</v>
      </c>
    </row>
    <row r="103" spans="1:7" ht="15">
      <c r="A103" s="104" t="s">
        <v>2441</v>
      </c>
      <c r="B103" s="102">
        <v>14</v>
      </c>
      <c r="C103" s="106">
        <v>0.002531125011745862</v>
      </c>
      <c r="D103" s="102" t="s">
        <v>3369</v>
      </c>
      <c r="E103" s="102" t="b">
        <v>0</v>
      </c>
      <c r="F103" s="102" t="b">
        <v>1</v>
      </c>
      <c r="G103" s="102" t="b">
        <v>0</v>
      </c>
    </row>
    <row r="104" spans="1:7" ht="15">
      <c r="A104" s="104" t="s">
        <v>2442</v>
      </c>
      <c r="B104" s="102">
        <v>14</v>
      </c>
      <c r="C104" s="106">
        <v>0.002531125011745862</v>
      </c>
      <c r="D104" s="102" t="s">
        <v>3369</v>
      </c>
      <c r="E104" s="102" t="b">
        <v>0</v>
      </c>
      <c r="F104" s="102" t="b">
        <v>0</v>
      </c>
      <c r="G104" s="102" t="b">
        <v>0</v>
      </c>
    </row>
    <row r="105" spans="1:7" ht="15">
      <c r="A105" s="104" t="s">
        <v>2443</v>
      </c>
      <c r="B105" s="102">
        <v>14</v>
      </c>
      <c r="C105" s="106">
        <v>0.0030134344577627693</v>
      </c>
      <c r="D105" s="102" t="s">
        <v>3369</v>
      </c>
      <c r="E105" s="102" t="b">
        <v>0</v>
      </c>
      <c r="F105" s="102" t="b">
        <v>0</v>
      </c>
      <c r="G105" s="102" t="b">
        <v>0</v>
      </c>
    </row>
    <row r="106" spans="1:7" ht="15">
      <c r="A106" s="104" t="s">
        <v>2444</v>
      </c>
      <c r="B106" s="102">
        <v>14</v>
      </c>
      <c r="C106" s="106">
        <v>0.002858165496660367</v>
      </c>
      <c r="D106" s="102" t="s">
        <v>3369</v>
      </c>
      <c r="E106" s="102" t="b">
        <v>0</v>
      </c>
      <c r="F106" s="102" t="b">
        <v>0</v>
      </c>
      <c r="G106" s="102" t="b">
        <v>0</v>
      </c>
    </row>
    <row r="107" spans="1:7" ht="15">
      <c r="A107" s="104" t="s">
        <v>2445</v>
      </c>
      <c r="B107" s="102">
        <v>14</v>
      </c>
      <c r="C107" s="106">
        <v>0.003213610964116191</v>
      </c>
      <c r="D107" s="102" t="s">
        <v>3369</v>
      </c>
      <c r="E107" s="102" t="b">
        <v>0</v>
      </c>
      <c r="F107" s="102" t="b">
        <v>0</v>
      </c>
      <c r="G107" s="102" t="b">
        <v>0</v>
      </c>
    </row>
    <row r="108" spans="1:7" ht="15">
      <c r="A108" s="104" t="s">
        <v>2446</v>
      </c>
      <c r="B108" s="102">
        <v>14</v>
      </c>
      <c r="C108" s="106">
        <v>0.0030134344577627693</v>
      </c>
      <c r="D108" s="102" t="s">
        <v>3369</v>
      </c>
      <c r="E108" s="102" t="b">
        <v>0</v>
      </c>
      <c r="F108" s="102" t="b">
        <v>0</v>
      </c>
      <c r="G108" s="102" t="b">
        <v>0</v>
      </c>
    </row>
    <row r="109" spans="1:7" ht="15">
      <c r="A109" s="104" t="s">
        <v>2447</v>
      </c>
      <c r="B109" s="102">
        <v>14</v>
      </c>
      <c r="C109" s="106">
        <v>0.0039780533497965846</v>
      </c>
      <c r="D109" s="102" t="s">
        <v>3369</v>
      </c>
      <c r="E109" s="102" t="b">
        <v>0</v>
      </c>
      <c r="F109" s="102" t="b">
        <v>0</v>
      </c>
      <c r="G109" s="102" t="b">
        <v>0</v>
      </c>
    </row>
    <row r="110" spans="1:7" ht="15">
      <c r="A110" s="104" t="s">
        <v>2448</v>
      </c>
      <c r="B110" s="102">
        <v>14</v>
      </c>
      <c r="C110" s="106">
        <v>0.002858165496660367</v>
      </c>
      <c r="D110" s="102" t="s">
        <v>3369</v>
      </c>
      <c r="E110" s="102" t="b">
        <v>0</v>
      </c>
      <c r="F110" s="102" t="b">
        <v>0</v>
      </c>
      <c r="G110" s="102" t="b">
        <v>0</v>
      </c>
    </row>
    <row r="111" spans="1:7" ht="15">
      <c r="A111" s="104" t="s">
        <v>2449</v>
      </c>
      <c r="B111" s="102">
        <v>14</v>
      </c>
      <c r="C111" s="106">
        <v>0.0039780533497965846</v>
      </c>
      <c r="D111" s="102" t="s">
        <v>3369</v>
      </c>
      <c r="E111" s="102" t="b">
        <v>0</v>
      </c>
      <c r="F111" s="102" t="b">
        <v>0</v>
      </c>
      <c r="G111" s="102" t="b">
        <v>0</v>
      </c>
    </row>
    <row r="112" spans="1:7" ht="15">
      <c r="A112" s="104" t="s">
        <v>2450</v>
      </c>
      <c r="B112" s="102">
        <v>13</v>
      </c>
      <c r="C112" s="106">
        <v>0.002350330368049729</v>
      </c>
      <c r="D112" s="102" t="s">
        <v>3369</v>
      </c>
      <c r="E112" s="102" t="b">
        <v>0</v>
      </c>
      <c r="F112" s="102" t="b">
        <v>0</v>
      </c>
      <c r="G112" s="102" t="b">
        <v>0</v>
      </c>
    </row>
    <row r="113" spans="1:7" ht="15">
      <c r="A113" s="104" t="s">
        <v>2451</v>
      </c>
      <c r="B113" s="102">
        <v>13</v>
      </c>
      <c r="C113" s="106">
        <v>0.0020366322965123507</v>
      </c>
      <c r="D113" s="102" t="s">
        <v>3369</v>
      </c>
      <c r="E113" s="102" t="b">
        <v>0</v>
      </c>
      <c r="F113" s="102" t="b">
        <v>0</v>
      </c>
      <c r="G113" s="102" t="b">
        <v>0</v>
      </c>
    </row>
    <row r="114" spans="1:7" ht="15">
      <c r="A114" s="104" t="s">
        <v>2452</v>
      </c>
      <c r="B114" s="102">
        <v>13</v>
      </c>
      <c r="C114" s="106">
        <v>0.002350330368049729</v>
      </c>
      <c r="D114" s="102" t="s">
        <v>3369</v>
      </c>
      <c r="E114" s="102" t="b">
        <v>0</v>
      </c>
      <c r="F114" s="102" t="b">
        <v>0</v>
      </c>
      <c r="G114" s="102" t="b">
        <v>0</v>
      </c>
    </row>
    <row r="115" spans="1:7" ht="15">
      <c r="A115" s="104" t="s">
        <v>2453</v>
      </c>
      <c r="B115" s="102">
        <v>13</v>
      </c>
      <c r="C115" s="106">
        <v>0.002350330368049729</v>
      </c>
      <c r="D115" s="102" t="s">
        <v>3369</v>
      </c>
      <c r="E115" s="102" t="b">
        <v>0</v>
      </c>
      <c r="F115" s="102" t="b">
        <v>0</v>
      </c>
      <c r="G115" s="102" t="b">
        <v>0</v>
      </c>
    </row>
    <row r="116" spans="1:7" ht="15">
      <c r="A116" s="104" t="s">
        <v>2454</v>
      </c>
      <c r="B116" s="102">
        <v>13</v>
      </c>
      <c r="C116" s="106">
        <v>0.002350330368049729</v>
      </c>
      <c r="D116" s="102" t="s">
        <v>3369</v>
      </c>
      <c r="E116" s="102" t="b">
        <v>0</v>
      </c>
      <c r="F116" s="102" t="b">
        <v>0</v>
      </c>
      <c r="G116" s="102" t="b">
        <v>0</v>
      </c>
    </row>
    <row r="117" spans="1:7" ht="15">
      <c r="A117" s="104" t="s">
        <v>2455</v>
      </c>
      <c r="B117" s="102">
        <v>13</v>
      </c>
      <c r="C117" s="106">
        <v>0.002144569887829809</v>
      </c>
      <c r="D117" s="102" t="s">
        <v>3369</v>
      </c>
      <c r="E117" s="102" t="b">
        <v>0</v>
      </c>
      <c r="F117" s="102" t="b">
        <v>0</v>
      </c>
      <c r="G117" s="102" t="b">
        <v>0</v>
      </c>
    </row>
    <row r="118" spans="1:7" ht="15">
      <c r="A118" s="104" t="s">
        <v>2456</v>
      </c>
      <c r="B118" s="102">
        <v>13</v>
      </c>
      <c r="C118" s="106">
        <v>0.003693906681953971</v>
      </c>
      <c r="D118" s="102" t="s">
        <v>3369</v>
      </c>
      <c r="E118" s="102" t="b">
        <v>0</v>
      </c>
      <c r="F118" s="102" t="b">
        <v>0</v>
      </c>
      <c r="G118" s="102" t="b">
        <v>0</v>
      </c>
    </row>
    <row r="119" spans="1:7" ht="15">
      <c r="A119" s="104" t="s">
        <v>2457</v>
      </c>
      <c r="B119" s="102">
        <v>13</v>
      </c>
      <c r="C119" s="106">
        <v>0.003693906681953971</v>
      </c>
      <c r="D119" s="102" t="s">
        <v>3369</v>
      </c>
      <c r="E119" s="102" t="b">
        <v>0</v>
      </c>
      <c r="F119" s="102" t="b">
        <v>0</v>
      </c>
      <c r="G119" s="102" t="b">
        <v>0</v>
      </c>
    </row>
    <row r="120" spans="1:7" ht="15">
      <c r="A120" s="104" t="s">
        <v>2458</v>
      </c>
      <c r="B120" s="102">
        <v>13</v>
      </c>
      <c r="C120" s="106">
        <v>0.003693906681953971</v>
      </c>
      <c r="D120" s="102" t="s">
        <v>3369</v>
      </c>
      <c r="E120" s="102" t="b">
        <v>0</v>
      </c>
      <c r="F120" s="102" t="b">
        <v>0</v>
      </c>
      <c r="G120" s="102" t="b">
        <v>0</v>
      </c>
    </row>
    <row r="121" spans="1:7" ht="15">
      <c r="A121" s="104" t="s">
        <v>2459</v>
      </c>
      <c r="B121" s="102">
        <v>13</v>
      </c>
      <c r="C121" s="106">
        <v>0.003246047910652557</v>
      </c>
      <c r="D121" s="102" t="s">
        <v>3369</v>
      </c>
      <c r="E121" s="102" t="b">
        <v>0</v>
      </c>
      <c r="F121" s="102" t="b">
        <v>0</v>
      </c>
      <c r="G121" s="102" t="b">
        <v>0</v>
      </c>
    </row>
    <row r="122" spans="1:7" ht="15">
      <c r="A122" s="104" t="s">
        <v>2460</v>
      </c>
      <c r="B122" s="102">
        <v>13</v>
      </c>
      <c r="C122" s="106">
        <v>0.003693906681953971</v>
      </c>
      <c r="D122" s="102" t="s">
        <v>3369</v>
      </c>
      <c r="E122" s="102" t="b">
        <v>0</v>
      </c>
      <c r="F122" s="102" t="b">
        <v>0</v>
      </c>
      <c r="G122" s="102" t="b">
        <v>0</v>
      </c>
    </row>
    <row r="123" spans="1:7" ht="15">
      <c r="A123" s="104" t="s">
        <v>2461</v>
      </c>
      <c r="B123" s="102">
        <v>12</v>
      </c>
      <c r="C123" s="106">
        <v>0.001927707490356323</v>
      </c>
      <c r="D123" s="102" t="s">
        <v>3369</v>
      </c>
      <c r="E123" s="102" t="b">
        <v>0</v>
      </c>
      <c r="F123" s="102" t="b">
        <v>0</v>
      </c>
      <c r="G123" s="102" t="b">
        <v>0</v>
      </c>
    </row>
    <row r="124" spans="1:7" ht="15">
      <c r="A124" s="104" t="s">
        <v>2462</v>
      </c>
      <c r="B124" s="102">
        <v>12</v>
      </c>
      <c r="C124" s="106">
        <v>0.002169535724353596</v>
      </c>
      <c r="D124" s="102" t="s">
        <v>3369</v>
      </c>
      <c r="E124" s="102" t="b">
        <v>0</v>
      </c>
      <c r="F124" s="102" t="b">
        <v>0</v>
      </c>
      <c r="G124" s="102" t="b">
        <v>0</v>
      </c>
    </row>
    <row r="125" spans="1:7" ht="15">
      <c r="A125" s="104" t="s">
        <v>2463</v>
      </c>
      <c r="B125" s="102">
        <v>12</v>
      </c>
      <c r="C125" s="106">
        <v>0.00209928735294497</v>
      </c>
      <c r="D125" s="102" t="s">
        <v>3369</v>
      </c>
      <c r="E125" s="102" t="b">
        <v>0</v>
      </c>
      <c r="F125" s="102" t="b">
        <v>0</v>
      </c>
      <c r="G125" s="102" t="b">
        <v>0</v>
      </c>
    </row>
    <row r="126" spans="1:7" ht="15">
      <c r="A126" s="104" t="s">
        <v>2464</v>
      </c>
      <c r="B126" s="102">
        <v>12</v>
      </c>
      <c r="C126" s="106">
        <v>0.002169535724353596</v>
      </c>
      <c r="D126" s="102" t="s">
        <v>3369</v>
      </c>
      <c r="E126" s="102" t="b">
        <v>0</v>
      </c>
      <c r="F126" s="102" t="b">
        <v>0</v>
      </c>
      <c r="G126" s="102" t="b">
        <v>0</v>
      </c>
    </row>
    <row r="127" spans="1:7" ht="15">
      <c r="A127" s="104" t="s">
        <v>2465</v>
      </c>
      <c r="B127" s="102">
        <v>12</v>
      </c>
      <c r="C127" s="106">
        <v>0.0019796029733813625</v>
      </c>
      <c r="D127" s="102" t="s">
        <v>3369</v>
      </c>
      <c r="E127" s="102" t="b">
        <v>0</v>
      </c>
      <c r="F127" s="102" t="b">
        <v>1</v>
      </c>
      <c r="G127" s="102" t="b">
        <v>0</v>
      </c>
    </row>
    <row r="128" spans="1:7" ht="15">
      <c r="A128" s="104" t="s">
        <v>2466</v>
      </c>
      <c r="B128" s="102">
        <v>12</v>
      </c>
      <c r="C128" s="106">
        <v>0.0019796029733813625</v>
      </c>
      <c r="D128" s="102" t="s">
        <v>3369</v>
      </c>
      <c r="E128" s="102" t="b">
        <v>0</v>
      </c>
      <c r="F128" s="102" t="b">
        <v>0</v>
      </c>
      <c r="G128" s="102" t="b">
        <v>0</v>
      </c>
    </row>
    <row r="129" spans="1:7" ht="15">
      <c r="A129" s="104" t="s">
        <v>2467</v>
      </c>
      <c r="B129" s="102">
        <v>12</v>
      </c>
      <c r="C129" s="106">
        <v>0.0019796029733813625</v>
      </c>
      <c r="D129" s="102" t="s">
        <v>3369</v>
      </c>
      <c r="E129" s="102" t="b">
        <v>0</v>
      </c>
      <c r="F129" s="102" t="b">
        <v>0</v>
      </c>
      <c r="G129" s="102" t="b">
        <v>0</v>
      </c>
    </row>
    <row r="130" spans="1:7" ht="15">
      <c r="A130" s="104" t="s">
        <v>2468</v>
      </c>
      <c r="B130" s="102">
        <v>12</v>
      </c>
      <c r="C130" s="106">
        <v>0.002169535724353596</v>
      </c>
      <c r="D130" s="102" t="s">
        <v>3369</v>
      </c>
      <c r="E130" s="102" t="b">
        <v>0</v>
      </c>
      <c r="F130" s="102" t="b">
        <v>0</v>
      </c>
      <c r="G130" s="102" t="b">
        <v>0</v>
      </c>
    </row>
    <row r="131" spans="1:7" ht="15">
      <c r="A131" s="104" t="s">
        <v>2469</v>
      </c>
      <c r="B131" s="102">
        <v>12</v>
      </c>
      <c r="C131" s="106">
        <v>0.002449856139994601</v>
      </c>
      <c r="D131" s="102" t="s">
        <v>3369</v>
      </c>
      <c r="E131" s="102" t="b">
        <v>0</v>
      </c>
      <c r="F131" s="102" t="b">
        <v>0</v>
      </c>
      <c r="G131" s="102" t="b">
        <v>0</v>
      </c>
    </row>
    <row r="132" spans="1:7" ht="15">
      <c r="A132" s="104" t="s">
        <v>2470</v>
      </c>
      <c r="B132" s="102">
        <v>12</v>
      </c>
      <c r="C132" s="106">
        <v>0.0025829438209395168</v>
      </c>
      <c r="D132" s="102" t="s">
        <v>3369</v>
      </c>
      <c r="E132" s="102" t="b">
        <v>0</v>
      </c>
      <c r="F132" s="102" t="b">
        <v>0</v>
      </c>
      <c r="G132" s="102" t="b">
        <v>0</v>
      </c>
    </row>
    <row r="133" spans="1:7" ht="15">
      <c r="A133" s="104" t="s">
        <v>2471</v>
      </c>
      <c r="B133" s="102">
        <v>12</v>
      </c>
      <c r="C133" s="106">
        <v>0.0034097600141113583</v>
      </c>
      <c r="D133" s="102" t="s">
        <v>3369</v>
      </c>
      <c r="E133" s="102" t="b">
        <v>0</v>
      </c>
      <c r="F133" s="102" t="b">
        <v>0</v>
      </c>
      <c r="G133" s="102" t="b">
        <v>0</v>
      </c>
    </row>
    <row r="134" spans="1:7" ht="15">
      <c r="A134" s="104" t="s">
        <v>1884</v>
      </c>
      <c r="B134" s="102">
        <v>12</v>
      </c>
      <c r="C134" s="106">
        <v>0.0029963519175254375</v>
      </c>
      <c r="D134" s="102" t="s">
        <v>3369</v>
      </c>
      <c r="E134" s="102" t="b">
        <v>0</v>
      </c>
      <c r="F134" s="102" t="b">
        <v>0</v>
      </c>
      <c r="G134" s="102" t="b">
        <v>0</v>
      </c>
    </row>
    <row r="135" spans="1:7" ht="15">
      <c r="A135" s="104" t="s">
        <v>2472</v>
      </c>
      <c r="B135" s="102">
        <v>11</v>
      </c>
      <c r="C135" s="106">
        <v>0.002146022621363723</v>
      </c>
      <c r="D135" s="102" t="s">
        <v>3369</v>
      </c>
      <c r="E135" s="102" t="b">
        <v>0</v>
      </c>
      <c r="F135" s="102" t="b">
        <v>0</v>
      </c>
      <c r="G135" s="102" t="b">
        <v>0</v>
      </c>
    </row>
    <row r="136" spans="1:7" ht="15">
      <c r="A136" s="104" t="s">
        <v>2473</v>
      </c>
      <c r="B136" s="102">
        <v>11</v>
      </c>
      <c r="C136" s="106">
        <v>0.0023676985025278905</v>
      </c>
      <c r="D136" s="102" t="s">
        <v>3369</v>
      </c>
      <c r="E136" s="102" t="b">
        <v>0</v>
      </c>
      <c r="F136" s="102" t="b">
        <v>0</v>
      </c>
      <c r="G136" s="102" t="b">
        <v>0</v>
      </c>
    </row>
    <row r="137" spans="1:7" ht="15">
      <c r="A137" s="104" t="s">
        <v>2474</v>
      </c>
      <c r="B137" s="102">
        <v>11</v>
      </c>
      <c r="C137" s="106">
        <v>0.001924346740199556</v>
      </c>
      <c r="D137" s="102" t="s">
        <v>3369</v>
      </c>
      <c r="E137" s="102" t="b">
        <v>0</v>
      </c>
      <c r="F137" s="102" t="b">
        <v>0</v>
      </c>
      <c r="G137" s="102" t="b">
        <v>0</v>
      </c>
    </row>
    <row r="138" spans="1:7" ht="15">
      <c r="A138" s="104" t="s">
        <v>2475</v>
      </c>
      <c r="B138" s="102">
        <v>11</v>
      </c>
      <c r="C138" s="106">
        <v>0.003125613346268745</v>
      </c>
      <c r="D138" s="102" t="s">
        <v>3369</v>
      </c>
      <c r="E138" s="102" t="b">
        <v>0</v>
      </c>
      <c r="F138" s="102" t="b">
        <v>0</v>
      </c>
      <c r="G138" s="102" t="b">
        <v>0</v>
      </c>
    </row>
    <row r="139" spans="1:7" ht="15">
      <c r="A139" s="104" t="s">
        <v>2476</v>
      </c>
      <c r="B139" s="102">
        <v>11</v>
      </c>
      <c r="C139" s="106">
        <v>0.001924346740199556</v>
      </c>
      <c r="D139" s="102" t="s">
        <v>3369</v>
      </c>
      <c r="E139" s="102" t="b">
        <v>0</v>
      </c>
      <c r="F139" s="102" t="b">
        <v>1</v>
      </c>
      <c r="G139" s="102" t="b">
        <v>0</v>
      </c>
    </row>
    <row r="140" spans="1:7" ht="15">
      <c r="A140" s="104" t="s">
        <v>2477</v>
      </c>
      <c r="B140" s="102">
        <v>11</v>
      </c>
      <c r="C140" s="106">
        <v>0.0023676985025278905</v>
      </c>
      <c r="D140" s="102" t="s">
        <v>3369</v>
      </c>
      <c r="E140" s="102" t="b">
        <v>0</v>
      </c>
      <c r="F140" s="102" t="b">
        <v>0</v>
      </c>
      <c r="G140" s="102" t="b">
        <v>0</v>
      </c>
    </row>
    <row r="141" spans="1:7" ht="15">
      <c r="A141" s="104" t="s">
        <v>2478</v>
      </c>
      <c r="B141" s="102">
        <v>11</v>
      </c>
      <c r="C141" s="106">
        <v>0.003125613346268745</v>
      </c>
      <c r="D141" s="102" t="s">
        <v>3369</v>
      </c>
      <c r="E141" s="102" t="b">
        <v>0</v>
      </c>
      <c r="F141" s="102" t="b">
        <v>0</v>
      </c>
      <c r="G141" s="102" t="b">
        <v>0</v>
      </c>
    </row>
    <row r="142" spans="1:7" ht="15">
      <c r="A142" s="104" t="s">
        <v>2479</v>
      </c>
      <c r="B142" s="102">
        <v>10</v>
      </c>
      <c r="C142" s="106">
        <v>0.0016970400361739</v>
      </c>
      <c r="D142" s="102" t="s">
        <v>3369</v>
      </c>
      <c r="E142" s="102" t="b">
        <v>0</v>
      </c>
      <c r="F142" s="102" t="b">
        <v>0</v>
      </c>
      <c r="G142" s="102" t="b">
        <v>0</v>
      </c>
    </row>
    <row r="143" spans="1:7" ht="15">
      <c r="A143" s="104" t="s">
        <v>2480</v>
      </c>
      <c r="B143" s="102">
        <v>10</v>
      </c>
      <c r="C143" s="106">
        <v>0.0017494061274541416</v>
      </c>
      <c r="D143" s="102" t="s">
        <v>3369</v>
      </c>
      <c r="E143" s="102" t="b">
        <v>0</v>
      </c>
      <c r="F143" s="102" t="b">
        <v>0</v>
      </c>
      <c r="G143" s="102" t="b">
        <v>0</v>
      </c>
    </row>
    <row r="144" spans="1:7" ht="15">
      <c r="A144" s="104" t="s">
        <v>2481</v>
      </c>
      <c r="B144" s="102">
        <v>10</v>
      </c>
      <c r="C144" s="106">
        <v>0.0018079464369613301</v>
      </c>
      <c r="D144" s="102" t="s">
        <v>3369</v>
      </c>
      <c r="E144" s="102" t="b">
        <v>0</v>
      </c>
      <c r="F144" s="102" t="b">
        <v>0</v>
      </c>
      <c r="G144" s="102" t="b">
        <v>0</v>
      </c>
    </row>
    <row r="145" spans="1:7" ht="15">
      <c r="A145" s="104" t="s">
        <v>2482</v>
      </c>
      <c r="B145" s="102">
        <v>10</v>
      </c>
      <c r="C145" s="106">
        <v>0.0028414666784261316</v>
      </c>
      <c r="D145" s="102" t="s">
        <v>3369</v>
      </c>
      <c r="E145" s="102" t="b">
        <v>0</v>
      </c>
      <c r="F145" s="102" t="b">
        <v>1</v>
      </c>
      <c r="G145" s="102" t="b">
        <v>0</v>
      </c>
    </row>
    <row r="146" spans="1:7" ht="15">
      <c r="A146" s="104" t="s">
        <v>2483</v>
      </c>
      <c r="B146" s="102">
        <v>10</v>
      </c>
      <c r="C146" s="106">
        <v>0.0028414666784261316</v>
      </c>
      <c r="D146" s="102" t="s">
        <v>3369</v>
      </c>
      <c r="E146" s="102" t="b">
        <v>0</v>
      </c>
      <c r="F146" s="102" t="b">
        <v>0</v>
      </c>
      <c r="G146" s="102" t="b">
        <v>0</v>
      </c>
    </row>
    <row r="147" spans="1:7" ht="15">
      <c r="A147" s="104" t="s">
        <v>2484</v>
      </c>
      <c r="B147" s="102">
        <v>10</v>
      </c>
      <c r="C147" s="106">
        <v>0.002152453184116264</v>
      </c>
      <c r="D147" s="102" t="s">
        <v>3369</v>
      </c>
      <c r="E147" s="102" t="b">
        <v>0</v>
      </c>
      <c r="F147" s="102" t="b">
        <v>0</v>
      </c>
      <c r="G147" s="102" t="b">
        <v>0</v>
      </c>
    </row>
    <row r="148" spans="1:7" ht="15">
      <c r="A148" s="104" t="s">
        <v>2485</v>
      </c>
      <c r="B148" s="102">
        <v>10</v>
      </c>
      <c r="C148" s="106">
        <v>0.0019509296557852027</v>
      </c>
      <c r="D148" s="102" t="s">
        <v>3369</v>
      </c>
      <c r="E148" s="102" t="b">
        <v>0</v>
      </c>
      <c r="F148" s="102" t="b">
        <v>0</v>
      </c>
      <c r="G148" s="102" t="b">
        <v>0</v>
      </c>
    </row>
    <row r="149" spans="1:7" ht="15">
      <c r="A149" s="104" t="s">
        <v>2486</v>
      </c>
      <c r="B149" s="102">
        <v>10</v>
      </c>
      <c r="C149" s="106">
        <v>0.0018743139661186736</v>
      </c>
      <c r="D149" s="102" t="s">
        <v>3369</v>
      </c>
      <c r="E149" s="102" t="b">
        <v>0</v>
      </c>
      <c r="F149" s="102" t="b">
        <v>0</v>
      </c>
      <c r="G149" s="102" t="b">
        <v>0</v>
      </c>
    </row>
    <row r="150" spans="1:7" ht="15">
      <c r="A150" s="104" t="s">
        <v>2487</v>
      </c>
      <c r="B150" s="102">
        <v>10</v>
      </c>
      <c r="C150" s="106">
        <v>0.0016970400361739</v>
      </c>
      <c r="D150" s="102" t="s">
        <v>3369</v>
      </c>
      <c r="E150" s="102" t="b">
        <v>0</v>
      </c>
      <c r="F150" s="102" t="b">
        <v>0</v>
      </c>
      <c r="G150" s="102" t="b">
        <v>0</v>
      </c>
    </row>
    <row r="151" spans="1:7" ht="15">
      <c r="A151" s="104" t="s">
        <v>2488</v>
      </c>
      <c r="B151" s="102">
        <v>10</v>
      </c>
      <c r="C151" s="106">
        <v>0.0028414666784261316</v>
      </c>
      <c r="D151" s="102" t="s">
        <v>3369</v>
      </c>
      <c r="E151" s="102" t="b">
        <v>0</v>
      </c>
      <c r="F151" s="102" t="b">
        <v>0</v>
      </c>
      <c r="G151" s="102" t="b">
        <v>0</v>
      </c>
    </row>
    <row r="152" spans="1:7" ht="15">
      <c r="A152" s="104" t="s">
        <v>2489</v>
      </c>
      <c r="B152" s="102">
        <v>10</v>
      </c>
      <c r="C152" s="106">
        <v>0.0019509296557852027</v>
      </c>
      <c r="D152" s="102" t="s">
        <v>3369</v>
      </c>
      <c r="E152" s="102" t="b">
        <v>0</v>
      </c>
      <c r="F152" s="102" t="b">
        <v>0</v>
      </c>
      <c r="G152" s="102" t="b">
        <v>0</v>
      </c>
    </row>
    <row r="153" spans="1:7" ht="15">
      <c r="A153" s="104" t="s">
        <v>2490</v>
      </c>
      <c r="B153" s="102">
        <v>10</v>
      </c>
      <c r="C153" s="106">
        <v>0.0018079464369613301</v>
      </c>
      <c r="D153" s="102" t="s">
        <v>3369</v>
      </c>
      <c r="E153" s="102" t="b">
        <v>0</v>
      </c>
      <c r="F153" s="102" t="b">
        <v>0</v>
      </c>
      <c r="G153" s="102" t="b">
        <v>0</v>
      </c>
    </row>
    <row r="154" spans="1:7" ht="15">
      <c r="A154" s="104" t="s">
        <v>2491</v>
      </c>
      <c r="B154" s="102">
        <v>10</v>
      </c>
      <c r="C154" s="106">
        <v>0.0018743139661186736</v>
      </c>
      <c r="D154" s="102" t="s">
        <v>3369</v>
      </c>
      <c r="E154" s="102" t="b">
        <v>0</v>
      </c>
      <c r="F154" s="102" t="b">
        <v>0</v>
      </c>
      <c r="G154" s="102" t="b">
        <v>0</v>
      </c>
    </row>
    <row r="155" spans="1:7" ht="15">
      <c r="A155" s="104" t="s">
        <v>2492</v>
      </c>
      <c r="B155" s="102">
        <v>10</v>
      </c>
      <c r="C155" s="106">
        <v>0.0018743139661186736</v>
      </c>
      <c r="D155" s="102" t="s">
        <v>3369</v>
      </c>
      <c r="E155" s="102" t="b">
        <v>0</v>
      </c>
      <c r="F155" s="102" t="b">
        <v>0</v>
      </c>
      <c r="G155" s="102" t="b">
        <v>0</v>
      </c>
    </row>
    <row r="156" spans="1:7" ht="15">
      <c r="A156" s="104" t="s">
        <v>2493</v>
      </c>
      <c r="B156" s="102">
        <v>10</v>
      </c>
      <c r="C156" s="106">
        <v>0.0022954364029401366</v>
      </c>
      <c r="D156" s="102" t="s">
        <v>3369</v>
      </c>
      <c r="E156" s="102" t="b">
        <v>0</v>
      </c>
      <c r="F156" s="102" t="b">
        <v>0</v>
      </c>
      <c r="G156" s="102" t="b">
        <v>0</v>
      </c>
    </row>
    <row r="157" spans="1:7" ht="15">
      <c r="A157" s="104" t="s">
        <v>2494</v>
      </c>
      <c r="B157" s="102">
        <v>10</v>
      </c>
      <c r="C157" s="106">
        <v>0.0022954364029401366</v>
      </c>
      <c r="D157" s="102" t="s">
        <v>3369</v>
      </c>
      <c r="E157" s="102" t="b">
        <v>0</v>
      </c>
      <c r="F157" s="102" t="b">
        <v>0</v>
      </c>
      <c r="G157" s="102" t="b">
        <v>0</v>
      </c>
    </row>
    <row r="158" spans="1:7" ht="15">
      <c r="A158" s="104" t="s">
        <v>2495</v>
      </c>
      <c r="B158" s="102">
        <v>10</v>
      </c>
      <c r="C158" s="106">
        <v>0.0024969599312711977</v>
      </c>
      <c r="D158" s="102" t="s">
        <v>3369</v>
      </c>
      <c r="E158" s="102" t="b">
        <v>0</v>
      </c>
      <c r="F158" s="102" t="b">
        <v>0</v>
      </c>
      <c r="G158" s="102" t="b">
        <v>0</v>
      </c>
    </row>
    <row r="159" spans="1:7" ht="15">
      <c r="A159" s="104" t="s">
        <v>2496</v>
      </c>
      <c r="B159" s="102">
        <v>10</v>
      </c>
      <c r="C159" s="106">
        <v>0.0016970400361739</v>
      </c>
      <c r="D159" s="102" t="s">
        <v>3369</v>
      </c>
      <c r="E159" s="102" t="b">
        <v>0</v>
      </c>
      <c r="F159" s="102" t="b">
        <v>1</v>
      </c>
      <c r="G159" s="102" t="b">
        <v>0</v>
      </c>
    </row>
    <row r="160" spans="1:7" ht="15">
      <c r="A160" s="104" t="s">
        <v>2497</v>
      </c>
      <c r="B160" s="102">
        <v>10</v>
      </c>
      <c r="C160" s="106">
        <v>0.0028414666784261316</v>
      </c>
      <c r="D160" s="102" t="s">
        <v>3369</v>
      </c>
      <c r="E160" s="102" t="b">
        <v>0</v>
      </c>
      <c r="F160" s="102" t="b">
        <v>0</v>
      </c>
      <c r="G160" s="102" t="b">
        <v>0</v>
      </c>
    </row>
    <row r="161" spans="1:7" ht="15">
      <c r="A161" s="104" t="s">
        <v>2498</v>
      </c>
      <c r="B161" s="102">
        <v>10</v>
      </c>
      <c r="C161" s="106">
        <v>0.0024969599312711977</v>
      </c>
      <c r="D161" s="102" t="s">
        <v>3369</v>
      </c>
      <c r="E161" s="102" t="b">
        <v>0</v>
      </c>
      <c r="F161" s="102" t="b">
        <v>0</v>
      </c>
      <c r="G161" s="102" t="b">
        <v>0</v>
      </c>
    </row>
    <row r="162" spans="1:7" ht="15">
      <c r="A162" s="104" t="s">
        <v>2499</v>
      </c>
      <c r="B162" s="102">
        <v>10</v>
      </c>
      <c r="C162" s="106">
        <v>0.0024969599312711977</v>
      </c>
      <c r="D162" s="102" t="s">
        <v>3369</v>
      </c>
      <c r="E162" s="102" t="b">
        <v>0</v>
      </c>
      <c r="F162" s="102" t="b">
        <v>0</v>
      </c>
      <c r="G162" s="102" t="b">
        <v>0</v>
      </c>
    </row>
    <row r="163" spans="1:7" ht="15">
      <c r="A163" s="104" t="s">
        <v>2500</v>
      </c>
      <c r="B163" s="102">
        <v>10</v>
      </c>
      <c r="C163" s="106">
        <v>0.0028414666784261316</v>
      </c>
      <c r="D163" s="102" t="s">
        <v>3369</v>
      </c>
      <c r="E163" s="102" t="b">
        <v>0</v>
      </c>
      <c r="F163" s="102" t="b">
        <v>0</v>
      </c>
      <c r="G163" s="102" t="b">
        <v>0</v>
      </c>
    </row>
    <row r="164" spans="1:7" ht="15">
      <c r="A164" s="104" t="s">
        <v>2501</v>
      </c>
      <c r="B164" s="102">
        <v>10</v>
      </c>
      <c r="C164" s="106">
        <v>0.0024969599312711977</v>
      </c>
      <c r="D164" s="102" t="s">
        <v>3369</v>
      </c>
      <c r="E164" s="102" t="b">
        <v>0</v>
      </c>
      <c r="F164" s="102" t="b">
        <v>0</v>
      </c>
      <c r="G164" s="102" t="b">
        <v>0</v>
      </c>
    </row>
    <row r="165" spans="1:7" ht="15">
      <c r="A165" s="104" t="s">
        <v>2502</v>
      </c>
      <c r="B165" s="102">
        <v>10</v>
      </c>
      <c r="C165" s="106">
        <v>0.002152453184116264</v>
      </c>
      <c r="D165" s="102" t="s">
        <v>3369</v>
      </c>
      <c r="E165" s="102" t="b">
        <v>0</v>
      </c>
      <c r="F165" s="102" t="b">
        <v>0</v>
      </c>
      <c r="G165" s="102" t="b">
        <v>0</v>
      </c>
    </row>
    <row r="166" spans="1:7" ht="15">
      <c r="A166" s="104" t="s">
        <v>2503</v>
      </c>
      <c r="B166" s="102">
        <v>9</v>
      </c>
      <c r="C166" s="106">
        <v>0.0016868825695068063</v>
      </c>
      <c r="D166" s="102" t="s">
        <v>3369</v>
      </c>
      <c r="E166" s="102" t="b">
        <v>0</v>
      </c>
      <c r="F166" s="102" t="b">
        <v>0</v>
      </c>
      <c r="G166" s="102" t="b">
        <v>0</v>
      </c>
    </row>
    <row r="167" spans="1:7" ht="15">
      <c r="A167" s="104" t="s">
        <v>2504</v>
      </c>
      <c r="B167" s="102">
        <v>9</v>
      </c>
      <c r="C167" s="106">
        <v>0.0025573200105835185</v>
      </c>
      <c r="D167" s="102" t="s">
        <v>3369</v>
      </c>
      <c r="E167" s="102" t="b">
        <v>0</v>
      </c>
      <c r="F167" s="102" t="b">
        <v>0</v>
      </c>
      <c r="G167" s="102" t="b">
        <v>0</v>
      </c>
    </row>
    <row r="168" spans="1:7" ht="15">
      <c r="A168" s="104" t="s">
        <v>2505</v>
      </c>
      <c r="B168" s="102">
        <v>9</v>
      </c>
      <c r="C168" s="106">
        <v>0.0025573200105835185</v>
      </c>
      <c r="D168" s="102" t="s">
        <v>3369</v>
      </c>
      <c r="E168" s="102" t="b">
        <v>0</v>
      </c>
      <c r="F168" s="102" t="b">
        <v>0</v>
      </c>
      <c r="G168" s="102" t="b">
        <v>0</v>
      </c>
    </row>
    <row r="169" spans="1:7" ht="15">
      <c r="A169" s="104" t="s">
        <v>2506</v>
      </c>
      <c r="B169" s="102">
        <v>9</v>
      </c>
      <c r="C169" s="106">
        <v>0.0018373921049959505</v>
      </c>
      <c r="D169" s="102" t="s">
        <v>3369</v>
      </c>
      <c r="E169" s="102" t="b">
        <v>0</v>
      </c>
      <c r="F169" s="102" t="b">
        <v>0</v>
      </c>
      <c r="G169" s="102" t="b">
        <v>0</v>
      </c>
    </row>
    <row r="170" spans="1:7" ht="15">
      <c r="A170" s="104" t="s">
        <v>2507</v>
      </c>
      <c r="B170" s="102">
        <v>9</v>
      </c>
      <c r="C170" s="106">
        <v>0.0025573200105835185</v>
      </c>
      <c r="D170" s="102" t="s">
        <v>3369</v>
      </c>
      <c r="E170" s="102" t="b">
        <v>0</v>
      </c>
      <c r="F170" s="102" t="b">
        <v>0</v>
      </c>
      <c r="G170" s="102" t="b">
        <v>0</v>
      </c>
    </row>
    <row r="171" spans="1:7" ht="15">
      <c r="A171" s="104" t="s">
        <v>2508</v>
      </c>
      <c r="B171" s="102">
        <v>9</v>
      </c>
      <c r="C171" s="106">
        <v>0.0015744655147087274</v>
      </c>
      <c r="D171" s="102" t="s">
        <v>3369</v>
      </c>
      <c r="E171" s="102" t="b">
        <v>0</v>
      </c>
      <c r="F171" s="102" t="b">
        <v>0</v>
      </c>
      <c r="G171" s="102" t="b">
        <v>0</v>
      </c>
    </row>
    <row r="172" spans="1:7" ht="15">
      <c r="A172" s="104" t="s">
        <v>2509</v>
      </c>
      <c r="B172" s="102">
        <v>9</v>
      </c>
      <c r="C172" s="106">
        <v>0.001627151793265197</v>
      </c>
      <c r="D172" s="102" t="s">
        <v>3369</v>
      </c>
      <c r="E172" s="102" t="b">
        <v>0</v>
      </c>
      <c r="F172" s="102" t="b">
        <v>0</v>
      </c>
      <c r="G172" s="102" t="b">
        <v>0</v>
      </c>
    </row>
    <row r="173" spans="1:7" ht="15">
      <c r="A173" s="104" t="s">
        <v>2510</v>
      </c>
      <c r="B173" s="102">
        <v>9</v>
      </c>
      <c r="C173" s="106">
        <v>0.001627151793265197</v>
      </c>
      <c r="D173" s="102" t="s">
        <v>3369</v>
      </c>
      <c r="E173" s="102" t="b">
        <v>0</v>
      </c>
      <c r="F173" s="102" t="b">
        <v>0</v>
      </c>
      <c r="G173" s="102" t="b">
        <v>0</v>
      </c>
    </row>
    <row r="174" spans="1:7" ht="15">
      <c r="A174" s="104" t="s">
        <v>2511</v>
      </c>
      <c r="B174" s="102">
        <v>9</v>
      </c>
      <c r="C174" s="106">
        <v>0.0018373921049959505</v>
      </c>
      <c r="D174" s="102" t="s">
        <v>3369</v>
      </c>
      <c r="E174" s="102" t="b">
        <v>0</v>
      </c>
      <c r="F174" s="102" t="b">
        <v>0</v>
      </c>
      <c r="G174" s="102" t="b">
        <v>0</v>
      </c>
    </row>
    <row r="175" spans="1:7" ht="15">
      <c r="A175" s="104" t="s">
        <v>2512</v>
      </c>
      <c r="B175" s="102">
        <v>9</v>
      </c>
      <c r="C175" s="106">
        <v>0.0025573200105835185</v>
      </c>
      <c r="D175" s="102" t="s">
        <v>3369</v>
      </c>
      <c r="E175" s="102" t="b">
        <v>0</v>
      </c>
      <c r="F175" s="102" t="b">
        <v>0</v>
      </c>
      <c r="G175" s="102" t="b">
        <v>0</v>
      </c>
    </row>
    <row r="176" spans="1:7" ht="15">
      <c r="A176" s="104" t="s">
        <v>2513</v>
      </c>
      <c r="B176" s="102">
        <v>9</v>
      </c>
      <c r="C176" s="106">
        <v>0.0018373921049959505</v>
      </c>
      <c r="D176" s="102" t="s">
        <v>3369</v>
      </c>
      <c r="E176" s="102" t="b">
        <v>0</v>
      </c>
      <c r="F176" s="102" t="b">
        <v>0</v>
      </c>
      <c r="G176" s="102" t="b">
        <v>0</v>
      </c>
    </row>
    <row r="177" spans="1:7" ht="15">
      <c r="A177" s="104" t="s">
        <v>2514</v>
      </c>
      <c r="B177" s="102">
        <v>9</v>
      </c>
      <c r="C177" s="106">
        <v>0.0017558366902066824</v>
      </c>
      <c r="D177" s="102" t="s">
        <v>3369</v>
      </c>
      <c r="E177" s="102" t="b">
        <v>0</v>
      </c>
      <c r="F177" s="102" t="b">
        <v>0</v>
      </c>
      <c r="G177" s="102" t="b">
        <v>0</v>
      </c>
    </row>
    <row r="178" spans="1:7" ht="15">
      <c r="A178" s="104" t="s">
        <v>2515</v>
      </c>
      <c r="B178" s="102">
        <v>9</v>
      </c>
      <c r="C178" s="106">
        <v>0.0016868825695068063</v>
      </c>
      <c r="D178" s="102" t="s">
        <v>3369</v>
      </c>
      <c r="E178" s="102" t="b">
        <v>0</v>
      </c>
      <c r="F178" s="102" t="b">
        <v>0</v>
      </c>
      <c r="G178" s="102" t="b">
        <v>0</v>
      </c>
    </row>
    <row r="179" spans="1:7" ht="15">
      <c r="A179" s="104" t="s">
        <v>2516</v>
      </c>
      <c r="B179" s="102">
        <v>9</v>
      </c>
      <c r="C179" s="106">
        <v>0.0019372078657046376</v>
      </c>
      <c r="D179" s="102" t="s">
        <v>3369</v>
      </c>
      <c r="E179" s="102" t="b">
        <v>0</v>
      </c>
      <c r="F179" s="102" t="b">
        <v>0</v>
      </c>
      <c r="G179" s="102" t="b">
        <v>0</v>
      </c>
    </row>
    <row r="180" spans="1:7" ht="15">
      <c r="A180" s="104" t="s">
        <v>2517</v>
      </c>
      <c r="B180" s="102">
        <v>9</v>
      </c>
      <c r="C180" s="106">
        <v>0.0025573200105835185</v>
      </c>
      <c r="D180" s="102" t="s">
        <v>3369</v>
      </c>
      <c r="E180" s="102" t="b">
        <v>0</v>
      </c>
      <c r="F180" s="102" t="b">
        <v>0</v>
      </c>
      <c r="G180" s="102" t="b">
        <v>0</v>
      </c>
    </row>
    <row r="181" spans="1:7" ht="15">
      <c r="A181" s="104" t="s">
        <v>2518</v>
      </c>
      <c r="B181" s="102">
        <v>9</v>
      </c>
      <c r="C181" s="106">
        <v>0.0025573200105835185</v>
      </c>
      <c r="D181" s="102" t="s">
        <v>3369</v>
      </c>
      <c r="E181" s="102" t="b">
        <v>0</v>
      </c>
      <c r="F181" s="102" t="b">
        <v>0</v>
      </c>
      <c r="G181" s="102" t="b">
        <v>0</v>
      </c>
    </row>
    <row r="182" spans="1:7" ht="15">
      <c r="A182" s="104" t="s">
        <v>2519</v>
      </c>
      <c r="B182" s="102">
        <v>9</v>
      </c>
      <c r="C182" s="106">
        <v>0.0025573200105835185</v>
      </c>
      <c r="D182" s="102" t="s">
        <v>3369</v>
      </c>
      <c r="E182" s="102" t="b">
        <v>0</v>
      </c>
      <c r="F182" s="102" t="b">
        <v>0</v>
      </c>
      <c r="G182" s="102" t="b">
        <v>0</v>
      </c>
    </row>
    <row r="183" spans="1:7" ht="15">
      <c r="A183" s="104" t="s">
        <v>2520</v>
      </c>
      <c r="B183" s="102">
        <v>9</v>
      </c>
      <c r="C183" s="106">
        <v>0.0025573200105835185</v>
      </c>
      <c r="D183" s="102" t="s">
        <v>3369</v>
      </c>
      <c r="E183" s="102" t="b">
        <v>0</v>
      </c>
      <c r="F183" s="102" t="b">
        <v>0</v>
      </c>
      <c r="G183" s="102" t="b">
        <v>0</v>
      </c>
    </row>
    <row r="184" spans="1:7" ht="15">
      <c r="A184" s="104" t="s">
        <v>2521</v>
      </c>
      <c r="B184" s="102">
        <v>9</v>
      </c>
      <c r="C184" s="106">
        <v>0.0025573200105835185</v>
      </c>
      <c r="D184" s="102" t="s">
        <v>3369</v>
      </c>
      <c r="E184" s="102" t="b">
        <v>0</v>
      </c>
      <c r="F184" s="102" t="b">
        <v>1</v>
      </c>
      <c r="G184" s="102" t="b">
        <v>0</v>
      </c>
    </row>
    <row r="185" spans="1:7" ht="15">
      <c r="A185" s="104" t="s">
        <v>2522</v>
      </c>
      <c r="B185" s="102">
        <v>9</v>
      </c>
      <c r="C185" s="106">
        <v>0.0025573200105835185</v>
      </c>
      <c r="D185" s="102" t="s">
        <v>3369</v>
      </c>
      <c r="E185" s="102" t="b">
        <v>0</v>
      </c>
      <c r="F185" s="102" t="b">
        <v>0</v>
      </c>
      <c r="G185" s="102" t="b">
        <v>0</v>
      </c>
    </row>
    <row r="186" spans="1:7" ht="15">
      <c r="A186" s="104" t="s">
        <v>2523</v>
      </c>
      <c r="B186" s="102">
        <v>8</v>
      </c>
      <c r="C186" s="106">
        <v>0.001446357149569064</v>
      </c>
      <c r="D186" s="102" t="s">
        <v>3369</v>
      </c>
      <c r="E186" s="102" t="b">
        <v>0</v>
      </c>
      <c r="F186" s="102" t="b">
        <v>0</v>
      </c>
      <c r="G186" s="102" t="b">
        <v>0</v>
      </c>
    </row>
    <row r="187" spans="1:7" ht="15">
      <c r="A187" s="104" t="s">
        <v>2524</v>
      </c>
      <c r="B187" s="102">
        <v>8</v>
      </c>
      <c r="C187" s="106">
        <v>0.0014994511728949388</v>
      </c>
      <c r="D187" s="102" t="s">
        <v>3369</v>
      </c>
      <c r="E187" s="102" t="b">
        <v>0</v>
      </c>
      <c r="F187" s="102" t="b">
        <v>0</v>
      </c>
      <c r="G187" s="102" t="b">
        <v>0</v>
      </c>
    </row>
    <row r="188" spans="1:7" ht="15">
      <c r="A188" s="104" t="s">
        <v>2525</v>
      </c>
      <c r="B188" s="102">
        <v>8</v>
      </c>
      <c r="C188" s="106">
        <v>0.0022731733427409054</v>
      </c>
      <c r="D188" s="102" t="s">
        <v>3369</v>
      </c>
      <c r="E188" s="102" t="b">
        <v>0</v>
      </c>
      <c r="F188" s="102" t="b">
        <v>0</v>
      </c>
      <c r="G188" s="102" t="b">
        <v>0</v>
      </c>
    </row>
    <row r="189" spans="1:7" ht="15">
      <c r="A189" s="104" t="s">
        <v>2526</v>
      </c>
      <c r="B189" s="102">
        <v>8</v>
      </c>
      <c r="C189" s="106">
        <v>0.001446357149569064</v>
      </c>
      <c r="D189" s="102" t="s">
        <v>3369</v>
      </c>
      <c r="E189" s="102" t="b">
        <v>0</v>
      </c>
      <c r="F189" s="102" t="b">
        <v>0</v>
      </c>
      <c r="G189" s="102" t="b">
        <v>0</v>
      </c>
    </row>
    <row r="190" spans="1:7" ht="15">
      <c r="A190" s="104" t="s">
        <v>2527</v>
      </c>
      <c r="B190" s="102">
        <v>8</v>
      </c>
      <c r="C190" s="106">
        <v>0.001446357149569064</v>
      </c>
      <c r="D190" s="102" t="s">
        <v>3369</v>
      </c>
      <c r="E190" s="102" t="b">
        <v>0</v>
      </c>
      <c r="F190" s="102" t="b">
        <v>0</v>
      </c>
      <c r="G190" s="102" t="b">
        <v>0</v>
      </c>
    </row>
    <row r="191" spans="1:7" ht="15">
      <c r="A191" s="104" t="s">
        <v>2528</v>
      </c>
      <c r="B191" s="102">
        <v>8</v>
      </c>
      <c r="C191" s="106">
        <v>0.001446357149569064</v>
      </c>
      <c r="D191" s="102" t="s">
        <v>3369</v>
      </c>
      <c r="E191" s="102" t="b">
        <v>0</v>
      </c>
      <c r="F191" s="102" t="b">
        <v>0</v>
      </c>
      <c r="G191" s="102" t="b">
        <v>0</v>
      </c>
    </row>
    <row r="192" spans="1:7" ht="15">
      <c r="A192" s="104" t="s">
        <v>2529</v>
      </c>
      <c r="B192" s="102">
        <v>8</v>
      </c>
      <c r="C192" s="106">
        <v>0.001560743724628162</v>
      </c>
      <c r="D192" s="102" t="s">
        <v>3369</v>
      </c>
      <c r="E192" s="102" t="b">
        <v>0</v>
      </c>
      <c r="F192" s="102" t="b">
        <v>0</v>
      </c>
      <c r="G192" s="102" t="b">
        <v>0</v>
      </c>
    </row>
    <row r="193" spans="1:7" ht="15">
      <c r="A193" s="104" t="s">
        <v>2530</v>
      </c>
      <c r="B193" s="102">
        <v>8</v>
      </c>
      <c r="C193" s="106">
        <v>0.0014994511728949388</v>
      </c>
      <c r="D193" s="102" t="s">
        <v>3369</v>
      </c>
      <c r="E193" s="102" t="b">
        <v>0</v>
      </c>
      <c r="F193" s="102" t="b">
        <v>0</v>
      </c>
      <c r="G193" s="102" t="b">
        <v>0</v>
      </c>
    </row>
    <row r="194" spans="1:7" ht="15">
      <c r="A194" s="104" t="s">
        <v>2531</v>
      </c>
      <c r="B194" s="102">
        <v>8</v>
      </c>
      <c r="C194" s="106">
        <v>0.0014994511728949388</v>
      </c>
      <c r="D194" s="102" t="s">
        <v>3369</v>
      </c>
      <c r="E194" s="102" t="b">
        <v>0</v>
      </c>
      <c r="F194" s="102" t="b">
        <v>0</v>
      </c>
      <c r="G194" s="102" t="b">
        <v>0</v>
      </c>
    </row>
    <row r="195" spans="1:7" ht="15">
      <c r="A195" s="104" t="s">
        <v>2532</v>
      </c>
      <c r="B195" s="102">
        <v>8</v>
      </c>
      <c r="C195" s="106">
        <v>0.001446357149569064</v>
      </c>
      <c r="D195" s="102" t="s">
        <v>3369</v>
      </c>
      <c r="E195" s="102" t="b">
        <v>0</v>
      </c>
      <c r="F195" s="102" t="b">
        <v>1</v>
      </c>
      <c r="G195" s="102" t="b">
        <v>0</v>
      </c>
    </row>
    <row r="196" spans="1:7" ht="15">
      <c r="A196" s="104" t="s">
        <v>2533</v>
      </c>
      <c r="B196" s="102">
        <v>8</v>
      </c>
      <c r="C196" s="106">
        <v>0.001560743724628162</v>
      </c>
      <c r="D196" s="102" t="s">
        <v>3369</v>
      </c>
      <c r="E196" s="102" t="b">
        <v>0</v>
      </c>
      <c r="F196" s="102" t="b">
        <v>0</v>
      </c>
      <c r="G196" s="102" t="b">
        <v>0</v>
      </c>
    </row>
    <row r="197" spans="1:7" ht="15">
      <c r="A197" s="104" t="s">
        <v>2534</v>
      </c>
      <c r="B197" s="102">
        <v>8</v>
      </c>
      <c r="C197" s="106">
        <v>0.0018363491223521093</v>
      </c>
      <c r="D197" s="102" t="s">
        <v>3369</v>
      </c>
      <c r="E197" s="102" t="b">
        <v>0</v>
      </c>
      <c r="F197" s="102" t="b">
        <v>0</v>
      </c>
      <c r="G197" s="102" t="b">
        <v>0</v>
      </c>
    </row>
    <row r="198" spans="1:7" ht="15">
      <c r="A198" s="104" t="s">
        <v>2535</v>
      </c>
      <c r="B198" s="102">
        <v>8</v>
      </c>
      <c r="C198" s="106">
        <v>0.0018363491223521093</v>
      </c>
      <c r="D198" s="102" t="s">
        <v>3369</v>
      </c>
      <c r="E198" s="102" t="b">
        <v>0</v>
      </c>
      <c r="F198" s="102" t="b">
        <v>0</v>
      </c>
      <c r="G198" s="102" t="b">
        <v>0</v>
      </c>
    </row>
    <row r="199" spans="1:7" ht="15">
      <c r="A199" s="104" t="s">
        <v>2536</v>
      </c>
      <c r="B199" s="102">
        <v>8</v>
      </c>
      <c r="C199" s="106">
        <v>0.0018363491223521093</v>
      </c>
      <c r="D199" s="102" t="s">
        <v>3369</v>
      </c>
      <c r="E199" s="102" t="b">
        <v>0</v>
      </c>
      <c r="F199" s="102" t="b">
        <v>0</v>
      </c>
      <c r="G199" s="102" t="b">
        <v>0</v>
      </c>
    </row>
    <row r="200" spans="1:7" ht="15">
      <c r="A200" s="104" t="s">
        <v>2537</v>
      </c>
      <c r="B200" s="102">
        <v>8</v>
      </c>
      <c r="C200" s="106">
        <v>0.0022731733427409054</v>
      </c>
      <c r="D200" s="102" t="s">
        <v>3369</v>
      </c>
      <c r="E200" s="102" t="b">
        <v>0</v>
      </c>
      <c r="F200" s="102" t="b">
        <v>0</v>
      </c>
      <c r="G200" s="102" t="b">
        <v>0</v>
      </c>
    </row>
    <row r="201" spans="1:7" ht="15">
      <c r="A201" s="104" t="s">
        <v>2538</v>
      </c>
      <c r="B201" s="102">
        <v>8</v>
      </c>
      <c r="C201" s="106">
        <v>0.001560743724628162</v>
      </c>
      <c r="D201" s="102" t="s">
        <v>3369</v>
      </c>
      <c r="E201" s="102" t="b">
        <v>0</v>
      </c>
      <c r="F201" s="102" t="b">
        <v>0</v>
      </c>
      <c r="G201" s="102" t="b">
        <v>0</v>
      </c>
    </row>
    <row r="202" spans="1:7" ht="15">
      <c r="A202" s="104" t="s">
        <v>2539</v>
      </c>
      <c r="B202" s="102">
        <v>8</v>
      </c>
      <c r="C202" s="106">
        <v>0.0014994511728949388</v>
      </c>
      <c r="D202" s="102" t="s">
        <v>3369</v>
      </c>
      <c r="E202" s="102" t="b">
        <v>0</v>
      </c>
      <c r="F202" s="102" t="b">
        <v>0</v>
      </c>
      <c r="G202" s="102" t="b">
        <v>0</v>
      </c>
    </row>
    <row r="203" spans="1:7" ht="15">
      <c r="A203" s="104" t="s">
        <v>2540</v>
      </c>
      <c r="B203" s="102">
        <v>8</v>
      </c>
      <c r="C203" s="106">
        <v>0.0014994511728949388</v>
      </c>
      <c r="D203" s="102" t="s">
        <v>3369</v>
      </c>
      <c r="E203" s="102" t="b">
        <v>0</v>
      </c>
      <c r="F203" s="102" t="b">
        <v>0</v>
      </c>
      <c r="G203" s="102" t="b">
        <v>0</v>
      </c>
    </row>
    <row r="204" spans="1:7" ht="15">
      <c r="A204" s="104" t="s">
        <v>2541</v>
      </c>
      <c r="B204" s="102">
        <v>8</v>
      </c>
      <c r="C204" s="106">
        <v>0.001633237426663067</v>
      </c>
      <c r="D204" s="102" t="s">
        <v>3369</v>
      </c>
      <c r="E204" s="102" t="b">
        <v>0</v>
      </c>
      <c r="F204" s="102" t="b">
        <v>0</v>
      </c>
      <c r="G204" s="102" t="b">
        <v>0</v>
      </c>
    </row>
    <row r="205" spans="1:7" ht="15">
      <c r="A205" s="104" t="s">
        <v>2542</v>
      </c>
      <c r="B205" s="102">
        <v>8</v>
      </c>
      <c r="C205" s="106">
        <v>0.0014994511728949388</v>
      </c>
      <c r="D205" s="102" t="s">
        <v>3369</v>
      </c>
      <c r="E205" s="102" t="b">
        <v>0</v>
      </c>
      <c r="F205" s="102" t="b">
        <v>0</v>
      </c>
      <c r="G205" s="102" t="b">
        <v>0</v>
      </c>
    </row>
    <row r="206" spans="1:7" ht="15">
      <c r="A206" s="104" t="s">
        <v>2543</v>
      </c>
      <c r="B206" s="102">
        <v>8</v>
      </c>
      <c r="C206" s="106">
        <v>0.0014994511728949388</v>
      </c>
      <c r="D206" s="102" t="s">
        <v>3369</v>
      </c>
      <c r="E206" s="102" t="b">
        <v>0</v>
      </c>
      <c r="F206" s="102" t="b">
        <v>0</v>
      </c>
      <c r="G206" s="102" t="b">
        <v>0</v>
      </c>
    </row>
    <row r="207" spans="1:7" ht="15">
      <c r="A207" s="104" t="s">
        <v>2544</v>
      </c>
      <c r="B207" s="102">
        <v>8</v>
      </c>
      <c r="C207" s="106">
        <v>0.0022731733427409054</v>
      </c>
      <c r="D207" s="102" t="s">
        <v>3369</v>
      </c>
      <c r="E207" s="102" t="b">
        <v>0</v>
      </c>
      <c r="F207" s="102" t="b">
        <v>0</v>
      </c>
      <c r="G207" s="102" t="b">
        <v>0</v>
      </c>
    </row>
    <row r="208" spans="1:7" ht="15">
      <c r="A208" s="104" t="s">
        <v>2545</v>
      </c>
      <c r="B208" s="102">
        <v>8</v>
      </c>
      <c r="C208" s="106">
        <v>0.0019975679450169584</v>
      </c>
      <c r="D208" s="102" t="s">
        <v>3369</v>
      </c>
      <c r="E208" s="102" t="b">
        <v>0</v>
      </c>
      <c r="F208" s="102" t="b">
        <v>0</v>
      </c>
      <c r="G208" s="102" t="b">
        <v>0</v>
      </c>
    </row>
    <row r="209" spans="1:7" ht="15">
      <c r="A209" s="104" t="s">
        <v>2546</v>
      </c>
      <c r="B209" s="102">
        <v>8</v>
      </c>
      <c r="C209" s="106">
        <v>0.0019975679450169584</v>
      </c>
      <c r="D209" s="102" t="s">
        <v>3369</v>
      </c>
      <c r="E209" s="102" t="b">
        <v>0</v>
      </c>
      <c r="F209" s="102" t="b">
        <v>0</v>
      </c>
      <c r="G209" s="102" t="b">
        <v>0</v>
      </c>
    </row>
    <row r="210" spans="1:7" ht="15">
      <c r="A210" s="104" t="s">
        <v>2547</v>
      </c>
      <c r="B210" s="102">
        <v>8</v>
      </c>
      <c r="C210" s="106">
        <v>0.0022731733427409054</v>
      </c>
      <c r="D210" s="102" t="s">
        <v>3369</v>
      </c>
      <c r="E210" s="102" t="b">
        <v>0</v>
      </c>
      <c r="F210" s="102" t="b">
        <v>1</v>
      </c>
      <c r="G210" s="102" t="b">
        <v>0</v>
      </c>
    </row>
    <row r="211" spans="1:7" ht="15">
      <c r="A211" s="104" t="s">
        <v>2548</v>
      </c>
      <c r="B211" s="102">
        <v>8</v>
      </c>
      <c r="C211" s="106">
        <v>0.0022731733427409054</v>
      </c>
      <c r="D211" s="102" t="s">
        <v>3369</v>
      </c>
      <c r="E211" s="102" t="b">
        <v>0</v>
      </c>
      <c r="F211" s="102" t="b">
        <v>1</v>
      </c>
      <c r="G211" s="102" t="b">
        <v>0</v>
      </c>
    </row>
    <row r="212" spans="1:7" ht="15">
      <c r="A212" s="104" t="s">
        <v>2549</v>
      </c>
      <c r="B212" s="102">
        <v>8</v>
      </c>
      <c r="C212" s="106">
        <v>0.0018363491223521093</v>
      </c>
      <c r="D212" s="102" t="s">
        <v>3369</v>
      </c>
      <c r="E212" s="102" t="b">
        <v>0</v>
      </c>
      <c r="F212" s="102" t="b">
        <v>0</v>
      </c>
      <c r="G212" s="102" t="b">
        <v>0</v>
      </c>
    </row>
    <row r="213" spans="1:7" ht="15">
      <c r="A213" s="104" t="s">
        <v>2550</v>
      </c>
      <c r="B213" s="102">
        <v>8</v>
      </c>
      <c r="C213" s="106">
        <v>0.0022731733427409054</v>
      </c>
      <c r="D213" s="102" t="s">
        <v>3369</v>
      </c>
      <c r="E213" s="102" t="b">
        <v>0</v>
      </c>
      <c r="F213" s="102" t="b">
        <v>0</v>
      </c>
      <c r="G213" s="102" t="b">
        <v>0</v>
      </c>
    </row>
    <row r="214" spans="1:7" ht="15">
      <c r="A214" s="104" t="s">
        <v>2551</v>
      </c>
      <c r="B214" s="102">
        <v>7</v>
      </c>
      <c r="C214" s="106">
        <v>0.0013656507590496419</v>
      </c>
      <c r="D214" s="102" t="s">
        <v>3369</v>
      </c>
      <c r="E214" s="102" t="b">
        <v>0</v>
      </c>
      <c r="F214" s="102" t="b">
        <v>0</v>
      </c>
      <c r="G214" s="102" t="b">
        <v>0</v>
      </c>
    </row>
    <row r="215" spans="1:7" ht="15">
      <c r="A215" s="104" t="s">
        <v>2552</v>
      </c>
      <c r="B215" s="102">
        <v>7</v>
      </c>
      <c r="C215" s="106">
        <v>0.0015067172288813846</v>
      </c>
      <c r="D215" s="102" t="s">
        <v>3369</v>
      </c>
      <c r="E215" s="102" t="b">
        <v>0</v>
      </c>
      <c r="F215" s="102" t="b">
        <v>0</v>
      </c>
      <c r="G215" s="102" t="b">
        <v>0</v>
      </c>
    </row>
    <row r="216" spans="1:7" ht="15">
      <c r="A216" s="104" t="s">
        <v>2553</v>
      </c>
      <c r="B216" s="102">
        <v>7</v>
      </c>
      <c r="C216" s="106">
        <v>0.0014290827483301835</v>
      </c>
      <c r="D216" s="102" t="s">
        <v>3369</v>
      </c>
      <c r="E216" s="102" t="b">
        <v>0</v>
      </c>
      <c r="F216" s="102" t="b">
        <v>0</v>
      </c>
      <c r="G216" s="102" t="b">
        <v>0</v>
      </c>
    </row>
    <row r="217" spans="1:7" ht="15">
      <c r="A217" s="104" t="s">
        <v>2554</v>
      </c>
      <c r="B217" s="102">
        <v>7</v>
      </c>
      <c r="C217" s="106">
        <v>0.0019890266748982923</v>
      </c>
      <c r="D217" s="102" t="s">
        <v>3369</v>
      </c>
      <c r="E217" s="102" t="b">
        <v>0</v>
      </c>
      <c r="F217" s="102" t="b">
        <v>0</v>
      </c>
      <c r="G217" s="102" t="b">
        <v>0</v>
      </c>
    </row>
    <row r="218" spans="1:7" ht="15">
      <c r="A218" s="104" t="s">
        <v>2555</v>
      </c>
      <c r="B218" s="102">
        <v>7</v>
      </c>
      <c r="C218" s="106">
        <v>0.0013120197762830715</v>
      </c>
      <c r="D218" s="102" t="s">
        <v>3369</v>
      </c>
      <c r="E218" s="102" t="b">
        <v>0</v>
      </c>
      <c r="F218" s="102" t="b">
        <v>0</v>
      </c>
      <c r="G218" s="102" t="b">
        <v>0</v>
      </c>
    </row>
    <row r="219" spans="1:7" ht="15">
      <c r="A219" s="104" t="s">
        <v>2556</v>
      </c>
      <c r="B219" s="102">
        <v>7</v>
      </c>
      <c r="C219" s="106">
        <v>0.0019890266748982923</v>
      </c>
      <c r="D219" s="102" t="s">
        <v>3369</v>
      </c>
      <c r="E219" s="102" t="b">
        <v>0</v>
      </c>
      <c r="F219" s="102" t="b">
        <v>0</v>
      </c>
      <c r="G219" s="102" t="b">
        <v>0</v>
      </c>
    </row>
    <row r="220" spans="1:7" ht="15">
      <c r="A220" s="104" t="s">
        <v>2557</v>
      </c>
      <c r="B220" s="102">
        <v>7</v>
      </c>
      <c r="C220" s="106">
        <v>0.0013120197762830715</v>
      </c>
      <c r="D220" s="102" t="s">
        <v>3369</v>
      </c>
      <c r="E220" s="102" t="b">
        <v>0</v>
      </c>
      <c r="F220" s="102" t="b">
        <v>0</v>
      </c>
      <c r="G220" s="102" t="b">
        <v>0</v>
      </c>
    </row>
    <row r="221" spans="1:7" ht="15">
      <c r="A221" s="104" t="s">
        <v>2558</v>
      </c>
      <c r="B221" s="102">
        <v>7</v>
      </c>
      <c r="C221" s="106">
        <v>0.0014290827483301835</v>
      </c>
      <c r="D221" s="102" t="s">
        <v>3369</v>
      </c>
      <c r="E221" s="102" t="b">
        <v>0</v>
      </c>
      <c r="F221" s="102" t="b">
        <v>0</v>
      </c>
      <c r="G221" s="102" t="b">
        <v>0</v>
      </c>
    </row>
    <row r="222" spans="1:7" ht="15">
      <c r="A222" s="104" t="s">
        <v>2559</v>
      </c>
      <c r="B222" s="102">
        <v>7</v>
      </c>
      <c r="C222" s="106">
        <v>0.0015067172288813846</v>
      </c>
      <c r="D222" s="102" t="s">
        <v>3369</v>
      </c>
      <c r="E222" s="102" t="b">
        <v>0</v>
      </c>
      <c r="F222" s="102" t="b">
        <v>0</v>
      </c>
      <c r="G222" s="102" t="b">
        <v>0</v>
      </c>
    </row>
    <row r="223" spans="1:7" ht="15">
      <c r="A223" s="104" t="s">
        <v>2560</v>
      </c>
      <c r="B223" s="102">
        <v>7</v>
      </c>
      <c r="C223" s="106">
        <v>0.0013120197762830715</v>
      </c>
      <c r="D223" s="102" t="s">
        <v>3369</v>
      </c>
      <c r="E223" s="102" t="b">
        <v>0</v>
      </c>
      <c r="F223" s="102" t="b">
        <v>0</v>
      </c>
      <c r="G223" s="102" t="b">
        <v>0</v>
      </c>
    </row>
    <row r="224" spans="1:7" ht="15">
      <c r="A224" s="104" t="s">
        <v>2561</v>
      </c>
      <c r="B224" s="102">
        <v>7</v>
      </c>
      <c r="C224" s="106">
        <v>0.0013120197762830715</v>
      </c>
      <c r="D224" s="102" t="s">
        <v>3369</v>
      </c>
      <c r="E224" s="102" t="b">
        <v>0</v>
      </c>
      <c r="F224" s="102" t="b">
        <v>0</v>
      </c>
      <c r="G224" s="102" t="b">
        <v>0</v>
      </c>
    </row>
    <row r="225" spans="1:7" ht="15">
      <c r="A225" s="104" t="s">
        <v>2562</v>
      </c>
      <c r="B225" s="102">
        <v>7</v>
      </c>
      <c r="C225" s="106">
        <v>0.0013120197762830715</v>
      </c>
      <c r="D225" s="102" t="s">
        <v>3369</v>
      </c>
      <c r="E225" s="102" t="b">
        <v>0</v>
      </c>
      <c r="F225" s="102" t="b">
        <v>0</v>
      </c>
      <c r="G225" s="102" t="b">
        <v>0</v>
      </c>
    </row>
    <row r="226" spans="1:7" ht="15">
      <c r="A226" s="104" t="s">
        <v>2563</v>
      </c>
      <c r="B226" s="102">
        <v>7</v>
      </c>
      <c r="C226" s="106">
        <v>0.0017478719518898385</v>
      </c>
      <c r="D226" s="102" t="s">
        <v>3369</v>
      </c>
      <c r="E226" s="102" t="b">
        <v>0</v>
      </c>
      <c r="F226" s="102" t="b">
        <v>0</v>
      </c>
      <c r="G226" s="102" t="b">
        <v>0</v>
      </c>
    </row>
    <row r="227" spans="1:7" ht="15">
      <c r="A227" s="104" t="s">
        <v>2564</v>
      </c>
      <c r="B227" s="102">
        <v>7</v>
      </c>
      <c r="C227" s="106">
        <v>0.0013656507590496419</v>
      </c>
      <c r="D227" s="102" t="s">
        <v>3369</v>
      </c>
      <c r="E227" s="102" t="b">
        <v>0</v>
      </c>
      <c r="F227" s="102" t="b">
        <v>0</v>
      </c>
      <c r="G227" s="102" t="b">
        <v>0</v>
      </c>
    </row>
    <row r="228" spans="1:7" ht="15">
      <c r="A228" s="104" t="s">
        <v>2565</v>
      </c>
      <c r="B228" s="102">
        <v>7</v>
      </c>
      <c r="C228" s="106">
        <v>0.0013120197762830715</v>
      </c>
      <c r="D228" s="102" t="s">
        <v>3369</v>
      </c>
      <c r="E228" s="102" t="b">
        <v>0</v>
      </c>
      <c r="F228" s="102" t="b">
        <v>0</v>
      </c>
      <c r="G228" s="102" t="b">
        <v>0</v>
      </c>
    </row>
    <row r="229" spans="1:7" ht="15">
      <c r="A229" s="104" t="s">
        <v>2566</v>
      </c>
      <c r="B229" s="102">
        <v>7</v>
      </c>
      <c r="C229" s="106">
        <v>0.0013120197762830715</v>
      </c>
      <c r="D229" s="102" t="s">
        <v>3369</v>
      </c>
      <c r="E229" s="102" t="b">
        <v>0</v>
      </c>
      <c r="F229" s="102" t="b">
        <v>0</v>
      </c>
      <c r="G229" s="102" t="b">
        <v>0</v>
      </c>
    </row>
    <row r="230" spans="1:7" ht="15">
      <c r="A230" s="104" t="s">
        <v>2567</v>
      </c>
      <c r="B230" s="102">
        <v>7</v>
      </c>
      <c r="C230" s="106">
        <v>0.0013656507590496419</v>
      </c>
      <c r="D230" s="102" t="s">
        <v>3369</v>
      </c>
      <c r="E230" s="102" t="b">
        <v>0</v>
      </c>
      <c r="F230" s="102" t="b">
        <v>0</v>
      </c>
      <c r="G230" s="102" t="b">
        <v>0</v>
      </c>
    </row>
    <row r="231" spans="1:7" ht="15">
      <c r="A231" s="104" t="s">
        <v>2568</v>
      </c>
      <c r="B231" s="102">
        <v>7</v>
      </c>
      <c r="C231" s="106">
        <v>0.0015067172288813846</v>
      </c>
      <c r="D231" s="102" t="s">
        <v>3369</v>
      </c>
      <c r="E231" s="102" t="b">
        <v>0</v>
      </c>
      <c r="F231" s="102" t="b">
        <v>0</v>
      </c>
      <c r="G231" s="102" t="b">
        <v>0</v>
      </c>
    </row>
    <row r="232" spans="1:7" ht="15">
      <c r="A232" s="104" t="s">
        <v>2569</v>
      </c>
      <c r="B232" s="102">
        <v>7</v>
      </c>
      <c r="C232" s="106">
        <v>0.0014290827483301835</v>
      </c>
      <c r="D232" s="102" t="s">
        <v>3369</v>
      </c>
      <c r="E232" s="102" t="b">
        <v>0</v>
      </c>
      <c r="F232" s="102" t="b">
        <v>1</v>
      </c>
      <c r="G232" s="102" t="b">
        <v>0</v>
      </c>
    </row>
    <row r="233" spans="1:7" ht="15">
      <c r="A233" s="104" t="s">
        <v>2570</v>
      </c>
      <c r="B233" s="102">
        <v>7</v>
      </c>
      <c r="C233" s="106">
        <v>0.0013120197762830715</v>
      </c>
      <c r="D233" s="102" t="s">
        <v>3369</v>
      </c>
      <c r="E233" s="102" t="b">
        <v>0</v>
      </c>
      <c r="F233" s="102" t="b">
        <v>0</v>
      </c>
      <c r="G233" s="102" t="b">
        <v>0</v>
      </c>
    </row>
    <row r="234" spans="1:7" ht="15">
      <c r="A234" s="104" t="s">
        <v>2571</v>
      </c>
      <c r="B234" s="102">
        <v>7</v>
      </c>
      <c r="C234" s="106">
        <v>0.0013120197762830715</v>
      </c>
      <c r="D234" s="102" t="s">
        <v>3369</v>
      </c>
      <c r="E234" s="102" t="b">
        <v>0</v>
      </c>
      <c r="F234" s="102" t="b">
        <v>0</v>
      </c>
      <c r="G234" s="102" t="b">
        <v>0</v>
      </c>
    </row>
    <row r="235" spans="1:7" ht="15">
      <c r="A235" s="104" t="s">
        <v>2572</v>
      </c>
      <c r="B235" s="102">
        <v>7</v>
      </c>
      <c r="C235" s="106">
        <v>0.0019890266748982923</v>
      </c>
      <c r="D235" s="102" t="s">
        <v>3369</v>
      </c>
      <c r="E235" s="102" t="b">
        <v>0</v>
      </c>
      <c r="F235" s="102" t="b">
        <v>0</v>
      </c>
      <c r="G235" s="102" t="b">
        <v>0</v>
      </c>
    </row>
    <row r="236" spans="1:7" ht="15">
      <c r="A236" s="104" t="s">
        <v>2573</v>
      </c>
      <c r="B236" s="102">
        <v>7</v>
      </c>
      <c r="C236" s="106">
        <v>0.0014290827483301835</v>
      </c>
      <c r="D236" s="102" t="s">
        <v>3369</v>
      </c>
      <c r="E236" s="102" t="b">
        <v>0</v>
      </c>
      <c r="F236" s="102" t="b">
        <v>0</v>
      </c>
      <c r="G236" s="102" t="b">
        <v>0</v>
      </c>
    </row>
    <row r="237" spans="1:7" ht="15">
      <c r="A237" s="104" t="s">
        <v>2574</v>
      </c>
      <c r="B237" s="102">
        <v>7</v>
      </c>
      <c r="C237" s="106">
        <v>0.0019890266748982923</v>
      </c>
      <c r="D237" s="102" t="s">
        <v>3369</v>
      </c>
      <c r="E237" s="102" t="b">
        <v>0</v>
      </c>
      <c r="F237" s="102" t="b">
        <v>0</v>
      </c>
      <c r="G237" s="102" t="b">
        <v>0</v>
      </c>
    </row>
    <row r="238" spans="1:7" ht="15">
      <c r="A238" s="104" t="s">
        <v>2575</v>
      </c>
      <c r="B238" s="102">
        <v>7</v>
      </c>
      <c r="C238" s="106">
        <v>0.0016068054820580955</v>
      </c>
      <c r="D238" s="102" t="s">
        <v>3369</v>
      </c>
      <c r="E238" s="102" t="b">
        <v>0</v>
      </c>
      <c r="F238" s="102" t="b">
        <v>0</v>
      </c>
      <c r="G238" s="102" t="b">
        <v>0</v>
      </c>
    </row>
    <row r="239" spans="1:7" ht="15">
      <c r="A239" s="104" t="s">
        <v>2576</v>
      </c>
      <c r="B239" s="102">
        <v>7</v>
      </c>
      <c r="C239" s="106">
        <v>0.0014290827483301835</v>
      </c>
      <c r="D239" s="102" t="s">
        <v>3369</v>
      </c>
      <c r="E239" s="102" t="b">
        <v>0</v>
      </c>
      <c r="F239" s="102" t="b">
        <v>0</v>
      </c>
      <c r="G239" s="102" t="b">
        <v>0</v>
      </c>
    </row>
    <row r="240" spans="1:7" ht="15">
      <c r="A240" s="104" t="s">
        <v>2577</v>
      </c>
      <c r="B240" s="102">
        <v>7</v>
      </c>
      <c r="C240" s="106">
        <v>0.0014290827483301835</v>
      </c>
      <c r="D240" s="102" t="s">
        <v>3369</v>
      </c>
      <c r="E240" s="102" t="b">
        <v>0</v>
      </c>
      <c r="F240" s="102" t="b">
        <v>0</v>
      </c>
      <c r="G240" s="102" t="b">
        <v>0</v>
      </c>
    </row>
    <row r="241" spans="1:7" ht="15">
      <c r="A241" s="104" t="s">
        <v>2578</v>
      </c>
      <c r="B241" s="102">
        <v>7</v>
      </c>
      <c r="C241" s="106">
        <v>0.0019890266748982923</v>
      </c>
      <c r="D241" s="102" t="s">
        <v>3369</v>
      </c>
      <c r="E241" s="102" t="b">
        <v>0</v>
      </c>
      <c r="F241" s="102" t="b">
        <v>0</v>
      </c>
      <c r="G241" s="102" t="b">
        <v>0</v>
      </c>
    </row>
    <row r="242" spans="1:7" ht="15">
      <c r="A242" s="104" t="s">
        <v>2579</v>
      </c>
      <c r="B242" s="102">
        <v>7</v>
      </c>
      <c r="C242" s="106">
        <v>0.0015067172288813846</v>
      </c>
      <c r="D242" s="102" t="s">
        <v>3369</v>
      </c>
      <c r="E242" s="102" t="b">
        <v>1</v>
      </c>
      <c r="F242" s="102" t="b">
        <v>0</v>
      </c>
      <c r="G242" s="102" t="b">
        <v>0</v>
      </c>
    </row>
    <row r="243" spans="1:7" ht="15">
      <c r="A243" s="104" t="s">
        <v>2580</v>
      </c>
      <c r="B243" s="102">
        <v>7</v>
      </c>
      <c r="C243" s="106">
        <v>0.0015067172288813846</v>
      </c>
      <c r="D243" s="102" t="s">
        <v>3369</v>
      </c>
      <c r="E243" s="102" t="b">
        <v>0</v>
      </c>
      <c r="F243" s="102" t="b">
        <v>0</v>
      </c>
      <c r="G243" s="102" t="b">
        <v>0</v>
      </c>
    </row>
    <row r="244" spans="1:7" ht="15">
      <c r="A244" s="104" t="s">
        <v>2581</v>
      </c>
      <c r="B244" s="102">
        <v>7</v>
      </c>
      <c r="C244" s="106">
        <v>0.0013120197762830715</v>
      </c>
      <c r="D244" s="102" t="s">
        <v>3369</v>
      </c>
      <c r="E244" s="102" t="b">
        <v>0</v>
      </c>
      <c r="F244" s="102" t="b">
        <v>0</v>
      </c>
      <c r="G244" s="102" t="b">
        <v>0</v>
      </c>
    </row>
    <row r="245" spans="1:7" ht="15">
      <c r="A245" s="104" t="s">
        <v>2582</v>
      </c>
      <c r="B245" s="102">
        <v>7</v>
      </c>
      <c r="C245" s="106">
        <v>0.0017478719518898385</v>
      </c>
      <c r="D245" s="102" t="s">
        <v>3369</v>
      </c>
      <c r="E245" s="102" t="b">
        <v>0</v>
      </c>
      <c r="F245" s="102" t="b">
        <v>0</v>
      </c>
      <c r="G245" s="102" t="b">
        <v>0</v>
      </c>
    </row>
    <row r="246" spans="1:7" ht="15">
      <c r="A246" s="104" t="s">
        <v>2583</v>
      </c>
      <c r="B246" s="102">
        <v>7</v>
      </c>
      <c r="C246" s="106">
        <v>0.0019890266748982923</v>
      </c>
      <c r="D246" s="102" t="s">
        <v>3369</v>
      </c>
      <c r="E246" s="102" t="b">
        <v>0</v>
      </c>
      <c r="F246" s="102" t="b">
        <v>0</v>
      </c>
      <c r="G246" s="102" t="b">
        <v>0</v>
      </c>
    </row>
    <row r="247" spans="1:7" ht="15">
      <c r="A247" s="104" t="s">
        <v>2584</v>
      </c>
      <c r="B247" s="102">
        <v>7</v>
      </c>
      <c r="C247" s="106">
        <v>0.0019890266748982923</v>
      </c>
      <c r="D247" s="102" t="s">
        <v>3369</v>
      </c>
      <c r="E247" s="102" t="b">
        <v>0</v>
      </c>
      <c r="F247" s="102" t="b">
        <v>0</v>
      </c>
      <c r="G247" s="102" t="b">
        <v>0</v>
      </c>
    </row>
    <row r="248" spans="1:7" ht="15">
      <c r="A248" s="104" t="s">
        <v>2585</v>
      </c>
      <c r="B248" s="102">
        <v>7</v>
      </c>
      <c r="C248" s="106">
        <v>0.0019890266748982923</v>
      </c>
      <c r="D248" s="102" t="s">
        <v>3369</v>
      </c>
      <c r="E248" s="102" t="b">
        <v>0</v>
      </c>
      <c r="F248" s="102" t="b">
        <v>0</v>
      </c>
      <c r="G248" s="102" t="b">
        <v>0</v>
      </c>
    </row>
    <row r="249" spans="1:7" ht="15">
      <c r="A249" s="104" t="s">
        <v>2586</v>
      </c>
      <c r="B249" s="102">
        <v>6</v>
      </c>
      <c r="C249" s="106">
        <v>0.0012249280699973004</v>
      </c>
      <c r="D249" s="102" t="s">
        <v>3369</v>
      </c>
      <c r="E249" s="102" t="b">
        <v>0</v>
      </c>
      <c r="F249" s="102" t="b">
        <v>0</v>
      </c>
      <c r="G249" s="102" t="b">
        <v>0</v>
      </c>
    </row>
    <row r="250" spans="1:7" ht="15">
      <c r="A250" s="104" t="s">
        <v>2587</v>
      </c>
      <c r="B250" s="102">
        <v>6</v>
      </c>
      <c r="C250" s="106">
        <v>0.0012914719104697584</v>
      </c>
      <c r="D250" s="102" t="s">
        <v>3369</v>
      </c>
      <c r="E250" s="102" t="b">
        <v>0</v>
      </c>
      <c r="F250" s="102" t="b">
        <v>0</v>
      </c>
      <c r="G250" s="102" t="b">
        <v>0</v>
      </c>
    </row>
    <row r="251" spans="1:7" ht="15">
      <c r="A251" s="104" t="s">
        <v>2588</v>
      </c>
      <c r="B251" s="102">
        <v>6</v>
      </c>
      <c r="C251" s="106">
        <v>0.0012249280699973004</v>
      </c>
      <c r="D251" s="102" t="s">
        <v>3369</v>
      </c>
      <c r="E251" s="102" t="b">
        <v>0</v>
      </c>
      <c r="F251" s="102" t="b">
        <v>0</v>
      </c>
      <c r="G251" s="102" t="b">
        <v>0</v>
      </c>
    </row>
    <row r="252" spans="1:7" ht="15">
      <c r="A252" s="104" t="s">
        <v>2589</v>
      </c>
      <c r="B252" s="102">
        <v>6</v>
      </c>
      <c r="C252" s="106">
        <v>0.0017048800070556792</v>
      </c>
      <c r="D252" s="102" t="s">
        <v>3369</v>
      </c>
      <c r="E252" s="102" t="b">
        <v>0</v>
      </c>
      <c r="F252" s="102" t="b">
        <v>0</v>
      </c>
      <c r="G252" s="102" t="b">
        <v>0</v>
      </c>
    </row>
    <row r="253" spans="1:7" ht="15">
      <c r="A253" s="104" t="s">
        <v>2590</v>
      </c>
      <c r="B253" s="102">
        <v>6</v>
      </c>
      <c r="C253" s="106">
        <v>0.0011705577934711217</v>
      </c>
      <c r="D253" s="102" t="s">
        <v>3369</v>
      </c>
      <c r="E253" s="102" t="b">
        <v>0</v>
      </c>
      <c r="F253" s="102" t="b">
        <v>0</v>
      </c>
      <c r="G253" s="102" t="b">
        <v>0</v>
      </c>
    </row>
    <row r="254" spans="1:7" ht="15">
      <c r="A254" s="104" t="s">
        <v>2591</v>
      </c>
      <c r="B254" s="102">
        <v>6</v>
      </c>
      <c r="C254" s="106">
        <v>0.0012914719104697584</v>
      </c>
      <c r="D254" s="102" t="s">
        <v>3369</v>
      </c>
      <c r="E254" s="102" t="b">
        <v>0</v>
      </c>
      <c r="F254" s="102" t="b">
        <v>0</v>
      </c>
      <c r="G254" s="102" t="b">
        <v>0</v>
      </c>
    </row>
    <row r="255" spans="1:7" ht="15">
      <c r="A255" s="104" t="s">
        <v>2592</v>
      </c>
      <c r="B255" s="102">
        <v>6</v>
      </c>
      <c r="C255" s="106">
        <v>0.0012249280699973004</v>
      </c>
      <c r="D255" s="102" t="s">
        <v>3369</v>
      </c>
      <c r="E255" s="102" t="b">
        <v>0</v>
      </c>
      <c r="F255" s="102" t="b">
        <v>0</v>
      </c>
      <c r="G255" s="102" t="b">
        <v>0</v>
      </c>
    </row>
    <row r="256" spans="1:7" ht="15">
      <c r="A256" s="104" t="s">
        <v>2593</v>
      </c>
      <c r="B256" s="102">
        <v>6</v>
      </c>
      <c r="C256" s="106">
        <v>0.0011705577934711217</v>
      </c>
      <c r="D256" s="102" t="s">
        <v>3369</v>
      </c>
      <c r="E256" s="102" t="b">
        <v>0</v>
      </c>
      <c r="F256" s="102" t="b">
        <v>0</v>
      </c>
      <c r="G256" s="102" t="b">
        <v>0</v>
      </c>
    </row>
    <row r="257" spans="1:7" ht="15">
      <c r="A257" s="104" t="s">
        <v>2594</v>
      </c>
      <c r="B257" s="102">
        <v>6</v>
      </c>
      <c r="C257" s="106">
        <v>0.0012249280699973004</v>
      </c>
      <c r="D257" s="102" t="s">
        <v>3369</v>
      </c>
      <c r="E257" s="102" t="b">
        <v>0</v>
      </c>
      <c r="F257" s="102" t="b">
        <v>0</v>
      </c>
      <c r="G257" s="102" t="b">
        <v>0</v>
      </c>
    </row>
    <row r="258" spans="1:7" ht="15">
      <c r="A258" s="104" t="s">
        <v>2595</v>
      </c>
      <c r="B258" s="102">
        <v>6</v>
      </c>
      <c r="C258" s="106">
        <v>0.0014981759587627188</v>
      </c>
      <c r="D258" s="102" t="s">
        <v>3369</v>
      </c>
      <c r="E258" s="102" t="b">
        <v>0</v>
      </c>
      <c r="F258" s="102" t="b">
        <v>0</v>
      </c>
      <c r="G258" s="102" t="b">
        <v>0</v>
      </c>
    </row>
    <row r="259" spans="1:7" ht="15">
      <c r="A259" s="104" t="s">
        <v>2596</v>
      </c>
      <c r="B259" s="102">
        <v>6</v>
      </c>
      <c r="C259" s="106">
        <v>0.0011705577934711217</v>
      </c>
      <c r="D259" s="102" t="s">
        <v>3369</v>
      </c>
      <c r="E259" s="102" t="b">
        <v>0</v>
      </c>
      <c r="F259" s="102" t="b">
        <v>0</v>
      </c>
      <c r="G259" s="102" t="b">
        <v>0</v>
      </c>
    </row>
    <row r="260" spans="1:7" ht="15">
      <c r="A260" s="104" t="s">
        <v>2597</v>
      </c>
      <c r="B260" s="102">
        <v>6</v>
      </c>
      <c r="C260" s="106">
        <v>0.0012249280699973004</v>
      </c>
      <c r="D260" s="102" t="s">
        <v>3369</v>
      </c>
      <c r="E260" s="102" t="b">
        <v>0</v>
      </c>
      <c r="F260" s="102" t="b">
        <v>1</v>
      </c>
      <c r="G260" s="102" t="b">
        <v>0</v>
      </c>
    </row>
    <row r="261" spans="1:7" ht="15">
      <c r="A261" s="104" t="s">
        <v>2598</v>
      </c>
      <c r="B261" s="102">
        <v>6</v>
      </c>
      <c r="C261" s="106">
        <v>0.0011705577934711217</v>
      </c>
      <c r="D261" s="102" t="s">
        <v>3369</v>
      </c>
      <c r="E261" s="102" t="b">
        <v>0</v>
      </c>
      <c r="F261" s="102" t="b">
        <v>0</v>
      </c>
      <c r="G261" s="102" t="b">
        <v>0</v>
      </c>
    </row>
    <row r="262" spans="1:7" ht="15">
      <c r="A262" s="104" t="s">
        <v>2599</v>
      </c>
      <c r="B262" s="102">
        <v>6</v>
      </c>
      <c r="C262" s="106">
        <v>0.0012914719104697584</v>
      </c>
      <c r="D262" s="102" t="s">
        <v>3369</v>
      </c>
      <c r="E262" s="102" t="b">
        <v>0</v>
      </c>
      <c r="F262" s="102" t="b">
        <v>1</v>
      </c>
      <c r="G262" s="102" t="b">
        <v>0</v>
      </c>
    </row>
    <row r="263" spans="1:7" ht="15">
      <c r="A263" s="104" t="s">
        <v>2600</v>
      </c>
      <c r="B263" s="102">
        <v>6</v>
      </c>
      <c r="C263" s="106">
        <v>0.0014981759587627188</v>
      </c>
      <c r="D263" s="102" t="s">
        <v>3369</v>
      </c>
      <c r="E263" s="102" t="b">
        <v>0</v>
      </c>
      <c r="F263" s="102" t="b">
        <v>0</v>
      </c>
      <c r="G263" s="102" t="b">
        <v>0</v>
      </c>
    </row>
    <row r="264" spans="1:7" ht="15">
      <c r="A264" s="104" t="s">
        <v>2601</v>
      </c>
      <c r="B264" s="102">
        <v>6</v>
      </c>
      <c r="C264" s="106">
        <v>0.0011705577934711217</v>
      </c>
      <c r="D264" s="102" t="s">
        <v>3369</v>
      </c>
      <c r="E264" s="102" t="b">
        <v>0</v>
      </c>
      <c r="F264" s="102" t="b">
        <v>0</v>
      </c>
      <c r="G264" s="102" t="b">
        <v>0</v>
      </c>
    </row>
    <row r="265" spans="1:7" ht="15">
      <c r="A265" s="104" t="s">
        <v>2602</v>
      </c>
      <c r="B265" s="102">
        <v>6</v>
      </c>
      <c r="C265" s="106">
        <v>0.0012249280699973004</v>
      </c>
      <c r="D265" s="102" t="s">
        <v>3369</v>
      </c>
      <c r="E265" s="102" t="b">
        <v>0</v>
      </c>
      <c r="F265" s="102" t="b">
        <v>0</v>
      </c>
      <c r="G265" s="102" t="b">
        <v>0</v>
      </c>
    </row>
    <row r="266" spans="1:7" ht="15">
      <c r="A266" s="104" t="s">
        <v>2603</v>
      </c>
      <c r="B266" s="102">
        <v>6</v>
      </c>
      <c r="C266" s="106">
        <v>0.0013772618417640821</v>
      </c>
      <c r="D266" s="102" t="s">
        <v>3369</v>
      </c>
      <c r="E266" s="102" t="b">
        <v>0</v>
      </c>
      <c r="F266" s="102" t="b">
        <v>0</v>
      </c>
      <c r="G266" s="102" t="b">
        <v>0</v>
      </c>
    </row>
    <row r="267" spans="1:7" ht="15">
      <c r="A267" s="104" t="s">
        <v>2604</v>
      </c>
      <c r="B267" s="102">
        <v>6</v>
      </c>
      <c r="C267" s="106">
        <v>0.0014981759587627188</v>
      </c>
      <c r="D267" s="102" t="s">
        <v>3369</v>
      </c>
      <c r="E267" s="102" t="b">
        <v>0</v>
      </c>
      <c r="F267" s="102" t="b">
        <v>0</v>
      </c>
      <c r="G267" s="102" t="b">
        <v>0</v>
      </c>
    </row>
    <row r="268" spans="1:7" ht="15">
      <c r="A268" s="104" t="s">
        <v>2605</v>
      </c>
      <c r="B268" s="102">
        <v>6</v>
      </c>
      <c r="C268" s="106">
        <v>0.0014981759587627188</v>
      </c>
      <c r="D268" s="102" t="s">
        <v>3369</v>
      </c>
      <c r="E268" s="102" t="b">
        <v>0</v>
      </c>
      <c r="F268" s="102" t="b">
        <v>0</v>
      </c>
      <c r="G268" s="102" t="b">
        <v>0</v>
      </c>
    </row>
    <row r="269" spans="1:7" ht="15">
      <c r="A269" s="104" t="s">
        <v>2606</v>
      </c>
      <c r="B269" s="102">
        <v>6</v>
      </c>
      <c r="C269" s="106">
        <v>0.0012249280699973004</v>
      </c>
      <c r="D269" s="102" t="s">
        <v>3369</v>
      </c>
      <c r="E269" s="102" t="b">
        <v>0</v>
      </c>
      <c r="F269" s="102" t="b">
        <v>1</v>
      </c>
      <c r="G269" s="102" t="b">
        <v>0</v>
      </c>
    </row>
    <row r="270" spans="1:7" ht="15">
      <c r="A270" s="104" t="s">
        <v>2607</v>
      </c>
      <c r="B270" s="102">
        <v>6</v>
      </c>
      <c r="C270" s="106">
        <v>0.0014981759587627188</v>
      </c>
      <c r="D270" s="102" t="s">
        <v>3369</v>
      </c>
      <c r="E270" s="102" t="b">
        <v>0</v>
      </c>
      <c r="F270" s="102" t="b">
        <v>0</v>
      </c>
      <c r="G270" s="102" t="b">
        <v>0</v>
      </c>
    </row>
    <row r="271" spans="1:7" ht="15">
      <c r="A271" s="104" t="s">
        <v>2608</v>
      </c>
      <c r="B271" s="102">
        <v>6</v>
      </c>
      <c r="C271" s="106">
        <v>0.0014981759587627188</v>
      </c>
      <c r="D271" s="102" t="s">
        <v>3369</v>
      </c>
      <c r="E271" s="102" t="b">
        <v>0</v>
      </c>
      <c r="F271" s="102" t="b">
        <v>0</v>
      </c>
      <c r="G271" s="102" t="b">
        <v>0</v>
      </c>
    </row>
    <row r="272" spans="1:7" ht="15">
      <c r="A272" s="104" t="s">
        <v>2609</v>
      </c>
      <c r="B272" s="102">
        <v>6</v>
      </c>
      <c r="C272" s="106">
        <v>0.0012249280699973004</v>
      </c>
      <c r="D272" s="102" t="s">
        <v>3369</v>
      </c>
      <c r="E272" s="102" t="b">
        <v>0</v>
      </c>
      <c r="F272" s="102" t="b">
        <v>0</v>
      </c>
      <c r="G272" s="102" t="b">
        <v>0</v>
      </c>
    </row>
    <row r="273" spans="1:7" ht="15">
      <c r="A273" s="104" t="s">
        <v>2610</v>
      </c>
      <c r="B273" s="102">
        <v>6</v>
      </c>
      <c r="C273" s="106">
        <v>0.0012914719104697584</v>
      </c>
      <c r="D273" s="102" t="s">
        <v>3369</v>
      </c>
      <c r="E273" s="102" t="b">
        <v>0</v>
      </c>
      <c r="F273" s="102" t="b">
        <v>0</v>
      </c>
      <c r="G273" s="102" t="b">
        <v>0</v>
      </c>
    </row>
    <row r="274" spans="1:7" ht="15">
      <c r="A274" s="104" t="s">
        <v>2611</v>
      </c>
      <c r="B274" s="102">
        <v>6</v>
      </c>
      <c r="C274" s="106">
        <v>0.0012914719104697584</v>
      </c>
      <c r="D274" s="102" t="s">
        <v>3369</v>
      </c>
      <c r="E274" s="102" t="b">
        <v>0</v>
      </c>
      <c r="F274" s="102" t="b">
        <v>1</v>
      </c>
      <c r="G274" s="102" t="b">
        <v>0</v>
      </c>
    </row>
    <row r="275" spans="1:7" ht="15">
      <c r="A275" s="104" t="s">
        <v>2612</v>
      </c>
      <c r="B275" s="102">
        <v>6</v>
      </c>
      <c r="C275" s="106">
        <v>0.0014981759587627188</v>
      </c>
      <c r="D275" s="102" t="s">
        <v>3369</v>
      </c>
      <c r="E275" s="102" t="b">
        <v>0</v>
      </c>
      <c r="F275" s="102" t="b">
        <v>0</v>
      </c>
      <c r="G275" s="102" t="b">
        <v>0</v>
      </c>
    </row>
    <row r="276" spans="1:7" ht="15">
      <c r="A276" s="104" t="s">
        <v>2613</v>
      </c>
      <c r="B276" s="102">
        <v>6</v>
      </c>
      <c r="C276" s="106">
        <v>0.0012249280699973004</v>
      </c>
      <c r="D276" s="102" t="s">
        <v>3369</v>
      </c>
      <c r="E276" s="102" t="b">
        <v>1</v>
      </c>
      <c r="F276" s="102" t="b">
        <v>0</v>
      </c>
      <c r="G276" s="102" t="b">
        <v>0</v>
      </c>
    </row>
    <row r="277" spans="1:7" ht="15">
      <c r="A277" s="104" t="s">
        <v>2614</v>
      </c>
      <c r="B277" s="102">
        <v>6</v>
      </c>
      <c r="C277" s="106">
        <v>0.0017048800070556792</v>
      </c>
      <c r="D277" s="102" t="s">
        <v>3369</v>
      </c>
      <c r="E277" s="102" t="b">
        <v>0</v>
      </c>
      <c r="F277" s="102" t="b">
        <v>0</v>
      </c>
      <c r="G277" s="102" t="b">
        <v>0</v>
      </c>
    </row>
    <row r="278" spans="1:7" ht="15">
      <c r="A278" s="104" t="s">
        <v>2615</v>
      </c>
      <c r="B278" s="102">
        <v>6</v>
      </c>
      <c r="C278" s="106">
        <v>0.0011705577934711217</v>
      </c>
      <c r="D278" s="102" t="s">
        <v>3369</v>
      </c>
      <c r="E278" s="102" t="b">
        <v>0</v>
      </c>
      <c r="F278" s="102" t="b">
        <v>0</v>
      </c>
      <c r="G278" s="102" t="b">
        <v>0</v>
      </c>
    </row>
    <row r="279" spans="1:7" ht="15">
      <c r="A279" s="104" t="s">
        <v>2616</v>
      </c>
      <c r="B279" s="102">
        <v>6</v>
      </c>
      <c r="C279" s="106">
        <v>0.0012249280699973004</v>
      </c>
      <c r="D279" s="102" t="s">
        <v>3369</v>
      </c>
      <c r="E279" s="102" t="b">
        <v>0</v>
      </c>
      <c r="F279" s="102" t="b">
        <v>0</v>
      </c>
      <c r="G279" s="102" t="b">
        <v>0</v>
      </c>
    </row>
    <row r="280" spans="1:7" ht="15">
      <c r="A280" s="104" t="s">
        <v>2617</v>
      </c>
      <c r="B280" s="102">
        <v>6</v>
      </c>
      <c r="C280" s="106">
        <v>0.0011705577934711217</v>
      </c>
      <c r="D280" s="102" t="s">
        <v>3369</v>
      </c>
      <c r="E280" s="102" t="b">
        <v>0</v>
      </c>
      <c r="F280" s="102" t="b">
        <v>0</v>
      </c>
      <c r="G280" s="102" t="b">
        <v>0</v>
      </c>
    </row>
    <row r="281" spans="1:7" ht="15">
      <c r="A281" s="104" t="s">
        <v>2618</v>
      </c>
      <c r="B281" s="102">
        <v>6</v>
      </c>
      <c r="C281" s="106">
        <v>0.0012249280699973004</v>
      </c>
      <c r="D281" s="102" t="s">
        <v>3369</v>
      </c>
      <c r="E281" s="102" t="b">
        <v>0</v>
      </c>
      <c r="F281" s="102" t="b">
        <v>0</v>
      </c>
      <c r="G281" s="102" t="b">
        <v>0</v>
      </c>
    </row>
    <row r="282" spans="1:7" ht="15">
      <c r="A282" s="104" t="s">
        <v>2619</v>
      </c>
      <c r="B282" s="102">
        <v>6</v>
      </c>
      <c r="C282" s="106">
        <v>0.0017048800070556792</v>
      </c>
      <c r="D282" s="102" t="s">
        <v>3369</v>
      </c>
      <c r="E282" s="102" t="b">
        <v>0</v>
      </c>
      <c r="F282" s="102" t="b">
        <v>0</v>
      </c>
      <c r="G282" s="102" t="b">
        <v>0</v>
      </c>
    </row>
    <row r="283" spans="1:7" ht="15">
      <c r="A283" s="104" t="s">
        <v>2620</v>
      </c>
      <c r="B283" s="102">
        <v>6</v>
      </c>
      <c r="C283" s="106">
        <v>0.0012914719104697584</v>
      </c>
      <c r="D283" s="102" t="s">
        <v>3369</v>
      </c>
      <c r="E283" s="102" t="b">
        <v>0</v>
      </c>
      <c r="F283" s="102" t="b">
        <v>0</v>
      </c>
      <c r="G283" s="102" t="b">
        <v>0</v>
      </c>
    </row>
    <row r="284" spans="1:7" ht="15">
      <c r="A284" s="104" t="s">
        <v>2621</v>
      </c>
      <c r="B284" s="102">
        <v>6</v>
      </c>
      <c r="C284" s="106">
        <v>0.0013772618417640821</v>
      </c>
      <c r="D284" s="102" t="s">
        <v>3369</v>
      </c>
      <c r="E284" s="102" t="b">
        <v>0</v>
      </c>
      <c r="F284" s="102" t="b">
        <v>0</v>
      </c>
      <c r="G284" s="102" t="b">
        <v>0</v>
      </c>
    </row>
    <row r="285" spans="1:7" ht="15">
      <c r="A285" s="104" t="s">
        <v>2622</v>
      </c>
      <c r="B285" s="102">
        <v>6</v>
      </c>
      <c r="C285" s="106">
        <v>0.0017048800070556792</v>
      </c>
      <c r="D285" s="102" t="s">
        <v>3369</v>
      </c>
      <c r="E285" s="102" t="b">
        <v>0</v>
      </c>
      <c r="F285" s="102" t="b">
        <v>0</v>
      </c>
      <c r="G285" s="102" t="b">
        <v>0</v>
      </c>
    </row>
    <row r="286" spans="1:7" ht="15">
      <c r="A286" s="104" t="s">
        <v>2623</v>
      </c>
      <c r="B286" s="102">
        <v>6</v>
      </c>
      <c r="C286" s="106">
        <v>0.0017048800070556792</v>
      </c>
      <c r="D286" s="102" t="s">
        <v>3369</v>
      </c>
      <c r="E286" s="102" t="b">
        <v>0</v>
      </c>
      <c r="F286" s="102" t="b">
        <v>0</v>
      </c>
      <c r="G286" s="102" t="b">
        <v>0</v>
      </c>
    </row>
    <row r="287" spans="1:7" ht="15">
      <c r="A287" s="104" t="s">
        <v>2624</v>
      </c>
      <c r="B287" s="102">
        <v>6</v>
      </c>
      <c r="C287" s="106">
        <v>0.0014981759587627188</v>
      </c>
      <c r="D287" s="102" t="s">
        <v>3369</v>
      </c>
      <c r="E287" s="102" t="b">
        <v>0</v>
      </c>
      <c r="F287" s="102" t="b">
        <v>0</v>
      </c>
      <c r="G287" s="102" t="b">
        <v>0</v>
      </c>
    </row>
    <row r="288" spans="1:7" ht="15">
      <c r="A288" s="104" t="s">
        <v>2625</v>
      </c>
      <c r="B288" s="102">
        <v>6</v>
      </c>
      <c r="C288" s="106">
        <v>0.0017048800070556792</v>
      </c>
      <c r="D288" s="102" t="s">
        <v>3369</v>
      </c>
      <c r="E288" s="102" t="b">
        <v>0</v>
      </c>
      <c r="F288" s="102" t="b">
        <v>0</v>
      </c>
      <c r="G288" s="102" t="b">
        <v>0</v>
      </c>
    </row>
    <row r="289" spans="1:7" ht="15">
      <c r="A289" s="104" t="s">
        <v>2626</v>
      </c>
      <c r="B289" s="102">
        <v>6</v>
      </c>
      <c r="C289" s="106">
        <v>0.0013772618417640821</v>
      </c>
      <c r="D289" s="102" t="s">
        <v>3369</v>
      </c>
      <c r="E289" s="102" t="b">
        <v>0</v>
      </c>
      <c r="F289" s="102" t="b">
        <v>0</v>
      </c>
      <c r="G289" s="102" t="b">
        <v>0</v>
      </c>
    </row>
    <row r="290" spans="1:7" ht="15">
      <c r="A290" s="104" t="s">
        <v>2627</v>
      </c>
      <c r="B290" s="102">
        <v>6</v>
      </c>
      <c r="C290" s="106">
        <v>0.0014981759587627188</v>
      </c>
      <c r="D290" s="102" t="s">
        <v>3369</v>
      </c>
      <c r="E290" s="102" t="b">
        <v>0</v>
      </c>
      <c r="F290" s="102" t="b">
        <v>0</v>
      </c>
      <c r="G290" s="102" t="b">
        <v>0</v>
      </c>
    </row>
    <row r="291" spans="1:7" ht="15">
      <c r="A291" s="104" t="s">
        <v>2628</v>
      </c>
      <c r="B291" s="102">
        <v>6</v>
      </c>
      <c r="C291" s="106">
        <v>0.0017048800070556792</v>
      </c>
      <c r="D291" s="102" t="s">
        <v>3369</v>
      </c>
      <c r="E291" s="102" t="b">
        <v>0</v>
      </c>
      <c r="F291" s="102" t="b">
        <v>0</v>
      </c>
      <c r="G291" s="102" t="b">
        <v>0</v>
      </c>
    </row>
    <row r="292" spans="1:7" ht="15">
      <c r="A292" s="104" t="s">
        <v>2629</v>
      </c>
      <c r="B292" s="102">
        <v>6</v>
      </c>
      <c r="C292" s="106">
        <v>0.0017048800070556792</v>
      </c>
      <c r="D292" s="102" t="s">
        <v>3369</v>
      </c>
      <c r="E292" s="102" t="b">
        <v>0</v>
      </c>
      <c r="F292" s="102" t="b">
        <v>0</v>
      </c>
      <c r="G292" s="102" t="b">
        <v>0</v>
      </c>
    </row>
    <row r="293" spans="1:7" ht="15">
      <c r="A293" s="104" t="s">
        <v>2630</v>
      </c>
      <c r="B293" s="102">
        <v>6</v>
      </c>
      <c r="C293" s="106">
        <v>0.0013772618417640821</v>
      </c>
      <c r="D293" s="102" t="s">
        <v>3369</v>
      </c>
      <c r="E293" s="102" t="b">
        <v>0</v>
      </c>
      <c r="F293" s="102" t="b">
        <v>0</v>
      </c>
      <c r="G293" s="102" t="b">
        <v>0</v>
      </c>
    </row>
    <row r="294" spans="1:7" ht="15">
      <c r="A294" s="104" t="s">
        <v>2631</v>
      </c>
      <c r="B294" s="102">
        <v>6</v>
      </c>
      <c r="C294" s="106">
        <v>0.0014981759587627188</v>
      </c>
      <c r="D294" s="102" t="s">
        <v>3369</v>
      </c>
      <c r="E294" s="102" t="b">
        <v>0</v>
      </c>
      <c r="F294" s="102" t="b">
        <v>0</v>
      </c>
      <c r="G294" s="102" t="b">
        <v>0</v>
      </c>
    </row>
    <row r="295" spans="1:7" ht="15">
      <c r="A295" s="104" t="s">
        <v>2632</v>
      </c>
      <c r="B295" s="102">
        <v>5</v>
      </c>
      <c r="C295" s="106">
        <v>0.0011477182014700683</v>
      </c>
      <c r="D295" s="102" t="s">
        <v>3369</v>
      </c>
      <c r="E295" s="102" t="b">
        <v>0</v>
      </c>
      <c r="F295" s="102" t="b">
        <v>0</v>
      </c>
      <c r="G295" s="102" t="b">
        <v>0</v>
      </c>
    </row>
    <row r="296" spans="1:7" ht="15">
      <c r="A296" s="104" t="s">
        <v>2633</v>
      </c>
      <c r="B296" s="102">
        <v>5</v>
      </c>
      <c r="C296" s="106">
        <v>0.001076226592058132</v>
      </c>
      <c r="D296" s="102" t="s">
        <v>3369</v>
      </c>
      <c r="E296" s="102" t="b">
        <v>0</v>
      </c>
      <c r="F296" s="102" t="b">
        <v>0</v>
      </c>
      <c r="G296" s="102" t="b">
        <v>0</v>
      </c>
    </row>
    <row r="297" spans="1:7" ht="15">
      <c r="A297" s="104" t="s">
        <v>2634</v>
      </c>
      <c r="B297" s="102">
        <v>5</v>
      </c>
      <c r="C297" s="106">
        <v>0.001076226592058132</v>
      </c>
      <c r="D297" s="102" t="s">
        <v>3369</v>
      </c>
      <c r="E297" s="102" t="b">
        <v>0</v>
      </c>
      <c r="F297" s="102" t="b">
        <v>0</v>
      </c>
      <c r="G297" s="102" t="b">
        <v>0</v>
      </c>
    </row>
    <row r="298" spans="1:7" ht="15">
      <c r="A298" s="104" t="s">
        <v>2635</v>
      </c>
      <c r="B298" s="102">
        <v>5</v>
      </c>
      <c r="C298" s="106">
        <v>0.001076226592058132</v>
      </c>
      <c r="D298" s="102" t="s">
        <v>3369</v>
      </c>
      <c r="E298" s="102" t="b">
        <v>0</v>
      </c>
      <c r="F298" s="102" t="b">
        <v>0</v>
      </c>
      <c r="G298" s="102" t="b">
        <v>0</v>
      </c>
    </row>
    <row r="299" spans="1:7" ht="15">
      <c r="A299" s="104" t="s">
        <v>2636</v>
      </c>
      <c r="B299" s="102">
        <v>5</v>
      </c>
      <c r="C299" s="106">
        <v>0.0012484799656355989</v>
      </c>
      <c r="D299" s="102" t="s">
        <v>3369</v>
      </c>
      <c r="E299" s="102" t="b">
        <v>0</v>
      </c>
      <c r="F299" s="102" t="b">
        <v>0</v>
      </c>
      <c r="G299" s="102" t="b">
        <v>0</v>
      </c>
    </row>
    <row r="300" spans="1:7" ht="15">
      <c r="A300" s="104" t="s">
        <v>2637</v>
      </c>
      <c r="B300" s="102">
        <v>5</v>
      </c>
      <c r="C300" s="106">
        <v>0.0010207733916644168</v>
      </c>
      <c r="D300" s="102" t="s">
        <v>3369</v>
      </c>
      <c r="E300" s="102" t="b">
        <v>0</v>
      </c>
      <c r="F300" s="102" t="b">
        <v>0</v>
      </c>
      <c r="G300" s="102" t="b">
        <v>0</v>
      </c>
    </row>
    <row r="301" spans="1:7" ht="15">
      <c r="A301" s="104" t="s">
        <v>2638</v>
      </c>
      <c r="B301" s="102">
        <v>5</v>
      </c>
      <c r="C301" s="106">
        <v>0.0011477182014700683</v>
      </c>
      <c r="D301" s="102" t="s">
        <v>3369</v>
      </c>
      <c r="E301" s="102" t="b">
        <v>0</v>
      </c>
      <c r="F301" s="102" t="b">
        <v>0</v>
      </c>
      <c r="G301" s="102" t="b">
        <v>0</v>
      </c>
    </row>
    <row r="302" spans="1:7" ht="15">
      <c r="A302" s="104" t="s">
        <v>2639</v>
      </c>
      <c r="B302" s="102">
        <v>5</v>
      </c>
      <c r="C302" s="106">
        <v>0.001076226592058132</v>
      </c>
      <c r="D302" s="102" t="s">
        <v>3369</v>
      </c>
      <c r="E302" s="102" t="b">
        <v>0</v>
      </c>
      <c r="F302" s="102" t="b">
        <v>0</v>
      </c>
      <c r="G302" s="102" t="b">
        <v>0</v>
      </c>
    </row>
    <row r="303" spans="1:7" ht="15">
      <c r="A303" s="104" t="s">
        <v>2640</v>
      </c>
      <c r="B303" s="102">
        <v>5</v>
      </c>
      <c r="C303" s="106">
        <v>0.0014207333392130658</v>
      </c>
      <c r="D303" s="102" t="s">
        <v>3369</v>
      </c>
      <c r="E303" s="102" t="b">
        <v>0</v>
      </c>
      <c r="F303" s="102" t="b">
        <v>0</v>
      </c>
      <c r="G303" s="102" t="b">
        <v>0</v>
      </c>
    </row>
    <row r="304" spans="1:7" ht="15">
      <c r="A304" s="104" t="s">
        <v>2641</v>
      </c>
      <c r="B304" s="102">
        <v>5</v>
      </c>
      <c r="C304" s="106">
        <v>0.0014207333392130658</v>
      </c>
      <c r="D304" s="102" t="s">
        <v>3369</v>
      </c>
      <c r="E304" s="102" t="b">
        <v>0</v>
      </c>
      <c r="F304" s="102" t="b">
        <v>0</v>
      </c>
      <c r="G304" s="102" t="b">
        <v>0</v>
      </c>
    </row>
    <row r="305" spans="1:7" ht="15">
      <c r="A305" s="104" t="s">
        <v>2642</v>
      </c>
      <c r="B305" s="102">
        <v>5</v>
      </c>
      <c r="C305" s="106">
        <v>0.0014207333392130658</v>
      </c>
      <c r="D305" s="102" t="s">
        <v>3369</v>
      </c>
      <c r="E305" s="102" t="b">
        <v>0</v>
      </c>
      <c r="F305" s="102" t="b">
        <v>0</v>
      </c>
      <c r="G305" s="102" t="b">
        <v>0</v>
      </c>
    </row>
    <row r="306" spans="1:7" ht="15">
      <c r="A306" s="104" t="s">
        <v>2643</v>
      </c>
      <c r="B306" s="102">
        <v>5</v>
      </c>
      <c r="C306" s="106">
        <v>0.0010207733916644168</v>
      </c>
      <c r="D306" s="102" t="s">
        <v>3369</v>
      </c>
      <c r="E306" s="102" t="b">
        <v>0</v>
      </c>
      <c r="F306" s="102" t="b">
        <v>0</v>
      </c>
      <c r="G306" s="102" t="b">
        <v>0</v>
      </c>
    </row>
    <row r="307" spans="1:7" ht="15">
      <c r="A307" s="104" t="s">
        <v>2644</v>
      </c>
      <c r="B307" s="102">
        <v>5</v>
      </c>
      <c r="C307" s="106">
        <v>0.0010207733916644168</v>
      </c>
      <c r="D307" s="102" t="s">
        <v>3369</v>
      </c>
      <c r="E307" s="102" t="b">
        <v>0</v>
      </c>
      <c r="F307" s="102" t="b">
        <v>0</v>
      </c>
      <c r="G307" s="102" t="b">
        <v>0</v>
      </c>
    </row>
    <row r="308" spans="1:7" ht="15">
      <c r="A308" s="104" t="s">
        <v>2645</v>
      </c>
      <c r="B308" s="102">
        <v>5</v>
      </c>
      <c r="C308" s="106">
        <v>0.0010207733916644168</v>
      </c>
      <c r="D308" s="102" t="s">
        <v>3369</v>
      </c>
      <c r="E308" s="102" t="b">
        <v>0</v>
      </c>
      <c r="F308" s="102" t="b">
        <v>0</v>
      </c>
      <c r="G308" s="102" t="b">
        <v>0</v>
      </c>
    </row>
    <row r="309" spans="1:7" ht="15">
      <c r="A309" s="104" t="s">
        <v>2646</v>
      </c>
      <c r="B309" s="102">
        <v>5</v>
      </c>
      <c r="C309" s="106">
        <v>0.0010207733916644168</v>
      </c>
      <c r="D309" s="102" t="s">
        <v>3369</v>
      </c>
      <c r="E309" s="102" t="b">
        <v>0</v>
      </c>
      <c r="F309" s="102" t="b">
        <v>0</v>
      </c>
      <c r="G309" s="102" t="b">
        <v>0</v>
      </c>
    </row>
    <row r="310" spans="1:7" ht="15">
      <c r="A310" s="104" t="s">
        <v>2647</v>
      </c>
      <c r="B310" s="102">
        <v>5</v>
      </c>
      <c r="C310" s="106">
        <v>0.001076226592058132</v>
      </c>
      <c r="D310" s="102" t="s">
        <v>3369</v>
      </c>
      <c r="E310" s="102" t="b">
        <v>0</v>
      </c>
      <c r="F310" s="102" t="b">
        <v>0</v>
      </c>
      <c r="G310" s="102" t="b">
        <v>0</v>
      </c>
    </row>
    <row r="311" spans="1:7" ht="15">
      <c r="A311" s="104" t="s">
        <v>2648</v>
      </c>
      <c r="B311" s="102">
        <v>5</v>
      </c>
      <c r="C311" s="106">
        <v>0.001076226592058132</v>
      </c>
      <c r="D311" s="102" t="s">
        <v>3369</v>
      </c>
      <c r="E311" s="102" t="b">
        <v>0</v>
      </c>
      <c r="F311" s="102" t="b">
        <v>0</v>
      </c>
      <c r="G311" s="102" t="b">
        <v>0</v>
      </c>
    </row>
    <row r="312" spans="1:7" ht="15">
      <c r="A312" s="104" t="s">
        <v>2649</v>
      </c>
      <c r="B312" s="102">
        <v>5</v>
      </c>
      <c r="C312" s="106">
        <v>0.0011477182014700683</v>
      </c>
      <c r="D312" s="102" t="s">
        <v>3369</v>
      </c>
      <c r="E312" s="102" t="b">
        <v>0</v>
      </c>
      <c r="F312" s="102" t="b">
        <v>0</v>
      </c>
      <c r="G312" s="102" t="b">
        <v>0</v>
      </c>
    </row>
    <row r="313" spans="1:7" ht="15">
      <c r="A313" s="104" t="s">
        <v>2650</v>
      </c>
      <c r="B313" s="102">
        <v>5</v>
      </c>
      <c r="C313" s="106">
        <v>0.0011477182014700683</v>
      </c>
      <c r="D313" s="102" t="s">
        <v>3369</v>
      </c>
      <c r="E313" s="102" t="b">
        <v>0</v>
      </c>
      <c r="F313" s="102" t="b">
        <v>0</v>
      </c>
      <c r="G313" s="102" t="b">
        <v>0</v>
      </c>
    </row>
    <row r="314" spans="1:7" ht="15">
      <c r="A314" s="104" t="s">
        <v>2651</v>
      </c>
      <c r="B314" s="102">
        <v>5</v>
      </c>
      <c r="C314" s="106">
        <v>0.001076226592058132</v>
      </c>
      <c r="D314" s="102" t="s">
        <v>3369</v>
      </c>
      <c r="E314" s="102" t="b">
        <v>0</v>
      </c>
      <c r="F314" s="102" t="b">
        <v>0</v>
      </c>
      <c r="G314" s="102" t="b">
        <v>0</v>
      </c>
    </row>
    <row r="315" spans="1:7" ht="15">
      <c r="A315" s="104" t="s">
        <v>2652</v>
      </c>
      <c r="B315" s="102">
        <v>5</v>
      </c>
      <c r="C315" s="106">
        <v>0.0010207733916644168</v>
      </c>
      <c r="D315" s="102" t="s">
        <v>3369</v>
      </c>
      <c r="E315" s="102" t="b">
        <v>0</v>
      </c>
      <c r="F315" s="102" t="b">
        <v>0</v>
      </c>
      <c r="G315" s="102" t="b">
        <v>0</v>
      </c>
    </row>
    <row r="316" spans="1:7" ht="15">
      <c r="A316" s="104" t="s">
        <v>2653</v>
      </c>
      <c r="B316" s="102">
        <v>5</v>
      </c>
      <c r="C316" s="106">
        <v>0.0014207333392130658</v>
      </c>
      <c r="D316" s="102" t="s">
        <v>3369</v>
      </c>
      <c r="E316" s="102" t="b">
        <v>0</v>
      </c>
      <c r="F316" s="102" t="b">
        <v>0</v>
      </c>
      <c r="G316" s="102" t="b">
        <v>0</v>
      </c>
    </row>
    <row r="317" spans="1:7" ht="15">
      <c r="A317" s="104" t="s">
        <v>2654</v>
      </c>
      <c r="B317" s="102">
        <v>5</v>
      </c>
      <c r="C317" s="106">
        <v>0.0011477182014700683</v>
      </c>
      <c r="D317" s="102" t="s">
        <v>3369</v>
      </c>
      <c r="E317" s="102" t="b">
        <v>0</v>
      </c>
      <c r="F317" s="102" t="b">
        <v>0</v>
      </c>
      <c r="G317" s="102" t="b">
        <v>0</v>
      </c>
    </row>
    <row r="318" spans="1:7" ht="15">
      <c r="A318" s="104" t="s">
        <v>2655</v>
      </c>
      <c r="B318" s="102">
        <v>5</v>
      </c>
      <c r="C318" s="106">
        <v>0.0014207333392130658</v>
      </c>
      <c r="D318" s="102" t="s">
        <v>3369</v>
      </c>
      <c r="E318" s="102" t="b">
        <v>0</v>
      </c>
      <c r="F318" s="102" t="b">
        <v>0</v>
      </c>
      <c r="G318" s="102" t="b">
        <v>0</v>
      </c>
    </row>
    <row r="319" spans="1:7" ht="15">
      <c r="A319" s="104" t="s">
        <v>2656</v>
      </c>
      <c r="B319" s="102">
        <v>5</v>
      </c>
      <c r="C319" s="106">
        <v>0.0012484799656355989</v>
      </c>
      <c r="D319" s="102" t="s">
        <v>3369</v>
      </c>
      <c r="E319" s="102" t="b">
        <v>0</v>
      </c>
      <c r="F319" s="102" t="b">
        <v>0</v>
      </c>
      <c r="G319" s="102" t="b">
        <v>0</v>
      </c>
    </row>
    <row r="320" spans="1:7" ht="15">
      <c r="A320" s="104" t="s">
        <v>2657</v>
      </c>
      <c r="B320" s="102">
        <v>5</v>
      </c>
      <c r="C320" s="106">
        <v>0.0010207733916644168</v>
      </c>
      <c r="D320" s="102" t="s">
        <v>3369</v>
      </c>
      <c r="E320" s="102" t="b">
        <v>0</v>
      </c>
      <c r="F320" s="102" t="b">
        <v>0</v>
      </c>
      <c r="G320" s="102" t="b">
        <v>0</v>
      </c>
    </row>
    <row r="321" spans="1:7" ht="15">
      <c r="A321" s="104" t="s">
        <v>2658</v>
      </c>
      <c r="B321" s="102">
        <v>5</v>
      </c>
      <c r="C321" s="106">
        <v>0.001076226592058132</v>
      </c>
      <c r="D321" s="102" t="s">
        <v>3369</v>
      </c>
      <c r="E321" s="102" t="b">
        <v>0</v>
      </c>
      <c r="F321" s="102" t="b">
        <v>0</v>
      </c>
      <c r="G321" s="102" t="b">
        <v>0</v>
      </c>
    </row>
    <row r="322" spans="1:7" ht="15">
      <c r="A322" s="104" t="s">
        <v>2659</v>
      </c>
      <c r="B322" s="102">
        <v>5</v>
      </c>
      <c r="C322" s="106">
        <v>0.0014207333392130658</v>
      </c>
      <c r="D322" s="102" t="s">
        <v>3369</v>
      </c>
      <c r="E322" s="102" t="b">
        <v>0</v>
      </c>
      <c r="F322" s="102" t="b">
        <v>0</v>
      </c>
      <c r="G322" s="102" t="b">
        <v>0</v>
      </c>
    </row>
    <row r="323" spans="1:7" ht="15">
      <c r="A323" s="104" t="s">
        <v>2660</v>
      </c>
      <c r="B323" s="102">
        <v>5</v>
      </c>
      <c r="C323" s="106">
        <v>0.0014207333392130658</v>
      </c>
      <c r="D323" s="102" t="s">
        <v>3369</v>
      </c>
      <c r="E323" s="102" t="b">
        <v>0</v>
      </c>
      <c r="F323" s="102" t="b">
        <v>0</v>
      </c>
      <c r="G323" s="102" t="b">
        <v>0</v>
      </c>
    </row>
    <row r="324" spans="1:7" ht="15">
      <c r="A324" s="104" t="s">
        <v>2661</v>
      </c>
      <c r="B324" s="102">
        <v>5</v>
      </c>
      <c r="C324" s="106">
        <v>0.0014207333392130658</v>
      </c>
      <c r="D324" s="102" t="s">
        <v>3369</v>
      </c>
      <c r="E324" s="102" t="b">
        <v>0</v>
      </c>
      <c r="F324" s="102" t="b">
        <v>0</v>
      </c>
      <c r="G324" s="102" t="b">
        <v>0</v>
      </c>
    </row>
    <row r="325" spans="1:7" ht="15">
      <c r="A325" s="104" t="s">
        <v>2662</v>
      </c>
      <c r="B325" s="102">
        <v>5</v>
      </c>
      <c r="C325" s="106">
        <v>0.0014207333392130658</v>
      </c>
      <c r="D325" s="102" t="s">
        <v>3369</v>
      </c>
      <c r="E325" s="102" t="b">
        <v>0</v>
      </c>
      <c r="F325" s="102" t="b">
        <v>0</v>
      </c>
      <c r="G325" s="102" t="b">
        <v>0</v>
      </c>
    </row>
    <row r="326" spans="1:7" ht="15">
      <c r="A326" s="104" t="s">
        <v>2663</v>
      </c>
      <c r="B326" s="102">
        <v>5</v>
      </c>
      <c r="C326" s="106">
        <v>0.0012484799656355989</v>
      </c>
      <c r="D326" s="102" t="s">
        <v>3369</v>
      </c>
      <c r="E326" s="102" t="b">
        <v>0</v>
      </c>
      <c r="F326" s="102" t="b">
        <v>0</v>
      </c>
      <c r="G326" s="102" t="b">
        <v>0</v>
      </c>
    </row>
    <row r="327" spans="1:7" ht="15">
      <c r="A327" s="104" t="s">
        <v>2664</v>
      </c>
      <c r="B327" s="102">
        <v>5</v>
      </c>
      <c r="C327" s="106">
        <v>0.0011477182014700683</v>
      </c>
      <c r="D327" s="102" t="s">
        <v>3369</v>
      </c>
      <c r="E327" s="102" t="b">
        <v>0</v>
      </c>
      <c r="F327" s="102" t="b">
        <v>1</v>
      </c>
      <c r="G327" s="102" t="b">
        <v>0</v>
      </c>
    </row>
    <row r="328" spans="1:7" ht="15">
      <c r="A328" s="104" t="s">
        <v>2665</v>
      </c>
      <c r="B328" s="102">
        <v>5</v>
      </c>
      <c r="C328" s="106">
        <v>0.001076226592058132</v>
      </c>
      <c r="D328" s="102" t="s">
        <v>3369</v>
      </c>
      <c r="E328" s="102" t="b">
        <v>0</v>
      </c>
      <c r="F328" s="102" t="b">
        <v>0</v>
      </c>
      <c r="G328" s="102" t="b">
        <v>0</v>
      </c>
    </row>
    <row r="329" spans="1:7" ht="15">
      <c r="A329" s="104" t="s">
        <v>2666</v>
      </c>
      <c r="B329" s="102">
        <v>5</v>
      </c>
      <c r="C329" s="106">
        <v>0.0010207733916644168</v>
      </c>
      <c r="D329" s="102" t="s">
        <v>3369</v>
      </c>
      <c r="E329" s="102" t="b">
        <v>0</v>
      </c>
      <c r="F329" s="102" t="b">
        <v>0</v>
      </c>
      <c r="G329" s="102" t="b">
        <v>0</v>
      </c>
    </row>
    <row r="330" spans="1:7" ht="15">
      <c r="A330" s="104" t="s">
        <v>2667</v>
      </c>
      <c r="B330" s="102">
        <v>5</v>
      </c>
      <c r="C330" s="106">
        <v>0.0014207333392130658</v>
      </c>
      <c r="D330" s="102" t="s">
        <v>3369</v>
      </c>
      <c r="E330" s="102" t="b">
        <v>0</v>
      </c>
      <c r="F330" s="102" t="b">
        <v>0</v>
      </c>
      <c r="G330" s="102" t="b">
        <v>0</v>
      </c>
    </row>
    <row r="331" spans="1:7" ht="15">
      <c r="A331" s="104" t="s">
        <v>2668</v>
      </c>
      <c r="B331" s="102">
        <v>5</v>
      </c>
      <c r="C331" s="106">
        <v>0.0014207333392130658</v>
      </c>
      <c r="D331" s="102" t="s">
        <v>3369</v>
      </c>
      <c r="E331" s="102" t="b">
        <v>0</v>
      </c>
      <c r="F331" s="102" t="b">
        <v>0</v>
      </c>
      <c r="G331" s="102" t="b">
        <v>0</v>
      </c>
    </row>
    <row r="332" spans="1:7" ht="15">
      <c r="A332" s="104" t="s">
        <v>2669</v>
      </c>
      <c r="B332" s="102">
        <v>5</v>
      </c>
      <c r="C332" s="106">
        <v>0.0011477182014700683</v>
      </c>
      <c r="D332" s="102" t="s">
        <v>3369</v>
      </c>
      <c r="E332" s="102" t="b">
        <v>1</v>
      </c>
      <c r="F332" s="102" t="b">
        <v>0</v>
      </c>
      <c r="G332" s="102" t="b">
        <v>0</v>
      </c>
    </row>
    <row r="333" spans="1:7" ht="15">
      <c r="A333" s="104" t="s">
        <v>2670</v>
      </c>
      <c r="B333" s="102">
        <v>5</v>
      </c>
      <c r="C333" s="106">
        <v>0.001076226592058132</v>
      </c>
      <c r="D333" s="102" t="s">
        <v>3369</v>
      </c>
      <c r="E333" s="102" t="b">
        <v>0</v>
      </c>
      <c r="F333" s="102" t="b">
        <v>0</v>
      </c>
      <c r="G333" s="102" t="b">
        <v>0</v>
      </c>
    </row>
    <row r="334" spans="1:7" ht="15">
      <c r="A334" s="104" t="s">
        <v>2671</v>
      </c>
      <c r="B334" s="102">
        <v>5</v>
      </c>
      <c r="C334" s="106">
        <v>0.0010207733916644168</v>
      </c>
      <c r="D334" s="102" t="s">
        <v>3369</v>
      </c>
      <c r="E334" s="102" t="b">
        <v>0</v>
      </c>
      <c r="F334" s="102" t="b">
        <v>0</v>
      </c>
      <c r="G334" s="102" t="b">
        <v>0</v>
      </c>
    </row>
    <row r="335" spans="1:7" ht="15">
      <c r="A335" s="104" t="s">
        <v>2672</v>
      </c>
      <c r="B335" s="102">
        <v>5</v>
      </c>
      <c r="C335" s="106">
        <v>0.001076226592058132</v>
      </c>
      <c r="D335" s="102" t="s">
        <v>3369</v>
      </c>
      <c r="E335" s="102" t="b">
        <v>0</v>
      </c>
      <c r="F335" s="102" t="b">
        <v>0</v>
      </c>
      <c r="G335" s="102" t="b">
        <v>0</v>
      </c>
    </row>
    <row r="336" spans="1:7" ht="15">
      <c r="A336" s="104" t="s">
        <v>2673</v>
      </c>
      <c r="B336" s="102">
        <v>5</v>
      </c>
      <c r="C336" s="106">
        <v>0.001076226592058132</v>
      </c>
      <c r="D336" s="102" t="s">
        <v>3369</v>
      </c>
      <c r="E336" s="102" t="b">
        <v>0</v>
      </c>
      <c r="F336" s="102" t="b">
        <v>0</v>
      </c>
      <c r="G336" s="102" t="b">
        <v>0</v>
      </c>
    </row>
    <row r="337" spans="1:7" ht="15">
      <c r="A337" s="104" t="s">
        <v>2674</v>
      </c>
      <c r="B337" s="102">
        <v>5</v>
      </c>
      <c r="C337" s="106">
        <v>0.0012484799656355989</v>
      </c>
      <c r="D337" s="102" t="s">
        <v>3369</v>
      </c>
      <c r="E337" s="102" t="b">
        <v>0</v>
      </c>
      <c r="F337" s="102" t="b">
        <v>0</v>
      </c>
      <c r="G337" s="102" t="b">
        <v>0</v>
      </c>
    </row>
    <row r="338" spans="1:7" ht="15">
      <c r="A338" s="104" t="s">
        <v>2675</v>
      </c>
      <c r="B338" s="102">
        <v>5</v>
      </c>
      <c r="C338" s="106">
        <v>0.0011477182014700683</v>
      </c>
      <c r="D338" s="102" t="s">
        <v>3369</v>
      </c>
      <c r="E338" s="102" t="b">
        <v>1</v>
      </c>
      <c r="F338" s="102" t="b">
        <v>0</v>
      </c>
      <c r="G338" s="102" t="b">
        <v>0</v>
      </c>
    </row>
    <row r="339" spans="1:7" ht="15">
      <c r="A339" s="104" t="s">
        <v>2676</v>
      </c>
      <c r="B339" s="102">
        <v>5</v>
      </c>
      <c r="C339" s="106">
        <v>0.0012484799656355989</v>
      </c>
      <c r="D339" s="102" t="s">
        <v>3369</v>
      </c>
      <c r="E339" s="102" t="b">
        <v>0</v>
      </c>
      <c r="F339" s="102" t="b">
        <v>0</v>
      </c>
      <c r="G339" s="102" t="b">
        <v>0</v>
      </c>
    </row>
    <row r="340" spans="1:7" ht="15">
      <c r="A340" s="104" t="s">
        <v>2677</v>
      </c>
      <c r="B340" s="102">
        <v>5</v>
      </c>
      <c r="C340" s="106">
        <v>0.0014207333392130658</v>
      </c>
      <c r="D340" s="102" t="s">
        <v>3369</v>
      </c>
      <c r="E340" s="102" t="b">
        <v>0</v>
      </c>
      <c r="F340" s="102" t="b">
        <v>0</v>
      </c>
      <c r="G340" s="102" t="b">
        <v>0</v>
      </c>
    </row>
    <row r="341" spans="1:7" ht="15">
      <c r="A341" s="104" t="s">
        <v>2678</v>
      </c>
      <c r="B341" s="102">
        <v>5</v>
      </c>
      <c r="C341" s="106">
        <v>0.0012484799656355989</v>
      </c>
      <c r="D341" s="102" t="s">
        <v>3369</v>
      </c>
      <c r="E341" s="102" t="b">
        <v>0</v>
      </c>
      <c r="F341" s="102" t="b">
        <v>0</v>
      </c>
      <c r="G341" s="102" t="b">
        <v>0</v>
      </c>
    </row>
    <row r="342" spans="1:7" ht="15">
      <c r="A342" s="104" t="s">
        <v>2679</v>
      </c>
      <c r="B342" s="102">
        <v>5</v>
      </c>
      <c r="C342" s="106">
        <v>0.001076226592058132</v>
      </c>
      <c r="D342" s="102" t="s">
        <v>3369</v>
      </c>
      <c r="E342" s="102" t="b">
        <v>0</v>
      </c>
      <c r="F342" s="102" t="b">
        <v>0</v>
      </c>
      <c r="G342" s="102" t="b">
        <v>0</v>
      </c>
    </row>
    <row r="343" spans="1:7" ht="15">
      <c r="A343" s="104" t="s">
        <v>2680</v>
      </c>
      <c r="B343" s="102">
        <v>5</v>
      </c>
      <c r="C343" s="106">
        <v>0.0012484799656355989</v>
      </c>
      <c r="D343" s="102" t="s">
        <v>3369</v>
      </c>
      <c r="E343" s="102" t="b">
        <v>0</v>
      </c>
      <c r="F343" s="102" t="b">
        <v>0</v>
      </c>
      <c r="G343" s="102" t="b">
        <v>0</v>
      </c>
    </row>
    <row r="344" spans="1:7" ht="15">
      <c r="A344" s="104" t="s">
        <v>1655</v>
      </c>
      <c r="B344" s="102">
        <v>5</v>
      </c>
      <c r="C344" s="106">
        <v>0.0010207733916644168</v>
      </c>
      <c r="D344" s="102" t="s">
        <v>3369</v>
      </c>
      <c r="E344" s="102" t="b">
        <v>0</v>
      </c>
      <c r="F344" s="102" t="b">
        <v>0</v>
      </c>
      <c r="G344" s="102" t="b">
        <v>0</v>
      </c>
    </row>
    <row r="345" spans="1:7" ht="15">
      <c r="A345" s="104" t="s">
        <v>2681</v>
      </c>
      <c r="B345" s="102">
        <v>5</v>
      </c>
      <c r="C345" s="106">
        <v>0.001076226592058132</v>
      </c>
      <c r="D345" s="102" t="s">
        <v>3369</v>
      </c>
      <c r="E345" s="102" t="b">
        <v>0</v>
      </c>
      <c r="F345" s="102" t="b">
        <v>0</v>
      </c>
      <c r="G345" s="102" t="b">
        <v>0</v>
      </c>
    </row>
    <row r="346" spans="1:7" ht="15">
      <c r="A346" s="104" t="s">
        <v>2682</v>
      </c>
      <c r="B346" s="102">
        <v>5</v>
      </c>
      <c r="C346" s="106">
        <v>0.0012484799656355989</v>
      </c>
      <c r="D346" s="102" t="s">
        <v>3369</v>
      </c>
      <c r="E346" s="102" t="b">
        <v>0</v>
      </c>
      <c r="F346" s="102" t="b">
        <v>0</v>
      </c>
      <c r="G346" s="102" t="b">
        <v>0</v>
      </c>
    </row>
    <row r="347" spans="1:7" ht="15">
      <c r="A347" s="104" t="s">
        <v>2683</v>
      </c>
      <c r="B347" s="102">
        <v>5</v>
      </c>
      <c r="C347" s="106">
        <v>0.001076226592058132</v>
      </c>
      <c r="D347" s="102" t="s">
        <v>3369</v>
      </c>
      <c r="E347" s="102" t="b">
        <v>0</v>
      </c>
      <c r="F347" s="102" t="b">
        <v>0</v>
      </c>
      <c r="G347" s="102" t="b">
        <v>0</v>
      </c>
    </row>
    <row r="348" spans="1:7" ht="15">
      <c r="A348" s="104" t="s">
        <v>2684</v>
      </c>
      <c r="B348" s="102">
        <v>5</v>
      </c>
      <c r="C348" s="106">
        <v>0.0010207733916644168</v>
      </c>
      <c r="D348" s="102" t="s">
        <v>3369</v>
      </c>
      <c r="E348" s="102" t="b">
        <v>0</v>
      </c>
      <c r="F348" s="102" t="b">
        <v>0</v>
      </c>
      <c r="G348" s="102" t="b">
        <v>0</v>
      </c>
    </row>
    <row r="349" spans="1:7" ht="15">
      <c r="A349" s="104" t="s">
        <v>2685</v>
      </c>
      <c r="B349" s="102">
        <v>5</v>
      </c>
      <c r="C349" s="106">
        <v>0.001076226592058132</v>
      </c>
      <c r="D349" s="102" t="s">
        <v>3369</v>
      </c>
      <c r="E349" s="102" t="b">
        <v>0</v>
      </c>
      <c r="F349" s="102" t="b">
        <v>0</v>
      </c>
      <c r="G349" s="102" t="b">
        <v>0</v>
      </c>
    </row>
    <row r="350" spans="1:7" ht="15">
      <c r="A350" s="104" t="s">
        <v>2686</v>
      </c>
      <c r="B350" s="102">
        <v>5</v>
      </c>
      <c r="C350" s="106">
        <v>0.0010207733916644168</v>
      </c>
      <c r="D350" s="102" t="s">
        <v>3369</v>
      </c>
      <c r="E350" s="102" t="b">
        <v>0</v>
      </c>
      <c r="F350" s="102" t="b">
        <v>0</v>
      </c>
      <c r="G350" s="102" t="b">
        <v>0</v>
      </c>
    </row>
    <row r="351" spans="1:7" ht="15">
      <c r="A351" s="104" t="s">
        <v>2687</v>
      </c>
      <c r="B351" s="102">
        <v>5</v>
      </c>
      <c r="C351" s="106">
        <v>0.0014207333392130658</v>
      </c>
      <c r="D351" s="102" t="s">
        <v>3369</v>
      </c>
      <c r="E351" s="102" t="b">
        <v>0</v>
      </c>
      <c r="F351" s="102" t="b">
        <v>0</v>
      </c>
      <c r="G351" s="102" t="b">
        <v>0</v>
      </c>
    </row>
    <row r="352" spans="1:7" ht="15">
      <c r="A352" s="104" t="s">
        <v>2688</v>
      </c>
      <c r="B352" s="102">
        <v>5</v>
      </c>
      <c r="C352" s="106">
        <v>0.0011477182014700683</v>
      </c>
      <c r="D352" s="102" t="s">
        <v>3369</v>
      </c>
      <c r="E352" s="102" t="b">
        <v>0</v>
      </c>
      <c r="F352" s="102" t="b">
        <v>0</v>
      </c>
      <c r="G352" s="102" t="b">
        <v>0</v>
      </c>
    </row>
    <row r="353" spans="1:7" ht="15">
      <c r="A353" s="104" t="s">
        <v>2689</v>
      </c>
      <c r="B353" s="102">
        <v>5</v>
      </c>
      <c r="C353" s="106">
        <v>0.0014207333392130658</v>
      </c>
      <c r="D353" s="102" t="s">
        <v>3369</v>
      </c>
      <c r="E353" s="102" t="b">
        <v>0</v>
      </c>
      <c r="F353" s="102" t="b">
        <v>0</v>
      </c>
      <c r="G353" s="102" t="b">
        <v>0</v>
      </c>
    </row>
    <row r="354" spans="1:7" ht="15">
      <c r="A354" s="104" t="s">
        <v>2690</v>
      </c>
      <c r="B354" s="102">
        <v>5</v>
      </c>
      <c r="C354" s="106">
        <v>0.0012484799656355989</v>
      </c>
      <c r="D354" s="102" t="s">
        <v>3369</v>
      </c>
      <c r="E354" s="102" t="b">
        <v>0</v>
      </c>
      <c r="F354" s="102" t="b">
        <v>0</v>
      </c>
      <c r="G354" s="102" t="b">
        <v>0</v>
      </c>
    </row>
    <row r="355" spans="1:7" ht="15">
      <c r="A355" s="104" t="s">
        <v>2691</v>
      </c>
      <c r="B355" s="102">
        <v>5</v>
      </c>
      <c r="C355" s="106">
        <v>0.0011477182014700683</v>
      </c>
      <c r="D355" s="102" t="s">
        <v>3369</v>
      </c>
      <c r="E355" s="102" t="b">
        <v>0</v>
      </c>
      <c r="F355" s="102" t="b">
        <v>0</v>
      </c>
      <c r="G355" s="102" t="b">
        <v>0</v>
      </c>
    </row>
    <row r="356" spans="1:7" ht="15">
      <c r="A356" s="104" t="s">
        <v>2692</v>
      </c>
      <c r="B356" s="102">
        <v>5</v>
      </c>
      <c r="C356" s="106">
        <v>0.0012484799656355989</v>
      </c>
      <c r="D356" s="102" t="s">
        <v>3369</v>
      </c>
      <c r="E356" s="102" t="b">
        <v>0</v>
      </c>
      <c r="F356" s="102" t="b">
        <v>0</v>
      </c>
      <c r="G356" s="102" t="b">
        <v>0</v>
      </c>
    </row>
    <row r="357" spans="1:7" ht="15">
      <c r="A357" s="104" t="s">
        <v>2693</v>
      </c>
      <c r="B357" s="102">
        <v>5</v>
      </c>
      <c r="C357" s="106">
        <v>0.0014207333392130658</v>
      </c>
      <c r="D357" s="102" t="s">
        <v>3369</v>
      </c>
      <c r="E357" s="102" t="b">
        <v>0</v>
      </c>
      <c r="F357" s="102" t="b">
        <v>0</v>
      </c>
      <c r="G357" s="102" t="b">
        <v>0</v>
      </c>
    </row>
    <row r="358" spans="1:7" ht="15">
      <c r="A358" s="104" t="s">
        <v>2694</v>
      </c>
      <c r="B358" s="102">
        <v>5</v>
      </c>
      <c r="C358" s="106">
        <v>0.0014207333392130658</v>
      </c>
      <c r="D358" s="102" t="s">
        <v>3369</v>
      </c>
      <c r="E358" s="102" t="b">
        <v>0</v>
      </c>
      <c r="F358" s="102" t="b">
        <v>0</v>
      </c>
      <c r="G358" s="102" t="b">
        <v>0</v>
      </c>
    </row>
    <row r="359" spans="1:7" ht="15">
      <c r="A359" s="104" t="s">
        <v>2695</v>
      </c>
      <c r="B359" s="102">
        <v>5</v>
      </c>
      <c r="C359" s="106">
        <v>0.0014207333392130658</v>
      </c>
      <c r="D359" s="102" t="s">
        <v>3369</v>
      </c>
      <c r="E359" s="102" t="b">
        <v>0</v>
      </c>
      <c r="F359" s="102" t="b">
        <v>0</v>
      </c>
      <c r="G359" s="102" t="b">
        <v>0</v>
      </c>
    </row>
    <row r="360" spans="1:7" ht="15">
      <c r="A360" s="104" t="s">
        <v>2696</v>
      </c>
      <c r="B360" s="102">
        <v>5</v>
      </c>
      <c r="C360" s="106">
        <v>0.0014207333392130658</v>
      </c>
      <c r="D360" s="102" t="s">
        <v>3369</v>
      </c>
      <c r="E360" s="102" t="b">
        <v>0</v>
      </c>
      <c r="F360" s="102" t="b">
        <v>0</v>
      </c>
      <c r="G360" s="102" t="b">
        <v>0</v>
      </c>
    </row>
    <row r="361" spans="1:7" ht="15">
      <c r="A361" s="104" t="s">
        <v>2697</v>
      </c>
      <c r="B361" s="102">
        <v>5</v>
      </c>
      <c r="C361" s="106">
        <v>0.0011477182014700683</v>
      </c>
      <c r="D361" s="102" t="s">
        <v>3369</v>
      </c>
      <c r="E361" s="102" t="b">
        <v>0</v>
      </c>
      <c r="F361" s="102" t="b">
        <v>0</v>
      </c>
      <c r="G361" s="102" t="b">
        <v>0</v>
      </c>
    </row>
    <row r="362" spans="1:7" ht="15">
      <c r="A362" s="104" t="s">
        <v>2698</v>
      </c>
      <c r="B362" s="102">
        <v>5</v>
      </c>
      <c r="C362" s="106">
        <v>0.0011477182014700683</v>
      </c>
      <c r="D362" s="102" t="s">
        <v>3369</v>
      </c>
      <c r="E362" s="102" t="b">
        <v>0</v>
      </c>
      <c r="F362" s="102" t="b">
        <v>0</v>
      </c>
      <c r="G362" s="102" t="b">
        <v>0</v>
      </c>
    </row>
    <row r="363" spans="1:7" ht="15">
      <c r="A363" s="104" t="s">
        <v>2699</v>
      </c>
      <c r="B363" s="102">
        <v>4</v>
      </c>
      <c r="C363" s="106">
        <v>0.0009987839725084792</v>
      </c>
      <c r="D363" s="102" t="s">
        <v>3369</v>
      </c>
      <c r="E363" s="102" t="b">
        <v>0</v>
      </c>
      <c r="F363" s="102" t="b">
        <v>0</v>
      </c>
      <c r="G363" s="102" t="b">
        <v>0</v>
      </c>
    </row>
    <row r="364" spans="1:7" ht="15">
      <c r="A364" s="104" t="s">
        <v>2700</v>
      </c>
      <c r="B364" s="102">
        <v>4</v>
      </c>
      <c r="C364" s="106">
        <v>0.0008609812736465055</v>
      </c>
      <c r="D364" s="102" t="s">
        <v>3369</v>
      </c>
      <c r="E364" s="102" t="b">
        <v>0</v>
      </c>
      <c r="F364" s="102" t="b">
        <v>0</v>
      </c>
      <c r="G364" s="102" t="b">
        <v>0</v>
      </c>
    </row>
    <row r="365" spans="1:7" ht="15">
      <c r="A365" s="104" t="s">
        <v>2701</v>
      </c>
      <c r="B365" s="102">
        <v>4</v>
      </c>
      <c r="C365" s="106">
        <v>0.0008609812736465055</v>
      </c>
      <c r="D365" s="102" t="s">
        <v>3369</v>
      </c>
      <c r="E365" s="102" t="b">
        <v>0</v>
      </c>
      <c r="F365" s="102" t="b">
        <v>0</v>
      </c>
      <c r="G365" s="102" t="b">
        <v>0</v>
      </c>
    </row>
    <row r="366" spans="1:7" ht="15">
      <c r="A366" s="104" t="s">
        <v>2702</v>
      </c>
      <c r="B366" s="102">
        <v>4</v>
      </c>
      <c r="C366" s="106">
        <v>0.0009181745611760546</v>
      </c>
      <c r="D366" s="102" t="s">
        <v>3369</v>
      </c>
      <c r="E366" s="102" t="b">
        <v>0</v>
      </c>
      <c r="F366" s="102" t="b">
        <v>0</v>
      </c>
      <c r="G366" s="102" t="b">
        <v>0</v>
      </c>
    </row>
    <row r="367" spans="1:7" ht="15">
      <c r="A367" s="104" t="s">
        <v>2703</v>
      </c>
      <c r="B367" s="102">
        <v>4</v>
      </c>
      <c r="C367" s="106">
        <v>0.0008609812736465055</v>
      </c>
      <c r="D367" s="102" t="s">
        <v>3369</v>
      </c>
      <c r="E367" s="102" t="b">
        <v>0</v>
      </c>
      <c r="F367" s="102" t="b">
        <v>0</v>
      </c>
      <c r="G367" s="102" t="b">
        <v>0</v>
      </c>
    </row>
    <row r="368" spans="1:7" ht="15">
      <c r="A368" s="104" t="s">
        <v>2704</v>
      </c>
      <c r="B368" s="102">
        <v>4</v>
      </c>
      <c r="C368" s="106">
        <v>0.0008609812736465055</v>
      </c>
      <c r="D368" s="102" t="s">
        <v>3369</v>
      </c>
      <c r="E368" s="102" t="b">
        <v>0</v>
      </c>
      <c r="F368" s="102" t="b">
        <v>0</v>
      </c>
      <c r="G368" s="102" t="b">
        <v>0</v>
      </c>
    </row>
    <row r="369" spans="1:7" ht="15">
      <c r="A369" s="104" t="s">
        <v>2705</v>
      </c>
      <c r="B369" s="102">
        <v>4</v>
      </c>
      <c r="C369" s="106">
        <v>0.0009181745611760546</v>
      </c>
      <c r="D369" s="102" t="s">
        <v>3369</v>
      </c>
      <c r="E369" s="102" t="b">
        <v>0</v>
      </c>
      <c r="F369" s="102" t="b">
        <v>0</v>
      </c>
      <c r="G369" s="102" t="b">
        <v>0</v>
      </c>
    </row>
    <row r="370" spans="1:7" ht="15">
      <c r="A370" s="104" t="s">
        <v>2706</v>
      </c>
      <c r="B370" s="102">
        <v>4</v>
      </c>
      <c r="C370" s="106">
        <v>0.0009181745611760546</v>
      </c>
      <c r="D370" s="102" t="s">
        <v>3369</v>
      </c>
      <c r="E370" s="102" t="b">
        <v>0</v>
      </c>
      <c r="F370" s="102" t="b">
        <v>0</v>
      </c>
      <c r="G370" s="102" t="b">
        <v>0</v>
      </c>
    </row>
    <row r="371" spans="1:7" ht="15">
      <c r="A371" s="104" t="s">
        <v>2707</v>
      </c>
      <c r="B371" s="102">
        <v>4</v>
      </c>
      <c r="C371" s="106">
        <v>0.0008609812736465055</v>
      </c>
      <c r="D371" s="102" t="s">
        <v>3369</v>
      </c>
      <c r="E371" s="102" t="b">
        <v>0</v>
      </c>
      <c r="F371" s="102" t="b">
        <v>0</v>
      </c>
      <c r="G371" s="102" t="b">
        <v>0</v>
      </c>
    </row>
    <row r="372" spans="1:7" ht="15">
      <c r="A372" s="104" t="s">
        <v>2708</v>
      </c>
      <c r="B372" s="102">
        <v>4</v>
      </c>
      <c r="C372" s="106">
        <v>0.0009181745611760546</v>
      </c>
      <c r="D372" s="102" t="s">
        <v>3369</v>
      </c>
      <c r="E372" s="102" t="b">
        <v>0</v>
      </c>
      <c r="F372" s="102" t="b">
        <v>0</v>
      </c>
      <c r="G372" s="102" t="b">
        <v>0</v>
      </c>
    </row>
    <row r="373" spans="1:7" ht="15">
      <c r="A373" s="104" t="s">
        <v>2709</v>
      </c>
      <c r="B373" s="102">
        <v>4</v>
      </c>
      <c r="C373" s="106">
        <v>0.0011365866713704527</v>
      </c>
      <c r="D373" s="102" t="s">
        <v>3369</v>
      </c>
      <c r="E373" s="102" t="b">
        <v>0</v>
      </c>
      <c r="F373" s="102" t="b">
        <v>0</v>
      </c>
      <c r="G373" s="102" t="b">
        <v>0</v>
      </c>
    </row>
    <row r="374" spans="1:7" ht="15">
      <c r="A374" s="104" t="s">
        <v>2710</v>
      </c>
      <c r="B374" s="102">
        <v>4</v>
      </c>
      <c r="C374" s="106">
        <v>0.0009987839725084792</v>
      </c>
      <c r="D374" s="102" t="s">
        <v>3369</v>
      </c>
      <c r="E374" s="102" t="b">
        <v>0</v>
      </c>
      <c r="F374" s="102" t="b">
        <v>0</v>
      </c>
      <c r="G374" s="102" t="b">
        <v>0</v>
      </c>
    </row>
    <row r="375" spans="1:7" ht="15">
      <c r="A375" s="104" t="s">
        <v>2711</v>
      </c>
      <c r="B375" s="102">
        <v>4</v>
      </c>
      <c r="C375" s="106">
        <v>0.0008609812736465055</v>
      </c>
      <c r="D375" s="102" t="s">
        <v>3369</v>
      </c>
      <c r="E375" s="102" t="b">
        <v>0</v>
      </c>
      <c r="F375" s="102" t="b">
        <v>0</v>
      </c>
      <c r="G375" s="102" t="b">
        <v>0</v>
      </c>
    </row>
    <row r="376" spans="1:7" ht="15">
      <c r="A376" s="104" t="s">
        <v>2712</v>
      </c>
      <c r="B376" s="102">
        <v>4</v>
      </c>
      <c r="C376" s="106">
        <v>0.0008609812736465055</v>
      </c>
      <c r="D376" s="102" t="s">
        <v>3369</v>
      </c>
      <c r="E376" s="102" t="b">
        <v>0</v>
      </c>
      <c r="F376" s="102" t="b">
        <v>0</v>
      </c>
      <c r="G376" s="102" t="b">
        <v>0</v>
      </c>
    </row>
    <row r="377" spans="1:7" ht="15">
      <c r="A377" s="104" t="s">
        <v>2713</v>
      </c>
      <c r="B377" s="102">
        <v>4</v>
      </c>
      <c r="C377" s="106">
        <v>0.0008609812736465055</v>
      </c>
      <c r="D377" s="102" t="s">
        <v>3369</v>
      </c>
      <c r="E377" s="102" t="b">
        <v>0</v>
      </c>
      <c r="F377" s="102" t="b">
        <v>0</v>
      </c>
      <c r="G377" s="102" t="b">
        <v>0</v>
      </c>
    </row>
    <row r="378" spans="1:7" ht="15">
      <c r="A378" s="104" t="s">
        <v>2714</v>
      </c>
      <c r="B378" s="102">
        <v>4</v>
      </c>
      <c r="C378" s="106">
        <v>0.0008609812736465055</v>
      </c>
      <c r="D378" s="102" t="s">
        <v>3369</v>
      </c>
      <c r="E378" s="102" t="b">
        <v>0</v>
      </c>
      <c r="F378" s="102" t="b">
        <v>0</v>
      </c>
      <c r="G378" s="102" t="b">
        <v>0</v>
      </c>
    </row>
    <row r="379" spans="1:7" ht="15">
      <c r="A379" s="104" t="s">
        <v>2715</v>
      </c>
      <c r="B379" s="102">
        <v>4</v>
      </c>
      <c r="C379" s="106">
        <v>0.0008609812736465055</v>
      </c>
      <c r="D379" s="102" t="s">
        <v>3369</v>
      </c>
      <c r="E379" s="102" t="b">
        <v>0</v>
      </c>
      <c r="F379" s="102" t="b">
        <v>0</v>
      </c>
      <c r="G379" s="102" t="b">
        <v>0</v>
      </c>
    </row>
    <row r="380" spans="1:7" ht="15">
      <c r="A380" s="104" t="s">
        <v>2716</v>
      </c>
      <c r="B380" s="102">
        <v>4</v>
      </c>
      <c r="C380" s="106">
        <v>0.0008609812736465055</v>
      </c>
      <c r="D380" s="102" t="s">
        <v>3369</v>
      </c>
      <c r="E380" s="102" t="b">
        <v>0</v>
      </c>
      <c r="F380" s="102" t="b">
        <v>0</v>
      </c>
      <c r="G380" s="102" t="b">
        <v>0</v>
      </c>
    </row>
    <row r="381" spans="1:7" ht="15">
      <c r="A381" s="104" t="s">
        <v>2717</v>
      </c>
      <c r="B381" s="102">
        <v>4</v>
      </c>
      <c r="C381" s="106">
        <v>0.0008609812736465055</v>
      </c>
      <c r="D381" s="102" t="s">
        <v>3369</v>
      </c>
      <c r="E381" s="102" t="b">
        <v>0</v>
      </c>
      <c r="F381" s="102" t="b">
        <v>0</v>
      </c>
      <c r="G381" s="102" t="b">
        <v>0</v>
      </c>
    </row>
    <row r="382" spans="1:7" ht="15">
      <c r="A382" s="104" t="s">
        <v>2718</v>
      </c>
      <c r="B382" s="102">
        <v>4</v>
      </c>
      <c r="C382" s="106">
        <v>0.0008609812736465055</v>
      </c>
      <c r="D382" s="102" t="s">
        <v>3369</v>
      </c>
      <c r="E382" s="102" t="b">
        <v>1</v>
      </c>
      <c r="F382" s="102" t="b">
        <v>0</v>
      </c>
      <c r="G382" s="102" t="b">
        <v>0</v>
      </c>
    </row>
    <row r="383" spans="1:7" ht="15">
      <c r="A383" s="104" t="s">
        <v>2719</v>
      </c>
      <c r="B383" s="102">
        <v>4</v>
      </c>
      <c r="C383" s="106">
        <v>0.0008609812736465055</v>
      </c>
      <c r="D383" s="102" t="s">
        <v>3369</v>
      </c>
      <c r="E383" s="102" t="b">
        <v>0</v>
      </c>
      <c r="F383" s="102" t="b">
        <v>0</v>
      </c>
      <c r="G383" s="102" t="b">
        <v>0</v>
      </c>
    </row>
    <row r="384" spans="1:7" ht="15">
      <c r="A384" s="104" t="s">
        <v>2720</v>
      </c>
      <c r="B384" s="102">
        <v>4</v>
      </c>
      <c r="C384" s="106">
        <v>0.0008609812736465055</v>
      </c>
      <c r="D384" s="102" t="s">
        <v>3369</v>
      </c>
      <c r="E384" s="102" t="b">
        <v>0</v>
      </c>
      <c r="F384" s="102" t="b">
        <v>0</v>
      </c>
      <c r="G384" s="102" t="b">
        <v>0</v>
      </c>
    </row>
    <row r="385" spans="1:7" ht="15">
      <c r="A385" s="104" t="s">
        <v>2721</v>
      </c>
      <c r="B385" s="102">
        <v>4</v>
      </c>
      <c r="C385" s="106">
        <v>0.0009987839725084792</v>
      </c>
      <c r="D385" s="102" t="s">
        <v>3369</v>
      </c>
      <c r="E385" s="102" t="b">
        <v>0</v>
      </c>
      <c r="F385" s="102" t="b">
        <v>0</v>
      </c>
      <c r="G385" s="102" t="b">
        <v>0</v>
      </c>
    </row>
    <row r="386" spans="1:7" ht="15">
      <c r="A386" s="104" t="s">
        <v>2722</v>
      </c>
      <c r="B386" s="102">
        <v>4</v>
      </c>
      <c r="C386" s="106">
        <v>0.0009181745611760546</v>
      </c>
      <c r="D386" s="102" t="s">
        <v>3369</v>
      </c>
      <c r="E386" s="102" t="b">
        <v>0</v>
      </c>
      <c r="F386" s="102" t="b">
        <v>0</v>
      </c>
      <c r="G386" s="102" t="b">
        <v>0</v>
      </c>
    </row>
    <row r="387" spans="1:7" ht="15">
      <c r="A387" s="104" t="s">
        <v>2723</v>
      </c>
      <c r="B387" s="102">
        <v>4</v>
      </c>
      <c r="C387" s="106">
        <v>0.0008609812736465055</v>
      </c>
      <c r="D387" s="102" t="s">
        <v>3369</v>
      </c>
      <c r="E387" s="102" t="b">
        <v>0</v>
      </c>
      <c r="F387" s="102" t="b">
        <v>1</v>
      </c>
      <c r="G387" s="102" t="b">
        <v>0</v>
      </c>
    </row>
    <row r="388" spans="1:7" ht="15">
      <c r="A388" s="104" t="s">
        <v>2724</v>
      </c>
      <c r="B388" s="102">
        <v>4</v>
      </c>
      <c r="C388" s="106">
        <v>0.0008609812736465055</v>
      </c>
      <c r="D388" s="102" t="s">
        <v>3369</v>
      </c>
      <c r="E388" s="102" t="b">
        <v>0</v>
      </c>
      <c r="F388" s="102" t="b">
        <v>0</v>
      </c>
      <c r="G388" s="102" t="b">
        <v>0</v>
      </c>
    </row>
    <row r="389" spans="1:7" ht="15">
      <c r="A389" s="104" t="s">
        <v>2725</v>
      </c>
      <c r="B389" s="102">
        <v>4</v>
      </c>
      <c r="C389" s="106">
        <v>0.0009181745611760546</v>
      </c>
      <c r="D389" s="102" t="s">
        <v>3369</v>
      </c>
      <c r="E389" s="102" t="b">
        <v>0</v>
      </c>
      <c r="F389" s="102" t="b">
        <v>0</v>
      </c>
      <c r="G389" s="102" t="b">
        <v>0</v>
      </c>
    </row>
    <row r="390" spans="1:7" ht="15">
      <c r="A390" s="104" t="s">
        <v>2726</v>
      </c>
      <c r="B390" s="102">
        <v>4</v>
      </c>
      <c r="C390" s="106">
        <v>0.0008609812736465055</v>
      </c>
      <c r="D390" s="102" t="s">
        <v>3369</v>
      </c>
      <c r="E390" s="102" t="b">
        <v>0</v>
      </c>
      <c r="F390" s="102" t="b">
        <v>0</v>
      </c>
      <c r="G390" s="102" t="b">
        <v>0</v>
      </c>
    </row>
    <row r="391" spans="1:7" ht="15">
      <c r="A391" s="104" t="s">
        <v>2727</v>
      </c>
      <c r="B391" s="102">
        <v>4</v>
      </c>
      <c r="C391" s="106">
        <v>0.0009181745611760546</v>
      </c>
      <c r="D391" s="102" t="s">
        <v>3369</v>
      </c>
      <c r="E391" s="102" t="b">
        <v>0</v>
      </c>
      <c r="F391" s="102" t="b">
        <v>0</v>
      </c>
      <c r="G391" s="102" t="b">
        <v>0</v>
      </c>
    </row>
    <row r="392" spans="1:7" ht="15">
      <c r="A392" s="104" t="s">
        <v>2728</v>
      </c>
      <c r="B392" s="102">
        <v>4</v>
      </c>
      <c r="C392" s="106">
        <v>0.0008609812736465055</v>
      </c>
      <c r="D392" s="102" t="s">
        <v>3369</v>
      </c>
      <c r="E392" s="102" t="b">
        <v>0</v>
      </c>
      <c r="F392" s="102" t="b">
        <v>0</v>
      </c>
      <c r="G392" s="102" t="b">
        <v>0</v>
      </c>
    </row>
    <row r="393" spans="1:7" ht="15">
      <c r="A393" s="104" t="s">
        <v>2729</v>
      </c>
      <c r="B393" s="102">
        <v>4</v>
      </c>
      <c r="C393" s="106">
        <v>0.0009181745611760546</v>
      </c>
      <c r="D393" s="102" t="s">
        <v>3369</v>
      </c>
      <c r="E393" s="102" t="b">
        <v>1</v>
      </c>
      <c r="F393" s="102" t="b">
        <v>0</v>
      </c>
      <c r="G393" s="102" t="b">
        <v>0</v>
      </c>
    </row>
    <row r="394" spans="1:7" ht="15">
      <c r="A394" s="104" t="s">
        <v>2730</v>
      </c>
      <c r="B394" s="102">
        <v>4</v>
      </c>
      <c r="C394" s="106">
        <v>0.0009987839725084792</v>
      </c>
      <c r="D394" s="102" t="s">
        <v>3369</v>
      </c>
      <c r="E394" s="102" t="b">
        <v>0</v>
      </c>
      <c r="F394" s="102" t="b">
        <v>0</v>
      </c>
      <c r="G394" s="102" t="b">
        <v>0</v>
      </c>
    </row>
    <row r="395" spans="1:7" ht="15">
      <c r="A395" s="104" t="s">
        <v>2731</v>
      </c>
      <c r="B395" s="102">
        <v>4</v>
      </c>
      <c r="C395" s="106">
        <v>0.0011365866713704527</v>
      </c>
      <c r="D395" s="102" t="s">
        <v>3369</v>
      </c>
      <c r="E395" s="102" t="b">
        <v>0</v>
      </c>
      <c r="F395" s="102" t="b">
        <v>0</v>
      </c>
      <c r="G395" s="102" t="b">
        <v>0</v>
      </c>
    </row>
    <row r="396" spans="1:7" ht="15">
      <c r="A396" s="104" t="s">
        <v>2732</v>
      </c>
      <c r="B396" s="102">
        <v>4</v>
      </c>
      <c r="C396" s="106">
        <v>0.0009987839725084792</v>
      </c>
      <c r="D396" s="102" t="s">
        <v>3369</v>
      </c>
      <c r="E396" s="102" t="b">
        <v>0</v>
      </c>
      <c r="F396" s="102" t="b">
        <v>0</v>
      </c>
      <c r="G396" s="102" t="b">
        <v>0</v>
      </c>
    </row>
    <row r="397" spans="1:7" ht="15">
      <c r="A397" s="104" t="s">
        <v>2733</v>
      </c>
      <c r="B397" s="102">
        <v>4</v>
      </c>
      <c r="C397" s="106">
        <v>0.0009987839725084792</v>
      </c>
      <c r="D397" s="102" t="s">
        <v>3369</v>
      </c>
      <c r="E397" s="102" t="b">
        <v>1</v>
      </c>
      <c r="F397" s="102" t="b">
        <v>0</v>
      </c>
      <c r="G397" s="102" t="b">
        <v>0</v>
      </c>
    </row>
    <row r="398" spans="1:7" ht="15">
      <c r="A398" s="104" t="s">
        <v>2734</v>
      </c>
      <c r="B398" s="102">
        <v>4</v>
      </c>
      <c r="C398" s="106">
        <v>0.0011365866713704527</v>
      </c>
      <c r="D398" s="102" t="s">
        <v>3369</v>
      </c>
      <c r="E398" s="102" t="b">
        <v>0</v>
      </c>
      <c r="F398" s="102" t="b">
        <v>0</v>
      </c>
      <c r="G398" s="102" t="b">
        <v>0</v>
      </c>
    </row>
    <row r="399" spans="1:7" ht="15">
      <c r="A399" s="104" t="s">
        <v>2735</v>
      </c>
      <c r="B399" s="102">
        <v>4</v>
      </c>
      <c r="C399" s="106">
        <v>0.0009987839725084792</v>
      </c>
      <c r="D399" s="102" t="s">
        <v>3369</v>
      </c>
      <c r="E399" s="102" t="b">
        <v>1</v>
      </c>
      <c r="F399" s="102" t="b">
        <v>0</v>
      </c>
      <c r="G399" s="102" t="b">
        <v>0</v>
      </c>
    </row>
    <row r="400" spans="1:7" ht="15">
      <c r="A400" s="104" t="s">
        <v>2736</v>
      </c>
      <c r="B400" s="102">
        <v>4</v>
      </c>
      <c r="C400" s="106">
        <v>0.0011365866713704527</v>
      </c>
      <c r="D400" s="102" t="s">
        <v>3369</v>
      </c>
      <c r="E400" s="102" t="b">
        <v>0</v>
      </c>
      <c r="F400" s="102" t="b">
        <v>0</v>
      </c>
      <c r="G400" s="102" t="b">
        <v>0</v>
      </c>
    </row>
    <row r="401" spans="1:7" ht="15">
      <c r="A401" s="104" t="s">
        <v>2737</v>
      </c>
      <c r="B401" s="102">
        <v>4</v>
      </c>
      <c r="C401" s="106">
        <v>0.0009987839725084792</v>
      </c>
      <c r="D401" s="102" t="s">
        <v>3369</v>
      </c>
      <c r="E401" s="102" t="b">
        <v>0</v>
      </c>
      <c r="F401" s="102" t="b">
        <v>0</v>
      </c>
      <c r="G401" s="102" t="b">
        <v>0</v>
      </c>
    </row>
    <row r="402" spans="1:7" ht="15">
      <c r="A402" s="104" t="s">
        <v>2738</v>
      </c>
      <c r="B402" s="102">
        <v>4</v>
      </c>
      <c r="C402" s="106">
        <v>0.0008609812736465055</v>
      </c>
      <c r="D402" s="102" t="s">
        <v>3369</v>
      </c>
      <c r="E402" s="102" t="b">
        <v>0</v>
      </c>
      <c r="F402" s="102" t="b">
        <v>0</v>
      </c>
      <c r="G402" s="102" t="b">
        <v>0</v>
      </c>
    </row>
    <row r="403" spans="1:7" ht="15">
      <c r="A403" s="104" t="s">
        <v>2739</v>
      </c>
      <c r="B403" s="102">
        <v>4</v>
      </c>
      <c r="C403" s="106">
        <v>0.0008609812736465055</v>
      </c>
      <c r="D403" s="102" t="s">
        <v>3369</v>
      </c>
      <c r="E403" s="102" t="b">
        <v>0</v>
      </c>
      <c r="F403" s="102" t="b">
        <v>0</v>
      </c>
      <c r="G403" s="102" t="b">
        <v>0</v>
      </c>
    </row>
    <row r="404" spans="1:7" ht="15">
      <c r="A404" s="104" t="s">
        <v>2740</v>
      </c>
      <c r="B404" s="102">
        <v>4</v>
      </c>
      <c r="C404" s="106">
        <v>0.0008609812736465055</v>
      </c>
      <c r="D404" s="102" t="s">
        <v>3369</v>
      </c>
      <c r="E404" s="102" t="b">
        <v>0</v>
      </c>
      <c r="F404" s="102" t="b">
        <v>0</v>
      </c>
      <c r="G404" s="102" t="b">
        <v>0</v>
      </c>
    </row>
    <row r="405" spans="1:7" ht="15">
      <c r="A405" s="104" t="s">
        <v>2741</v>
      </c>
      <c r="B405" s="102">
        <v>4</v>
      </c>
      <c r="C405" s="106">
        <v>0.0009181745611760546</v>
      </c>
      <c r="D405" s="102" t="s">
        <v>3369</v>
      </c>
      <c r="E405" s="102" t="b">
        <v>0</v>
      </c>
      <c r="F405" s="102" t="b">
        <v>0</v>
      </c>
      <c r="G405" s="102" t="b">
        <v>0</v>
      </c>
    </row>
    <row r="406" spans="1:7" ht="15">
      <c r="A406" s="104" t="s">
        <v>2742</v>
      </c>
      <c r="B406" s="102">
        <v>4</v>
      </c>
      <c r="C406" s="106">
        <v>0.0008609812736465055</v>
      </c>
      <c r="D406" s="102" t="s">
        <v>3369</v>
      </c>
      <c r="E406" s="102" t="b">
        <v>0</v>
      </c>
      <c r="F406" s="102" t="b">
        <v>0</v>
      </c>
      <c r="G406" s="102" t="b">
        <v>0</v>
      </c>
    </row>
    <row r="407" spans="1:7" ht="15">
      <c r="A407" s="104" t="s">
        <v>2743</v>
      </c>
      <c r="B407" s="102">
        <v>4</v>
      </c>
      <c r="C407" s="106">
        <v>0.0008609812736465055</v>
      </c>
      <c r="D407" s="102" t="s">
        <v>3369</v>
      </c>
      <c r="E407" s="102" t="b">
        <v>0</v>
      </c>
      <c r="F407" s="102" t="b">
        <v>0</v>
      </c>
      <c r="G407" s="102" t="b">
        <v>0</v>
      </c>
    </row>
    <row r="408" spans="1:7" ht="15">
      <c r="A408" s="104" t="s">
        <v>2744</v>
      </c>
      <c r="B408" s="102">
        <v>4</v>
      </c>
      <c r="C408" s="106">
        <v>0.0009987839725084792</v>
      </c>
      <c r="D408" s="102" t="s">
        <v>3369</v>
      </c>
      <c r="E408" s="102" t="b">
        <v>0</v>
      </c>
      <c r="F408" s="102" t="b">
        <v>0</v>
      </c>
      <c r="G408" s="102" t="b">
        <v>0</v>
      </c>
    </row>
    <row r="409" spans="1:7" ht="15">
      <c r="A409" s="104" t="s">
        <v>2745</v>
      </c>
      <c r="B409" s="102">
        <v>4</v>
      </c>
      <c r="C409" s="106">
        <v>0.0008609812736465055</v>
      </c>
      <c r="D409" s="102" t="s">
        <v>3369</v>
      </c>
      <c r="E409" s="102" t="b">
        <v>0</v>
      </c>
      <c r="F409" s="102" t="b">
        <v>0</v>
      </c>
      <c r="G409" s="102" t="b">
        <v>0</v>
      </c>
    </row>
    <row r="410" spans="1:7" ht="15">
      <c r="A410" s="104" t="s">
        <v>2746</v>
      </c>
      <c r="B410" s="102">
        <v>4</v>
      </c>
      <c r="C410" s="106">
        <v>0.0011365866713704527</v>
      </c>
      <c r="D410" s="102" t="s">
        <v>3369</v>
      </c>
      <c r="E410" s="102" t="b">
        <v>0</v>
      </c>
      <c r="F410" s="102" t="b">
        <v>0</v>
      </c>
      <c r="G410" s="102" t="b">
        <v>0</v>
      </c>
    </row>
    <row r="411" spans="1:7" ht="15">
      <c r="A411" s="104" t="s">
        <v>2747</v>
      </c>
      <c r="B411" s="102">
        <v>4</v>
      </c>
      <c r="C411" s="106">
        <v>0.0008609812736465055</v>
      </c>
      <c r="D411" s="102" t="s">
        <v>3369</v>
      </c>
      <c r="E411" s="102" t="b">
        <v>0</v>
      </c>
      <c r="F411" s="102" t="b">
        <v>1</v>
      </c>
      <c r="G411" s="102" t="b">
        <v>0</v>
      </c>
    </row>
    <row r="412" spans="1:7" ht="15">
      <c r="A412" s="104" t="s">
        <v>2748</v>
      </c>
      <c r="B412" s="102">
        <v>4</v>
      </c>
      <c r="C412" s="106">
        <v>0.0008609812736465055</v>
      </c>
      <c r="D412" s="102" t="s">
        <v>3369</v>
      </c>
      <c r="E412" s="102" t="b">
        <v>0</v>
      </c>
      <c r="F412" s="102" t="b">
        <v>0</v>
      </c>
      <c r="G412" s="102" t="b">
        <v>0</v>
      </c>
    </row>
    <row r="413" spans="1:7" ht="15">
      <c r="A413" s="104" t="s">
        <v>2749</v>
      </c>
      <c r="B413" s="102">
        <v>4</v>
      </c>
      <c r="C413" s="106">
        <v>0.0011365866713704527</v>
      </c>
      <c r="D413" s="102" t="s">
        <v>3369</v>
      </c>
      <c r="E413" s="102" t="b">
        <v>0</v>
      </c>
      <c r="F413" s="102" t="b">
        <v>0</v>
      </c>
      <c r="G413" s="102" t="b">
        <v>0</v>
      </c>
    </row>
    <row r="414" spans="1:7" ht="15">
      <c r="A414" s="104" t="s">
        <v>2750</v>
      </c>
      <c r="B414" s="102">
        <v>4</v>
      </c>
      <c r="C414" s="106">
        <v>0.0008609812736465055</v>
      </c>
      <c r="D414" s="102" t="s">
        <v>3369</v>
      </c>
      <c r="E414" s="102" t="b">
        <v>0</v>
      </c>
      <c r="F414" s="102" t="b">
        <v>0</v>
      </c>
      <c r="G414" s="102" t="b">
        <v>0</v>
      </c>
    </row>
    <row r="415" spans="1:7" ht="15">
      <c r="A415" s="104" t="s">
        <v>2751</v>
      </c>
      <c r="B415" s="102">
        <v>4</v>
      </c>
      <c r="C415" s="106">
        <v>0.0008609812736465055</v>
      </c>
      <c r="D415" s="102" t="s">
        <v>3369</v>
      </c>
      <c r="E415" s="102" t="b">
        <v>0</v>
      </c>
      <c r="F415" s="102" t="b">
        <v>0</v>
      </c>
      <c r="G415" s="102" t="b">
        <v>0</v>
      </c>
    </row>
    <row r="416" spans="1:7" ht="15">
      <c r="A416" s="104" t="s">
        <v>2752</v>
      </c>
      <c r="B416" s="102">
        <v>4</v>
      </c>
      <c r="C416" s="106">
        <v>0.0008609812736465055</v>
      </c>
      <c r="D416" s="102" t="s">
        <v>3369</v>
      </c>
      <c r="E416" s="102" t="b">
        <v>0</v>
      </c>
      <c r="F416" s="102" t="b">
        <v>0</v>
      </c>
      <c r="G416" s="102" t="b">
        <v>0</v>
      </c>
    </row>
    <row r="417" spans="1:7" ht="15">
      <c r="A417" s="104" t="s">
        <v>2753</v>
      </c>
      <c r="B417" s="102">
        <v>4</v>
      </c>
      <c r="C417" s="106">
        <v>0.0009181745611760546</v>
      </c>
      <c r="D417" s="102" t="s">
        <v>3369</v>
      </c>
      <c r="E417" s="102" t="b">
        <v>0</v>
      </c>
      <c r="F417" s="102" t="b">
        <v>1</v>
      </c>
      <c r="G417" s="102" t="b">
        <v>0</v>
      </c>
    </row>
    <row r="418" spans="1:7" ht="15">
      <c r="A418" s="104" t="s">
        <v>2754</v>
      </c>
      <c r="B418" s="102">
        <v>4</v>
      </c>
      <c r="C418" s="106">
        <v>0.0009181745611760546</v>
      </c>
      <c r="D418" s="102" t="s">
        <v>3369</v>
      </c>
      <c r="E418" s="102" t="b">
        <v>0</v>
      </c>
      <c r="F418" s="102" t="b">
        <v>0</v>
      </c>
      <c r="G418" s="102" t="b">
        <v>0</v>
      </c>
    </row>
    <row r="419" spans="1:7" ht="15">
      <c r="A419" s="104" t="s">
        <v>2755</v>
      </c>
      <c r="B419" s="102">
        <v>4</v>
      </c>
      <c r="C419" s="106">
        <v>0.0009987839725084792</v>
      </c>
      <c r="D419" s="102" t="s">
        <v>3369</v>
      </c>
      <c r="E419" s="102" t="b">
        <v>0</v>
      </c>
      <c r="F419" s="102" t="b">
        <v>0</v>
      </c>
      <c r="G419" s="102" t="b">
        <v>0</v>
      </c>
    </row>
    <row r="420" spans="1:7" ht="15">
      <c r="A420" s="104" t="s">
        <v>2756</v>
      </c>
      <c r="B420" s="102">
        <v>4</v>
      </c>
      <c r="C420" s="106">
        <v>0.0008609812736465055</v>
      </c>
      <c r="D420" s="102" t="s">
        <v>3369</v>
      </c>
      <c r="E420" s="102" t="b">
        <v>0</v>
      </c>
      <c r="F420" s="102" t="b">
        <v>0</v>
      </c>
      <c r="G420" s="102" t="b">
        <v>0</v>
      </c>
    </row>
    <row r="421" spans="1:7" ht="15">
      <c r="A421" s="104" t="s">
        <v>2757</v>
      </c>
      <c r="B421" s="102">
        <v>4</v>
      </c>
      <c r="C421" s="106">
        <v>0.0009181745611760546</v>
      </c>
      <c r="D421" s="102" t="s">
        <v>3369</v>
      </c>
      <c r="E421" s="102" t="b">
        <v>0</v>
      </c>
      <c r="F421" s="102" t="b">
        <v>0</v>
      </c>
      <c r="G421" s="102" t="b">
        <v>0</v>
      </c>
    </row>
    <row r="422" spans="1:7" ht="15">
      <c r="A422" s="104" t="s">
        <v>2758</v>
      </c>
      <c r="B422" s="102">
        <v>4</v>
      </c>
      <c r="C422" s="106">
        <v>0.0008609812736465055</v>
      </c>
      <c r="D422" s="102" t="s">
        <v>3369</v>
      </c>
      <c r="E422" s="102" t="b">
        <v>0</v>
      </c>
      <c r="F422" s="102" t="b">
        <v>0</v>
      </c>
      <c r="G422" s="102" t="b">
        <v>0</v>
      </c>
    </row>
    <row r="423" spans="1:7" ht="15">
      <c r="A423" s="104" t="s">
        <v>2759</v>
      </c>
      <c r="B423" s="102">
        <v>4</v>
      </c>
      <c r="C423" s="106">
        <v>0.0008609812736465055</v>
      </c>
      <c r="D423" s="102" t="s">
        <v>3369</v>
      </c>
      <c r="E423" s="102" t="b">
        <v>0</v>
      </c>
      <c r="F423" s="102" t="b">
        <v>0</v>
      </c>
      <c r="G423" s="102" t="b">
        <v>0</v>
      </c>
    </row>
    <row r="424" spans="1:7" ht="15">
      <c r="A424" s="104" t="s">
        <v>2760</v>
      </c>
      <c r="B424" s="102">
        <v>4</v>
      </c>
      <c r="C424" s="106">
        <v>0.0009181745611760546</v>
      </c>
      <c r="D424" s="102" t="s">
        <v>3369</v>
      </c>
      <c r="E424" s="102" t="b">
        <v>0</v>
      </c>
      <c r="F424" s="102" t="b">
        <v>0</v>
      </c>
      <c r="G424" s="102" t="b">
        <v>0</v>
      </c>
    </row>
    <row r="425" spans="1:7" ht="15">
      <c r="A425" s="104" t="s">
        <v>2761</v>
      </c>
      <c r="B425" s="102">
        <v>4</v>
      </c>
      <c r="C425" s="106">
        <v>0.0008609812736465055</v>
      </c>
      <c r="D425" s="102" t="s">
        <v>3369</v>
      </c>
      <c r="E425" s="102" t="b">
        <v>0</v>
      </c>
      <c r="F425" s="102" t="b">
        <v>1</v>
      </c>
      <c r="G425" s="102" t="b">
        <v>0</v>
      </c>
    </row>
    <row r="426" spans="1:7" ht="15">
      <c r="A426" s="104" t="s">
        <v>2762</v>
      </c>
      <c r="B426" s="102">
        <v>4</v>
      </c>
      <c r="C426" s="106">
        <v>0.0009181745611760546</v>
      </c>
      <c r="D426" s="102" t="s">
        <v>3369</v>
      </c>
      <c r="E426" s="102" t="b">
        <v>0</v>
      </c>
      <c r="F426" s="102" t="b">
        <v>0</v>
      </c>
      <c r="G426" s="102" t="b">
        <v>0</v>
      </c>
    </row>
    <row r="427" spans="1:7" ht="15">
      <c r="A427" s="104" t="s">
        <v>2763</v>
      </c>
      <c r="B427" s="102">
        <v>4</v>
      </c>
      <c r="C427" s="106">
        <v>0.0008609812736465055</v>
      </c>
      <c r="D427" s="102" t="s">
        <v>3369</v>
      </c>
      <c r="E427" s="102" t="b">
        <v>0</v>
      </c>
      <c r="F427" s="102" t="b">
        <v>0</v>
      </c>
      <c r="G427" s="102" t="b">
        <v>0</v>
      </c>
    </row>
    <row r="428" spans="1:7" ht="15">
      <c r="A428" s="104" t="s">
        <v>2764</v>
      </c>
      <c r="B428" s="102">
        <v>4</v>
      </c>
      <c r="C428" s="106">
        <v>0.0011365866713704527</v>
      </c>
      <c r="D428" s="102" t="s">
        <v>3369</v>
      </c>
      <c r="E428" s="102" t="b">
        <v>0</v>
      </c>
      <c r="F428" s="102" t="b">
        <v>0</v>
      </c>
      <c r="G428" s="102" t="b">
        <v>0</v>
      </c>
    </row>
    <row r="429" spans="1:7" ht="15">
      <c r="A429" s="104" t="s">
        <v>2765</v>
      </c>
      <c r="B429" s="102">
        <v>4</v>
      </c>
      <c r="C429" s="106">
        <v>0.0011365866713704527</v>
      </c>
      <c r="D429" s="102" t="s">
        <v>3369</v>
      </c>
      <c r="E429" s="102" t="b">
        <v>0</v>
      </c>
      <c r="F429" s="102" t="b">
        <v>0</v>
      </c>
      <c r="G429" s="102" t="b">
        <v>0</v>
      </c>
    </row>
    <row r="430" spans="1:7" ht="15">
      <c r="A430" s="104" t="s">
        <v>2766</v>
      </c>
      <c r="B430" s="102">
        <v>4</v>
      </c>
      <c r="C430" s="106">
        <v>0.0008609812736465055</v>
      </c>
      <c r="D430" s="102" t="s">
        <v>3369</v>
      </c>
      <c r="E430" s="102" t="b">
        <v>1</v>
      </c>
      <c r="F430" s="102" t="b">
        <v>0</v>
      </c>
      <c r="G430" s="102" t="b">
        <v>0</v>
      </c>
    </row>
    <row r="431" spans="1:7" ht="15">
      <c r="A431" s="104" t="s">
        <v>2767</v>
      </c>
      <c r="B431" s="102">
        <v>4</v>
      </c>
      <c r="C431" s="106">
        <v>0.0009181745611760546</v>
      </c>
      <c r="D431" s="102" t="s">
        <v>3369</v>
      </c>
      <c r="E431" s="102" t="b">
        <v>0</v>
      </c>
      <c r="F431" s="102" t="b">
        <v>0</v>
      </c>
      <c r="G431" s="102" t="b">
        <v>0</v>
      </c>
    </row>
    <row r="432" spans="1:7" ht="15">
      <c r="A432" s="104" t="s">
        <v>2768</v>
      </c>
      <c r="B432" s="102">
        <v>4</v>
      </c>
      <c r="C432" s="106">
        <v>0.0009181745611760546</v>
      </c>
      <c r="D432" s="102" t="s">
        <v>3369</v>
      </c>
      <c r="E432" s="102" t="b">
        <v>0</v>
      </c>
      <c r="F432" s="102" t="b">
        <v>1</v>
      </c>
      <c r="G432" s="102" t="b">
        <v>0</v>
      </c>
    </row>
    <row r="433" spans="1:7" ht="15">
      <c r="A433" s="104" t="s">
        <v>2769</v>
      </c>
      <c r="B433" s="102">
        <v>4</v>
      </c>
      <c r="C433" s="106">
        <v>0.0011365866713704527</v>
      </c>
      <c r="D433" s="102" t="s">
        <v>3369</v>
      </c>
      <c r="E433" s="102" t="b">
        <v>0</v>
      </c>
      <c r="F433" s="102" t="b">
        <v>0</v>
      </c>
      <c r="G433" s="102" t="b">
        <v>0</v>
      </c>
    </row>
    <row r="434" spans="1:7" ht="15">
      <c r="A434" s="104" t="s">
        <v>2770</v>
      </c>
      <c r="B434" s="102">
        <v>4</v>
      </c>
      <c r="C434" s="106">
        <v>0.0009181745611760546</v>
      </c>
      <c r="D434" s="102" t="s">
        <v>3369</v>
      </c>
      <c r="E434" s="102" t="b">
        <v>0</v>
      </c>
      <c r="F434" s="102" t="b">
        <v>0</v>
      </c>
      <c r="G434" s="102" t="b">
        <v>0</v>
      </c>
    </row>
    <row r="435" spans="1:7" ht="15">
      <c r="A435" s="104" t="s">
        <v>2771</v>
      </c>
      <c r="B435" s="102">
        <v>4</v>
      </c>
      <c r="C435" s="106">
        <v>0.0009181745611760546</v>
      </c>
      <c r="D435" s="102" t="s">
        <v>3369</v>
      </c>
      <c r="E435" s="102" t="b">
        <v>0</v>
      </c>
      <c r="F435" s="102" t="b">
        <v>0</v>
      </c>
      <c r="G435" s="102" t="b">
        <v>0</v>
      </c>
    </row>
    <row r="436" spans="1:7" ht="15">
      <c r="A436" s="104" t="s">
        <v>2772</v>
      </c>
      <c r="B436" s="102">
        <v>4</v>
      </c>
      <c r="C436" s="106">
        <v>0.0011365866713704527</v>
      </c>
      <c r="D436" s="102" t="s">
        <v>3369</v>
      </c>
      <c r="E436" s="102" t="b">
        <v>0</v>
      </c>
      <c r="F436" s="102" t="b">
        <v>0</v>
      </c>
      <c r="G436" s="102" t="b">
        <v>0</v>
      </c>
    </row>
    <row r="437" spans="1:7" ht="15">
      <c r="A437" s="104" t="s">
        <v>2773</v>
      </c>
      <c r="B437" s="102">
        <v>4</v>
      </c>
      <c r="C437" s="106">
        <v>0.0009181745611760546</v>
      </c>
      <c r="D437" s="102" t="s">
        <v>3369</v>
      </c>
      <c r="E437" s="102" t="b">
        <v>0</v>
      </c>
      <c r="F437" s="102" t="b">
        <v>0</v>
      </c>
      <c r="G437" s="102" t="b">
        <v>0</v>
      </c>
    </row>
    <row r="438" spans="1:7" ht="15">
      <c r="A438" s="104" t="s">
        <v>2774</v>
      </c>
      <c r="B438" s="102">
        <v>4</v>
      </c>
      <c r="C438" s="106">
        <v>0.0009987839725084792</v>
      </c>
      <c r="D438" s="102" t="s">
        <v>3369</v>
      </c>
      <c r="E438" s="102" t="b">
        <v>0</v>
      </c>
      <c r="F438" s="102" t="b">
        <v>0</v>
      </c>
      <c r="G438" s="102" t="b">
        <v>0</v>
      </c>
    </row>
    <row r="439" spans="1:7" ht="15">
      <c r="A439" s="104" t="s">
        <v>2775</v>
      </c>
      <c r="B439" s="102">
        <v>4</v>
      </c>
      <c r="C439" s="106">
        <v>0.0011365866713704527</v>
      </c>
      <c r="D439" s="102" t="s">
        <v>3369</v>
      </c>
      <c r="E439" s="102" t="b">
        <v>0</v>
      </c>
      <c r="F439" s="102" t="b">
        <v>0</v>
      </c>
      <c r="G439" s="102" t="b">
        <v>0</v>
      </c>
    </row>
    <row r="440" spans="1:7" ht="15">
      <c r="A440" s="104" t="s">
        <v>2776</v>
      </c>
      <c r="B440" s="102">
        <v>4</v>
      </c>
      <c r="C440" s="106">
        <v>0.0011365866713704527</v>
      </c>
      <c r="D440" s="102" t="s">
        <v>3369</v>
      </c>
      <c r="E440" s="102" t="b">
        <v>0</v>
      </c>
      <c r="F440" s="102" t="b">
        <v>0</v>
      </c>
      <c r="G440" s="102" t="b">
        <v>0</v>
      </c>
    </row>
    <row r="441" spans="1:7" ht="15">
      <c r="A441" s="104" t="s">
        <v>2777</v>
      </c>
      <c r="B441" s="102">
        <v>4</v>
      </c>
      <c r="C441" s="106">
        <v>0.0011365866713704527</v>
      </c>
      <c r="D441" s="102" t="s">
        <v>3369</v>
      </c>
      <c r="E441" s="102" t="b">
        <v>0</v>
      </c>
      <c r="F441" s="102" t="b">
        <v>0</v>
      </c>
      <c r="G441" s="102" t="b">
        <v>0</v>
      </c>
    </row>
    <row r="442" spans="1:7" ht="15">
      <c r="A442" s="104" t="s">
        <v>2778</v>
      </c>
      <c r="B442" s="102">
        <v>4</v>
      </c>
      <c r="C442" s="106">
        <v>0.0011365866713704527</v>
      </c>
      <c r="D442" s="102" t="s">
        <v>3369</v>
      </c>
      <c r="E442" s="102" t="b">
        <v>0</v>
      </c>
      <c r="F442" s="102" t="b">
        <v>0</v>
      </c>
      <c r="G442" s="102" t="b">
        <v>0</v>
      </c>
    </row>
    <row r="443" spans="1:7" ht="15">
      <c r="A443" s="104" t="s">
        <v>2779</v>
      </c>
      <c r="B443" s="102">
        <v>4</v>
      </c>
      <c r="C443" s="106">
        <v>0.0009181745611760546</v>
      </c>
      <c r="D443" s="102" t="s">
        <v>3369</v>
      </c>
      <c r="E443" s="102" t="b">
        <v>0</v>
      </c>
      <c r="F443" s="102" t="b">
        <v>0</v>
      </c>
      <c r="G443" s="102" t="b">
        <v>0</v>
      </c>
    </row>
    <row r="444" spans="1:7" ht="15">
      <c r="A444" s="104" t="s">
        <v>2780</v>
      </c>
      <c r="B444" s="102">
        <v>4</v>
      </c>
      <c r="C444" s="106">
        <v>0.0009987839725084792</v>
      </c>
      <c r="D444" s="102" t="s">
        <v>3369</v>
      </c>
      <c r="E444" s="102" t="b">
        <v>0</v>
      </c>
      <c r="F444" s="102" t="b">
        <v>0</v>
      </c>
      <c r="G444" s="102" t="b">
        <v>0</v>
      </c>
    </row>
    <row r="445" spans="1:7" ht="15">
      <c r="A445" s="104" t="s">
        <v>2781</v>
      </c>
      <c r="B445" s="102">
        <v>4</v>
      </c>
      <c r="C445" s="106">
        <v>0.0008609812736465055</v>
      </c>
      <c r="D445" s="102" t="s">
        <v>3369</v>
      </c>
      <c r="E445" s="102" t="b">
        <v>0</v>
      </c>
      <c r="F445" s="102" t="b">
        <v>0</v>
      </c>
      <c r="G445" s="102" t="b">
        <v>0</v>
      </c>
    </row>
    <row r="446" spans="1:7" ht="15">
      <c r="A446" s="104" t="s">
        <v>2782</v>
      </c>
      <c r="B446" s="102">
        <v>4</v>
      </c>
      <c r="C446" s="106">
        <v>0.0009181745611760546</v>
      </c>
      <c r="D446" s="102" t="s">
        <v>3369</v>
      </c>
      <c r="E446" s="102" t="b">
        <v>0</v>
      </c>
      <c r="F446" s="102" t="b">
        <v>0</v>
      </c>
      <c r="G446" s="102" t="b">
        <v>0</v>
      </c>
    </row>
    <row r="447" spans="1:7" ht="15">
      <c r="A447" s="104" t="s">
        <v>2783</v>
      </c>
      <c r="B447" s="102">
        <v>4</v>
      </c>
      <c r="C447" s="106">
        <v>0.0011365866713704527</v>
      </c>
      <c r="D447" s="102" t="s">
        <v>3369</v>
      </c>
      <c r="E447" s="102" t="b">
        <v>0</v>
      </c>
      <c r="F447" s="102" t="b">
        <v>1</v>
      </c>
      <c r="G447" s="102" t="b">
        <v>0</v>
      </c>
    </row>
    <row r="448" spans="1:7" ht="15">
      <c r="A448" s="104" t="s">
        <v>2784</v>
      </c>
      <c r="B448" s="102">
        <v>4</v>
      </c>
      <c r="C448" s="106">
        <v>0.0011365866713704527</v>
      </c>
      <c r="D448" s="102" t="s">
        <v>3369</v>
      </c>
      <c r="E448" s="102" t="b">
        <v>0</v>
      </c>
      <c r="F448" s="102" t="b">
        <v>0</v>
      </c>
      <c r="G448" s="102" t="b">
        <v>0</v>
      </c>
    </row>
    <row r="449" spans="1:7" ht="15">
      <c r="A449" s="104" t="s">
        <v>2785</v>
      </c>
      <c r="B449" s="102">
        <v>4</v>
      </c>
      <c r="C449" s="106">
        <v>0.0009181745611760546</v>
      </c>
      <c r="D449" s="102" t="s">
        <v>3369</v>
      </c>
      <c r="E449" s="102" t="b">
        <v>0</v>
      </c>
      <c r="F449" s="102" t="b">
        <v>0</v>
      </c>
      <c r="G449" s="102" t="b">
        <v>0</v>
      </c>
    </row>
    <row r="450" spans="1:7" ht="15">
      <c r="A450" s="104" t="s">
        <v>2786</v>
      </c>
      <c r="B450" s="102">
        <v>4</v>
      </c>
      <c r="C450" s="106">
        <v>0.0009181745611760546</v>
      </c>
      <c r="D450" s="102" t="s">
        <v>3369</v>
      </c>
      <c r="E450" s="102" t="b">
        <v>0</v>
      </c>
      <c r="F450" s="102" t="b">
        <v>0</v>
      </c>
      <c r="G450" s="102" t="b">
        <v>0</v>
      </c>
    </row>
    <row r="451" spans="1:7" ht="15">
      <c r="A451" s="104" t="s">
        <v>2787</v>
      </c>
      <c r="B451" s="102">
        <v>4</v>
      </c>
      <c r="C451" s="106">
        <v>0.0009181745611760546</v>
      </c>
      <c r="D451" s="102" t="s">
        <v>3369</v>
      </c>
      <c r="E451" s="102" t="b">
        <v>0</v>
      </c>
      <c r="F451" s="102" t="b">
        <v>0</v>
      </c>
      <c r="G451" s="102" t="b">
        <v>0</v>
      </c>
    </row>
    <row r="452" spans="1:7" ht="15">
      <c r="A452" s="104" t="s">
        <v>2788</v>
      </c>
      <c r="B452" s="102">
        <v>4</v>
      </c>
      <c r="C452" s="106">
        <v>0.0008609812736465055</v>
      </c>
      <c r="D452" s="102" t="s">
        <v>3369</v>
      </c>
      <c r="E452" s="102" t="b">
        <v>0</v>
      </c>
      <c r="F452" s="102" t="b">
        <v>0</v>
      </c>
      <c r="G452" s="102" t="b">
        <v>0</v>
      </c>
    </row>
    <row r="453" spans="1:7" ht="15">
      <c r="A453" s="104" t="s">
        <v>2789</v>
      </c>
      <c r="B453" s="102">
        <v>4</v>
      </c>
      <c r="C453" s="106">
        <v>0.0009987839725084792</v>
      </c>
      <c r="D453" s="102" t="s">
        <v>3369</v>
      </c>
      <c r="E453" s="102" t="b">
        <v>0</v>
      </c>
      <c r="F453" s="102" t="b">
        <v>0</v>
      </c>
      <c r="G453" s="102" t="b">
        <v>0</v>
      </c>
    </row>
    <row r="454" spans="1:7" ht="15">
      <c r="A454" s="104" t="s">
        <v>2790</v>
      </c>
      <c r="B454" s="102">
        <v>4</v>
      </c>
      <c r="C454" s="106">
        <v>0.0011365866713704527</v>
      </c>
      <c r="D454" s="102" t="s">
        <v>3369</v>
      </c>
      <c r="E454" s="102" t="b">
        <v>0</v>
      </c>
      <c r="F454" s="102" t="b">
        <v>0</v>
      </c>
      <c r="G454" s="102" t="b">
        <v>0</v>
      </c>
    </row>
    <row r="455" spans="1:7" ht="15">
      <c r="A455" s="104" t="s">
        <v>2791</v>
      </c>
      <c r="B455" s="102">
        <v>4</v>
      </c>
      <c r="C455" s="106">
        <v>0.0009987839725084792</v>
      </c>
      <c r="D455" s="102" t="s">
        <v>3369</v>
      </c>
      <c r="E455" s="102" t="b">
        <v>0</v>
      </c>
      <c r="F455" s="102" t="b">
        <v>0</v>
      </c>
      <c r="G455" s="102" t="b">
        <v>0</v>
      </c>
    </row>
    <row r="456" spans="1:7" ht="15">
      <c r="A456" s="104" t="s">
        <v>2792</v>
      </c>
      <c r="B456" s="102">
        <v>4</v>
      </c>
      <c r="C456" s="106">
        <v>0.0011365866713704527</v>
      </c>
      <c r="D456" s="102" t="s">
        <v>3369</v>
      </c>
      <c r="E456" s="102" t="b">
        <v>0</v>
      </c>
      <c r="F456" s="102" t="b">
        <v>0</v>
      </c>
      <c r="G456" s="102" t="b">
        <v>0</v>
      </c>
    </row>
    <row r="457" spans="1:7" ht="15">
      <c r="A457" s="104" t="s">
        <v>2793</v>
      </c>
      <c r="B457" s="102">
        <v>4</v>
      </c>
      <c r="C457" s="106">
        <v>0.0011365866713704527</v>
      </c>
      <c r="D457" s="102" t="s">
        <v>3369</v>
      </c>
      <c r="E457" s="102" t="b">
        <v>0</v>
      </c>
      <c r="F457" s="102" t="b">
        <v>0</v>
      </c>
      <c r="G457" s="102" t="b">
        <v>0</v>
      </c>
    </row>
    <row r="458" spans="1:7" ht="15">
      <c r="A458" s="104" t="s">
        <v>2794</v>
      </c>
      <c r="B458" s="102">
        <v>4</v>
      </c>
      <c r="C458" s="106">
        <v>0.0011365866713704527</v>
      </c>
      <c r="D458" s="102" t="s">
        <v>3369</v>
      </c>
      <c r="E458" s="102" t="b">
        <v>0</v>
      </c>
      <c r="F458" s="102" t="b">
        <v>0</v>
      </c>
      <c r="G458" s="102" t="b">
        <v>0</v>
      </c>
    </row>
    <row r="459" spans="1:7" ht="15">
      <c r="A459" s="104" t="s">
        <v>2795</v>
      </c>
      <c r="B459" s="102">
        <v>3</v>
      </c>
      <c r="C459" s="106">
        <v>0.0006886309208820411</v>
      </c>
      <c r="D459" s="102" t="s">
        <v>3369</v>
      </c>
      <c r="E459" s="102" t="b">
        <v>0</v>
      </c>
      <c r="F459" s="102" t="b">
        <v>0</v>
      </c>
      <c r="G459" s="102" t="b">
        <v>0</v>
      </c>
    </row>
    <row r="460" spans="1:7" ht="15">
      <c r="A460" s="104" t="s">
        <v>2796</v>
      </c>
      <c r="B460" s="102">
        <v>3</v>
      </c>
      <c r="C460" s="106">
        <v>0.0007490879793813594</v>
      </c>
      <c r="D460" s="102" t="s">
        <v>3369</v>
      </c>
      <c r="E460" s="102" t="b">
        <v>0</v>
      </c>
      <c r="F460" s="102" t="b">
        <v>0</v>
      </c>
      <c r="G460" s="102" t="b">
        <v>0</v>
      </c>
    </row>
    <row r="461" spans="1:7" ht="15">
      <c r="A461" s="104" t="s">
        <v>2797</v>
      </c>
      <c r="B461" s="102">
        <v>3</v>
      </c>
      <c r="C461" s="106">
        <v>0.0006886309208820411</v>
      </c>
      <c r="D461" s="102" t="s">
        <v>3369</v>
      </c>
      <c r="E461" s="102" t="b">
        <v>0</v>
      </c>
      <c r="F461" s="102" t="b">
        <v>0</v>
      </c>
      <c r="G461" s="102" t="b">
        <v>0</v>
      </c>
    </row>
    <row r="462" spans="1:7" ht="15">
      <c r="A462" s="104" t="s">
        <v>2798</v>
      </c>
      <c r="B462" s="102">
        <v>3</v>
      </c>
      <c r="C462" s="106">
        <v>0.0006886309208820411</v>
      </c>
      <c r="D462" s="102" t="s">
        <v>3369</v>
      </c>
      <c r="E462" s="102" t="b">
        <v>0</v>
      </c>
      <c r="F462" s="102" t="b">
        <v>0</v>
      </c>
      <c r="G462" s="102" t="b">
        <v>0</v>
      </c>
    </row>
    <row r="463" spans="1:7" ht="15">
      <c r="A463" s="104" t="s">
        <v>2799</v>
      </c>
      <c r="B463" s="102">
        <v>3</v>
      </c>
      <c r="C463" s="106">
        <v>0.0006886309208820411</v>
      </c>
      <c r="D463" s="102" t="s">
        <v>3369</v>
      </c>
      <c r="E463" s="102" t="b">
        <v>0</v>
      </c>
      <c r="F463" s="102" t="b">
        <v>0</v>
      </c>
      <c r="G463" s="102" t="b">
        <v>0</v>
      </c>
    </row>
    <row r="464" spans="1:7" ht="15">
      <c r="A464" s="104" t="s">
        <v>2800</v>
      </c>
      <c r="B464" s="102">
        <v>3</v>
      </c>
      <c r="C464" s="106">
        <v>0.0007490879793813594</v>
      </c>
      <c r="D464" s="102" t="s">
        <v>3369</v>
      </c>
      <c r="E464" s="102" t="b">
        <v>0</v>
      </c>
      <c r="F464" s="102" t="b">
        <v>0</v>
      </c>
      <c r="G464" s="102" t="b">
        <v>0</v>
      </c>
    </row>
    <row r="465" spans="1:7" ht="15">
      <c r="A465" s="104" t="s">
        <v>2801</v>
      </c>
      <c r="B465" s="102">
        <v>3</v>
      </c>
      <c r="C465" s="106">
        <v>0.0008524400035278396</v>
      </c>
      <c r="D465" s="102" t="s">
        <v>3369</v>
      </c>
      <c r="E465" s="102" t="b">
        <v>0</v>
      </c>
      <c r="F465" s="102" t="b">
        <v>0</v>
      </c>
      <c r="G465" s="102" t="b">
        <v>0</v>
      </c>
    </row>
    <row r="466" spans="1:7" ht="15">
      <c r="A466" s="104" t="s">
        <v>2802</v>
      </c>
      <c r="B466" s="102">
        <v>3</v>
      </c>
      <c r="C466" s="106">
        <v>0.0008524400035278396</v>
      </c>
      <c r="D466" s="102" t="s">
        <v>3369</v>
      </c>
      <c r="E466" s="102" t="b">
        <v>0</v>
      </c>
      <c r="F466" s="102" t="b">
        <v>0</v>
      </c>
      <c r="G466" s="102" t="b">
        <v>0</v>
      </c>
    </row>
    <row r="467" spans="1:7" ht="15">
      <c r="A467" s="104" t="s">
        <v>2803</v>
      </c>
      <c r="B467" s="102">
        <v>3</v>
      </c>
      <c r="C467" s="106">
        <v>0.0008524400035278396</v>
      </c>
      <c r="D467" s="102" t="s">
        <v>3369</v>
      </c>
      <c r="E467" s="102" t="b">
        <v>0</v>
      </c>
      <c r="F467" s="102" t="b">
        <v>0</v>
      </c>
      <c r="G467" s="102" t="b">
        <v>0</v>
      </c>
    </row>
    <row r="468" spans="1:7" ht="15">
      <c r="A468" s="104" t="s">
        <v>2804</v>
      </c>
      <c r="B468" s="102">
        <v>3</v>
      </c>
      <c r="C468" s="106">
        <v>0.0006886309208820411</v>
      </c>
      <c r="D468" s="102" t="s">
        <v>3369</v>
      </c>
      <c r="E468" s="102" t="b">
        <v>0</v>
      </c>
      <c r="F468" s="102" t="b">
        <v>0</v>
      </c>
      <c r="G468" s="102" t="b">
        <v>0</v>
      </c>
    </row>
    <row r="469" spans="1:7" ht="15">
      <c r="A469" s="104" t="s">
        <v>2805</v>
      </c>
      <c r="B469" s="102">
        <v>3</v>
      </c>
      <c r="C469" s="106">
        <v>0.0007490879793813594</v>
      </c>
      <c r="D469" s="102" t="s">
        <v>3369</v>
      </c>
      <c r="E469" s="102" t="b">
        <v>0</v>
      </c>
      <c r="F469" s="102" t="b">
        <v>0</v>
      </c>
      <c r="G469" s="102" t="b">
        <v>0</v>
      </c>
    </row>
    <row r="470" spans="1:7" ht="15">
      <c r="A470" s="104" t="s">
        <v>2806</v>
      </c>
      <c r="B470" s="102">
        <v>3</v>
      </c>
      <c r="C470" s="106">
        <v>0.0007490879793813594</v>
      </c>
      <c r="D470" s="102" t="s">
        <v>3369</v>
      </c>
      <c r="E470" s="102" t="b">
        <v>0</v>
      </c>
      <c r="F470" s="102" t="b">
        <v>0</v>
      </c>
      <c r="G470" s="102" t="b">
        <v>0</v>
      </c>
    </row>
    <row r="471" spans="1:7" ht="15">
      <c r="A471" s="104" t="s">
        <v>2807</v>
      </c>
      <c r="B471" s="102">
        <v>3</v>
      </c>
      <c r="C471" s="106">
        <v>0.0007490879793813594</v>
      </c>
      <c r="D471" s="102" t="s">
        <v>3369</v>
      </c>
      <c r="E471" s="102" t="b">
        <v>0</v>
      </c>
      <c r="F471" s="102" t="b">
        <v>0</v>
      </c>
      <c r="G471" s="102" t="b">
        <v>0</v>
      </c>
    </row>
    <row r="472" spans="1:7" ht="15">
      <c r="A472" s="104" t="s">
        <v>2808</v>
      </c>
      <c r="B472" s="102">
        <v>3</v>
      </c>
      <c r="C472" s="106">
        <v>0.0006886309208820411</v>
      </c>
      <c r="D472" s="102" t="s">
        <v>3369</v>
      </c>
      <c r="E472" s="102" t="b">
        <v>0</v>
      </c>
      <c r="F472" s="102" t="b">
        <v>0</v>
      </c>
      <c r="G472" s="102" t="b">
        <v>0</v>
      </c>
    </row>
    <row r="473" spans="1:7" ht="15">
      <c r="A473" s="104" t="s">
        <v>2809</v>
      </c>
      <c r="B473" s="102">
        <v>3</v>
      </c>
      <c r="C473" s="106">
        <v>0.0006886309208820411</v>
      </c>
      <c r="D473" s="102" t="s">
        <v>3369</v>
      </c>
      <c r="E473" s="102" t="b">
        <v>0</v>
      </c>
      <c r="F473" s="102" t="b">
        <v>0</v>
      </c>
      <c r="G473" s="102" t="b">
        <v>0</v>
      </c>
    </row>
    <row r="474" spans="1:7" ht="15">
      <c r="A474" s="104" t="s">
        <v>2810</v>
      </c>
      <c r="B474" s="102">
        <v>3</v>
      </c>
      <c r="C474" s="106">
        <v>0.0006886309208820411</v>
      </c>
      <c r="D474" s="102" t="s">
        <v>3369</v>
      </c>
      <c r="E474" s="102" t="b">
        <v>0</v>
      </c>
      <c r="F474" s="102" t="b">
        <v>0</v>
      </c>
      <c r="G474" s="102" t="b">
        <v>0</v>
      </c>
    </row>
    <row r="475" spans="1:7" ht="15">
      <c r="A475" s="104" t="s">
        <v>2811</v>
      </c>
      <c r="B475" s="102">
        <v>3</v>
      </c>
      <c r="C475" s="106">
        <v>0.0008524400035278396</v>
      </c>
      <c r="D475" s="102" t="s">
        <v>3369</v>
      </c>
      <c r="E475" s="102" t="b">
        <v>0</v>
      </c>
      <c r="F475" s="102" t="b">
        <v>0</v>
      </c>
      <c r="G475" s="102" t="b">
        <v>0</v>
      </c>
    </row>
    <row r="476" spans="1:7" ht="15">
      <c r="A476" s="104" t="s">
        <v>2812</v>
      </c>
      <c r="B476" s="102">
        <v>3</v>
      </c>
      <c r="C476" s="106">
        <v>0.0007490879793813594</v>
      </c>
      <c r="D476" s="102" t="s">
        <v>3369</v>
      </c>
      <c r="E476" s="102" t="b">
        <v>0</v>
      </c>
      <c r="F476" s="102" t="b">
        <v>0</v>
      </c>
      <c r="G476" s="102" t="b">
        <v>0</v>
      </c>
    </row>
    <row r="477" spans="1:7" ht="15">
      <c r="A477" s="104" t="s">
        <v>2813</v>
      </c>
      <c r="B477" s="102">
        <v>3</v>
      </c>
      <c r="C477" s="106">
        <v>0.0007490879793813594</v>
      </c>
      <c r="D477" s="102" t="s">
        <v>3369</v>
      </c>
      <c r="E477" s="102" t="b">
        <v>0</v>
      </c>
      <c r="F477" s="102" t="b">
        <v>0</v>
      </c>
      <c r="G477" s="102" t="b">
        <v>0</v>
      </c>
    </row>
    <row r="478" spans="1:7" ht="15">
      <c r="A478" s="104" t="s">
        <v>2814</v>
      </c>
      <c r="B478" s="102">
        <v>3</v>
      </c>
      <c r="C478" s="106">
        <v>0.0008524400035278396</v>
      </c>
      <c r="D478" s="102" t="s">
        <v>3369</v>
      </c>
      <c r="E478" s="102" t="b">
        <v>0</v>
      </c>
      <c r="F478" s="102" t="b">
        <v>0</v>
      </c>
      <c r="G478" s="102" t="b">
        <v>0</v>
      </c>
    </row>
    <row r="479" spans="1:7" ht="15">
      <c r="A479" s="104" t="s">
        <v>2815</v>
      </c>
      <c r="B479" s="102">
        <v>3</v>
      </c>
      <c r="C479" s="106">
        <v>0.0006886309208820411</v>
      </c>
      <c r="D479" s="102" t="s">
        <v>3369</v>
      </c>
      <c r="E479" s="102" t="b">
        <v>0</v>
      </c>
      <c r="F479" s="102" t="b">
        <v>0</v>
      </c>
      <c r="G479" s="102" t="b">
        <v>0</v>
      </c>
    </row>
    <row r="480" spans="1:7" ht="15">
      <c r="A480" s="104" t="s">
        <v>2816</v>
      </c>
      <c r="B480" s="102">
        <v>3</v>
      </c>
      <c r="C480" s="106">
        <v>0.0007490879793813594</v>
      </c>
      <c r="D480" s="102" t="s">
        <v>3369</v>
      </c>
      <c r="E480" s="102" t="b">
        <v>0</v>
      </c>
      <c r="F480" s="102" t="b">
        <v>0</v>
      </c>
      <c r="G480" s="102" t="b">
        <v>0</v>
      </c>
    </row>
    <row r="481" spans="1:7" ht="15">
      <c r="A481" s="104" t="s">
        <v>2817</v>
      </c>
      <c r="B481" s="102">
        <v>3</v>
      </c>
      <c r="C481" s="106">
        <v>0.0008524400035278396</v>
      </c>
      <c r="D481" s="102" t="s">
        <v>3369</v>
      </c>
      <c r="E481" s="102" t="b">
        <v>0</v>
      </c>
      <c r="F481" s="102" t="b">
        <v>0</v>
      </c>
      <c r="G481" s="102" t="b">
        <v>0</v>
      </c>
    </row>
    <row r="482" spans="1:7" ht="15">
      <c r="A482" s="104" t="s">
        <v>2818</v>
      </c>
      <c r="B482" s="102">
        <v>3</v>
      </c>
      <c r="C482" s="106">
        <v>0.0007490879793813594</v>
      </c>
      <c r="D482" s="102" t="s">
        <v>3369</v>
      </c>
      <c r="E482" s="102" t="b">
        <v>0</v>
      </c>
      <c r="F482" s="102" t="b">
        <v>0</v>
      </c>
      <c r="G482" s="102" t="b">
        <v>0</v>
      </c>
    </row>
    <row r="483" spans="1:7" ht="15">
      <c r="A483" s="104" t="s">
        <v>2819</v>
      </c>
      <c r="B483" s="102">
        <v>3</v>
      </c>
      <c r="C483" s="106">
        <v>0.0006886309208820411</v>
      </c>
      <c r="D483" s="102" t="s">
        <v>3369</v>
      </c>
      <c r="E483" s="102" t="b">
        <v>0</v>
      </c>
      <c r="F483" s="102" t="b">
        <v>0</v>
      </c>
      <c r="G483" s="102" t="b">
        <v>0</v>
      </c>
    </row>
    <row r="484" spans="1:7" ht="15">
      <c r="A484" s="104" t="s">
        <v>2820</v>
      </c>
      <c r="B484" s="102">
        <v>3</v>
      </c>
      <c r="C484" s="106">
        <v>0.0006886309208820411</v>
      </c>
      <c r="D484" s="102" t="s">
        <v>3369</v>
      </c>
      <c r="E484" s="102" t="b">
        <v>0</v>
      </c>
      <c r="F484" s="102" t="b">
        <v>0</v>
      </c>
      <c r="G484" s="102" t="b">
        <v>0</v>
      </c>
    </row>
    <row r="485" spans="1:7" ht="15">
      <c r="A485" s="104" t="s">
        <v>2821</v>
      </c>
      <c r="B485" s="102">
        <v>3</v>
      </c>
      <c r="C485" s="106">
        <v>0.0006886309208820411</v>
      </c>
      <c r="D485" s="102" t="s">
        <v>3369</v>
      </c>
      <c r="E485" s="102" t="b">
        <v>0</v>
      </c>
      <c r="F485" s="102" t="b">
        <v>1</v>
      </c>
      <c r="G485" s="102" t="b">
        <v>0</v>
      </c>
    </row>
    <row r="486" spans="1:7" ht="15">
      <c r="A486" s="104" t="s">
        <v>2822</v>
      </c>
      <c r="B486" s="102">
        <v>3</v>
      </c>
      <c r="C486" s="106">
        <v>0.0006886309208820411</v>
      </c>
      <c r="D486" s="102" t="s">
        <v>3369</v>
      </c>
      <c r="E486" s="102" t="b">
        <v>0</v>
      </c>
      <c r="F486" s="102" t="b">
        <v>0</v>
      </c>
      <c r="G486" s="102" t="b">
        <v>0</v>
      </c>
    </row>
    <row r="487" spans="1:7" ht="15">
      <c r="A487" s="104" t="s">
        <v>2823</v>
      </c>
      <c r="B487" s="102">
        <v>3</v>
      </c>
      <c r="C487" s="106">
        <v>0.0006886309208820411</v>
      </c>
      <c r="D487" s="102" t="s">
        <v>3369</v>
      </c>
      <c r="E487" s="102" t="b">
        <v>0</v>
      </c>
      <c r="F487" s="102" t="b">
        <v>0</v>
      </c>
      <c r="G487" s="102" t="b">
        <v>0</v>
      </c>
    </row>
    <row r="488" spans="1:7" ht="15">
      <c r="A488" s="104" t="s">
        <v>2824</v>
      </c>
      <c r="B488" s="102">
        <v>3</v>
      </c>
      <c r="C488" s="106">
        <v>0.0006886309208820411</v>
      </c>
      <c r="D488" s="102" t="s">
        <v>3369</v>
      </c>
      <c r="E488" s="102" t="b">
        <v>0</v>
      </c>
      <c r="F488" s="102" t="b">
        <v>0</v>
      </c>
      <c r="G488" s="102" t="b">
        <v>0</v>
      </c>
    </row>
    <row r="489" spans="1:7" ht="15">
      <c r="A489" s="104" t="s">
        <v>2825</v>
      </c>
      <c r="B489" s="102">
        <v>3</v>
      </c>
      <c r="C489" s="106">
        <v>0.0007490879793813594</v>
      </c>
      <c r="D489" s="102" t="s">
        <v>3369</v>
      </c>
      <c r="E489" s="102" t="b">
        <v>0</v>
      </c>
      <c r="F489" s="102" t="b">
        <v>0</v>
      </c>
      <c r="G489" s="102" t="b">
        <v>0</v>
      </c>
    </row>
    <row r="490" spans="1:7" ht="15">
      <c r="A490" s="104" t="s">
        <v>2826</v>
      </c>
      <c r="B490" s="102">
        <v>3</v>
      </c>
      <c r="C490" s="106">
        <v>0.0007490879793813594</v>
      </c>
      <c r="D490" s="102" t="s">
        <v>3369</v>
      </c>
      <c r="E490" s="102" t="b">
        <v>0</v>
      </c>
      <c r="F490" s="102" t="b">
        <v>0</v>
      </c>
      <c r="G490" s="102" t="b">
        <v>0</v>
      </c>
    </row>
    <row r="491" spans="1:7" ht="15">
      <c r="A491" s="104" t="s">
        <v>2827</v>
      </c>
      <c r="B491" s="102">
        <v>3</v>
      </c>
      <c r="C491" s="106">
        <v>0.0006886309208820411</v>
      </c>
      <c r="D491" s="102" t="s">
        <v>3369</v>
      </c>
      <c r="E491" s="102" t="b">
        <v>0</v>
      </c>
      <c r="F491" s="102" t="b">
        <v>0</v>
      </c>
      <c r="G491" s="102" t="b">
        <v>0</v>
      </c>
    </row>
    <row r="492" spans="1:7" ht="15">
      <c r="A492" s="104" t="s">
        <v>2828</v>
      </c>
      <c r="B492" s="102">
        <v>3</v>
      </c>
      <c r="C492" s="106">
        <v>0.0006886309208820411</v>
      </c>
      <c r="D492" s="102" t="s">
        <v>3369</v>
      </c>
      <c r="E492" s="102" t="b">
        <v>0</v>
      </c>
      <c r="F492" s="102" t="b">
        <v>0</v>
      </c>
      <c r="G492" s="102" t="b">
        <v>0</v>
      </c>
    </row>
    <row r="493" spans="1:7" ht="15">
      <c r="A493" s="104" t="s">
        <v>2829</v>
      </c>
      <c r="B493" s="102">
        <v>3</v>
      </c>
      <c r="C493" s="106">
        <v>0.0006886309208820411</v>
      </c>
      <c r="D493" s="102" t="s">
        <v>3369</v>
      </c>
      <c r="E493" s="102" t="b">
        <v>0</v>
      </c>
      <c r="F493" s="102" t="b">
        <v>0</v>
      </c>
      <c r="G493" s="102" t="b">
        <v>0</v>
      </c>
    </row>
    <row r="494" spans="1:7" ht="15">
      <c r="A494" s="104" t="s">
        <v>2830</v>
      </c>
      <c r="B494" s="102">
        <v>3</v>
      </c>
      <c r="C494" s="106">
        <v>0.0006886309208820411</v>
      </c>
      <c r="D494" s="102" t="s">
        <v>3369</v>
      </c>
      <c r="E494" s="102" t="b">
        <v>1</v>
      </c>
      <c r="F494" s="102" t="b">
        <v>0</v>
      </c>
      <c r="G494" s="102" t="b">
        <v>0</v>
      </c>
    </row>
    <row r="495" spans="1:7" ht="15">
      <c r="A495" s="104" t="s">
        <v>2831</v>
      </c>
      <c r="B495" s="102">
        <v>3</v>
      </c>
      <c r="C495" s="106">
        <v>0.0007490879793813594</v>
      </c>
      <c r="D495" s="102" t="s">
        <v>3369</v>
      </c>
      <c r="E495" s="102" t="b">
        <v>1</v>
      </c>
      <c r="F495" s="102" t="b">
        <v>0</v>
      </c>
      <c r="G495" s="102" t="b">
        <v>0</v>
      </c>
    </row>
    <row r="496" spans="1:7" ht="15">
      <c r="A496" s="104" t="s">
        <v>2832</v>
      </c>
      <c r="B496" s="102">
        <v>3</v>
      </c>
      <c r="C496" s="106">
        <v>0.0006886309208820411</v>
      </c>
      <c r="D496" s="102" t="s">
        <v>3369</v>
      </c>
      <c r="E496" s="102" t="b">
        <v>0</v>
      </c>
      <c r="F496" s="102" t="b">
        <v>0</v>
      </c>
      <c r="G496" s="102" t="b">
        <v>0</v>
      </c>
    </row>
    <row r="497" spans="1:7" ht="15">
      <c r="A497" s="104" t="s">
        <v>2833</v>
      </c>
      <c r="B497" s="102">
        <v>3</v>
      </c>
      <c r="C497" s="106">
        <v>0.0007490879793813594</v>
      </c>
      <c r="D497" s="102" t="s">
        <v>3369</v>
      </c>
      <c r="E497" s="102" t="b">
        <v>0</v>
      </c>
      <c r="F497" s="102" t="b">
        <v>0</v>
      </c>
      <c r="G497" s="102" t="b">
        <v>0</v>
      </c>
    </row>
    <row r="498" spans="1:7" ht="15">
      <c r="A498" s="104" t="s">
        <v>2834</v>
      </c>
      <c r="B498" s="102">
        <v>3</v>
      </c>
      <c r="C498" s="106">
        <v>0.0007490879793813594</v>
      </c>
      <c r="D498" s="102" t="s">
        <v>3369</v>
      </c>
      <c r="E498" s="102" t="b">
        <v>0</v>
      </c>
      <c r="F498" s="102" t="b">
        <v>0</v>
      </c>
      <c r="G498" s="102" t="b">
        <v>0</v>
      </c>
    </row>
    <row r="499" spans="1:7" ht="15">
      <c r="A499" s="104" t="s">
        <v>2835</v>
      </c>
      <c r="B499" s="102">
        <v>3</v>
      </c>
      <c r="C499" s="106">
        <v>0.0008524400035278396</v>
      </c>
      <c r="D499" s="102" t="s">
        <v>3369</v>
      </c>
      <c r="E499" s="102" t="b">
        <v>0</v>
      </c>
      <c r="F499" s="102" t="b">
        <v>0</v>
      </c>
      <c r="G499" s="102" t="b">
        <v>0</v>
      </c>
    </row>
    <row r="500" spans="1:7" ht="15">
      <c r="A500" s="104" t="s">
        <v>2836</v>
      </c>
      <c r="B500" s="102">
        <v>3</v>
      </c>
      <c r="C500" s="106">
        <v>0.0006886309208820411</v>
      </c>
      <c r="D500" s="102" t="s">
        <v>3369</v>
      </c>
      <c r="E500" s="102" t="b">
        <v>0</v>
      </c>
      <c r="F500" s="102" t="b">
        <v>0</v>
      </c>
      <c r="G500" s="102" t="b">
        <v>0</v>
      </c>
    </row>
    <row r="501" spans="1:7" ht="15">
      <c r="A501" s="104" t="s">
        <v>2837</v>
      </c>
      <c r="B501" s="102">
        <v>3</v>
      </c>
      <c r="C501" s="106">
        <v>0.0008524400035278396</v>
      </c>
      <c r="D501" s="102" t="s">
        <v>3369</v>
      </c>
      <c r="E501" s="102" t="b">
        <v>0</v>
      </c>
      <c r="F501" s="102" t="b">
        <v>0</v>
      </c>
      <c r="G501" s="102" t="b">
        <v>0</v>
      </c>
    </row>
    <row r="502" spans="1:7" ht="15">
      <c r="A502" s="104" t="s">
        <v>2838</v>
      </c>
      <c r="B502" s="102">
        <v>3</v>
      </c>
      <c r="C502" s="106">
        <v>0.0008524400035278396</v>
      </c>
      <c r="D502" s="102" t="s">
        <v>3369</v>
      </c>
      <c r="E502" s="102" t="b">
        <v>0</v>
      </c>
      <c r="F502" s="102" t="b">
        <v>0</v>
      </c>
      <c r="G502" s="102" t="b">
        <v>0</v>
      </c>
    </row>
    <row r="503" spans="1:7" ht="15">
      <c r="A503" s="104" t="s">
        <v>2839</v>
      </c>
      <c r="B503" s="102">
        <v>3</v>
      </c>
      <c r="C503" s="106">
        <v>0.0008524400035278396</v>
      </c>
      <c r="D503" s="102" t="s">
        <v>3369</v>
      </c>
      <c r="E503" s="102" t="b">
        <v>0</v>
      </c>
      <c r="F503" s="102" t="b">
        <v>0</v>
      </c>
      <c r="G503" s="102" t="b">
        <v>0</v>
      </c>
    </row>
    <row r="504" spans="1:7" ht="15">
      <c r="A504" s="104" t="s">
        <v>2840</v>
      </c>
      <c r="B504" s="102">
        <v>3</v>
      </c>
      <c r="C504" s="106">
        <v>0.0006886309208820411</v>
      </c>
      <c r="D504" s="102" t="s">
        <v>3369</v>
      </c>
      <c r="E504" s="102" t="b">
        <v>0</v>
      </c>
      <c r="F504" s="102" t="b">
        <v>0</v>
      </c>
      <c r="G504" s="102" t="b">
        <v>0</v>
      </c>
    </row>
    <row r="505" spans="1:7" ht="15">
      <c r="A505" s="104" t="s">
        <v>2841</v>
      </c>
      <c r="B505" s="102">
        <v>3</v>
      </c>
      <c r="C505" s="106">
        <v>0.0007490879793813594</v>
      </c>
      <c r="D505" s="102" t="s">
        <v>3369</v>
      </c>
      <c r="E505" s="102" t="b">
        <v>0</v>
      </c>
      <c r="F505" s="102" t="b">
        <v>0</v>
      </c>
      <c r="G505" s="102" t="b">
        <v>0</v>
      </c>
    </row>
    <row r="506" spans="1:7" ht="15">
      <c r="A506" s="104" t="s">
        <v>2842</v>
      </c>
      <c r="B506" s="102">
        <v>3</v>
      </c>
      <c r="C506" s="106">
        <v>0.0006886309208820411</v>
      </c>
      <c r="D506" s="102" t="s">
        <v>3369</v>
      </c>
      <c r="E506" s="102" t="b">
        <v>1</v>
      </c>
      <c r="F506" s="102" t="b">
        <v>0</v>
      </c>
      <c r="G506" s="102" t="b">
        <v>0</v>
      </c>
    </row>
    <row r="507" spans="1:7" ht="15">
      <c r="A507" s="104" t="s">
        <v>2843</v>
      </c>
      <c r="B507" s="102">
        <v>3</v>
      </c>
      <c r="C507" s="106">
        <v>0.0008524400035278396</v>
      </c>
      <c r="D507" s="102" t="s">
        <v>3369</v>
      </c>
      <c r="E507" s="102" t="b">
        <v>0</v>
      </c>
      <c r="F507" s="102" t="b">
        <v>0</v>
      </c>
      <c r="G507" s="102" t="b">
        <v>0</v>
      </c>
    </row>
    <row r="508" spans="1:7" ht="15">
      <c r="A508" s="104" t="s">
        <v>2844</v>
      </c>
      <c r="B508" s="102">
        <v>3</v>
      </c>
      <c r="C508" s="106">
        <v>0.0006886309208820411</v>
      </c>
      <c r="D508" s="102" t="s">
        <v>3369</v>
      </c>
      <c r="E508" s="102" t="b">
        <v>0</v>
      </c>
      <c r="F508" s="102" t="b">
        <v>0</v>
      </c>
      <c r="G508" s="102" t="b">
        <v>0</v>
      </c>
    </row>
    <row r="509" spans="1:7" ht="15">
      <c r="A509" s="104" t="s">
        <v>2845</v>
      </c>
      <c r="B509" s="102">
        <v>3</v>
      </c>
      <c r="C509" s="106">
        <v>0.0006886309208820411</v>
      </c>
      <c r="D509" s="102" t="s">
        <v>3369</v>
      </c>
      <c r="E509" s="102" t="b">
        <v>0</v>
      </c>
      <c r="F509" s="102" t="b">
        <v>0</v>
      </c>
      <c r="G509" s="102" t="b">
        <v>0</v>
      </c>
    </row>
    <row r="510" spans="1:7" ht="15">
      <c r="A510" s="104" t="s">
        <v>2846</v>
      </c>
      <c r="B510" s="102">
        <v>3</v>
      </c>
      <c r="C510" s="106">
        <v>0.0006886309208820411</v>
      </c>
      <c r="D510" s="102" t="s">
        <v>3369</v>
      </c>
      <c r="E510" s="102" t="b">
        <v>0</v>
      </c>
      <c r="F510" s="102" t="b">
        <v>0</v>
      </c>
      <c r="G510" s="102" t="b">
        <v>0</v>
      </c>
    </row>
    <row r="511" spans="1:7" ht="15">
      <c r="A511" s="104" t="s">
        <v>2847</v>
      </c>
      <c r="B511" s="102">
        <v>3</v>
      </c>
      <c r="C511" s="106">
        <v>0.0006886309208820411</v>
      </c>
      <c r="D511" s="102" t="s">
        <v>3369</v>
      </c>
      <c r="E511" s="102" t="b">
        <v>0</v>
      </c>
      <c r="F511" s="102" t="b">
        <v>0</v>
      </c>
      <c r="G511" s="102" t="b">
        <v>0</v>
      </c>
    </row>
    <row r="512" spans="1:7" ht="15">
      <c r="A512" s="104" t="s">
        <v>2848</v>
      </c>
      <c r="B512" s="102">
        <v>3</v>
      </c>
      <c r="C512" s="106">
        <v>0.0006886309208820411</v>
      </c>
      <c r="D512" s="102" t="s">
        <v>3369</v>
      </c>
      <c r="E512" s="102" t="b">
        <v>0</v>
      </c>
      <c r="F512" s="102" t="b">
        <v>0</v>
      </c>
      <c r="G512" s="102" t="b">
        <v>0</v>
      </c>
    </row>
    <row r="513" spans="1:7" ht="15">
      <c r="A513" s="104" t="s">
        <v>2849</v>
      </c>
      <c r="B513" s="102">
        <v>3</v>
      </c>
      <c r="C513" s="106">
        <v>0.0006886309208820411</v>
      </c>
      <c r="D513" s="102" t="s">
        <v>3369</v>
      </c>
      <c r="E513" s="102" t="b">
        <v>0</v>
      </c>
      <c r="F513" s="102" t="b">
        <v>0</v>
      </c>
      <c r="G513" s="102" t="b">
        <v>0</v>
      </c>
    </row>
    <row r="514" spans="1:7" ht="15">
      <c r="A514" s="104" t="s">
        <v>2850</v>
      </c>
      <c r="B514" s="102">
        <v>3</v>
      </c>
      <c r="C514" s="106">
        <v>0.0007490879793813594</v>
      </c>
      <c r="D514" s="102" t="s">
        <v>3369</v>
      </c>
      <c r="E514" s="102" t="b">
        <v>0</v>
      </c>
      <c r="F514" s="102" t="b">
        <v>0</v>
      </c>
      <c r="G514" s="102" t="b">
        <v>0</v>
      </c>
    </row>
    <row r="515" spans="1:7" ht="15">
      <c r="A515" s="104" t="s">
        <v>2851</v>
      </c>
      <c r="B515" s="102">
        <v>3</v>
      </c>
      <c r="C515" s="106">
        <v>0.0007490879793813594</v>
      </c>
      <c r="D515" s="102" t="s">
        <v>3369</v>
      </c>
      <c r="E515" s="102" t="b">
        <v>0</v>
      </c>
      <c r="F515" s="102" t="b">
        <v>0</v>
      </c>
      <c r="G515" s="102" t="b">
        <v>0</v>
      </c>
    </row>
    <row r="516" spans="1:7" ht="15">
      <c r="A516" s="104" t="s">
        <v>2852</v>
      </c>
      <c r="B516" s="102">
        <v>3</v>
      </c>
      <c r="C516" s="106">
        <v>0.0007490879793813594</v>
      </c>
      <c r="D516" s="102" t="s">
        <v>3369</v>
      </c>
      <c r="E516" s="102" t="b">
        <v>0</v>
      </c>
      <c r="F516" s="102" t="b">
        <v>0</v>
      </c>
      <c r="G516" s="102" t="b">
        <v>0</v>
      </c>
    </row>
    <row r="517" spans="1:7" ht="15">
      <c r="A517" s="104" t="s">
        <v>2853</v>
      </c>
      <c r="B517" s="102">
        <v>3</v>
      </c>
      <c r="C517" s="106">
        <v>0.0007490879793813594</v>
      </c>
      <c r="D517" s="102" t="s">
        <v>3369</v>
      </c>
      <c r="E517" s="102" t="b">
        <v>0</v>
      </c>
      <c r="F517" s="102" t="b">
        <v>0</v>
      </c>
      <c r="G517" s="102" t="b">
        <v>0</v>
      </c>
    </row>
    <row r="518" spans="1:7" ht="15">
      <c r="A518" s="104" t="s">
        <v>2854</v>
      </c>
      <c r="B518" s="102">
        <v>3</v>
      </c>
      <c r="C518" s="106">
        <v>0.0006886309208820411</v>
      </c>
      <c r="D518" s="102" t="s">
        <v>3369</v>
      </c>
      <c r="E518" s="102" t="b">
        <v>0</v>
      </c>
      <c r="F518" s="102" t="b">
        <v>0</v>
      </c>
      <c r="G518" s="102" t="b">
        <v>0</v>
      </c>
    </row>
    <row r="519" spans="1:7" ht="15">
      <c r="A519" s="104" t="s">
        <v>2855</v>
      </c>
      <c r="B519" s="102">
        <v>3</v>
      </c>
      <c r="C519" s="106">
        <v>0.0006886309208820411</v>
      </c>
      <c r="D519" s="102" t="s">
        <v>3369</v>
      </c>
      <c r="E519" s="102" t="b">
        <v>0</v>
      </c>
      <c r="F519" s="102" t="b">
        <v>0</v>
      </c>
      <c r="G519" s="102" t="b">
        <v>0</v>
      </c>
    </row>
    <row r="520" spans="1:7" ht="15">
      <c r="A520" s="104" t="s">
        <v>2856</v>
      </c>
      <c r="B520" s="102">
        <v>3</v>
      </c>
      <c r="C520" s="106">
        <v>0.0006886309208820411</v>
      </c>
      <c r="D520" s="102" t="s">
        <v>3369</v>
      </c>
      <c r="E520" s="102" t="b">
        <v>0</v>
      </c>
      <c r="F520" s="102" t="b">
        <v>0</v>
      </c>
      <c r="G520" s="102" t="b">
        <v>0</v>
      </c>
    </row>
    <row r="521" spans="1:7" ht="15">
      <c r="A521" s="104" t="s">
        <v>2857</v>
      </c>
      <c r="B521" s="102">
        <v>3</v>
      </c>
      <c r="C521" s="106">
        <v>0.0006886309208820411</v>
      </c>
      <c r="D521" s="102" t="s">
        <v>3369</v>
      </c>
      <c r="E521" s="102" t="b">
        <v>0</v>
      </c>
      <c r="F521" s="102" t="b">
        <v>0</v>
      </c>
      <c r="G521" s="102" t="b">
        <v>0</v>
      </c>
    </row>
    <row r="522" spans="1:7" ht="15">
      <c r="A522" s="104" t="s">
        <v>2858</v>
      </c>
      <c r="B522" s="102">
        <v>3</v>
      </c>
      <c r="C522" s="106">
        <v>0.0007490879793813594</v>
      </c>
      <c r="D522" s="102" t="s">
        <v>3369</v>
      </c>
      <c r="E522" s="102" t="b">
        <v>0</v>
      </c>
      <c r="F522" s="102" t="b">
        <v>0</v>
      </c>
      <c r="G522" s="102" t="b">
        <v>0</v>
      </c>
    </row>
    <row r="523" spans="1:7" ht="15">
      <c r="A523" s="104" t="s">
        <v>2859</v>
      </c>
      <c r="B523" s="102">
        <v>3</v>
      </c>
      <c r="C523" s="106">
        <v>0.0007490879793813594</v>
      </c>
      <c r="D523" s="102" t="s">
        <v>3369</v>
      </c>
      <c r="E523" s="102" t="b">
        <v>0</v>
      </c>
      <c r="F523" s="102" t="b">
        <v>1</v>
      </c>
      <c r="G523" s="102" t="b">
        <v>0</v>
      </c>
    </row>
    <row r="524" spans="1:7" ht="15">
      <c r="A524" s="104" t="s">
        <v>2860</v>
      </c>
      <c r="B524" s="102">
        <v>3</v>
      </c>
      <c r="C524" s="106">
        <v>0.0008524400035278396</v>
      </c>
      <c r="D524" s="102" t="s">
        <v>3369</v>
      </c>
      <c r="E524" s="102" t="b">
        <v>0</v>
      </c>
      <c r="F524" s="102" t="b">
        <v>0</v>
      </c>
      <c r="G524" s="102" t="b">
        <v>0</v>
      </c>
    </row>
    <row r="525" spans="1:7" ht="15">
      <c r="A525" s="104" t="s">
        <v>2861</v>
      </c>
      <c r="B525" s="102">
        <v>3</v>
      </c>
      <c r="C525" s="106">
        <v>0.0006886309208820411</v>
      </c>
      <c r="D525" s="102" t="s">
        <v>3369</v>
      </c>
      <c r="E525" s="102" t="b">
        <v>0</v>
      </c>
      <c r="F525" s="102" t="b">
        <v>0</v>
      </c>
      <c r="G525" s="102" t="b">
        <v>0</v>
      </c>
    </row>
    <row r="526" spans="1:7" ht="15">
      <c r="A526" s="104" t="s">
        <v>2862</v>
      </c>
      <c r="B526" s="102">
        <v>3</v>
      </c>
      <c r="C526" s="106">
        <v>0.0006886309208820411</v>
      </c>
      <c r="D526" s="102" t="s">
        <v>3369</v>
      </c>
      <c r="E526" s="102" t="b">
        <v>0</v>
      </c>
      <c r="F526" s="102" t="b">
        <v>0</v>
      </c>
      <c r="G526" s="102" t="b">
        <v>0</v>
      </c>
    </row>
    <row r="527" spans="1:7" ht="15">
      <c r="A527" s="104" t="s">
        <v>2863</v>
      </c>
      <c r="B527" s="102">
        <v>3</v>
      </c>
      <c r="C527" s="106">
        <v>0.0006886309208820411</v>
      </c>
      <c r="D527" s="102" t="s">
        <v>3369</v>
      </c>
      <c r="E527" s="102" t="b">
        <v>0</v>
      </c>
      <c r="F527" s="102" t="b">
        <v>0</v>
      </c>
      <c r="G527" s="102" t="b">
        <v>0</v>
      </c>
    </row>
    <row r="528" spans="1:7" ht="15">
      <c r="A528" s="104" t="s">
        <v>2864</v>
      </c>
      <c r="B528" s="102">
        <v>3</v>
      </c>
      <c r="C528" s="106">
        <v>0.0007490879793813594</v>
      </c>
      <c r="D528" s="102" t="s">
        <v>3369</v>
      </c>
      <c r="E528" s="102" t="b">
        <v>0</v>
      </c>
      <c r="F528" s="102" t="b">
        <v>0</v>
      </c>
      <c r="G528" s="102" t="b">
        <v>0</v>
      </c>
    </row>
    <row r="529" spans="1:7" ht="15">
      <c r="A529" s="104" t="s">
        <v>2865</v>
      </c>
      <c r="B529" s="102">
        <v>3</v>
      </c>
      <c r="C529" s="106">
        <v>0.0007490879793813594</v>
      </c>
      <c r="D529" s="102" t="s">
        <v>3369</v>
      </c>
      <c r="E529" s="102" t="b">
        <v>0</v>
      </c>
      <c r="F529" s="102" t="b">
        <v>0</v>
      </c>
      <c r="G529" s="102" t="b">
        <v>0</v>
      </c>
    </row>
    <row r="530" spans="1:7" ht="15">
      <c r="A530" s="104" t="s">
        <v>2866</v>
      </c>
      <c r="B530" s="102">
        <v>3</v>
      </c>
      <c r="C530" s="106">
        <v>0.0007490879793813594</v>
      </c>
      <c r="D530" s="102" t="s">
        <v>3369</v>
      </c>
      <c r="E530" s="102" t="b">
        <v>0</v>
      </c>
      <c r="F530" s="102" t="b">
        <v>0</v>
      </c>
      <c r="G530" s="102" t="b">
        <v>0</v>
      </c>
    </row>
    <row r="531" spans="1:7" ht="15">
      <c r="A531" s="104" t="s">
        <v>2867</v>
      </c>
      <c r="B531" s="102">
        <v>3</v>
      </c>
      <c r="C531" s="106">
        <v>0.0006886309208820411</v>
      </c>
      <c r="D531" s="102" t="s">
        <v>3369</v>
      </c>
      <c r="E531" s="102" t="b">
        <v>0</v>
      </c>
      <c r="F531" s="102" t="b">
        <v>0</v>
      </c>
      <c r="G531" s="102" t="b">
        <v>0</v>
      </c>
    </row>
    <row r="532" spans="1:7" ht="15">
      <c r="A532" s="104" t="s">
        <v>2868</v>
      </c>
      <c r="B532" s="102">
        <v>3</v>
      </c>
      <c r="C532" s="106">
        <v>0.0008524400035278396</v>
      </c>
      <c r="D532" s="102" t="s">
        <v>3369</v>
      </c>
      <c r="E532" s="102" t="b">
        <v>1</v>
      </c>
      <c r="F532" s="102" t="b">
        <v>0</v>
      </c>
      <c r="G532" s="102" t="b">
        <v>0</v>
      </c>
    </row>
    <row r="533" spans="1:7" ht="15">
      <c r="A533" s="104" t="s">
        <v>2869</v>
      </c>
      <c r="B533" s="102">
        <v>3</v>
      </c>
      <c r="C533" s="106">
        <v>0.0006886309208820411</v>
      </c>
      <c r="D533" s="102" t="s">
        <v>3369</v>
      </c>
      <c r="E533" s="102" t="b">
        <v>0</v>
      </c>
      <c r="F533" s="102" t="b">
        <v>0</v>
      </c>
      <c r="G533" s="102" t="b">
        <v>0</v>
      </c>
    </row>
    <row r="534" spans="1:7" ht="15">
      <c r="A534" s="104" t="s">
        <v>2870</v>
      </c>
      <c r="B534" s="102">
        <v>3</v>
      </c>
      <c r="C534" s="106">
        <v>0.0006886309208820411</v>
      </c>
      <c r="D534" s="102" t="s">
        <v>3369</v>
      </c>
      <c r="E534" s="102" t="b">
        <v>0</v>
      </c>
      <c r="F534" s="102" t="b">
        <v>0</v>
      </c>
      <c r="G534" s="102" t="b">
        <v>0</v>
      </c>
    </row>
    <row r="535" spans="1:7" ht="15">
      <c r="A535" s="104" t="s">
        <v>2871</v>
      </c>
      <c r="B535" s="102">
        <v>3</v>
      </c>
      <c r="C535" s="106">
        <v>0.0008524400035278396</v>
      </c>
      <c r="D535" s="102" t="s">
        <v>3369</v>
      </c>
      <c r="E535" s="102" t="b">
        <v>0</v>
      </c>
      <c r="F535" s="102" t="b">
        <v>0</v>
      </c>
      <c r="G535" s="102" t="b">
        <v>0</v>
      </c>
    </row>
    <row r="536" spans="1:7" ht="15">
      <c r="A536" s="104" t="s">
        <v>2872</v>
      </c>
      <c r="B536" s="102">
        <v>3</v>
      </c>
      <c r="C536" s="106">
        <v>0.0008524400035278396</v>
      </c>
      <c r="D536" s="102" t="s">
        <v>3369</v>
      </c>
      <c r="E536" s="102" t="b">
        <v>0</v>
      </c>
      <c r="F536" s="102" t="b">
        <v>0</v>
      </c>
      <c r="G536" s="102" t="b">
        <v>0</v>
      </c>
    </row>
    <row r="537" spans="1:7" ht="15">
      <c r="A537" s="104" t="s">
        <v>2873</v>
      </c>
      <c r="B537" s="102">
        <v>3</v>
      </c>
      <c r="C537" s="106">
        <v>0.0008524400035278396</v>
      </c>
      <c r="D537" s="102" t="s">
        <v>3369</v>
      </c>
      <c r="E537" s="102" t="b">
        <v>1</v>
      </c>
      <c r="F537" s="102" t="b">
        <v>0</v>
      </c>
      <c r="G537" s="102" t="b">
        <v>0</v>
      </c>
    </row>
    <row r="538" spans="1:7" ht="15">
      <c r="A538" s="104" t="s">
        <v>2874</v>
      </c>
      <c r="B538" s="102">
        <v>3</v>
      </c>
      <c r="C538" s="106">
        <v>0.0008524400035278396</v>
      </c>
      <c r="D538" s="102" t="s">
        <v>3369</v>
      </c>
      <c r="E538" s="102" t="b">
        <v>0</v>
      </c>
      <c r="F538" s="102" t="b">
        <v>0</v>
      </c>
      <c r="G538" s="102" t="b">
        <v>0</v>
      </c>
    </row>
    <row r="539" spans="1:7" ht="15">
      <c r="A539" s="104" t="s">
        <v>2875</v>
      </c>
      <c r="B539" s="102">
        <v>3</v>
      </c>
      <c r="C539" s="106">
        <v>0.0006886309208820411</v>
      </c>
      <c r="D539" s="102" t="s">
        <v>3369</v>
      </c>
      <c r="E539" s="102" t="b">
        <v>0</v>
      </c>
      <c r="F539" s="102" t="b">
        <v>0</v>
      </c>
      <c r="G539" s="102" t="b">
        <v>0</v>
      </c>
    </row>
    <row r="540" spans="1:7" ht="15">
      <c r="A540" s="104" t="s">
        <v>2876</v>
      </c>
      <c r="B540" s="102">
        <v>3</v>
      </c>
      <c r="C540" s="106">
        <v>0.0007490879793813594</v>
      </c>
      <c r="D540" s="102" t="s">
        <v>3369</v>
      </c>
      <c r="E540" s="102" t="b">
        <v>0</v>
      </c>
      <c r="F540" s="102" t="b">
        <v>0</v>
      </c>
      <c r="G540" s="102" t="b">
        <v>0</v>
      </c>
    </row>
    <row r="541" spans="1:7" ht="15">
      <c r="A541" s="104" t="s">
        <v>2877</v>
      </c>
      <c r="B541" s="102">
        <v>3</v>
      </c>
      <c r="C541" s="106">
        <v>0.0008524400035278396</v>
      </c>
      <c r="D541" s="102" t="s">
        <v>3369</v>
      </c>
      <c r="E541" s="102" t="b">
        <v>0</v>
      </c>
      <c r="F541" s="102" t="b">
        <v>0</v>
      </c>
      <c r="G541" s="102" t="b">
        <v>0</v>
      </c>
    </row>
    <row r="542" spans="1:7" ht="15">
      <c r="A542" s="104" t="s">
        <v>2878</v>
      </c>
      <c r="B542" s="102">
        <v>3</v>
      </c>
      <c r="C542" s="106">
        <v>0.0006886309208820411</v>
      </c>
      <c r="D542" s="102" t="s">
        <v>3369</v>
      </c>
      <c r="E542" s="102" t="b">
        <v>0</v>
      </c>
      <c r="F542" s="102" t="b">
        <v>1</v>
      </c>
      <c r="G542" s="102" t="b">
        <v>0</v>
      </c>
    </row>
    <row r="543" spans="1:7" ht="15">
      <c r="A543" s="104" t="s">
        <v>2879</v>
      </c>
      <c r="B543" s="102">
        <v>3</v>
      </c>
      <c r="C543" s="106">
        <v>0.0007490879793813594</v>
      </c>
      <c r="D543" s="102" t="s">
        <v>3369</v>
      </c>
      <c r="E543" s="102" t="b">
        <v>0</v>
      </c>
      <c r="F543" s="102" t="b">
        <v>1</v>
      </c>
      <c r="G543" s="102" t="b">
        <v>0</v>
      </c>
    </row>
    <row r="544" spans="1:7" ht="15">
      <c r="A544" s="104" t="s">
        <v>2880</v>
      </c>
      <c r="B544" s="102">
        <v>3</v>
      </c>
      <c r="C544" s="106">
        <v>0.0007490879793813594</v>
      </c>
      <c r="D544" s="102" t="s">
        <v>3369</v>
      </c>
      <c r="E544" s="102" t="b">
        <v>0</v>
      </c>
      <c r="F544" s="102" t="b">
        <v>0</v>
      </c>
      <c r="G544" s="102" t="b">
        <v>0</v>
      </c>
    </row>
    <row r="545" spans="1:7" ht="15">
      <c r="A545" s="104" t="s">
        <v>2881</v>
      </c>
      <c r="B545" s="102">
        <v>3</v>
      </c>
      <c r="C545" s="106">
        <v>0.0008524400035278396</v>
      </c>
      <c r="D545" s="102" t="s">
        <v>3369</v>
      </c>
      <c r="E545" s="102" t="b">
        <v>0</v>
      </c>
      <c r="F545" s="102" t="b">
        <v>0</v>
      </c>
      <c r="G545" s="102" t="b">
        <v>0</v>
      </c>
    </row>
    <row r="546" spans="1:7" ht="15">
      <c r="A546" s="104" t="s">
        <v>2882</v>
      </c>
      <c r="B546" s="102">
        <v>3</v>
      </c>
      <c r="C546" s="106">
        <v>0.0007490879793813594</v>
      </c>
      <c r="D546" s="102" t="s">
        <v>3369</v>
      </c>
      <c r="E546" s="102" t="b">
        <v>0</v>
      </c>
      <c r="F546" s="102" t="b">
        <v>0</v>
      </c>
      <c r="G546" s="102" t="b">
        <v>0</v>
      </c>
    </row>
    <row r="547" spans="1:7" ht="15">
      <c r="A547" s="104" t="s">
        <v>2883</v>
      </c>
      <c r="B547" s="102">
        <v>3</v>
      </c>
      <c r="C547" s="106">
        <v>0.0006886309208820411</v>
      </c>
      <c r="D547" s="102" t="s">
        <v>3369</v>
      </c>
      <c r="E547" s="102" t="b">
        <v>0</v>
      </c>
      <c r="F547" s="102" t="b">
        <v>0</v>
      </c>
      <c r="G547" s="102" t="b">
        <v>0</v>
      </c>
    </row>
    <row r="548" spans="1:7" ht="15">
      <c r="A548" s="104" t="s">
        <v>2884</v>
      </c>
      <c r="B548" s="102">
        <v>3</v>
      </c>
      <c r="C548" s="106">
        <v>0.0006886309208820411</v>
      </c>
      <c r="D548" s="102" t="s">
        <v>3369</v>
      </c>
      <c r="E548" s="102" t="b">
        <v>0</v>
      </c>
      <c r="F548" s="102" t="b">
        <v>0</v>
      </c>
      <c r="G548" s="102" t="b">
        <v>0</v>
      </c>
    </row>
    <row r="549" spans="1:7" ht="15">
      <c r="A549" s="104" t="s">
        <v>2885</v>
      </c>
      <c r="B549" s="102">
        <v>3</v>
      </c>
      <c r="C549" s="106">
        <v>0.0006886309208820411</v>
      </c>
      <c r="D549" s="102" t="s">
        <v>3369</v>
      </c>
      <c r="E549" s="102" t="b">
        <v>0</v>
      </c>
      <c r="F549" s="102" t="b">
        <v>0</v>
      </c>
      <c r="G549" s="102" t="b">
        <v>0</v>
      </c>
    </row>
    <row r="550" spans="1:7" ht="15">
      <c r="A550" s="104" t="s">
        <v>2886</v>
      </c>
      <c r="B550" s="102">
        <v>3</v>
      </c>
      <c r="C550" s="106">
        <v>0.0008524400035278396</v>
      </c>
      <c r="D550" s="102" t="s">
        <v>3369</v>
      </c>
      <c r="E550" s="102" t="b">
        <v>0</v>
      </c>
      <c r="F550" s="102" t="b">
        <v>0</v>
      </c>
      <c r="G550" s="102" t="b">
        <v>0</v>
      </c>
    </row>
    <row r="551" spans="1:7" ht="15">
      <c r="A551" s="104" t="s">
        <v>2887</v>
      </c>
      <c r="B551" s="102">
        <v>3</v>
      </c>
      <c r="C551" s="106">
        <v>0.0006886309208820411</v>
      </c>
      <c r="D551" s="102" t="s">
        <v>3369</v>
      </c>
      <c r="E551" s="102" t="b">
        <v>0</v>
      </c>
      <c r="F551" s="102" t="b">
        <v>0</v>
      </c>
      <c r="G551" s="102" t="b">
        <v>0</v>
      </c>
    </row>
    <row r="552" spans="1:7" ht="15">
      <c r="A552" s="104" t="s">
        <v>2888</v>
      </c>
      <c r="B552" s="102">
        <v>3</v>
      </c>
      <c r="C552" s="106">
        <v>0.0006886309208820411</v>
      </c>
      <c r="D552" s="102" t="s">
        <v>3369</v>
      </c>
      <c r="E552" s="102" t="b">
        <v>0</v>
      </c>
      <c r="F552" s="102" t="b">
        <v>0</v>
      </c>
      <c r="G552" s="102" t="b">
        <v>0</v>
      </c>
    </row>
    <row r="553" spans="1:7" ht="15">
      <c r="A553" s="104" t="s">
        <v>2889</v>
      </c>
      <c r="B553" s="102">
        <v>3</v>
      </c>
      <c r="C553" s="106">
        <v>0.0006886309208820411</v>
      </c>
      <c r="D553" s="102" t="s">
        <v>3369</v>
      </c>
      <c r="E553" s="102" t="b">
        <v>0</v>
      </c>
      <c r="F553" s="102" t="b">
        <v>0</v>
      </c>
      <c r="G553" s="102" t="b">
        <v>0</v>
      </c>
    </row>
    <row r="554" spans="1:7" ht="15">
      <c r="A554" s="104" t="s">
        <v>2890</v>
      </c>
      <c r="B554" s="102">
        <v>3</v>
      </c>
      <c r="C554" s="106">
        <v>0.0008524400035278396</v>
      </c>
      <c r="D554" s="102" t="s">
        <v>3369</v>
      </c>
      <c r="E554" s="102" t="b">
        <v>0</v>
      </c>
      <c r="F554" s="102" t="b">
        <v>0</v>
      </c>
      <c r="G554" s="102" t="b">
        <v>0</v>
      </c>
    </row>
    <row r="555" spans="1:7" ht="15">
      <c r="A555" s="104" t="s">
        <v>2891</v>
      </c>
      <c r="B555" s="102">
        <v>3</v>
      </c>
      <c r="C555" s="106">
        <v>0.0006886309208820411</v>
      </c>
      <c r="D555" s="102" t="s">
        <v>3369</v>
      </c>
      <c r="E555" s="102" t="b">
        <v>0</v>
      </c>
      <c r="F555" s="102" t="b">
        <v>0</v>
      </c>
      <c r="G555" s="102" t="b">
        <v>0</v>
      </c>
    </row>
    <row r="556" spans="1:7" ht="15">
      <c r="A556" s="104" t="s">
        <v>2892</v>
      </c>
      <c r="B556" s="102">
        <v>3</v>
      </c>
      <c r="C556" s="106">
        <v>0.0006886309208820411</v>
      </c>
      <c r="D556" s="102" t="s">
        <v>3369</v>
      </c>
      <c r="E556" s="102" t="b">
        <v>0</v>
      </c>
      <c r="F556" s="102" t="b">
        <v>1</v>
      </c>
      <c r="G556" s="102" t="b">
        <v>0</v>
      </c>
    </row>
    <row r="557" spans="1:7" ht="15">
      <c r="A557" s="104" t="s">
        <v>2893</v>
      </c>
      <c r="B557" s="102">
        <v>3</v>
      </c>
      <c r="C557" s="106">
        <v>0.0008524400035278396</v>
      </c>
      <c r="D557" s="102" t="s">
        <v>3369</v>
      </c>
      <c r="E557" s="102" t="b">
        <v>0</v>
      </c>
      <c r="F557" s="102" t="b">
        <v>0</v>
      </c>
      <c r="G557" s="102" t="b">
        <v>0</v>
      </c>
    </row>
    <row r="558" spans="1:7" ht="15">
      <c r="A558" s="104" t="s">
        <v>2894</v>
      </c>
      <c r="B558" s="102">
        <v>3</v>
      </c>
      <c r="C558" s="106">
        <v>0.0006886309208820411</v>
      </c>
      <c r="D558" s="102" t="s">
        <v>3369</v>
      </c>
      <c r="E558" s="102" t="b">
        <v>0</v>
      </c>
      <c r="F558" s="102" t="b">
        <v>0</v>
      </c>
      <c r="G558" s="102" t="b">
        <v>0</v>
      </c>
    </row>
    <row r="559" spans="1:7" ht="15">
      <c r="A559" s="104" t="s">
        <v>2895</v>
      </c>
      <c r="B559" s="102">
        <v>3</v>
      </c>
      <c r="C559" s="106">
        <v>0.0006886309208820411</v>
      </c>
      <c r="D559" s="102" t="s">
        <v>3369</v>
      </c>
      <c r="E559" s="102" t="b">
        <v>0</v>
      </c>
      <c r="F559" s="102" t="b">
        <v>0</v>
      </c>
      <c r="G559" s="102" t="b">
        <v>0</v>
      </c>
    </row>
    <row r="560" spans="1:7" ht="15">
      <c r="A560" s="104" t="s">
        <v>2896</v>
      </c>
      <c r="B560" s="102">
        <v>3</v>
      </c>
      <c r="C560" s="106">
        <v>0.0007490879793813594</v>
      </c>
      <c r="D560" s="102" t="s">
        <v>3369</v>
      </c>
      <c r="E560" s="102" t="b">
        <v>0</v>
      </c>
      <c r="F560" s="102" t="b">
        <v>0</v>
      </c>
      <c r="G560" s="102" t="b">
        <v>0</v>
      </c>
    </row>
    <row r="561" spans="1:7" ht="15">
      <c r="A561" s="104" t="s">
        <v>2897</v>
      </c>
      <c r="B561" s="102">
        <v>3</v>
      </c>
      <c r="C561" s="106">
        <v>0.0006886309208820411</v>
      </c>
      <c r="D561" s="102" t="s">
        <v>3369</v>
      </c>
      <c r="E561" s="102" t="b">
        <v>0</v>
      </c>
      <c r="F561" s="102" t="b">
        <v>0</v>
      </c>
      <c r="G561" s="102" t="b">
        <v>0</v>
      </c>
    </row>
    <row r="562" spans="1:7" ht="15">
      <c r="A562" s="104" t="s">
        <v>2898</v>
      </c>
      <c r="B562" s="102">
        <v>3</v>
      </c>
      <c r="C562" s="106">
        <v>0.0006886309208820411</v>
      </c>
      <c r="D562" s="102" t="s">
        <v>3369</v>
      </c>
      <c r="E562" s="102" t="b">
        <v>0</v>
      </c>
      <c r="F562" s="102" t="b">
        <v>0</v>
      </c>
      <c r="G562" s="102" t="b">
        <v>0</v>
      </c>
    </row>
    <row r="563" spans="1:7" ht="15">
      <c r="A563" s="104" t="s">
        <v>2899</v>
      </c>
      <c r="B563" s="102">
        <v>3</v>
      </c>
      <c r="C563" s="106">
        <v>0.0008524400035278396</v>
      </c>
      <c r="D563" s="102" t="s">
        <v>3369</v>
      </c>
      <c r="E563" s="102" t="b">
        <v>0</v>
      </c>
      <c r="F563" s="102" t="b">
        <v>0</v>
      </c>
      <c r="G563" s="102" t="b">
        <v>0</v>
      </c>
    </row>
    <row r="564" spans="1:7" ht="15">
      <c r="A564" s="104" t="s">
        <v>2900</v>
      </c>
      <c r="B564" s="102">
        <v>3</v>
      </c>
      <c r="C564" s="106">
        <v>0.0008524400035278396</v>
      </c>
      <c r="D564" s="102" t="s">
        <v>3369</v>
      </c>
      <c r="E564" s="102" t="b">
        <v>0</v>
      </c>
      <c r="F564" s="102" t="b">
        <v>0</v>
      </c>
      <c r="G564" s="102" t="b">
        <v>0</v>
      </c>
    </row>
    <row r="565" spans="1:7" ht="15">
      <c r="A565" s="104" t="s">
        <v>2901</v>
      </c>
      <c r="B565" s="102">
        <v>3</v>
      </c>
      <c r="C565" s="106">
        <v>0.0008524400035278396</v>
      </c>
      <c r="D565" s="102" t="s">
        <v>3369</v>
      </c>
      <c r="E565" s="102" t="b">
        <v>0</v>
      </c>
      <c r="F565" s="102" t="b">
        <v>0</v>
      </c>
      <c r="G565" s="102" t="b">
        <v>0</v>
      </c>
    </row>
    <row r="566" spans="1:7" ht="15">
      <c r="A566" s="104" t="s">
        <v>2902</v>
      </c>
      <c r="B566" s="102">
        <v>3</v>
      </c>
      <c r="C566" s="106">
        <v>0.0008524400035278396</v>
      </c>
      <c r="D566" s="102" t="s">
        <v>3369</v>
      </c>
      <c r="E566" s="102" t="b">
        <v>0</v>
      </c>
      <c r="F566" s="102" t="b">
        <v>0</v>
      </c>
      <c r="G566" s="102" t="b">
        <v>0</v>
      </c>
    </row>
    <row r="567" spans="1:7" ht="15">
      <c r="A567" s="104" t="s">
        <v>2903</v>
      </c>
      <c r="B567" s="102">
        <v>3</v>
      </c>
      <c r="C567" s="106">
        <v>0.0006886309208820411</v>
      </c>
      <c r="D567" s="102" t="s">
        <v>3369</v>
      </c>
      <c r="E567" s="102" t="b">
        <v>0</v>
      </c>
      <c r="F567" s="102" t="b">
        <v>0</v>
      </c>
      <c r="G567" s="102" t="b">
        <v>0</v>
      </c>
    </row>
    <row r="568" spans="1:7" ht="15">
      <c r="A568" s="104" t="s">
        <v>2904</v>
      </c>
      <c r="B568" s="102">
        <v>3</v>
      </c>
      <c r="C568" s="106">
        <v>0.0006886309208820411</v>
      </c>
      <c r="D568" s="102" t="s">
        <v>3369</v>
      </c>
      <c r="E568" s="102" t="b">
        <v>0</v>
      </c>
      <c r="F568" s="102" t="b">
        <v>0</v>
      </c>
      <c r="G568" s="102" t="b">
        <v>0</v>
      </c>
    </row>
    <row r="569" spans="1:7" ht="15">
      <c r="A569" s="104" t="s">
        <v>2905</v>
      </c>
      <c r="B569" s="102">
        <v>3</v>
      </c>
      <c r="C569" s="106">
        <v>0.0007490879793813594</v>
      </c>
      <c r="D569" s="102" t="s">
        <v>3369</v>
      </c>
      <c r="E569" s="102" t="b">
        <v>0</v>
      </c>
      <c r="F569" s="102" t="b">
        <v>0</v>
      </c>
      <c r="G569" s="102" t="b">
        <v>0</v>
      </c>
    </row>
    <row r="570" spans="1:7" ht="15">
      <c r="A570" s="104" t="s">
        <v>2906</v>
      </c>
      <c r="B570" s="102">
        <v>3</v>
      </c>
      <c r="C570" s="106">
        <v>0.0008524400035278396</v>
      </c>
      <c r="D570" s="102" t="s">
        <v>3369</v>
      </c>
      <c r="E570" s="102" t="b">
        <v>0</v>
      </c>
      <c r="F570" s="102" t="b">
        <v>0</v>
      </c>
      <c r="G570" s="102" t="b">
        <v>0</v>
      </c>
    </row>
    <row r="571" spans="1:7" ht="15">
      <c r="A571" s="104" t="s">
        <v>2907</v>
      </c>
      <c r="B571" s="102">
        <v>3</v>
      </c>
      <c r="C571" s="106">
        <v>0.0008524400035278396</v>
      </c>
      <c r="D571" s="102" t="s">
        <v>3369</v>
      </c>
      <c r="E571" s="102" t="b">
        <v>0</v>
      </c>
      <c r="F571" s="102" t="b">
        <v>0</v>
      </c>
      <c r="G571" s="102" t="b">
        <v>0</v>
      </c>
    </row>
    <row r="572" spans="1:7" ht="15">
      <c r="A572" s="104" t="s">
        <v>2908</v>
      </c>
      <c r="B572" s="102">
        <v>3</v>
      </c>
      <c r="C572" s="106">
        <v>0.0008524400035278396</v>
      </c>
      <c r="D572" s="102" t="s">
        <v>3369</v>
      </c>
      <c r="E572" s="102" t="b">
        <v>0</v>
      </c>
      <c r="F572" s="102" t="b">
        <v>0</v>
      </c>
      <c r="G572" s="102" t="b">
        <v>0</v>
      </c>
    </row>
    <row r="573" spans="1:7" ht="15">
      <c r="A573" s="104" t="s">
        <v>2909</v>
      </c>
      <c r="B573" s="102">
        <v>3</v>
      </c>
      <c r="C573" s="106">
        <v>0.0008524400035278396</v>
      </c>
      <c r="D573" s="102" t="s">
        <v>3369</v>
      </c>
      <c r="E573" s="102" t="b">
        <v>0</v>
      </c>
      <c r="F573" s="102" t="b">
        <v>0</v>
      </c>
      <c r="G573" s="102" t="b">
        <v>0</v>
      </c>
    </row>
    <row r="574" spans="1:7" ht="15">
      <c r="A574" s="104" t="s">
        <v>2910</v>
      </c>
      <c r="B574" s="102">
        <v>3</v>
      </c>
      <c r="C574" s="106">
        <v>0.0008524400035278396</v>
      </c>
      <c r="D574" s="102" t="s">
        <v>3369</v>
      </c>
      <c r="E574" s="102" t="b">
        <v>0</v>
      </c>
      <c r="F574" s="102" t="b">
        <v>1</v>
      </c>
      <c r="G574" s="102" t="b">
        <v>0</v>
      </c>
    </row>
    <row r="575" spans="1:7" ht="15">
      <c r="A575" s="104" t="s">
        <v>2911</v>
      </c>
      <c r="B575" s="102">
        <v>3</v>
      </c>
      <c r="C575" s="106">
        <v>0.0008524400035278396</v>
      </c>
      <c r="D575" s="102" t="s">
        <v>3369</v>
      </c>
      <c r="E575" s="102" t="b">
        <v>0</v>
      </c>
      <c r="F575" s="102" t="b">
        <v>0</v>
      </c>
      <c r="G575" s="102" t="b">
        <v>0</v>
      </c>
    </row>
    <row r="576" spans="1:7" ht="15">
      <c r="A576" s="104" t="s">
        <v>2912</v>
      </c>
      <c r="B576" s="102">
        <v>3</v>
      </c>
      <c r="C576" s="106">
        <v>0.0008524400035278396</v>
      </c>
      <c r="D576" s="102" t="s">
        <v>3369</v>
      </c>
      <c r="E576" s="102" t="b">
        <v>0</v>
      </c>
      <c r="F576" s="102" t="b">
        <v>0</v>
      </c>
      <c r="G576" s="102" t="b">
        <v>0</v>
      </c>
    </row>
    <row r="577" spans="1:7" ht="15">
      <c r="A577" s="104" t="s">
        <v>2913</v>
      </c>
      <c r="B577" s="102">
        <v>3</v>
      </c>
      <c r="C577" s="106">
        <v>0.0008524400035278396</v>
      </c>
      <c r="D577" s="102" t="s">
        <v>3369</v>
      </c>
      <c r="E577" s="102" t="b">
        <v>0</v>
      </c>
      <c r="F577" s="102" t="b">
        <v>0</v>
      </c>
      <c r="G577" s="102" t="b">
        <v>0</v>
      </c>
    </row>
    <row r="578" spans="1:7" ht="15">
      <c r="A578" s="104" t="s">
        <v>2914</v>
      </c>
      <c r="B578" s="102">
        <v>3</v>
      </c>
      <c r="C578" s="106">
        <v>0.0008524400035278396</v>
      </c>
      <c r="D578" s="102" t="s">
        <v>3369</v>
      </c>
      <c r="E578" s="102" t="b">
        <v>0</v>
      </c>
      <c r="F578" s="102" t="b">
        <v>0</v>
      </c>
      <c r="G578" s="102" t="b">
        <v>0</v>
      </c>
    </row>
    <row r="579" spans="1:7" ht="15">
      <c r="A579" s="104" t="s">
        <v>2915</v>
      </c>
      <c r="B579" s="102">
        <v>3</v>
      </c>
      <c r="C579" s="106">
        <v>0.0008524400035278396</v>
      </c>
      <c r="D579" s="102" t="s">
        <v>3369</v>
      </c>
      <c r="E579" s="102" t="b">
        <v>0</v>
      </c>
      <c r="F579" s="102" t="b">
        <v>0</v>
      </c>
      <c r="G579" s="102" t="b">
        <v>0</v>
      </c>
    </row>
    <row r="580" spans="1:7" ht="15">
      <c r="A580" s="104" t="s">
        <v>2916</v>
      </c>
      <c r="B580" s="102">
        <v>3</v>
      </c>
      <c r="C580" s="106">
        <v>0.0008524400035278396</v>
      </c>
      <c r="D580" s="102" t="s">
        <v>3369</v>
      </c>
      <c r="E580" s="102" t="b">
        <v>0</v>
      </c>
      <c r="F580" s="102" t="b">
        <v>0</v>
      </c>
      <c r="G580" s="102" t="b">
        <v>0</v>
      </c>
    </row>
    <row r="581" spans="1:7" ht="15">
      <c r="A581" s="104" t="s">
        <v>2917</v>
      </c>
      <c r="B581" s="102">
        <v>3</v>
      </c>
      <c r="C581" s="106">
        <v>0.0008524400035278396</v>
      </c>
      <c r="D581" s="102" t="s">
        <v>3369</v>
      </c>
      <c r="E581" s="102" t="b">
        <v>0</v>
      </c>
      <c r="F581" s="102" t="b">
        <v>0</v>
      </c>
      <c r="G581" s="102" t="b">
        <v>0</v>
      </c>
    </row>
    <row r="582" spans="1:7" ht="15">
      <c r="A582" s="104" t="s">
        <v>2918</v>
      </c>
      <c r="B582" s="102">
        <v>3</v>
      </c>
      <c r="C582" s="106">
        <v>0.0006886309208820411</v>
      </c>
      <c r="D582" s="102" t="s">
        <v>3369</v>
      </c>
      <c r="E582" s="102" t="b">
        <v>0</v>
      </c>
      <c r="F582" s="102" t="b">
        <v>0</v>
      </c>
      <c r="G582" s="102" t="b">
        <v>0</v>
      </c>
    </row>
    <row r="583" spans="1:7" ht="15">
      <c r="A583" s="104" t="s">
        <v>2919</v>
      </c>
      <c r="B583" s="102">
        <v>3</v>
      </c>
      <c r="C583" s="106">
        <v>0.0007490879793813594</v>
      </c>
      <c r="D583" s="102" t="s">
        <v>3369</v>
      </c>
      <c r="E583" s="102" t="b">
        <v>0</v>
      </c>
      <c r="F583" s="102" t="b">
        <v>0</v>
      </c>
      <c r="G583" s="102" t="b">
        <v>0</v>
      </c>
    </row>
    <row r="584" spans="1:7" ht="15">
      <c r="A584" s="104" t="s">
        <v>2920</v>
      </c>
      <c r="B584" s="102">
        <v>3</v>
      </c>
      <c r="C584" s="106">
        <v>0.0006886309208820411</v>
      </c>
      <c r="D584" s="102" t="s">
        <v>3369</v>
      </c>
      <c r="E584" s="102" t="b">
        <v>0</v>
      </c>
      <c r="F584" s="102" t="b">
        <v>0</v>
      </c>
      <c r="G584" s="102" t="b">
        <v>0</v>
      </c>
    </row>
    <row r="585" spans="1:7" ht="15">
      <c r="A585" s="104" t="s">
        <v>2921</v>
      </c>
      <c r="B585" s="102">
        <v>3</v>
      </c>
      <c r="C585" s="106">
        <v>0.0006886309208820411</v>
      </c>
      <c r="D585" s="102" t="s">
        <v>3369</v>
      </c>
      <c r="E585" s="102" t="b">
        <v>0</v>
      </c>
      <c r="F585" s="102" t="b">
        <v>0</v>
      </c>
      <c r="G585" s="102" t="b">
        <v>0</v>
      </c>
    </row>
    <row r="586" spans="1:7" ht="15">
      <c r="A586" s="104" t="s">
        <v>2922</v>
      </c>
      <c r="B586" s="102">
        <v>3</v>
      </c>
      <c r="C586" s="106">
        <v>0.0007490879793813594</v>
      </c>
      <c r="D586" s="102" t="s">
        <v>3369</v>
      </c>
      <c r="E586" s="102" t="b">
        <v>0</v>
      </c>
      <c r="F586" s="102" t="b">
        <v>0</v>
      </c>
      <c r="G586" s="102" t="b">
        <v>0</v>
      </c>
    </row>
    <row r="587" spans="1:7" ht="15">
      <c r="A587" s="104" t="s">
        <v>2923</v>
      </c>
      <c r="B587" s="102">
        <v>3</v>
      </c>
      <c r="C587" s="106">
        <v>0.0007490879793813594</v>
      </c>
      <c r="D587" s="102" t="s">
        <v>3369</v>
      </c>
      <c r="E587" s="102" t="b">
        <v>0</v>
      </c>
      <c r="F587" s="102" t="b">
        <v>0</v>
      </c>
      <c r="G587" s="102" t="b">
        <v>0</v>
      </c>
    </row>
    <row r="588" spans="1:7" ht="15">
      <c r="A588" s="104" t="s">
        <v>2924</v>
      </c>
      <c r="B588" s="102">
        <v>3</v>
      </c>
      <c r="C588" s="106">
        <v>0.0008524400035278396</v>
      </c>
      <c r="D588" s="102" t="s">
        <v>3369</v>
      </c>
      <c r="E588" s="102" t="b">
        <v>0</v>
      </c>
      <c r="F588" s="102" t="b">
        <v>0</v>
      </c>
      <c r="G588" s="102" t="b">
        <v>0</v>
      </c>
    </row>
    <row r="589" spans="1:7" ht="15">
      <c r="A589" s="104" t="s">
        <v>2925</v>
      </c>
      <c r="B589" s="102">
        <v>3</v>
      </c>
      <c r="C589" s="106">
        <v>0.0008524400035278396</v>
      </c>
      <c r="D589" s="102" t="s">
        <v>3369</v>
      </c>
      <c r="E589" s="102" t="b">
        <v>0</v>
      </c>
      <c r="F589" s="102" t="b">
        <v>0</v>
      </c>
      <c r="G589" s="102" t="b">
        <v>0</v>
      </c>
    </row>
    <row r="590" spans="1:7" ht="15">
      <c r="A590" s="104" t="s">
        <v>2926</v>
      </c>
      <c r="B590" s="102">
        <v>3</v>
      </c>
      <c r="C590" s="106">
        <v>0.0008524400035278396</v>
      </c>
      <c r="D590" s="102" t="s">
        <v>3369</v>
      </c>
      <c r="E590" s="102" t="b">
        <v>0</v>
      </c>
      <c r="F590" s="102" t="b">
        <v>0</v>
      </c>
      <c r="G590" s="102" t="b">
        <v>0</v>
      </c>
    </row>
    <row r="591" spans="1:7" ht="15">
      <c r="A591" s="104" t="s">
        <v>1907</v>
      </c>
      <c r="B591" s="102">
        <v>3</v>
      </c>
      <c r="C591" s="106">
        <v>0.0006886309208820411</v>
      </c>
      <c r="D591" s="102" t="s">
        <v>3369</v>
      </c>
      <c r="E591" s="102" t="b">
        <v>0</v>
      </c>
      <c r="F591" s="102" t="b">
        <v>0</v>
      </c>
      <c r="G591" s="102" t="b">
        <v>0</v>
      </c>
    </row>
    <row r="592" spans="1:7" ht="15">
      <c r="A592" s="104" t="s">
        <v>2927</v>
      </c>
      <c r="B592" s="102">
        <v>3</v>
      </c>
      <c r="C592" s="106">
        <v>0.0007490879793813594</v>
      </c>
      <c r="D592" s="102" t="s">
        <v>3369</v>
      </c>
      <c r="E592" s="102" t="b">
        <v>0</v>
      </c>
      <c r="F592" s="102" t="b">
        <v>0</v>
      </c>
      <c r="G592" s="102" t="b">
        <v>0</v>
      </c>
    </row>
    <row r="593" spans="1:7" ht="15">
      <c r="A593" s="104" t="s">
        <v>2928</v>
      </c>
      <c r="B593" s="102">
        <v>3</v>
      </c>
      <c r="C593" s="106">
        <v>0.0008524400035278396</v>
      </c>
      <c r="D593" s="102" t="s">
        <v>3369</v>
      </c>
      <c r="E593" s="102" t="b">
        <v>0</v>
      </c>
      <c r="F593" s="102" t="b">
        <v>0</v>
      </c>
      <c r="G593" s="102" t="b">
        <v>0</v>
      </c>
    </row>
    <row r="594" spans="1:7" ht="15">
      <c r="A594" s="104" t="s">
        <v>2929</v>
      </c>
      <c r="B594" s="102">
        <v>3</v>
      </c>
      <c r="C594" s="106">
        <v>0.0007490879793813594</v>
      </c>
      <c r="D594" s="102" t="s">
        <v>3369</v>
      </c>
      <c r="E594" s="102" t="b">
        <v>0</v>
      </c>
      <c r="F594" s="102" t="b">
        <v>0</v>
      </c>
      <c r="G594" s="102" t="b">
        <v>0</v>
      </c>
    </row>
    <row r="595" spans="1:7" ht="15">
      <c r="A595" s="104" t="s">
        <v>2930</v>
      </c>
      <c r="B595" s="102">
        <v>3</v>
      </c>
      <c r="C595" s="106">
        <v>0.0008524400035278396</v>
      </c>
      <c r="D595" s="102" t="s">
        <v>3369</v>
      </c>
      <c r="E595" s="102" t="b">
        <v>0</v>
      </c>
      <c r="F595" s="102" t="b">
        <v>0</v>
      </c>
      <c r="G595" s="102" t="b">
        <v>0</v>
      </c>
    </row>
    <row r="596" spans="1:7" ht="15">
      <c r="A596" s="104" t="s">
        <v>2931</v>
      </c>
      <c r="B596" s="102">
        <v>3</v>
      </c>
      <c r="C596" s="106">
        <v>0.0008524400035278396</v>
      </c>
      <c r="D596" s="102" t="s">
        <v>3369</v>
      </c>
      <c r="E596" s="102" t="b">
        <v>0</v>
      </c>
      <c r="F596" s="102" t="b">
        <v>0</v>
      </c>
      <c r="G596" s="102" t="b">
        <v>0</v>
      </c>
    </row>
    <row r="597" spans="1:7" ht="15">
      <c r="A597" s="104" t="s">
        <v>2932</v>
      </c>
      <c r="B597" s="102">
        <v>3</v>
      </c>
      <c r="C597" s="106">
        <v>0.0008524400035278396</v>
      </c>
      <c r="D597" s="102" t="s">
        <v>3369</v>
      </c>
      <c r="E597" s="102" t="b">
        <v>0</v>
      </c>
      <c r="F597" s="102" t="b">
        <v>0</v>
      </c>
      <c r="G597" s="102" t="b">
        <v>0</v>
      </c>
    </row>
    <row r="598" spans="1:7" ht="15">
      <c r="A598" s="104" t="s">
        <v>2933</v>
      </c>
      <c r="B598" s="102">
        <v>3</v>
      </c>
      <c r="C598" s="106">
        <v>0.0008524400035278396</v>
      </c>
      <c r="D598" s="102" t="s">
        <v>3369</v>
      </c>
      <c r="E598" s="102" t="b">
        <v>0</v>
      </c>
      <c r="F598" s="102" t="b">
        <v>1</v>
      </c>
      <c r="G598" s="102" t="b">
        <v>0</v>
      </c>
    </row>
    <row r="599" spans="1:7" ht="15">
      <c r="A599" s="104" t="s">
        <v>2934</v>
      </c>
      <c r="B599" s="102">
        <v>3</v>
      </c>
      <c r="C599" s="106">
        <v>0.0008524400035278396</v>
      </c>
      <c r="D599" s="102" t="s">
        <v>3369</v>
      </c>
      <c r="E599" s="102" t="b">
        <v>1</v>
      </c>
      <c r="F599" s="102" t="b">
        <v>0</v>
      </c>
      <c r="G599" s="102" t="b">
        <v>0</v>
      </c>
    </row>
    <row r="600" spans="1:7" ht="15">
      <c r="A600" s="104" t="s">
        <v>2935</v>
      </c>
      <c r="B600" s="102">
        <v>3</v>
      </c>
      <c r="C600" s="106">
        <v>0.0008524400035278396</v>
      </c>
      <c r="D600" s="102" t="s">
        <v>3369</v>
      </c>
      <c r="E600" s="102" t="b">
        <v>0</v>
      </c>
      <c r="F600" s="102" t="b">
        <v>0</v>
      </c>
      <c r="G600" s="102" t="b">
        <v>0</v>
      </c>
    </row>
    <row r="601" spans="1:7" ht="15">
      <c r="A601" s="104" t="s">
        <v>2936</v>
      </c>
      <c r="B601" s="102">
        <v>3</v>
      </c>
      <c r="C601" s="106">
        <v>0.0007490879793813594</v>
      </c>
      <c r="D601" s="102" t="s">
        <v>3369</v>
      </c>
      <c r="E601" s="102" t="b">
        <v>0</v>
      </c>
      <c r="F601" s="102" t="b">
        <v>0</v>
      </c>
      <c r="G601" s="102" t="b">
        <v>0</v>
      </c>
    </row>
    <row r="602" spans="1:7" ht="15">
      <c r="A602" s="104" t="s">
        <v>2937</v>
      </c>
      <c r="B602" s="102">
        <v>3</v>
      </c>
      <c r="C602" s="106">
        <v>0.0008524400035278396</v>
      </c>
      <c r="D602" s="102" t="s">
        <v>3369</v>
      </c>
      <c r="E602" s="102" t="b">
        <v>0</v>
      </c>
      <c r="F602" s="102" t="b">
        <v>0</v>
      </c>
      <c r="G602" s="102" t="b">
        <v>0</v>
      </c>
    </row>
    <row r="603" spans="1:7" ht="15">
      <c r="A603" s="104" t="s">
        <v>2938</v>
      </c>
      <c r="B603" s="102">
        <v>3</v>
      </c>
      <c r="C603" s="106">
        <v>0.0008524400035278396</v>
      </c>
      <c r="D603" s="102" t="s">
        <v>3369</v>
      </c>
      <c r="E603" s="102" t="b">
        <v>0</v>
      </c>
      <c r="F603" s="102" t="b">
        <v>0</v>
      </c>
      <c r="G603" s="102" t="b">
        <v>0</v>
      </c>
    </row>
    <row r="604" spans="1:7" ht="15">
      <c r="A604" s="104" t="s">
        <v>2939</v>
      </c>
      <c r="B604" s="102">
        <v>3</v>
      </c>
      <c r="C604" s="106">
        <v>0.0008524400035278396</v>
      </c>
      <c r="D604" s="102" t="s">
        <v>3369</v>
      </c>
      <c r="E604" s="102" t="b">
        <v>0</v>
      </c>
      <c r="F604" s="102" t="b">
        <v>0</v>
      </c>
      <c r="G604" s="102" t="b">
        <v>0</v>
      </c>
    </row>
    <row r="605" spans="1:7" ht="15">
      <c r="A605" s="104" t="s">
        <v>2940</v>
      </c>
      <c r="B605" s="102">
        <v>3</v>
      </c>
      <c r="C605" s="106">
        <v>0.0006886309208820411</v>
      </c>
      <c r="D605" s="102" t="s">
        <v>3369</v>
      </c>
      <c r="E605" s="102" t="b">
        <v>0</v>
      </c>
      <c r="F605" s="102" t="b">
        <v>0</v>
      </c>
      <c r="G605" s="102" t="b">
        <v>0</v>
      </c>
    </row>
    <row r="606" spans="1:7" ht="15">
      <c r="A606" s="104" t="s">
        <v>2941</v>
      </c>
      <c r="B606" s="102">
        <v>3</v>
      </c>
      <c r="C606" s="106">
        <v>0.0006886309208820411</v>
      </c>
      <c r="D606" s="102" t="s">
        <v>3369</v>
      </c>
      <c r="E606" s="102" t="b">
        <v>0</v>
      </c>
      <c r="F606" s="102" t="b">
        <v>0</v>
      </c>
      <c r="G606" s="102" t="b">
        <v>0</v>
      </c>
    </row>
    <row r="607" spans="1:7" ht="15">
      <c r="A607" s="104" t="s">
        <v>2942</v>
      </c>
      <c r="B607" s="102">
        <v>3</v>
      </c>
      <c r="C607" s="106">
        <v>0.0006886309208820411</v>
      </c>
      <c r="D607" s="102" t="s">
        <v>3369</v>
      </c>
      <c r="E607" s="102" t="b">
        <v>0</v>
      </c>
      <c r="F607" s="102" t="b">
        <v>0</v>
      </c>
      <c r="G607" s="102" t="b">
        <v>0</v>
      </c>
    </row>
    <row r="608" spans="1:7" ht="15">
      <c r="A608" s="104" t="s">
        <v>2943</v>
      </c>
      <c r="B608" s="102">
        <v>3</v>
      </c>
      <c r="C608" s="106">
        <v>0.0006886309208820411</v>
      </c>
      <c r="D608" s="102" t="s">
        <v>3369</v>
      </c>
      <c r="E608" s="102" t="b">
        <v>0</v>
      </c>
      <c r="F608" s="102" t="b">
        <v>0</v>
      </c>
      <c r="G608" s="102" t="b">
        <v>0</v>
      </c>
    </row>
    <row r="609" spans="1:7" ht="15">
      <c r="A609" s="104" t="s">
        <v>2944</v>
      </c>
      <c r="B609" s="102">
        <v>3</v>
      </c>
      <c r="C609" s="106">
        <v>0.0006886309208820411</v>
      </c>
      <c r="D609" s="102" t="s">
        <v>3369</v>
      </c>
      <c r="E609" s="102" t="b">
        <v>0</v>
      </c>
      <c r="F609" s="102" t="b">
        <v>0</v>
      </c>
      <c r="G609" s="102" t="b">
        <v>0</v>
      </c>
    </row>
    <row r="610" spans="1:7" ht="15">
      <c r="A610" s="104" t="s">
        <v>2945</v>
      </c>
      <c r="B610" s="102">
        <v>3</v>
      </c>
      <c r="C610" s="106">
        <v>0.0006886309208820411</v>
      </c>
      <c r="D610" s="102" t="s">
        <v>3369</v>
      </c>
      <c r="E610" s="102" t="b">
        <v>0</v>
      </c>
      <c r="F610" s="102" t="b">
        <v>0</v>
      </c>
      <c r="G610" s="102" t="b">
        <v>0</v>
      </c>
    </row>
    <row r="611" spans="1:7" ht="15">
      <c r="A611" s="104" t="s">
        <v>2946</v>
      </c>
      <c r="B611" s="102">
        <v>3</v>
      </c>
      <c r="C611" s="106">
        <v>0.0006886309208820411</v>
      </c>
      <c r="D611" s="102" t="s">
        <v>3369</v>
      </c>
      <c r="E611" s="102" t="b">
        <v>0</v>
      </c>
      <c r="F611" s="102" t="b">
        <v>0</v>
      </c>
      <c r="G611" s="102" t="b">
        <v>0</v>
      </c>
    </row>
    <row r="612" spans="1:7" ht="15">
      <c r="A612" s="104" t="s">
        <v>2947</v>
      </c>
      <c r="B612" s="102">
        <v>3</v>
      </c>
      <c r="C612" s="106">
        <v>0.0008524400035278396</v>
      </c>
      <c r="D612" s="102" t="s">
        <v>3369</v>
      </c>
      <c r="E612" s="102" t="b">
        <v>0</v>
      </c>
      <c r="F612" s="102" t="b">
        <v>0</v>
      </c>
      <c r="G612" s="102" t="b">
        <v>0</v>
      </c>
    </row>
    <row r="613" spans="1:7" ht="15">
      <c r="A613" s="104" t="s">
        <v>2948</v>
      </c>
      <c r="B613" s="102">
        <v>3</v>
      </c>
      <c r="C613" s="106">
        <v>0.0008524400035278396</v>
      </c>
      <c r="D613" s="102" t="s">
        <v>3369</v>
      </c>
      <c r="E613" s="102" t="b">
        <v>0</v>
      </c>
      <c r="F613" s="102" t="b">
        <v>0</v>
      </c>
      <c r="G613" s="102" t="b">
        <v>0</v>
      </c>
    </row>
    <row r="614" spans="1:7" ht="15">
      <c r="A614" s="104" t="s">
        <v>2949</v>
      </c>
      <c r="B614" s="102">
        <v>3</v>
      </c>
      <c r="C614" s="106">
        <v>0.0007490879793813594</v>
      </c>
      <c r="D614" s="102" t="s">
        <v>3369</v>
      </c>
      <c r="E614" s="102" t="b">
        <v>0</v>
      </c>
      <c r="F614" s="102" t="b">
        <v>0</v>
      </c>
      <c r="G614" s="102" t="b">
        <v>0</v>
      </c>
    </row>
    <row r="615" spans="1:7" ht="15">
      <c r="A615" s="104" t="s">
        <v>2950</v>
      </c>
      <c r="B615" s="102">
        <v>3</v>
      </c>
      <c r="C615" s="106">
        <v>0.0007490879793813594</v>
      </c>
      <c r="D615" s="102" t="s">
        <v>3369</v>
      </c>
      <c r="E615" s="102" t="b">
        <v>0</v>
      </c>
      <c r="F615" s="102" t="b">
        <v>0</v>
      </c>
      <c r="G615" s="102" t="b">
        <v>0</v>
      </c>
    </row>
    <row r="616" spans="1:7" ht="15">
      <c r="A616" s="104" t="s">
        <v>2951</v>
      </c>
      <c r="B616" s="102">
        <v>3</v>
      </c>
      <c r="C616" s="106">
        <v>0.0008524400035278396</v>
      </c>
      <c r="D616" s="102" t="s">
        <v>3369</v>
      </c>
      <c r="E616" s="102" t="b">
        <v>0</v>
      </c>
      <c r="F616" s="102" t="b">
        <v>0</v>
      </c>
      <c r="G616" s="102" t="b">
        <v>0</v>
      </c>
    </row>
    <row r="617" spans="1:7" ht="15">
      <c r="A617" s="104" t="s">
        <v>2952</v>
      </c>
      <c r="B617" s="102">
        <v>3</v>
      </c>
      <c r="C617" s="106">
        <v>0.0008524400035278396</v>
      </c>
      <c r="D617" s="102" t="s">
        <v>3369</v>
      </c>
      <c r="E617" s="102" t="b">
        <v>0</v>
      </c>
      <c r="F617" s="102" t="b">
        <v>0</v>
      </c>
      <c r="G617" s="102" t="b">
        <v>0</v>
      </c>
    </row>
    <row r="618" spans="1:7" ht="15">
      <c r="A618" s="104" t="s">
        <v>2953</v>
      </c>
      <c r="B618" s="102">
        <v>3</v>
      </c>
      <c r="C618" s="106">
        <v>0.0008524400035278396</v>
      </c>
      <c r="D618" s="102" t="s">
        <v>3369</v>
      </c>
      <c r="E618" s="102" t="b">
        <v>0</v>
      </c>
      <c r="F618" s="102" t="b">
        <v>0</v>
      </c>
      <c r="G618" s="102" t="b">
        <v>0</v>
      </c>
    </row>
    <row r="619" spans="1:7" ht="15">
      <c r="A619" s="104" t="s">
        <v>2954</v>
      </c>
      <c r="B619" s="102">
        <v>3</v>
      </c>
      <c r="C619" s="106">
        <v>0.0008524400035278396</v>
      </c>
      <c r="D619" s="102" t="s">
        <v>3369</v>
      </c>
      <c r="E619" s="102" t="b">
        <v>0</v>
      </c>
      <c r="F619" s="102" t="b">
        <v>0</v>
      </c>
      <c r="G619" s="102" t="b">
        <v>0</v>
      </c>
    </row>
    <row r="620" spans="1:7" ht="15">
      <c r="A620" s="104" t="s">
        <v>2955</v>
      </c>
      <c r="B620" s="102">
        <v>3</v>
      </c>
      <c r="C620" s="106">
        <v>0.0008524400035278396</v>
      </c>
      <c r="D620" s="102" t="s">
        <v>3369</v>
      </c>
      <c r="E620" s="102" t="b">
        <v>0</v>
      </c>
      <c r="F620" s="102" t="b">
        <v>0</v>
      </c>
      <c r="G620" s="102" t="b">
        <v>0</v>
      </c>
    </row>
    <row r="621" spans="1:7" ht="15">
      <c r="A621" s="104" t="s">
        <v>2956</v>
      </c>
      <c r="B621" s="102">
        <v>3</v>
      </c>
      <c r="C621" s="106">
        <v>0.0008524400035278396</v>
      </c>
      <c r="D621" s="102" t="s">
        <v>3369</v>
      </c>
      <c r="E621" s="102" t="b">
        <v>0</v>
      </c>
      <c r="F621" s="102" t="b">
        <v>0</v>
      </c>
      <c r="G621" s="102" t="b">
        <v>0</v>
      </c>
    </row>
    <row r="622" spans="1:7" ht="15">
      <c r="A622" s="104" t="s">
        <v>2957</v>
      </c>
      <c r="B622" s="102">
        <v>3</v>
      </c>
      <c r="C622" s="106">
        <v>0.0007490879793813594</v>
      </c>
      <c r="D622" s="102" t="s">
        <v>3369</v>
      </c>
      <c r="E622" s="102" t="b">
        <v>0</v>
      </c>
      <c r="F622" s="102" t="b">
        <v>0</v>
      </c>
      <c r="G622" s="102" t="b">
        <v>0</v>
      </c>
    </row>
    <row r="623" spans="1:7" ht="15">
      <c r="A623" s="104" t="s">
        <v>2958</v>
      </c>
      <c r="B623" s="102">
        <v>3</v>
      </c>
      <c r="C623" s="106">
        <v>0.0007490879793813594</v>
      </c>
      <c r="D623" s="102" t="s">
        <v>3369</v>
      </c>
      <c r="E623" s="102" t="b">
        <v>0</v>
      </c>
      <c r="F623" s="102" t="b">
        <v>0</v>
      </c>
      <c r="G623" s="102" t="b">
        <v>0</v>
      </c>
    </row>
    <row r="624" spans="1:7" ht="15">
      <c r="A624" s="104" t="s">
        <v>2959</v>
      </c>
      <c r="B624" s="102">
        <v>2</v>
      </c>
      <c r="C624" s="106">
        <v>0.0004993919862542396</v>
      </c>
      <c r="D624" s="102" t="s">
        <v>3369</v>
      </c>
      <c r="E624" s="102" t="b">
        <v>0</v>
      </c>
      <c r="F624" s="102" t="b">
        <v>0</v>
      </c>
      <c r="G624" s="102" t="b">
        <v>0</v>
      </c>
    </row>
    <row r="625" spans="1:7" ht="15">
      <c r="A625" s="104" t="s">
        <v>2960</v>
      </c>
      <c r="B625" s="102">
        <v>2</v>
      </c>
      <c r="C625" s="106">
        <v>0.0004993919862542396</v>
      </c>
      <c r="D625" s="102" t="s">
        <v>3369</v>
      </c>
      <c r="E625" s="102" t="b">
        <v>0</v>
      </c>
      <c r="F625" s="102" t="b">
        <v>0</v>
      </c>
      <c r="G625" s="102" t="b">
        <v>0</v>
      </c>
    </row>
    <row r="626" spans="1:7" ht="15">
      <c r="A626" s="104" t="s">
        <v>2961</v>
      </c>
      <c r="B626" s="102">
        <v>2</v>
      </c>
      <c r="C626" s="106">
        <v>0.0004993919862542396</v>
      </c>
      <c r="D626" s="102" t="s">
        <v>3369</v>
      </c>
      <c r="E626" s="102" t="b">
        <v>0</v>
      </c>
      <c r="F626" s="102" t="b">
        <v>0</v>
      </c>
      <c r="G626" s="102" t="b">
        <v>0</v>
      </c>
    </row>
    <row r="627" spans="1:7" ht="15">
      <c r="A627" s="104" t="s">
        <v>2962</v>
      </c>
      <c r="B627" s="102">
        <v>2</v>
      </c>
      <c r="C627" s="106">
        <v>0.0005682933356852263</v>
      </c>
      <c r="D627" s="102" t="s">
        <v>3369</v>
      </c>
      <c r="E627" s="102" t="b">
        <v>0</v>
      </c>
      <c r="F627" s="102" t="b">
        <v>0</v>
      </c>
      <c r="G627" s="102" t="b">
        <v>0</v>
      </c>
    </row>
    <row r="628" spans="1:7" ht="15">
      <c r="A628" s="104" t="s">
        <v>2963</v>
      </c>
      <c r="B628" s="102">
        <v>2</v>
      </c>
      <c r="C628" s="106">
        <v>0.0005682933356852263</v>
      </c>
      <c r="D628" s="102" t="s">
        <v>3369</v>
      </c>
      <c r="E628" s="102" t="b">
        <v>0</v>
      </c>
      <c r="F628" s="102" t="b">
        <v>0</v>
      </c>
      <c r="G628" s="102" t="b">
        <v>0</v>
      </c>
    </row>
    <row r="629" spans="1:7" ht="15">
      <c r="A629" s="104" t="s">
        <v>2964</v>
      </c>
      <c r="B629" s="102">
        <v>2</v>
      </c>
      <c r="C629" s="106">
        <v>0.0005682933356852263</v>
      </c>
      <c r="D629" s="102" t="s">
        <v>3369</v>
      </c>
      <c r="E629" s="102" t="b">
        <v>0</v>
      </c>
      <c r="F629" s="102" t="b">
        <v>0</v>
      </c>
      <c r="G629" s="102" t="b">
        <v>0</v>
      </c>
    </row>
    <row r="630" spans="1:7" ht="15">
      <c r="A630" s="104" t="s">
        <v>2965</v>
      </c>
      <c r="B630" s="102">
        <v>2</v>
      </c>
      <c r="C630" s="106">
        <v>0.0004993919862542396</v>
      </c>
      <c r="D630" s="102" t="s">
        <v>3369</v>
      </c>
      <c r="E630" s="102" t="b">
        <v>0</v>
      </c>
      <c r="F630" s="102" t="b">
        <v>0</v>
      </c>
      <c r="G630" s="102" t="b">
        <v>0</v>
      </c>
    </row>
    <row r="631" spans="1:7" ht="15">
      <c r="A631" s="104" t="s">
        <v>2966</v>
      </c>
      <c r="B631" s="102">
        <v>2</v>
      </c>
      <c r="C631" s="106">
        <v>0.0005682933356852263</v>
      </c>
      <c r="D631" s="102" t="s">
        <v>3369</v>
      </c>
      <c r="E631" s="102" t="b">
        <v>0</v>
      </c>
      <c r="F631" s="102" t="b">
        <v>0</v>
      </c>
      <c r="G631" s="102" t="b">
        <v>0</v>
      </c>
    </row>
    <row r="632" spans="1:7" ht="15">
      <c r="A632" s="104" t="s">
        <v>2967</v>
      </c>
      <c r="B632" s="102">
        <v>2</v>
      </c>
      <c r="C632" s="106">
        <v>0.0005682933356852263</v>
      </c>
      <c r="D632" s="102" t="s">
        <v>3369</v>
      </c>
      <c r="E632" s="102" t="b">
        <v>0</v>
      </c>
      <c r="F632" s="102" t="b">
        <v>0</v>
      </c>
      <c r="G632" s="102" t="b">
        <v>0</v>
      </c>
    </row>
    <row r="633" spans="1:7" ht="15">
      <c r="A633" s="104" t="s">
        <v>2968</v>
      </c>
      <c r="B633" s="102">
        <v>2</v>
      </c>
      <c r="C633" s="106">
        <v>0.0004993919862542396</v>
      </c>
      <c r="D633" s="102" t="s">
        <v>3369</v>
      </c>
      <c r="E633" s="102" t="b">
        <v>0</v>
      </c>
      <c r="F633" s="102" t="b">
        <v>0</v>
      </c>
      <c r="G633" s="102" t="b">
        <v>0</v>
      </c>
    </row>
    <row r="634" spans="1:7" ht="15">
      <c r="A634" s="104" t="s">
        <v>2969</v>
      </c>
      <c r="B634" s="102">
        <v>2</v>
      </c>
      <c r="C634" s="106">
        <v>0.0005682933356852263</v>
      </c>
      <c r="D634" s="102" t="s">
        <v>3369</v>
      </c>
      <c r="E634" s="102" t="b">
        <v>0</v>
      </c>
      <c r="F634" s="102" t="b">
        <v>0</v>
      </c>
      <c r="G634" s="102" t="b">
        <v>0</v>
      </c>
    </row>
    <row r="635" spans="1:7" ht="15">
      <c r="A635" s="104" t="s">
        <v>2970</v>
      </c>
      <c r="B635" s="102">
        <v>2</v>
      </c>
      <c r="C635" s="106">
        <v>0.0005682933356852263</v>
      </c>
      <c r="D635" s="102" t="s">
        <v>3369</v>
      </c>
      <c r="E635" s="102" t="b">
        <v>0</v>
      </c>
      <c r="F635" s="102" t="b">
        <v>0</v>
      </c>
      <c r="G635" s="102" t="b">
        <v>0</v>
      </c>
    </row>
    <row r="636" spans="1:7" ht="15">
      <c r="A636" s="104" t="s">
        <v>2971</v>
      </c>
      <c r="B636" s="102">
        <v>2</v>
      </c>
      <c r="C636" s="106">
        <v>0.0005682933356852263</v>
      </c>
      <c r="D636" s="102" t="s">
        <v>3369</v>
      </c>
      <c r="E636" s="102" t="b">
        <v>0</v>
      </c>
      <c r="F636" s="102" t="b">
        <v>0</v>
      </c>
      <c r="G636" s="102" t="b">
        <v>0</v>
      </c>
    </row>
    <row r="637" spans="1:7" ht="15">
      <c r="A637" s="104" t="s">
        <v>2972</v>
      </c>
      <c r="B637" s="102">
        <v>2</v>
      </c>
      <c r="C637" s="106">
        <v>0.0005682933356852263</v>
      </c>
      <c r="D637" s="102" t="s">
        <v>3369</v>
      </c>
      <c r="E637" s="102" t="b">
        <v>0</v>
      </c>
      <c r="F637" s="102" t="b">
        <v>0</v>
      </c>
      <c r="G637" s="102" t="b">
        <v>0</v>
      </c>
    </row>
    <row r="638" spans="1:7" ht="15">
      <c r="A638" s="104" t="s">
        <v>2973</v>
      </c>
      <c r="B638" s="102">
        <v>2</v>
      </c>
      <c r="C638" s="106">
        <v>0.0005682933356852263</v>
      </c>
      <c r="D638" s="102" t="s">
        <v>3369</v>
      </c>
      <c r="E638" s="102" t="b">
        <v>0</v>
      </c>
      <c r="F638" s="102" t="b">
        <v>0</v>
      </c>
      <c r="G638" s="102" t="b">
        <v>0</v>
      </c>
    </row>
    <row r="639" spans="1:7" ht="15">
      <c r="A639" s="104" t="s">
        <v>2974</v>
      </c>
      <c r="B639" s="102">
        <v>2</v>
      </c>
      <c r="C639" s="106">
        <v>0.0004993919862542396</v>
      </c>
      <c r="D639" s="102" t="s">
        <v>3369</v>
      </c>
      <c r="E639" s="102" t="b">
        <v>0</v>
      </c>
      <c r="F639" s="102" t="b">
        <v>0</v>
      </c>
      <c r="G639" s="102" t="b">
        <v>0</v>
      </c>
    </row>
    <row r="640" spans="1:7" ht="15">
      <c r="A640" s="104" t="s">
        <v>2975</v>
      </c>
      <c r="B640" s="102">
        <v>2</v>
      </c>
      <c r="C640" s="106">
        <v>0.0005682933356852263</v>
      </c>
      <c r="D640" s="102" t="s">
        <v>3369</v>
      </c>
      <c r="E640" s="102" t="b">
        <v>0</v>
      </c>
      <c r="F640" s="102" t="b">
        <v>0</v>
      </c>
      <c r="G640" s="102" t="b">
        <v>0</v>
      </c>
    </row>
    <row r="641" spans="1:7" ht="15">
      <c r="A641" s="104" t="s">
        <v>2976</v>
      </c>
      <c r="B641" s="102">
        <v>2</v>
      </c>
      <c r="C641" s="106">
        <v>0.0004993919862542396</v>
      </c>
      <c r="D641" s="102" t="s">
        <v>3369</v>
      </c>
      <c r="E641" s="102" t="b">
        <v>0</v>
      </c>
      <c r="F641" s="102" t="b">
        <v>0</v>
      </c>
      <c r="G641" s="102" t="b">
        <v>0</v>
      </c>
    </row>
    <row r="642" spans="1:7" ht="15">
      <c r="A642" s="104" t="s">
        <v>2977</v>
      </c>
      <c r="B642" s="102">
        <v>2</v>
      </c>
      <c r="C642" s="106">
        <v>0.0004993919862542396</v>
      </c>
      <c r="D642" s="102" t="s">
        <v>3369</v>
      </c>
      <c r="E642" s="102" t="b">
        <v>0</v>
      </c>
      <c r="F642" s="102" t="b">
        <v>0</v>
      </c>
      <c r="G642" s="102" t="b">
        <v>0</v>
      </c>
    </row>
    <row r="643" spans="1:7" ht="15">
      <c r="A643" s="104" t="s">
        <v>2978</v>
      </c>
      <c r="B643" s="102">
        <v>2</v>
      </c>
      <c r="C643" s="106">
        <v>0.0004993919862542396</v>
      </c>
      <c r="D643" s="102" t="s">
        <v>3369</v>
      </c>
      <c r="E643" s="102" t="b">
        <v>0</v>
      </c>
      <c r="F643" s="102" t="b">
        <v>0</v>
      </c>
      <c r="G643" s="102" t="b">
        <v>0</v>
      </c>
    </row>
    <row r="644" spans="1:7" ht="15">
      <c r="A644" s="104" t="s">
        <v>2979</v>
      </c>
      <c r="B644" s="102">
        <v>2</v>
      </c>
      <c r="C644" s="106">
        <v>0.0005682933356852263</v>
      </c>
      <c r="D644" s="102" t="s">
        <v>3369</v>
      </c>
      <c r="E644" s="102" t="b">
        <v>0</v>
      </c>
      <c r="F644" s="102" t="b">
        <v>0</v>
      </c>
      <c r="G644" s="102" t="b">
        <v>0</v>
      </c>
    </row>
    <row r="645" spans="1:7" ht="15">
      <c r="A645" s="104" t="s">
        <v>2980</v>
      </c>
      <c r="B645" s="102">
        <v>2</v>
      </c>
      <c r="C645" s="106">
        <v>0.0005682933356852263</v>
      </c>
      <c r="D645" s="102" t="s">
        <v>3369</v>
      </c>
      <c r="E645" s="102" t="b">
        <v>0</v>
      </c>
      <c r="F645" s="102" t="b">
        <v>0</v>
      </c>
      <c r="G645" s="102" t="b">
        <v>0</v>
      </c>
    </row>
    <row r="646" spans="1:7" ht="15">
      <c r="A646" s="104" t="s">
        <v>2981</v>
      </c>
      <c r="B646" s="102">
        <v>2</v>
      </c>
      <c r="C646" s="106">
        <v>0.0004993919862542396</v>
      </c>
      <c r="D646" s="102" t="s">
        <v>3369</v>
      </c>
      <c r="E646" s="102" t="b">
        <v>0</v>
      </c>
      <c r="F646" s="102" t="b">
        <v>0</v>
      </c>
      <c r="G646" s="102" t="b">
        <v>0</v>
      </c>
    </row>
    <row r="647" spans="1:7" ht="15">
      <c r="A647" s="104" t="s">
        <v>2982</v>
      </c>
      <c r="B647" s="102">
        <v>2</v>
      </c>
      <c r="C647" s="106">
        <v>0.0004993919862542396</v>
      </c>
      <c r="D647" s="102" t="s">
        <v>3369</v>
      </c>
      <c r="E647" s="102" t="b">
        <v>0</v>
      </c>
      <c r="F647" s="102" t="b">
        <v>0</v>
      </c>
      <c r="G647" s="102" t="b">
        <v>0</v>
      </c>
    </row>
    <row r="648" spans="1:7" ht="15">
      <c r="A648" s="104" t="s">
        <v>2983</v>
      </c>
      <c r="B648" s="102">
        <v>2</v>
      </c>
      <c r="C648" s="106">
        <v>0.0004993919862542396</v>
      </c>
      <c r="D648" s="102" t="s">
        <v>3369</v>
      </c>
      <c r="E648" s="102" t="b">
        <v>0</v>
      </c>
      <c r="F648" s="102" t="b">
        <v>0</v>
      </c>
      <c r="G648" s="102" t="b">
        <v>0</v>
      </c>
    </row>
    <row r="649" spans="1:7" ht="15">
      <c r="A649" s="104" t="s">
        <v>2984</v>
      </c>
      <c r="B649" s="102">
        <v>2</v>
      </c>
      <c r="C649" s="106">
        <v>0.0004993919862542396</v>
      </c>
      <c r="D649" s="102" t="s">
        <v>3369</v>
      </c>
      <c r="E649" s="102" t="b">
        <v>0</v>
      </c>
      <c r="F649" s="102" t="b">
        <v>0</v>
      </c>
      <c r="G649" s="102" t="b">
        <v>0</v>
      </c>
    </row>
    <row r="650" spans="1:7" ht="15">
      <c r="A650" s="104" t="s">
        <v>2985</v>
      </c>
      <c r="B650" s="102">
        <v>2</v>
      </c>
      <c r="C650" s="106">
        <v>0.0005682933356852263</v>
      </c>
      <c r="D650" s="102" t="s">
        <v>3369</v>
      </c>
      <c r="E650" s="102" t="b">
        <v>0</v>
      </c>
      <c r="F650" s="102" t="b">
        <v>0</v>
      </c>
      <c r="G650" s="102" t="b">
        <v>0</v>
      </c>
    </row>
    <row r="651" spans="1:7" ht="15">
      <c r="A651" s="104" t="s">
        <v>2986</v>
      </c>
      <c r="B651" s="102">
        <v>2</v>
      </c>
      <c r="C651" s="106">
        <v>0.0004993919862542396</v>
      </c>
      <c r="D651" s="102" t="s">
        <v>3369</v>
      </c>
      <c r="E651" s="102" t="b">
        <v>0</v>
      </c>
      <c r="F651" s="102" t="b">
        <v>0</v>
      </c>
      <c r="G651" s="102" t="b">
        <v>0</v>
      </c>
    </row>
    <row r="652" spans="1:7" ht="15">
      <c r="A652" s="104" t="s">
        <v>2987</v>
      </c>
      <c r="B652" s="102">
        <v>2</v>
      </c>
      <c r="C652" s="106">
        <v>0.0004993919862542396</v>
      </c>
      <c r="D652" s="102" t="s">
        <v>3369</v>
      </c>
      <c r="E652" s="102" t="b">
        <v>0</v>
      </c>
      <c r="F652" s="102" t="b">
        <v>0</v>
      </c>
      <c r="G652" s="102" t="b">
        <v>0</v>
      </c>
    </row>
    <row r="653" spans="1:7" ht="15">
      <c r="A653" s="104" t="s">
        <v>2988</v>
      </c>
      <c r="B653" s="102">
        <v>2</v>
      </c>
      <c r="C653" s="106">
        <v>0.0004993919862542396</v>
      </c>
      <c r="D653" s="102" t="s">
        <v>3369</v>
      </c>
      <c r="E653" s="102" t="b">
        <v>0</v>
      </c>
      <c r="F653" s="102" t="b">
        <v>0</v>
      </c>
      <c r="G653" s="102" t="b">
        <v>0</v>
      </c>
    </row>
    <row r="654" spans="1:7" ht="15">
      <c r="A654" s="104" t="s">
        <v>2989</v>
      </c>
      <c r="B654" s="102">
        <v>2</v>
      </c>
      <c r="C654" s="106">
        <v>0.0005682933356852263</v>
      </c>
      <c r="D654" s="102" t="s">
        <v>3369</v>
      </c>
      <c r="E654" s="102" t="b">
        <v>0</v>
      </c>
      <c r="F654" s="102" t="b">
        <v>0</v>
      </c>
      <c r="G654" s="102" t="b">
        <v>0</v>
      </c>
    </row>
    <row r="655" spans="1:7" ht="15">
      <c r="A655" s="104" t="s">
        <v>2990</v>
      </c>
      <c r="B655" s="102">
        <v>2</v>
      </c>
      <c r="C655" s="106">
        <v>0.0004993919862542396</v>
      </c>
      <c r="D655" s="102" t="s">
        <v>3369</v>
      </c>
      <c r="E655" s="102" t="b">
        <v>0</v>
      </c>
      <c r="F655" s="102" t="b">
        <v>0</v>
      </c>
      <c r="G655" s="102" t="b">
        <v>0</v>
      </c>
    </row>
    <row r="656" spans="1:7" ht="15">
      <c r="A656" s="104" t="s">
        <v>2991</v>
      </c>
      <c r="B656" s="102">
        <v>2</v>
      </c>
      <c r="C656" s="106">
        <v>0.0004993919862542396</v>
      </c>
      <c r="D656" s="102" t="s">
        <v>3369</v>
      </c>
      <c r="E656" s="102" t="b">
        <v>0</v>
      </c>
      <c r="F656" s="102" t="b">
        <v>0</v>
      </c>
      <c r="G656" s="102" t="b">
        <v>0</v>
      </c>
    </row>
    <row r="657" spans="1:7" ht="15">
      <c r="A657" s="104" t="s">
        <v>2992</v>
      </c>
      <c r="B657" s="102">
        <v>2</v>
      </c>
      <c r="C657" s="106">
        <v>0.0004993919862542396</v>
      </c>
      <c r="D657" s="102" t="s">
        <v>3369</v>
      </c>
      <c r="E657" s="102" t="b">
        <v>0</v>
      </c>
      <c r="F657" s="102" t="b">
        <v>0</v>
      </c>
      <c r="G657" s="102" t="b">
        <v>0</v>
      </c>
    </row>
    <row r="658" spans="1:7" ht="15">
      <c r="A658" s="104" t="s">
        <v>2993</v>
      </c>
      <c r="B658" s="102">
        <v>2</v>
      </c>
      <c r="C658" s="106">
        <v>0.0005682933356852263</v>
      </c>
      <c r="D658" s="102" t="s">
        <v>3369</v>
      </c>
      <c r="E658" s="102" t="b">
        <v>0</v>
      </c>
      <c r="F658" s="102" t="b">
        <v>0</v>
      </c>
      <c r="G658" s="102" t="b">
        <v>0</v>
      </c>
    </row>
    <row r="659" spans="1:7" ht="15">
      <c r="A659" s="104" t="s">
        <v>2994</v>
      </c>
      <c r="B659" s="102">
        <v>2</v>
      </c>
      <c r="C659" s="106">
        <v>0.0004993919862542396</v>
      </c>
      <c r="D659" s="102" t="s">
        <v>3369</v>
      </c>
      <c r="E659" s="102" t="b">
        <v>0</v>
      </c>
      <c r="F659" s="102" t="b">
        <v>0</v>
      </c>
      <c r="G659" s="102" t="b">
        <v>0</v>
      </c>
    </row>
    <row r="660" spans="1:7" ht="15">
      <c r="A660" s="104" t="s">
        <v>2995</v>
      </c>
      <c r="B660" s="102">
        <v>2</v>
      </c>
      <c r="C660" s="106">
        <v>0.0004993919862542396</v>
      </c>
      <c r="D660" s="102" t="s">
        <v>3369</v>
      </c>
      <c r="E660" s="102" t="b">
        <v>0</v>
      </c>
      <c r="F660" s="102" t="b">
        <v>0</v>
      </c>
      <c r="G660" s="102" t="b">
        <v>0</v>
      </c>
    </row>
    <row r="661" spans="1:7" ht="15">
      <c r="A661" s="104" t="s">
        <v>2996</v>
      </c>
      <c r="B661" s="102">
        <v>2</v>
      </c>
      <c r="C661" s="106">
        <v>0.0005682933356852263</v>
      </c>
      <c r="D661" s="102" t="s">
        <v>3369</v>
      </c>
      <c r="E661" s="102" t="b">
        <v>0</v>
      </c>
      <c r="F661" s="102" t="b">
        <v>0</v>
      </c>
      <c r="G661" s="102" t="b">
        <v>0</v>
      </c>
    </row>
    <row r="662" spans="1:7" ht="15">
      <c r="A662" s="104" t="s">
        <v>2997</v>
      </c>
      <c r="B662" s="102">
        <v>2</v>
      </c>
      <c r="C662" s="106">
        <v>0.0005682933356852263</v>
      </c>
      <c r="D662" s="102" t="s">
        <v>3369</v>
      </c>
      <c r="E662" s="102" t="b">
        <v>0</v>
      </c>
      <c r="F662" s="102" t="b">
        <v>0</v>
      </c>
      <c r="G662" s="102" t="b">
        <v>0</v>
      </c>
    </row>
    <row r="663" spans="1:7" ht="15">
      <c r="A663" s="104" t="s">
        <v>2998</v>
      </c>
      <c r="B663" s="102">
        <v>2</v>
      </c>
      <c r="C663" s="106">
        <v>0.0004993919862542396</v>
      </c>
      <c r="D663" s="102" t="s">
        <v>3369</v>
      </c>
      <c r="E663" s="102" t="b">
        <v>0</v>
      </c>
      <c r="F663" s="102" t="b">
        <v>0</v>
      </c>
      <c r="G663" s="102" t="b">
        <v>0</v>
      </c>
    </row>
    <row r="664" spans="1:7" ht="15">
      <c r="A664" s="104" t="s">
        <v>2999</v>
      </c>
      <c r="B664" s="102">
        <v>2</v>
      </c>
      <c r="C664" s="106">
        <v>0.0005682933356852263</v>
      </c>
      <c r="D664" s="102" t="s">
        <v>3369</v>
      </c>
      <c r="E664" s="102" t="b">
        <v>0</v>
      </c>
      <c r="F664" s="102" t="b">
        <v>0</v>
      </c>
      <c r="G664" s="102" t="b">
        <v>0</v>
      </c>
    </row>
    <row r="665" spans="1:7" ht="15">
      <c r="A665" s="104" t="s">
        <v>3000</v>
      </c>
      <c r="B665" s="102">
        <v>2</v>
      </c>
      <c r="C665" s="106">
        <v>0.0004993919862542396</v>
      </c>
      <c r="D665" s="102" t="s">
        <v>3369</v>
      </c>
      <c r="E665" s="102" t="b">
        <v>0</v>
      </c>
      <c r="F665" s="102" t="b">
        <v>0</v>
      </c>
      <c r="G665" s="102" t="b">
        <v>0</v>
      </c>
    </row>
    <row r="666" spans="1:7" ht="15">
      <c r="A666" s="104" t="s">
        <v>3001</v>
      </c>
      <c r="B666" s="102">
        <v>2</v>
      </c>
      <c r="C666" s="106">
        <v>0.0004993919862542396</v>
      </c>
      <c r="D666" s="102" t="s">
        <v>3369</v>
      </c>
      <c r="E666" s="102" t="b">
        <v>0</v>
      </c>
      <c r="F666" s="102" t="b">
        <v>0</v>
      </c>
      <c r="G666" s="102" t="b">
        <v>0</v>
      </c>
    </row>
    <row r="667" spans="1:7" ht="15">
      <c r="A667" s="104" t="s">
        <v>3002</v>
      </c>
      <c r="B667" s="102">
        <v>2</v>
      </c>
      <c r="C667" s="106">
        <v>0.0004993919862542396</v>
      </c>
      <c r="D667" s="102" t="s">
        <v>3369</v>
      </c>
      <c r="E667" s="102" t="b">
        <v>0</v>
      </c>
      <c r="F667" s="102" t="b">
        <v>0</v>
      </c>
      <c r="G667" s="102" t="b">
        <v>0</v>
      </c>
    </row>
    <row r="668" spans="1:7" ht="15">
      <c r="A668" s="104" t="s">
        <v>3003</v>
      </c>
      <c r="B668" s="102">
        <v>2</v>
      </c>
      <c r="C668" s="106">
        <v>0.0005682933356852263</v>
      </c>
      <c r="D668" s="102" t="s">
        <v>3369</v>
      </c>
      <c r="E668" s="102" t="b">
        <v>0</v>
      </c>
      <c r="F668" s="102" t="b">
        <v>0</v>
      </c>
      <c r="G668" s="102" t="b">
        <v>0</v>
      </c>
    </row>
    <row r="669" spans="1:7" ht="15">
      <c r="A669" s="104" t="s">
        <v>3004</v>
      </c>
      <c r="B669" s="102">
        <v>2</v>
      </c>
      <c r="C669" s="106">
        <v>0.0005682933356852263</v>
      </c>
      <c r="D669" s="102" t="s">
        <v>3369</v>
      </c>
      <c r="E669" s="102" t="b">
        <v>0</v>
      </c>
      <c r="F669" s="102" t="b">
        <v>0</v>
      </c>
      <c r="G669" s="102" t="b">
        <v>0</v>
      </c>
    </row>
    <row r="670" spans="1:7" ht="15">
      <c r="A670" s="104" t="s">
        <v>3005</v>
      </c>
      <c r="B670" s="102">
        <v>2</v>
      </c>
      <c r="C670" s="106">
        <v>0.0005682933356852263</v>
      </c>
      <c r="D670" s="102" t="s">
        <v>3369</v>
      </c>
      <c r="E670" s="102" t="b">
        <v>0</v>
      </c>
      <c r="F670" s="102" t="b">
        <v>0</v>
      </c>
      <c r="G670" s="102" t="b">
        <v>0</v>
      </c>
    </row>
    <row r="671" spans="1:7" ht="15">
      <c r="A671" s="104" t="s">
        <v>3006</v>
      </c>
      <c r="B671" s="102">
        <v>2</v>
      </c>
      <c r="C671" s="106">
        <v>0.0004993919862542396</v>
      </c>
      <c r="D671" s="102" t="s">
        <v>3369</v>
      </c>
      <c r="E671" s="102" t="b">
        <v>0</v>
      </c>
      <c r="F671" s="102" t="b">
        <v>0</v>
      </c>
      <c r="G671" s="102" t="b">
        <v>0</v>
      </c>
    </row>
    <row r="672" spans="1:7" ht="15">
      <c r="A672" s="104" t="s">
        <v>3007</v>
      </c>
      <c r="B672" s="102">
        <v>2</v>
      </c>
      <c r="C672" s="106">
        <v>0.0005682933356852263</v>
      </c>
      <c r="D672" s="102" t="s">
        <v>3369</v>
      </c>
      <c r="E672" s="102" t="b">
        <v>0</v>
      </c>
      <c r="F672" s="102" t="b">
        <v>1</v>
      </c>
      <c r="G672" s="102" t="b">
        <v>0</v>
      </c>
    </row>
    <row r="673" spans="1:7" ht="15">
      <c r="A673" s="104" t="s">
        <v>3008</v>
      </c>
      <c r="B673" s="102">
        <v>2</v>
      </c>
      <c r="C673" s="106">
        <v>0.0004993919862542396</v>
      </c>
      <c r="D673" s="102" t="s">
        <v>3369</v>
      </c>
      <c r="E673" s="102" t="b">
        <v>0</v>
      </c>
      <c r="F673" s="102" t="b">
        <v>0</v>
      </c>
      <c r="G673" s="102" t="b">
        <v>0</v>
      </c>
    </row>
    <row r="674" spans="1:7" ht="15">
      <c r="A674" s="104" t="s">
        <v>3009</v>
      </c>
      <c r="B674" s="102">
        <v>2</v>
      </c>
      <c r="C674" s="106">
        <v>0.0004993919862542396</v>
      </c>
      <c r="D674" s="102" t="s">
        <v>3369</v>
      </c>
      <c r="E674" s="102" t="b">
        <v>0</v>
      </c>
      <c r="F674" s="102" t="b">
        <v>0</v>
      </c>
      <c r="G674" s="102" t="b">
        <v>0</v>
      </c>
    </row>
    <row r="675" spans="1:7" ht="15">
      <c r="A675" s="104" t="s">
        <v>3010</v>
      </c>
      <c r="B675" s="102">
        <v>2</v>
      </c>
      <c r="C675" s="106">
        <v>0.0004993919862542396</v>
      </c>
      <c r="D675" s="102" t="s">
        <v>3369</v>
      </c>
      <c r="E675" s="102" t="b">
        <v>0</v>
      </c>
      <c r="F675" s="102" t="b">
        <v>0</v>
      </c>
      <c r="G675" s="102" t="b">
        <v>0</v>
      </c>
    </row>
    <row r="676" spans="1:7" ht="15">
      <c r="A676" s="104" t="s">
        <v>3011</v>
      </c>
      <c r="B676" s="102">
        <v>2</v>
      </c>
      <c r="C676" s="106">
        <v>0.0004993919862542396</v>
      </c>
      <c r="D676" s="102" t="s">
        <v>3369</v>
      </c>
      <c r="E676" s="102" t="b">
        <v>0</v>
      </c>
      <c r="F676" s="102" t="b">
        <v>0</v>
      </c>
      <c r="G676" s="102" t="b">
        <v>0</v>
      </c>
    </row>
    <row r="677" spans="1:7" ht="15">
      <c r="A677" s="104" t="s">
        <v>3012</v>
      </c>
      <c r="B677" s="102">
        <v>2</v>
      </c>
      <c r="C677" s="106">
        <v>0.0004993919862542396</v>
      </c>
      <c r="D677" s="102" t="s">
        <v>3369</v>
      </c>
      <c r="E677" s="102" t="b">
        <v>0</v>
      </c>
      <c r="F677" s="102" t="b">
        <v>0</v>
      </c>
      <c r="G677" s="102" t="b">
        <v>0</v>
      </c>
    </row>
    <row r="678" spans="1:7" ht="15">
      <c r="A678" s="104" t="s">
        <v>3013</v>
      </c>
      <c r="B678" s="102">
        <v>2</v>
      </c>
      <c r="C678" s="106">
        <v>0.0004993919862542396</v>
      </c>
      <c r="D678" s="102" t="s">
        <v>3369</v>
      </c>
      <c r="E678" s="102" t="b">
        <v>0</v>
      </c>
      <c r="F678" s="102" t="b">
        <v>0</v>
      </c>
      <c r="G678" s="102" t="b">
        <v>0</v>
      </c>
    </row>
    <row r="679" spans="1:7" ht="15">
      <c r="A679" s="104" t="s">
        <v>3014</v>
      </c>
      <c r="B679" s="102">
        <v>2</v>
      </c>
      <c r="C679" s="106">
        <v>0.0004993919862542396</v>
      </c>
      <c r="D679" s="102" t="s">
        <v>3369</v>
      </c>
      <c r="E679" s="102" t="b">
        <v>0</v>
      </c>
      <c r="F679" s="102" t="b">
        <v>0</v>
      </c>
      <c r="G679" s="102" t="b">
        <v>0</v>
      </c>
    </row>
    <row r="680" spans="1:7" ht="15">
      <c r="A680" s="104" t="s">
        <v>3015</v>
      </c>
      <c r="B680" s="102">
        <v>2</v>
      </c>
      <c r="C680" s="106">
        <v>0.0005682933356852263</v>
      </c>
      <c r="D680" s="102" t="s">
        <v>3369</v>
      </c>
      <c r="E680" s="102" t="b">
        <v>0</v>
      </c>
      <c r="F680" s="102" t="b">
        <v>0</v>
      </c>
      <c r="G680" s="102" t="b">
        <v>0</v>
      </c>
    </row>
    <row r="681" spans="1:7" ht="15">
      <c r="A681" s="104" t="s">
        <v>3016</v>
      </c>
      <c r="B681" s="102">
        <v>2</v>
      </c>
      <c r="C681" s="106">
        <v>0.0004993919862542396</v>
      </c>
      <c r="D681" s="102" t="s">
        <v>3369</v>
      </c>
      <c r="E681" s="102" t="b">
        <v>0</v>
      </c>
      <c r="F681" s="102" t="b">
        <v>0</v>
      </c>
      <c r="G681" s="102" t="b">
        <v>0</v>
      </c>
    </row>
    <row r="682" spans="1:7" ht="15">
      <c r="A682" s="104" t="s">
        <v>3017</v>
      </c>
      <c r="B682" s="102">
        <v>2</v>
      </c>
      <c r="C682" s="106">
        <v>0.0004993919862542396</v>
      </c>
      <c r="D682" s="102" t="s">
        <v>3369</v>
      </c>
      <c r="E682" s="102" t="b">
        <v>0</v>
      </c>
      <c r="F682" s="102" t="b">
        <v>0</v>
      </c>
      <c r="G682" s="102" t="b">
        <v>0</v>
      </c>
    </row>
    <row r="683" spans="1:7" ht="15">
      <c r="A683" s="104" t="s">
        <v>3018</v>
      </c>
      <c r="B683" s="102">
        <v>2</v>
      </c>
      <c r="C683" s="106">
        <v>0.0004993919862542396</v>
      </c>
      <c r="D683" s="102" t="s">
        <v>3369</v>
      </c>
      <c r="E683" s="102" t="b">
        <v>0</v>
      </c>
      <c r="F683" s="102" t="b">
        <v>0</v>
      </c>
      <c r="G683" s="102" t="b">
        <v>0</v>
      </c>
    </row>
    <row r="684" spans="1:7" ht="15">
      <c r="A684" s="104" t="s">
        <v>3019</v>
      </c>
      <c r="B684" s="102">
        <v>2</v>
      </c>
      <c r="C684" s="106">
        <v>0.0004993919862542396</v>
      </c>
      <c r="D684" s="102" t="s">
        <v>3369</v>
      </c>
      <c r="E684" s="102" t="b">
        <v>0</v>
      </c>
      <c r="F684" s="102" t="b">
        <v>0</v>
      </c>
      <c r="G684" s="102" t="b">
        <v>0</v>
      </c>
    </row>
    <row r="685" spans="1:7" ht="15">
      <c r="A685" s="104" t="s">
        <v>3020</v>
      </c>
      <c r="B685" s="102">
        <v>2</v>
      </c>
      <c r="C685" s="106">
        <v>0.0004993919862542396</v>
      </c>
      <c r="D685" s="102" t="s">
        <v>3369</v>
      </c>
      <c r="E685" s="102" t="b">
        <v>0</v>
      </c>
      <c r="F685" s="102" t="b">
        <v>0</v>
      </c>
      <c r="G685" s="102" t="b">
        <v>0</v>
      </c>
    </row>
    <row r="686" spans="1:7" ht="15">
      <c r="A686" s="104" t="s">
        <v>3021</v>
      </c>
      <c r="B686" s="102">
        <v>2</v>
      </c>
      <c r="C686" s="106">
        <v>0.0005682933356852263</v>
      </c>
      <c r="D686" s="102" t="s">
        <v>3369</v>
      </c>
      <c r="E686" s="102" t="b">
        <v>0</v>
      </c>
      <c r="F686" s="102" t="b">
        <v>0</v>
      </c>
      <c r="G686" s="102" t="b">
        <v>0</v>
      </c>
    </row>
    <row r="687" spans="1:7" ht="15">
      <c r="A687" s="104" t="s">
        <v>3022</v>
      </c>
      <c r="B687" s="102">
        <v>2</v>
      </c>
      <c r="C687" s="106">
        <v>0.0004993919862542396</v>
      </c>
      <c r="D687" s="102" t="s">
        <v>3369</v>
      </c>
      <c r="E687" s="102" t="b">
        <v>0</v>
      </c>
      <c r="F687" s="102" t="b">
        <v>0</v>
      </c>
      <c r="G687" s="102" t="b">
        <v>0</v>
      </c>
    </row>
    <row r="688" spans="1:7" ht="15">
      <c r="A688" s="104" t="s">
        <v>3023</v>
      </c>
      <c r="B688" s="102">
        <v>2</v>
      </c>
      <c r="C688" s="106">
        <v>0.0005682933356852263</v>
      </c>
      <c r="D688" s="102" t="s">
        <v>3369</v>
      </c>
      <c r="E688" s="102" t="b">
        <v>0</v>
      </c>
      <c r="F688" s="102" t="b">
        <v>0</v>
      </c>
      <c r="G688" s="102" t="b">
        <v>0</v>
      </c>
    </row>
    <row r="689" spans="1:7" ht="15">
      <c r="A689" s="104" t="s">
        <v>3024</v>
      </c>
      <c r="B689" s="102">
        <v>2</v>
      </c>
      <c r="C689" s="106">
        <v>0.0005682933356852263</v>
      </c>
      <c r="D689" s="102" t="s">
        <v>3369</v>
      </c>
      <c r="E689" s="102" t="b">
        <v>0</v>
      </c>
      <c r="F689" s="102" t="b">
        <v>0</v>
      </c>
      <c r="G689" s="102" t="b">
        <v>0</v>
      </c>
    </row>
    <row r="690" spans="1:7" ht="15">
      <c r="A690" s="104" t="s">
        <v>3025</v>
      </c>
      <c r="B690" s="102">
        <v>2</v>
      </c>
      <c r="C690" s="106">
        <v>0.0004993919862542396</v>
      </c>
      <c r="D690" s="102" t="s">
        <v>3369</v>
      </c>
      <c r="E690" s="102" t="b">
        <v>0</v>
      </c>
      <c r="F690" s="102" t="b">
        <v>0</v>
      </c>
      <c r="G690" s="102" t="b">
        <v>0</v>
      </c>
    </row>
    <row r="691" spans="1:7" ht="15">
      <c r="A691" s="104" t="s">
        <v>3026</v>
      </c>
      <c r="B691" s="102">
        <v>2</v>
      </c>
      <c r="C691" s="106">
        <v>0.0004993919862542396</v>
      </c>
      <c r="D691" s="102" t="s">
        <v>3369</v>
      </c>
      <c r="E691" s="102" t="b">
        <v>0</v>
      </c>
      <c r="F691" s="102" t="b">
        <v>0</v>
      </c>
      <c r="G691" s="102" t="b">
        <v>0</v>
      </c>
    </row>
    <row r="692" spans="1:7" ht="15">
      <c r="A692" s="104" t="s">
        <v>3027</v>
      </c>
      <c r="B692" s="102">
        <v>2</v>
      </c>
      <c r="C692" s="106">
        <v>0.0004993919862542396</v>
      </c>
      <c r="D692" s="102" t="s">
        <v>3369</v>
      </c>
      <c r="E692" s="102" t="b">
        <v>0</v>
      </c>
      <c r="F692" s="102" t="b">
        <v>0</v>
      </c>
      <c r="G692" s="102" t="b">
        <v>0</v>
      </c>
    </row>
    <row r="693" spans="1:7" ht="15">
      <c r="A693" s="104" t="s">
        <v>3028</v>
      </c>
      <c r="B693" s="102">
        <v>2</v>
      </c>
      <c r="C693" s="106">
        <v>0.0004993919862542396</v>
      </c>
      <c r="D693" s="102" t="s">
        <v>3369</v>
      </c>
      <c r="E693" s="102" t="b">
        <v>0</v>
      </c>
      <c r="F693" s="102" t="b">
        <v>0</v>
      </c>
      <c r="G693" s="102" t="b">
        <v>0</v>
      </c>
    </row>
    <row r="694" spans="1:7" ht="15">
      <c r="A694" s="104" t="s">
        <v>3029</v>
      </c>
      <c r="B694" s="102">
        <v>2</v>
      </c>
      <c r="C694" s="106">
        <v>0.0004993919862542396</v>
      </c>
      <c r="D694" s="102" t="s">
        <v>3369</v>
      </c>
      <c r="E694" s="102" t="b">
        <v>0</v>
      </c>
      <c r="F694" s="102" t="b">
        <v>0</v>
      </c>
      <c r="G694" s="102" t="b">
        <v>0</v>
      </c>
    </row>
    <row r="695" spans="1:7" ht="15">
      <c r="A695" s="104" t="s">
        <v>3030</v>
      </c>
      <c r="B695" s="102">
        <v>2</v>
      </c>
      <c r="C695" s="106">
        <v>0.0004993919862542396</v>
      </c>
      <c r="D695" s="102" t="s">
        <v>3369</v>
      </c>
      <c r="E695" s="102" t="b">
        <v>0</v>
      </c>
      <c r="F695" s="102" t="b">
        <v>0</v>
      </c>
      <c r="G695" s="102" t="b">
        <v>0</v>
      </c>
    </row>
    <row r="696" spans="1:7" ht="15">
      <c r="A696" s="104" t="s">
        <v>3031</v>
      </c>
      <c r="B696" s="102">
        <v>2</v>
      </c>
      <c r="C696" s="106">
        <v>0.0005682933356852263</v>
      </c>
      <c r="D696" s="102" t="s">
        <v>3369</v>
      </c>
      <c r="E696" s="102" t="b">
        <v>0</v>
      </c>
      <c r="F696" s="102" t="b">
        <v>0</v>
      </c>
      <c r="G696" s="102" t="b">
        <v>0</v>
      </c>
    </row>
    <row r="697" spans="1:7" ht="15">
      <c r="A697" s="104" t="s">
        <v>3032</v>
      </c>
      <c r="B697" s="102">
        <v>2</v>
      </c>
      <c r="C697" s="106">
        <v>0.0005682933356852263</v>
      </c>
      <c r="D697" s="102" t="s">
        <v>3369</v>
      </c>
      <c r="E697" s="102" t="b">
        <v>0</v>
      </c>
      <c r="F697" s="102" t="b">
        <v>0</v>
      </c>
      <c r="G697" s="102" t="b">
        <v>0</v>
      </c>
    </row>
    <row r="698" spans="1:7" ht="15">
      <c r="A698" s="104" t="s">
        <v>3033</v>
      </c>
      <c r="B698" s="102">
        <v>2</v>
      </c>
      <c r="C698" s="106">
        <v>0.0004993919862542396</v>
      </c>
      <c r="D698" s="102" t="s">
        <v>3369</v>
      </c>
      <c r="E698" s="102" t="b">
        <v>0</v>
      </c>
      <c r="F698" s="102" t="b">
        <v>0</v>
      </c>
      <c r="G698" s="102" t="b">
        <v>0</v>
      </c>
    </row>
    <row r="699" spans="1:7" ht="15">
      <c r="A699" s="104" t="s">
        <v>3034</v>
      </c>
      <c r="B699" s="102">
        <v>2</v>
      </c>
      <c r="C699" s="106">
        <v>0.0005682933356852263</v>
      </c>
      <c r="D699" s="102" t="s">
        <v>3369</v>
      </c>
      <c r="E699" s="102" t="b">
        <v>0</v>
      </c>
      <c r="F699" s="102" t="b">
        <v>0</v>
      </c>
      <c r="G699" s="102" t="b">
        <v>0</v>
      </c>
    </row>
    <row r="700" spans="1:7" ht="15">
      <c r="A700" s="104" t="s">
        <v>3035</v>
      </c>
      <c r="B700" s="102">
        <v>2</v>
      </c>
      <c r="C700" s="106">
        <v>0.0004993919862542396</v>
      </c>
      <c r="D700" s="102" t="s">
        <v>3369</v>
      </c>
      <c r="E700" s="102" t="b">
        <v>0</v>
      </c>
      <c r="F700" s="102" t="b">
        <v>0</v>
      </c>
      <c r="G700" s="102" t="b">
        <v>0</v>
      </c>
    </row>
    <row r="701" spans="1:7" ht="15">
      <c r="A701" s="104" t="s">
        <v>3036</v>
      </c>
      <c r="B701" s="102">
        <v>2</v>
      </c>
      <c r="C701" s="106">
        <v>0.0004993919862542396</v>
      </c>
      <c r="D701" s="102" t="s">
        <v>3369</v>
      </c>
      <c r="E701" s="102" t="b">
        <v>0</v>
      </c>
      <c r="F701" s="102" t="b">
        <v>0</v>
      </c>
      <c r="G701" s="102" t="b">
        <v>0</v>
      </c>
    </row>
    <row r="702" spans="1:7" ht="15">
      <c r="A702" s="104" t="s">
        <v>3037</v>
      </c>
      <c r="B702" s="102">
        <v>2</v>
      </c>
      <c r="C702" s="106">
        <v>0.0005682933356852263</v>
      </c>
      <c r="D702" s="102" t="s">
        <v>3369</v>
      </c>
      <c r="E702" s="102" t="b">
        <v>0</v>
      </c>
      <c r="F702" s="102" t="b">
        <v>0</v>
      </c>
      <c r="G702" s="102" t="b">
        <v>0</v>
      </c>
    </row>
    <row r="703" spans="1:7" ht="15">
      <c r="A703" s="104" t="s">
        <v>3038</v>
      </c>
      <c r="B703" s="102">
        <v>2</v>
      </c>
      <c r="C703" s="106">
        <v>0.0005682933356852263</v>
      </c>
      <c r="D703" s="102" t="s">
        <v>3369</v>
      </c>
      <c r="E703" s="102" t="b">
        <v>0</v>
      </c>
      <c r="F703" s="102" t="b">
        <v>0</v>
      </c>
      <c r="G703" s="102" t="b">
        <v>0</v>
      </c>
    </row>
    <row r="704" spans="1:7" ht="15">
      <c r="A704" s="104" t="s">
        <v>3039</v>
      </c>
      <c r="B704" s="102">
        <v>2</v>
      </c>
      <c r="C704" s="106">
        <v>0.0004993919862542396</v>
      </c>
      <c r="D704" s="102" t="s">
        <v>3369</v>
      </c>
      <c r="E704" s="102" t="b">
        <v>0</v>
      </c>
      <c r="F704" s="102" t="b">
        <v>0</v>
      </c>
      <c r="G704" s="102" t="b">
        <v>0</v>
      </c>
    </row>
    <row r="705" spans="1:7" ht="15">
      <c r="A705" s="104" t="s">
        <v>3040</v>
      </c>
      <c r="B705" s="102">
        <v>2</v>
      </c>
      <c r="C705" s="106">
        <v>0.0004993919862542396</v>
      </c>
      <c r="D705" s="102" t="s">
        <v>3369</v>
      </c>
      <c r="E705" s="102" t="b">
        <v>0</v>
      </c>
      <c r="F705" s="102" t="b">
        <v>0</v>
      </c>
      <c r="G705" s="102" t="b">
        <v>0</v>
      </c>
    </row>
    <row r="706" spans="1:7" ht="15">
      <c r="A706" s="104" t="s">
        <v>3041</v>
      </c>
      <c r="B706" s="102">
        <v>2</v>
      </c>
      <c r="C706" s="106">
        <v>0.0004993919862542396</v>
      </c>
      <c r="D706" s="102" t="s">
        <v>3369</v>
      </c>
      <c r="E706" s="102" t="b">
        <v>0</v>
      </c>
      <c r="F706" s="102" t="b">
        <v>0</v>
      </c>
      <c r="G706" s="102" t="b">
        <v>0</v>
      </c>
    </row>
    <row r="707" spans="1:7" ht="15">
      <c r="A707" s="104" t="s">
        <v>3042</v>
      </c>
      <c r="B707" s="102">
        <v>2</v>
      </c>
      <c r="C707" s="106">
        <v>0.0005682933356852263</v>
      </c>
      <c r="D707" s="102" t="s">
        <v>3369</v>
      </c>
      <c r="E707" s="102" t="b">
        <v>0</v>
      </c>
      <c r="F707" s="102" t="b">
        <v>0</v>
      </c>
      <c r="G707" s="102" t="b">
        <v>0</v>
      </c>
    </row>
    <row r="708" spans="1:7" ht="15">
      <c r="A708" s="104" t="s">
        <v>3043</v>
      </c>
      <c r="B708" s="102">
        <v>2</v>
      </c>
      <c r="C708" s="106">
        <v>0.0005682933356852263</v>
      </c>
      <c r="D708" s="102" t="s">
        <v>3369</v>
      </c>
      <c r="E708" s="102" t="b">
        <v>0</v>
      </c>
      <c r="F708" s="102" t="b">
        <v>0</v>
      </c>
      <c r="G708" s="102" t="b">
        <v>0</v>
      </c>
    </row>
    <row r="709" spans="1:7" ht="15">
      <c r="A709" s="104" t="s">
        <v>3044</v>
      </c>
      <c r="B709" s="102">
        <v>2</v>
      </c>
      <c r="C709" s="106">
        <v>0.0005682933356852263</v>
      </c>
      <c r="D709" s="102" t="s">
        <v>3369</v>
      </c>
      <c r="E709" s="102" t="b">
        <v>1</v>
      </c>
      <c r="F709" s="102" t="b">
        <v>0</v>
      </c>
      <c r="G709" s="102" t="b">
        <v>0</v>
      </c>
    </row>
    <row r="710" spans="1:7" ht="15">
      <c r="A710" s="104" t="s">
        <v>3045</v>
      </c>
      <c r="B710" s="102">
        <v>2</v>
      </c>
      <c r="C710" s="106">
        <v>0.0005682933356852263</v>
      </c>
      <c r="D710" s="102" t="s">
        <v>3369</v>
      </c>
      <c r="E710" s="102" t="b">
        <v>0</v>
      </c>
      <c r="F710" s="102" t="b">
        <v>0</v>
      </c>
      <c r="G710" s="102" t="b">
        <v>0</v>
      </c>
    </row>
    <row r="711" spans="1:7" ht="15">
      <c r="A711" s="104" t="s">
        <v>3046</v>
      </c>
      <c r="B711" s="102">
        <v>2</v>
      </c>
      <c r="C711" s="106">
        <v>0.0004993919862542396</v>
      </c>
      <c r="D711" s="102" t="s">
        <v>3369</v>
      </c>
      <c r="E711" s="102" t="b">
        <v>0</v>
      </c>
      <c r="F711" s="102" t="b">
        <v>0</v>
      </c>
      <c r="G711" s="102" t="b">
        <v>0</v>
      </c>
    </row>
    <row r="712" spans="1:7" ht="15">
      <c r="A712" s="104" t="s">
        <v>3047</v>
      </c>
      <c r="B712" s="102">
        <v>2</v>
      </c>
      <c r="C712" s="106">
        <v>0.0004993919862542396</v>
      </c>
      <c r="D712" s="102" t="s">
        <v>3369</v>
      </c>
      <c r="E712" s="102" t="b">
        <v>0</v>
      </c>
      <c r="F712" s="102" t="b">
        <v>0</v>
      </c>
      <c r="G712" s="102" t="b">
        <v>0</v>
      </c>
    </row>
    <row r="713" spans="1:7" ht="15">
      <c r="A713" s="104" t="s">
        <v>3048</v>
      </c>
      <c r="B713" s="102">
        <v>2</v>
      </c>
      <c r="C713" s="106">
        <v>0.0005682933356852263</v>
      </c>
      <c r="D713" s="102" t="s">
        <v>3369</v>
      </c>
      <c r="E713" s="102" t="b">
        <v>0</v>
      </c>
      <c r="F713" s="102" t="b">
        <v>0</v>
      </c>
      <c r="G713" s="102" t="b">
        <v>0</v>
      </c>
    </row>
    <row r="714" spans="1:7" ht="15">
      <c r="A714" s="104" t="s">
        <v>3049</v>
      </c>
      <c r="B714" s="102">
        <v>2</v>
      </c>
      <c r="C714" s="106">
        <v>0.0004993919862542396</v>
      </c>
      <c r="D714" s="102" t="s">
        <v>3369</v>
      </c>
      <c r="E714" s="102" t="b">
        <v>0</v>
      </c>
      <c r="F714" s="102" t="b">
        <v>0</v>
      </c>
      <c r="G714" s="102" t="b">
        <v>0</v>
      </c>
    </row>
    <row r="715" spans="1:7" ht="15">
      <c r="A715" s="104" t="s">
        <v>3050</v>
      </c>
      <c r="B715" s="102">
        <v>2</v>
      </c>
      <c r="C715" s="106">
        <v>0.0005682933356852263</v>
      </c>
      <c r="D715" s="102" t="s">
        <v>3369</v>
      </c>
      <c r="E715" s="102" t="b">
        <v>0</v>
      </c>
      <c r="F715" s="102" t="b">
        <v>0</v>
      </c>
      <c r="G715" s="102" t="b">
        <v>0</v>
      </c>
    </row>
    <row r="716" spans="1:7" ht="15">
      <c r="A716" s="104" t="s">
        <v>3051</v>
      </c>
      <c r="B716" s="102">
        <v>2</v>
      </c>
      <c r="C716" s="106">
        <v>0.0005682933356852263</v>
      </c>
      <c r="D716" s="102" t="s">
        <v>3369</v>
      </c>
      <c r="E716" s="102" t="b">
        <v>0</v>
      </c>
      <c r="F716" s="102" t="b">
        <v>0</v>
      </c>
      <c r="G716" s="102" t="b">
        <v>0</v>
      </c>
    </row>
    <row r="717" spans="1:7" ht="15">
      <c r="A717" s="104" t="s">
        <v>3052</v>
      </c>
      <c r="B717" s="102">
        <v>2</v>
      </c>
      <c r="C717" s="106">
        <v>0.0005682933356852263</v>
      </c>
      <c r="D717" s="102" t="s">
        <v>3369</v>
      </c>
      <c r="E717" s="102" t="b">
        <v>0</v>
      </c>
      <c r="F717" s="102" t="b">
        <v>0</v>
      </c>
      <c r="G717" s="102" t="b">
        <v>0</v>
      </c>
    </row>
    <row r="718" spans="1:7" ht="15">
      <c r="A718" s="104" t="s">
        <v>3053</v>
      </c>
      <c r="B718" s="102">
        <v>2</v>
      </c>
      <c r="C718" s="106">
        <v>0.0005682933356852263</v>
      </c>
      <c r="D718" s="102" t="s">
        <v>3369</v>
      </c>
      <c r="E718" s="102" t="b">
        <v>1</v>
      </c>
      <c r="F718" s="102" t="b">
        <v>0</v>
      </c>
      <c r="G718" s="102" t="b">
        <v>0</v>
      </c>
    </row>
    <row r="719" spans="1:7" ht="15">
      <c r="A719" s="104" t="s">
        <v>3054</v>
      </c>
      <c r="B719" s="102">
        <v>2</v>
      </c>
      <c r="C719" s="106">
        <v>0.0004993919862542396</v>
      </c>
      <c r="D719" s="102" t="s">
        <v>3369</v>
      </c>
      <c r="E719" s="102" t="b">
        <v>0</v>
      </c>
      <c r="F719" s="102" t="b">
        <v>0</v>
      </c>
      <c r="G719" s="102" t="b">
        <v>0</v>
      </c>
    </row>
    <row r="720" spans="1:7" ht="15">
      <c r="A720" s="104" t="s">
        <v>3055</v>
      </c>
      <c r="B720" s="102">
        <v>2</v>
      </c>
      <c r="C720" s="106">
        <v>0.0004993919862542396</v>
      </c>
      <c r="D720" s="102" t="s">
        <v>3369</v>
      </c>
      <c r="E720" s="102" t="b">
        <v>0</v>
      </c>
      <c r="F720" s="102" t="b">
        <v>0</v>
      </c>
      <c r="G720" s="102" t="b">
        <v>0</v>
      </c>
    </row>
    <row r="721" spans="1:7" ht="15">
      <c r="A721" s="104" t="s">
        <v>3056</v>
      </c>
      <c r="B721" s="102">
        <v>2</v>
      </c>
      <c r="C721" s="106">
        <v>0.0005682933356852263</v>
      </c>
      <c r="D721" s="102" t="s">
        <v>3369</v>
      </c>
      <c r="E721" s="102" t="b">
        <v>0</v>
      </c>
      <c r="F721" s="102" t="b">
        <v>0</v>
      </c>
      <c r="G721" s="102" t="b">
        <v>0</v>
      </c>
    </row>
    <row r="722" spans="1:7" ht="15">
      <c r="A722" s="104" t="s">
        <v>3057</v>
      </c>
      <c r="B722" s="102">
        <v>2</v>
      </c>
      <c r="C722" s="106">
        <v>0.0005682933356852263</v>
      </c>
      <c r="D722" s="102" t="s">
        <v>3369</v>
      </c>
      <c r="E722" s="102" t="b">
        <v>0</v>
      </c>
      <c r="F722" s="102" t="b">
        <v>0</v>
      </c>
      <c r="G722" s="102" t="b">
        <v>0</v>
      </c>
    </row>
    <row r="723" spans="1:7" ht="15">
      <c r="A723" s="104" t="s">
        <v>3058</v>
      </c>
      <c r="B723" s="102">
        <v>2</v>
      </c>
      <c r="C723" s="106">
        <v>0.0005682933356852263</v>
      </c>
      <c r="D723" s="102" t="s">
        <v>3369</v>
      </c>
      <c r="E723" s="102" t="b">
        <v>0</v>
      </c>
      <c r="F723" s="102" t="b">
        <v>0</v>
      </c>
      <c r="G723" s="102" t="b">
        <v>0</v>
      </c>
    </row>
    <row r="724" spans="1:7" ht="15">
      <c r="A724" s="104" t="s">
        <v>3059</v>
      </c>
      <c r="B724" s="102">
        <v>2</v>
      </c>
      <c r="C724" s="106">
        <v>0.0004993919862542396</v>
      </c>
      <c r="D724" s="102" t="s">
        <v>3369</v>
      </c>
      <c r="E724" s="102" t="b">
        <v>0</v>
      </c>
      <c r="F724" s="102" t="b">
        <v>0</v>
      </c>
      <c r="G724" s="102" t="b">
        <v>0</v>
      </c>
    </row>
    <row r="725" spans="1:7" ht="15">
      <c r="A725" s="104" t="s">
        <v>3060</v>
      </c>
      <c r="B725" s="102">
        <v>2</v>
      </c>
      <c r="C725" s="106">
        <v>0.0005682933356852263</v>
      </c>
      <c r="D725" s="102" t="s">
        <v>3369</v>
      </c>
      <c r="E725" s="102" t="b">
        <v>0</v>
      </c>
      <c r="F725" s="102" t="b">
        <v>0</v>
      </c>
      <c r="G725" s="102" t="b">
        <v>0</v>
      </c>
    </row>
    <row r="726" spans="1:7" ht="15">
      <c r="A726" s="104" t="s">
        <v>3061</v>
      </c>
      <c r="B726" s="102">
        <v>2</v>
      </c>
      <c r="C726" s="106">
        <v>0.0004993919862542396</v>
      </c>
      <c r="D726" s="102" t="s">
        <v>3369</v>
      </c>
      <c r="E726" s="102" t="b">
        <v>0</v>
      </c>
      <c r="F726" s="102" t="b">
        <v>0</v>
      </c>
      <c r="G726" s="102" t="b">
        <v>0</v>
      </c>
    </row>
    <row r="727" spans="1:7" ht="15">
      <c r="A727" s="104" t="s">
        <v>3062</v>
      </c>
      <c r="B727" s="102">
        <v>2</v>
      </c>
      <c r="C727" s="106">
        <v>0.0005682933356852263</v>
      </c>
      <c r="D727" s="102" t="s">
        <v>3369</v>
      </c>
      <c r="E727" s="102" t="b">
        <v>0</v>
      </c>
      <c r="F727" s="102" t="b">
        <v>0</v>
      </c>
      <c r="G727" s="102" t="b">
        <v>0</v>
      </c>
    </row>
    <row r="728" spans="1:7" ht="15">
      <c r="A728" s="104" t="s">
        <v>3063</v>
      </c>
      <c r="B728" s="102">
        <v>2</v>
      </c>
      <c r="C728" s="106">
        <v>0.0005682933356852263</v>
      </c>
      <c r="D728" s="102" t="s">
        <v>3369</v>
      </c>
      <c r="E728" s="102" t="b">
        <v>0</v>
      </c>
      <c r="F728" s="102" t="b">
        <v>0</v>
      </c>
      <c r="G728" s="102" t="b">
        <v>0</v>
      </c>
    </row>
    <row r="729" spans="1:7" ht="15">
      <c r="A729" s="104" t="s">
        <v>3064</v>
      </c>
      <c r="B729" s="102">
        <v>2</v>
      </c>
      <c r="C729" s="106">
        <v>0.0004993919862542396</v>
      </c>
      <c r="D729" s="102" t="s">
        <v>3369</v>
      </c>
      <c r="E729" s="102" t="b">
        <v>0</v>
      </c>
      <c r="F729" s="102" t="b">
        <v>0</v>
      </c>
      <c r="G729" s="102" t="b">
        <v>0</v>
      </c>
    </row>
    <row r="730" spans="1:7" ht="15">
      <c r="A730" s="104" t="s">
        <v>3065</v>
      </c>
      <c r="B730" s="102">
        <v>2</v>
      </c>
      <c r="C730" s="106">
        <v>0.0004993919862542396</v>
      </c>
      <c r="D730" s="102" t="s">
        <v>3369</v>
      </c>
      <c r="E730" s="102" t="b">
        <v>0</v>
      </c>
      <c r="F730" s="102" t="b">
        <v>0</v>
      </c>
      <c r="G730" s="102" t="b">
        <v>0</v>
      </c>
    </row>
    <row r="731" spans="1:7" ht="15">
      <c r="A731" s="104" t="s">
        <v>3066</v>
      </c>
      <c r="B731" s="102">
        <v>2</v>
      </c>
      <c r="C731" s="106">
        <v>0.0004993919862542396</v>
      </c>
      <c r="D731" s="102" t="s">
        <v>3369</v>
      </c>
      <c r="E731" s="102" t="b">
        <v>0</v>
      </c>
      <c r="F731" s="102" t="b">
        <v>0</v>
      </c>
      <c r="G731" s="102" t="b">
        <v>0</v>
      </c>
    </row>
    <row r="732" spans="1:7" ht="15">
      <c r="A732" s="104" t="s">
        <v>3067</v>
      </c>
      <c r="B732" s="102">
        <v>2</v>
      </c>
      <c r="C732" s="106">
        <v>0.0005682933356852263</v>
      </c>
      <c r="D732" s="102" t="s">
        <v>3369</v>
      </c>
      <c r="E732" s="102" t="b">
        <v>0</v>
      </c>
      <c r="F732" s="102" t="b">
        <v>0</v>
      </c>
      <c r="G732" s="102" t="b">
        <v>0</v>
      </c>
    </row>
    <row r="733" spans="1:7" ht="15">
      <c r="A733" s="104" t="s">
        <v>3068</v>
      </c>
      <c r="B733" s="102">
        <v>2</v>
      </c>
      <c r="C733" s="106">
        <v>0.0005682933356852263</v>
      </c>
      <c r="D733" s="102" t="s">
        <v>3369</v>
      </c>
      <c r="E733" s="102" t="b">
        <v>0</v>
      </c>
      <c r="F733" s="102" t="b">
        <v>0</v>
      </c>
      <c r="G733" s="102" t="b">
        <v>0</v>
      </c>
    </row>
    <row r="734" spans="1:7" ht="15">
      <c r="A734" s="104" t="s">
        <v>3069</v>
      </c>
      <c r="B734" s="102">
        <v>2</v>
      </c>
      <c r="C734" s="106">
        <v>0.0005682933356852263</v>
      </c>
      <c r="D734" s="102" t="s">
        <v>3369</v>
      </c>
      <c r="E734" s="102" t="b">
        <v>0</v>
      </c>
      <c r="F734" s="102" t="b">
        <v>0</v>
      </c>
      <c r="G734" s="102" t="b">
        <v>0</v>
      </c>
    </row>
    <row r="735" spans="1:7" ht="15">
      <c r="A735" s="104" t="s">
        <v>3070</v>
      </c>
      <c r="B735" s="102">
        <v>2</v>
      </c>
      <c r="C735" s="106">
        <v>0.0005682933356852263</v>
      </c>
      <c r="D735" s="102" t="s">
        <v>3369</v>
      </c>
      <c r="E735" s="102" t="b">
        <v>1</v>
      </c>
      <c r="F735" s="102" t="b">
        <v>0</v>
      </c>
      <c r="G735" s="102" t="b">
        <v>0</v>
      </c>
    </row>
    <row r="736" spans="1:7" ht="15">
      <c r="A736" s="104" t="s">
        <v>3071</v>
      </c>
      <c r="B736" s="102">
        <v>2</v>
      </c>
      <c r="C736" s="106">
        <v>0.0005682933356852263</v>
      </c>
      <c r="D736" s="102" t="s">
        <v>3369</v>
      </c>
      <c r="E736" s="102" t="b">
        <v>1</v>
      </c>
      <c r="F736" s="102" t="b">
        <v>0</v>
      </c>
      <c r="G736" s="102" t="b">
        <v>0</v>
      </c>
    </row>
    <row r="737" spans="1:7" ht="15">
      <c r="A737" s="104" t="s">
        <v>3072</v>
      </c>
      <c r="B737" s="102">
        <v>2</v>
      </c>
      <c r="C737" s="106">
        <v>0.0005682933356852263</v>
      </c>
      <c r="D737" s="102" t="s">
        <v>3369</v>
      </c>
      <c r="E737" s="102" t="b">
        <v>0</v>
      </c>
      <c r="F737" s="102" t="b">
        <v>0</v>
      </c>
      <c r="G737" s="102" t="b">
        <v>0</v>
      </c>
    </row>
    <row r="738" spans="1:7" ht="15">
      <c r="A738" s="104" t="s">
        <v>3073</v>
      </c>
      <c r="B738" s="102">
        <v>2</v>
      </c>
      <c r="C738" s="106">
        <v>0.0005682933356852263</v>
      </c>
      <c r="D738" s="102" t="s">
        <v>3369</v>
      </c>
      <c r="E738" s="102" t="b">
        <v>0</v>
      </c>
      <c r="F738" s="102" t="b">
        <v>1</v>
      </c>
      <c r="G738" s="102" t="b">
        <v>0</v>
      </c>
    </row>
    <row r="739" spans="1:7" ht="15">
      <c r="A739" s="104" t="s">
        <v>3074</v>
      </c>
      <c r="B739" s="102">
        <v>2</v>
      </c>
      <c r="C739" s="106">
        <v>0.0004993919862542396</v>
      </c>
      <c r="D739" s="102" t="s">
        <v>3369</v>
      </c>
      <c r="E739" s="102" t="b">
        <v>0</v>
      </c>
      <c r="F739" s="102" t="b">
        <v>0</v>
      </c>
      <c r="G739" s="102" t="b">
        <v>0</v>
      </c>
    </row>
    <row r="740" spans="1:7" ht="15">
      <c r="A740" s="104" t="s">
        <v>3075</v>
      </c>
      <c r="B740" s="102">
        <v>2</v>
      </c>
      <c r="C740" s="106">
        <v>0.0004993919862542396</v>
      </c>
      <c r="D740" s="102" t="s">
        <v>3369</v>
      </c>
      <c r="E740" s="102" t="b">
        <v>0</v>
      </c>
      <c r="F740" s="102" t="b">
        <v>0</v>
      </c>
      <c r="G740" s="102" t="b">
        <v>0</v>
      </c>
    </row>
    <row r="741" spans="1:7" ht="15">
      <c r="A741" s="104" t="s">
        <v>3076</v>
      </c>
      <c r="B741" s="102">
        <v>2</v>
      </c>
      <c r="C741" s="106">
        <v>0.0004993919862542396</v>
      </c>
      <c r="D741" s="102" t="s">
        <v>3369</v>
      </c>
      <c r="E741" s="102" t="b">
        <v>0</v>
      </c>
      <c r="F741" s="102" t="b">
        <v>0</v>
      </c>
      <c r="G741" s="102" t="b">
        <v>0</v>
      </c>
    </row>
    <row r="742" spans="1:7" ht="15">
      <c r="A742" s="104" t="s">
        <v>3077</v>
      </c>
      <c r="B742" s="102">
        <v>2</v>
      </c>
      <c r="C742" s="106">
        <v>0.0004993919862542396</v>
      </c>
      <c r="D742" s="102" t="s">
        <v>3369</v>
      </c>
      <c r="E742" s="102" t="b">
        <v>0</v>
      </c>
      <c r="F742" s="102" t="b">
        <v>0</v>
      </c>
      <c r="G742" s="102" t="b">
        <v>0</v>
      </c>
    </row>
    <row r="743" spans="1:7" ht="15">
      <c r="A743" s="104" t="s">
        <v>3078</v>
      </c>
      <c r="B743" s="102">
        <v>2</v>
      </c>
      <c r="C743" s="106">
        <v>0.0004993919862542396</v>
      </c>
      <c r="D743" s="102" t="s">
        <v>3369</v>
      </c>
      <c r="E743" s="102" t="b">
        <v>0</v>
      </c>
      <c r="F743" s="102" t="b">
        <v>0</v>
      </c>
      <c r="G743" s="102" t="b">
        <v>0</v>
      </c>
    </row>
    <row r="744" spans="1:7" ht="15">
      <c r="A744" s="104" t="s">
        <v>3079</v>
      </c>
      <c r="B744" s="102">
        <v>2</v>
      </c>
      <c r="C744" s="106">
        <v>0.0004993919862542396</v>
      </c>
      <c r="D744" s="102" t="s">
        <v>3369</v>
      </c>
      <c r="E744" s="102" t="b">
        <v>0</v>
      </c>
      <c r="F744" s="102" t="b">
        <v>1</v>
      </c>
      <c r="G744" s="102" t="b">
        <v>0</v>
      </c>
    </row>
    <row r="745" spans="1:7" ht="15">
      <c r="A745" s="104" t="s">
        <v>3080</v>
      </c>
      <c r="B745" s="102">
        <v>2</v>
      </c>
      <c r="C745" s="106">
        <v>0.0004993919862542396</v>
      </c>
      <c r="D745" s="102" t="s">
        <v>3369</v>
      </c>
      <c r="E745" s="102" t="b">
        <v>0</v>
      </c>
      <c r="F745" s="102" t="b">
        <v>0</v>
      </c>
      <c r="G745" s="102" t="b">
        <v>0</v>
      </c>
    </row>
    <row r="746" spans="1:7" ht="15">
      <c r="A746" s="104" t="s">
        <v>3081</v>
      </c>
      <c r="B746" s="102">
        <v>2</v>
      </c>
      <c r="C746" s="106">
        <v>0.0004993919862542396</v>
      </c>
      <c r="D746" s="102" t="s">
        <v>3369</v>
      </c>
      <c r="E746" s="102" t="b">
        <v>0</v>
      </c>
      <c r="F746" s="102" t="b">
        <v>0</v>
      </c>
      <c r="G746" s="102" t="b">
        <v>0</v>
      </c>
    </row>
    <row r="747" spans="1:7" ht="15">
      <c r="A747" s="104" t="s">
        <v>3082</v>
      </c>
      <c r="B747" s="102">
        <v>2</v>
      </c>
      <c r="C747" s="106">
        <v>0.0004993919862542396</v>
      </c>
      <c r="D747" s="102" t="s">
        <v>3369</v>
      </c>
      <c r="E747" s="102" t="b">
        <v>0</v>
      </c>
      <c r="F747" s="102" t="b">
        <v>0</v>
      </c>
      <c r="G747" s="102" t="b">
        <v>0</v>
      </c>
    </row>
    <row r="748" spans="1:7" ht="15">
      <c r="A748" s="104" t="s">
        <v>3083</v>
      </c>
      <c r="B748" s="102">
        <v>2</v>
      </c>
      <c r="C748" s="106">
        <v>0.0004993919862542396</v>
      </c>
      <c r="D748" s="102" t="s">
        <v>3369</v>
      </c>
      <c r="E748" s="102" t="b">
        <v>0</v>
      </c>
      <c r="F748" s="102" t="b">
        <v>0</v>
      </c>
      <c r="G748" s="102" t="b">
        <v>0</v>
      </c>
    </row>
    <row r="749" spans="1:7" ht="15">
      <c r="A749" s="104" t="s">
        <v>3084</v>
      </c>
      <c r="B749" s="102">
        <v>2</v>
      </c>
      <c r="C749" s="106">
        <v>0.0005682933356852263</v>
      </c>
      <c r="D749" s="102" t="s">
        <v>3369</v>
      </c>
      <c r="E749" s="102" t="b">
        <v>0</v>
      </c>
      <c r="F749" s="102" t="b">
        <v>0</v>
      </c>
      <c r="G749" s="102" t="b">
        <v>0</v>
      </c>
    </row>
    <row r="750" spans="1:7" ht="15">
      <c r="A750" s="104" t="s">
        <v>3085</v>
      </c>
      <c r="B750" s="102">
        <v>2</v>
      </c>
      <c r="C750" s="106">
        <v>0.0005682933356852263</v>
      </c>
      <c r="D750" s="102" t="s">
        <v>3369</v>
      </c>
      <c r="E750" s="102" t="b">
        <v>0</v>
      </c>
      <c r="F750" s="102" t="b">
        <v>0</v>
      </c>
      <c r="G750" s="102" t="b">
        <v>0</v>
      </c>
    </row>
    <row r="751" spans="1:7" ht="15">
      <c r="A751" s="104" t="s">
        <v>3086</v>
      </c>
      <c r="B751" s="102">
        <v>2</v>
      </c>
      <c r="C751" s="106">
        <v>0.0005682933356852263</v>
      </c>
      <c r="D751" s="102" t="s">
        <v>3369</v>
      </c>
      <c r="E751" s="102" t="b">
        <v>0</v>
      </c>
      <c r="F751" s="102" t="b">
        <v>0</v>
      </c>
      <c r="G751" s="102" t="b">
        <v>0</v>
      </c>
    </row>
    <row r="752" spans="1:7" ht="15">
      <c r="A752" s="104" t="s">
        <v>3087</v>
      </c>
      <c r="B752" s="102">
        <v>2</v>
      </c>
      <c r="C752" s="106">
        <v>0.0004993919862542396</v>
      </c>
      <c r="D752" s="102" t="s">
        <v>3369</v>
      </c>
      <c r="E752" s="102" t="b">
        <v>0</v>
      </c>
      <c r="F752" s="102" t="b">
        <v>0</v>
      </c>
      <c r="G752" s="102" t="b">
        <v>0</v>
      </c>
    </row>
    <row r="753" spans="1:7" ht="15">
      <c r="A753" s="104" t="s">
        <v>3088</v>
      </c>
      <c r="B753" s="102">
        <v>2</v>
      </c>
      <c r="C753" s="106">
        <v>0.0004993919862542396</v>
      </c>
      <c r="D753" s="102" t="s">
        <v>3369</v>
      </c>
      <c r="E753" s="102" t="b">
        <v>0</v>
      </c>
      <c r="F753" s="102" t="b">
        <v>0</v>
      </c>
      <c r="G753" s="102" t="b">
        <v>0</v>
      </c>
    </row>
    <row r="754" spans="1:7" ht="15">
      <c r="A754" s="104" t="s">
        <v>3089</v>
      </c>
      <c r="B754" s="102">
        <v>2</v>
      </c>
      <c r="C754" s="106">
        <v>0.0004993919862542396</v>
      </c>
      <c r="D754" s="102" t="s">
        <v>3369</v>
      </c>
      <c r="E754" s="102" t="b">
        <v>0</v>
      </c>
      <c r="F754" s="102" t="b">
        <v>0</v>
      </c>
      <c r="G754" s="102" t="b">
        <v>0</v>
      </c>
    </row>
    <row r="755" spans="1:7" ht="15">
      <c r="A755" s="104" t="s">
        <v>3090</v>
      </c>
      <c r="B755" s="102">
        <v>2</v>
      </c>
      <c r="C755" s="106">
        <v>0.0004993919862542396</v>
      </c>
      <c r="D755" s="102" t="s">
        <v>3369</v>
      </c>
      <c r="E755" s="102" t="b">
        <v>0</v>
      </c>
      <c r="F755" s="102" t="b">
        <v>0</v>
      </c>
      <c r="G755" s="102" t="b">
        <v>0</v>
      </c>
    </row>
    <row r="756" spans="1:7" ht="15">
      <c r="A756" s="104" t="s">
        <v>3091</v>
      </c>
      <c r="B756" s="102">
        <v>2</v>
      </c>
      <c r="C756" s="106">
        <v>0.0004993919862542396</v>
      </c>
      <c r="D756" s="102" t="s">
        <v>3369</v>
      </c>
      <c r="E756" s="102" t="b">
        <v>0</v>
      </c>
      <c r="F756" s="102" t="b">
        <v>0</v>
      </c>
      <c r="G756" s="102" t="b">
        <v>0</v>
      </c>
    </row>
    <row r="757" spans="1:7" ht="15">
      <c r="A757" s="104" t="s">
        <v>3092</v>
      </c>
      <c r="B757" s="102">
        <v>2</v>
      </c>
      <c r="C757" s="106">
        <v>0.0004993919862542396</v>
      </c>
      <c r="D757" s="102" t="s">
        <v>3369</v>
      </c>
      <c r="E757" s="102" t="b">
        <v>0</v>
      </c>
      <c r="F757" s="102" t="b">
        <v>0</v>
      </c>
      <c r="G757" s="102" t="b">
        <v>0</v>
      </c>
    </row>
    <row r="758" spans="1:7" ht="15">
      <c r="A758" s="104" t="s">
        <v>3093</v>
      </c>
      <c r="B758" s="102">
        <v>2</v>
      </c>
      <c r="C758" s="106">
        <v>0.0004993919862542396</v>
      </c>
      <c r="D758" s="102" t="s">
        <v>3369</v>
      </c>
      <c r="E758" s="102" t="b">
        <v>0</v>
      </c>
      <c r="F758" s="102" t="b">
        <v>0</v>
      </c>
      <c r="G758" s="102" t="b">
        <v>0</v>
      </c>
    </row>
    <row r="759" spans="1:7" ht="15">
      <c r="A759" s="104" t="s">
        <v>3094</v>
      </c>
      <c r="B759" s="102">
        <v>2</v>
      </c>
      <c r="C759" s="106">
        <v>0.0004993919862542396</v>
      </c>
      <c r="D759" s="102" t="s">
        <v>3369</v>
      </c>
      <c r="E759" s="102" t="b">
        <v>0</v>
      </c>
      <c r="F759" s="102" t="b">
        <v>0</v>
      </c>
      <c r="G759" s="102" t="b">
        <v>0</v>
      </c>
    </row>
    <row r="760" spans="1:7" ht="15">
      <c r="A760" s="104" t="s">
        <v>3095</v>
      </c>
      <c r="B760" s="102">
        <v>2</v>
      </c>
      <c r="C760" s="106">
        <v>0.0004993919862542396</v>
      </c>
      <c r="D760" s="102" t="s">
        <v>3369</v>
      </c>
      <c r="E760" s="102" t="b">
        <v>0</v>
      </c>
      <c r="F760" s="102" t="b">
        <v>0</v>
      </c>
      <c r="G760" s="102" t="b">
        <v>0</v>
      </c>
    </row>
    <row r="761" spans="1:7" ht="15">
      <c r="A761" s="104" t="s">
        <v>3096</v>
      </c>
      <c r="B761" s="102">
        <v>2</v>
      </c>
      <c r="C761" s="106">
        <v>0.0004993919862542396</v>
      </c>
      <c r="D761" s="102" t="s">
        <v>3369</v>
      </c>
      <c r="E761" s="102" t="b">
        <v>0</v>
      </c>
      <c r="F761" s="102" t="b">
        <v>0</v>
      </c>
      <c r="G761" s="102" t="b">
        <v>0</v>
      </c>
    </row>
    <row r="762" spans="1:7" ht="15">
      <c r="A762" s="104" t="s">
        <v>3097</v>
      </c>
      <c r="B762" s="102">
        <v>2</v>
      </c>
      <c r="C762" s="106">
        <v>0.0005682933356852263</v>
      </c>
      <c r="D762" s="102" t="s">
        <v>3369</v>
      </c>
      <c r="E762" s="102" t="b">
        <v>0</v>
      </c>
      <c r="F762" s="102" t="b">
        <v>0</v>
      </c>
      <c r="G762" s="102" t="b">
        <v>0</v>
      </c>
    </row>
    <row r="763" spans="1:7" ht="15">
      <c r="A763" s="104" t="s">
        <v>3098</v>
      </c>
      <c r="B763" s="102">
        <v>2</v>
      </c>
      <c r="C763" s="106">
        <v>0.0005682933356852263</v>
      </c>
      <c r="D763" s="102" t="s">
        <v>3369</v>
      </c>
      <c r="E763" s="102" t="b">
        <v>0</v>
      </c>
      <c r="F763" s="102" t="b">
        <v>0</v>
      </c>
      <c r="G763" s="102" t="b">
        <v>0</v>
      </c>
    </row>
    <row r="764" spans="1:7" ht="15">
      <c r="A764" s="104" t="s">
        <v>3099</v>
      </c>
      <c r="B764" s="102">
        <v>2</v>
      </c>
      <c r="C764" s="106">
        <v>0.0004993919862542396</v>
      </c>
      <c r="D764" s="102" t="s">
        <v>3369</v>
      </c>
      <c r="E764" s="102" t="b">
        <v>0</v>
      </c>
      <c r="F764" s="102" t="b">
        <v>0</v>
      </c>
      <c r="G764" s="102" t="b">
        <v>0</v>
      </c>
    </row>
    <row r="765" spans="1:7" ht="15">
      <c r="A765" s="104" t="s">
        <v>3100</v>
      </c>
      <c r="B765" s="102">
        <v>2</v>
      </c>
      <c r="C765" s="106">
        <v>0.0005682933356852263</v>
      </c>
      <c r="D765" s="102" t="s">
        <v>3369</v>
      </c>
      <c r="E765" s="102" t="b">
        <v>0</v>
      </c>
      <c r="F765" s="102" t="b">
        <v>0</v>
      </c>
      <c r="G765" s="102" t="b">
        <v>0</v>
      </c>
    </row>
    <row r="766" spans="1:7" ht="15">
      <c r="A766" s="104" t="s">
        <v>3101</v>
      </c>
      <c r="B766" s="102">
        <v>2</v>
      </c>
      <c r="C766" s="106">
        <v>0.0004993919862542396</v>
      </c>
      <c r="D766" s="102" t="s">
        <v>3369</v>
      </c>
      <c r="E766" s="102" t="b">
        <v>0</v>
      </c>
      <c r="F766" s="102" t="b">
        <v>0</v>
      </c>
      <c r="G766" s="102" t="b">
        <v>0</v>
      </c>
    </row>
    <row r="767" spans="1:7" ht="15">
      <c r="A767" s="104" t="s">
        <v>3102</v>
      </c>
      <c r="B767" s="102">
        <v>2</v>
      </c>
      <c r="C767" s="106">
        <v>0.0004993919862542396</v>
      </c>
      <c r="D767" s="102" t="s">
        <v>3369</v>
      </c>
      <c r="E767" s="102" t="b">
        <v>0</v>
      </c>
      <c r="F767" s="102" t="b">
        <v>0</v>
      </c>
      <c r="G767" s="102" t="b">
        <v>0</v>
      </c>
    </row>
    <row r="768" spans="1:7" ht="15">
      <c r="A768" s="104" t="s">
        <v>3103</v>
      </c>
      <c r="B768" s="102">
        <v>2</v>
      </c>
      <c r="C768" s="106">
        <v>0.0004993919862542396</v>
      </c>
      <c r="D768" s="102" t="s">
        <v>3369</v>
      </c>
      <c r="E768" s="102" t="b">
        <v>0</v>
      </c>
      <c r="F768" s="102" t="b">
        <v>0</v>
      </c>
      <c r="G768" s="102" t="b">
        <v>0</v>
      </c>
    </row>
    <row r="769" spans="1:7" ht="15">
      <c r="A769" s="104" t="s">
        <v>3104</v>
      </c>
      <c r="B769" s="102">
        <v>2</v>
      </c>
      <c r="C769" s="106">
        <v>0.0004993919862542396</v>
      </c>
      <c r="D769" s="102" t="s">
        <v>3369</v>
      </c>
      <c r="E769" s="102" t="b">
        <v>0</v>
      </c>
      <c r="F769" s="102" t="b">
        <v>1</v>
      </c>
      <c r="G769" s="102" t="b">
        <v>0</v>
      </c>
    </row>
    <row r="770" spans="1:7" ht="15">
      <c r="A770" s="104" t="s">
        <v>3105</v>
      </c>
      <c r="B770" s="102">
        <v>2</v>
      </c>
      <c r="C770" s="106">
        <v>0.0004993919862542396</v>
      </c>
      <c r="D770" s="102" t="s">
        <v>3369</v>
      </c>
      <c r="E770" s="102" t="b">
        <v>0</v>
      </c>
      <c r="F770" s="102" t="b">
        <v>1</v>
      </c>
      <c r="G770" s="102" t="b">
        <v>0</v>
      </c>
    </row>
    <row r="771" spans="1:7" ht="15">
      <c r="A771" s="104" t="s">
        <v>3106</v>
      </c>
      <c r="B771" s="102">
        <v>2</v>
      </c>
      <c r="C771" s="106">
        <v>0.0004993919862542396</v>
      </c>
      <c r="D771" s="102" t="s">
        <v>3369</v>
      </c>
      <c r="E771" s="102" t="b">
        <v>0</v>
      </c>
      <c r="F771" s="102" t="b">
        <v>1</v>
      </c>
      <c r="G771" s="102" t="b">
        <v>0</v>
      </c>
    </row>
    <row r="772" spans="1:7" ht="15">
      <c r="A772" s="104" t="s">
        <v>3107</v>
      </c>
      <c r="B772" s="102">
        <v>2</v>
      </c>
      <c r="C772" s="106">
        <v>0.0004993919862542396</v>
      </c>
      <c r="D772" s="102" t="s">
        <v>3369</v>
      </c>
      <c r="E772" s="102" t="b">
        <v>0</v>
      </c>
      <c r="F772" s="102" t="b">
        <v>0</v>
      </c>
      <c r="G772" s="102" t="b">
        <v>0</v>
      </c>
    </row>
    <row r="773" spans="1:7" ht="15">
      <c r="A773" s="104" t="s">
        <v>3108</v>
      </c>
      <c r="B773" s="102">
        <v>2</v>
      </c>
      <c r="C773" s="106">
        <v>0.0004993919862542396</v>
      </c>
      <c r="D773" s="102" t="s">
        <v>3369</v>
      </c>
      <c r="E773" s="102" t="b">
        <v>0</v>
      </c>
      <c r="F773" s="102" t="b">
        <v>0</v>
      </c>
      <c r="G773" s="102" t="b">
        <v>0</v>
      </c>
    </row>
    <row r="774" spans="1:7" ht="15">
      <c r="A774" s="104" t="s">
        <v>3109</v>
      </c>
      <c r="B774" s="102">
        <v>2</v>
      </c>
      <c r="C774" s="106">
        <v>0.0004993919862542396</v>
      </c>
      <c r="D774" s="102" t="s">
        <v>3369</v>
      </c>
      <c r="E774" s="102" t="b">
        <v>0</v>
      </c>
      <c r="F774" s="102" t="b">
        <v>0</v>
      </c>
      <c r="G774" s="102" t="b">
        <v>0</v>
      </c>
    </row>
    <row r="775" spans="1:7" ht="15">
      <c r="A775" s="104" t="s">
        <v>3110</v>
      </c>
      <c r="B775" s="102">
        <v>2</v>
      </c>
      <c r="C775" s="106">
        <v>0.0004993919862542396</v>
      </c>
      <c r="D775" s="102" t="s">
        <v>3369</v>
      </c>
      <c r="E775" s="102" t="b">
        <v>0</v>
      </c>
      <c r="F775" s="102" t="b">
        <v>0</v>
      </c>
      <c r="G775" s="102" t="b">
        <v>0</v>
      </c>
    </row>
    <row r="776" spans="1:7" ht="15">
      <c r="A776" s="104" t="s">
        <v>3111</v>
      </c>
      <c r="B776" s="102">
        <v>2</v>
      </c>
      <c r="C776" s="106">
        <v>0.0005682933356852263</v>
      </c>
      <c r="D776" s="102" t="s">
        <v>3369</v>
      </c>
      <c r="E776" s="102" t="b">
        <v>0</v>
      </c>
      <c r="F776" s="102" t="b">
        <v>0</v>
      </c>
      <c r="G776" s="102" t="b">
        <v>0</v>
      </c>
    </row>
    <row r="777" spans="1:7" ht="15">
      <c r="A777" s="104" t="s">
        <v>3112</v>
      </c>
      <c r="B777" s="102">
        <v>2</v>
      </c>
      <c r="C777" s="106">
        <v>0.0005682933356852263</v>
      </c>
      <c r="D777" s="102" t="s">
        <v>3369</v>
      </c>
      <c r="E777" s="102" t="b">
        <v>0</v>
      </c>
      <c r="F777" s="102" t="b">
        <v>0</v>
      </c>
      <c r="G777" s="102" t="b">
        <v>0</v>
      </c>
    </row>
    <row r="778" spans="1:7" ht="15">
      <c r="A778" s="104" t="s">
        <v>3113</v>
      </c>
      <c r="B778" s="102">
        <v>2</v>
      </c>
      <c r="C778" s="106">
        <v>0.0005682933356852263</v>
      </c>
      <c r="D778" s="102" t="s">
        <v>3369</v>
      </c>
      <c r="E778" s="102" t="b">
        <v>0</v>
      </c>
      <c r="F778" s="102" t="b">
        <v>0</v>
      </c>
      <c r="G778" s="102" t="b">
        <v>0</v>
      </c>
    </row>
    <row r="779" spans="1:7" ht="15">
      <c r="A779" s="104" t="s">
        <v>3114</v>
      </c>
      <c r="B779" s="102">
        <v>2</v>
      </c>
      <c r="C779" s="106">
        <v>0.0005682933356852263</v>
      </c>
      <c r="D779" s="102" t="s">
        <v>3369</v>
      </c>
      <c r="E779" s="102" t="b">
        <v>0</v>
      </c>
      <c r="F779" s="102" t="b">
        <v>0</v>
      </c>
      <c r="G779" s="102" t="b">
        <v>0</v>
      </c>
    </row>
    <row r="780" spans="1:7" ht="15">
      <c r="A780" s="104" t="s">
        <v>3115</v>
      </c>
      <c r="B780" s="102">
        <v>2</v>
      </c>
      <c r="C780" s="106">
        <v>0.0004993919862542396</v>
      </c>
      <c r="D780" s="102" t="s">
        <v>3369</v>
      </c>
      <c r="E780" s="102" t="b">
        <v>0</v>
      </c>
      <c r="F780" s="102" t="b">
        <v>0</v>
      </c>
      <c r="G780" s="102" t="b">
        <v>0</v>
      </c>
    </row>
    <row r="781" spans="1:7" ht="15">
      <c r="A781" s="104" t="s">
        <v>3116</v>
      </c>
      <c r="B781" s="102">
        <v>2</v>
      </c>
      <c r="C781" s="106">
        <v>0.0005682933356852263</v>
      </c>
      <c r="D781" s="102" t="s">
        <v>3369</v>
      </c>
      <c r="E781" s="102" t="b">
        <v>0</v>
      </c>
      <c r="F781" s="102" t="b">
        <v>0</v>
      </c>
      <c r="G781" s="102" t="b">
        <v>0</v>
      </c>
    </row>
    <row r="782" spans="1:7" ht="15">
      <c r="A782" s="104" t="s">
        <v>3117</v>
      </c>
      <c r="B782" s="102">
        <v>2</v>
      </c>
      <c r="C782" s="106">
        <v>0.0005682933356852263</v>
      </c>
      <c r="D782" s="102" t="s">
        <v>3369</v>
      </c>
      <c r="E782" s="102" t="b">
        <v>0</v>
      </c>
      <c r="F782" s="102" t="b">
        <v>0</v>
      </c>
      <c r="G782" s="102" t="b">
        <v>0</v>
      </c>
    </row>
    <row r="783" spans="1:7" ht="15">
      <c r="A783" s="104" t="s">
        <v>3118</v>
      </c>
      <c r="B783" s="102">
        <v>2</v>
      </c>
      <c r="C783" s="106">
        <v>0.0004993919862542396</v>
      </c>
      <c r="D783" s="102" t="s">
        <v>3369</v>
      </c>
      <c r="E783" s="102" t="b">
        <v>0</v>
      </c>
      <c r="F783" s="102" t="b">
        <v>0</v>
      </c>
      <c r="G783" s="102" t="b">
        <v>0</v>
      </c>
    </row>
    <row r="784" spans="1:7" ht="15">
      <c r="A784" s="104" t="s">
        <v>3119</v>
      </c>
      <c r="B784" s="102">
        <v>2</v>
      </c>
      <c r="C784" s="106">
        <v>0.0004993919862542396</v>
      </c>
      <c r="D784" s="102" t="s">
        <v>3369</v>
      </c>
      <c r="E784" s="102" t="b">
        <v>0</v>
      </c>
      <c r="F784" s="102" t="b">
        <v>0</v>
      </c>
      <c r="G784" s="102" t="b">
        <v>0</v>
      </c>
    </row>
    <row r="785" spans="1:7" ht="15">
      <c r="A785" s="104" t="s">
        <v>3120</v>
      </c>
      <c r="B785" s="102">
        <v>2</v>
      </c>
      <c r="C785" s="106">
        <v>0.0004993919862542396</v>
      </c>
      <c r="D785" s="102" t="s">
        <v>3369</v>
      </c>
      <c r="E785" s="102" t="b">
        <v>0</v>
      </c>
      <c r="F785" s="102" t="b">
        <v>0</v>
      </c>
      <c r="G785" s="102" t="b">
        <v>0</v>
      </c>
    </row>
    <row r="786" spans="1:7" ht="15">
      <c r="A786" s="104" t="s">
        <v>3121</v>
      </c>
      <c r="B786" s="102">
        <v>2</v>
      </c>
      <c r="C786" s="106">
        <v>0.0004993919862542396</v>
      </c>
      <c r="D786" s="102" t="s">
        <v>3369</v>
      </c>
      <c r="E786" s="102" t="b">
        <v>0</v>
      </c>
      <c r="F786" s="102" t="b">
        <v>0</v>
      </c>
      <c r="G786" s="102" t="b">
        <v>0</v>
      </c>
    </row>
    <row r="787" spans="1:7" ht="15">
      <c r="A787" s="104" t="s">
        <v>3122</v>
      </c>
      <c r="B787" s="102">
        <v>2</v>
      </c>
      <c r="C787" s="106">
        <v>0.0004993919862542396</v>
      </c>
      <c r="D787" s="102" t="s">
        <v>3369</v>
      </c>
      <c r="E787" s="102" t="b">
        <v>0</v>
      </c>
      <c r="F787" s="102" t="b">
        <v>0</v>
      </c>
      <c r="G787" s="102" t="b">
        <v>0</v>
      </c>
    </row>
    <row r="788" spans="1:7" ht="15">
      <c r="A788" s="104" t="s">
        <v>3123</v>
      </c>
      <c r="B788" s="102">
        <v>2</v>
      </c>
      <c r="C788" s="106">
        <v>0.0004993919862542396</v>
      </c>
      <c r="D788" s="102" t="s">
        <v>3369</v>
      </c>
      <c r="E788" s="102" t="b">
        <v>0</v>
      </c>
      <c r="F788" s="102" t="b">
        <v>0</v>
      </c>
      <c r="G788" s="102" t="b">
        <v>0</v>
      </c>
    </row>
    <row r="789" spans="1:7" ht="15">
      <c r="A789" s="104" t="s">
        <v>3124</v>
      </c>
      <c r="B789" s="102">
        <v>2</v>
      </c>
      <c r="C789" s="106">
        <v>0.0004993919862542396</v>
      </c>
      <c r="D789" s="102" t="s">
        <v>3369</v>
      </c>
      <c r="E789" s="102" t="b">
        <v>0</v>
      </c>
      <c r="F789" s="102" t="b">
        <v>0</v>
      </c>
      <c r="G789" s="102" t="b">
        <v>0</v>
      </c>
    </row>
    <row r="790" spans="1:7" ht="15">
      <c r="A790" s="104" t="s">
        <v>3125</v>
      </c>
      <c r="B790" s="102">
        <v>2</v>
      </c>
      <c r="C790" s="106">
        <v>0.0004993919862542396</v>
      </c>
      <c r="D790" s="102" t="s">
        <v>3369</v>
      </c>
      <c r="E790" s="102" t="b">
        <v>0</v>
      </c>
      <c r="F790" s="102" t="b">
        <v>1</v>
      </c>
      <c r="G790" s="102" t="b">
        <v>0</v>
      </c>
    </row>
    <row r="791" spans="1:7" ht="15">
      <c r="A791" s="104" t="s">
        <v>3126</v>
      </c>
      <c r="B791" s="102">
        <v>2</v>
      </c>
      <c r="C791" s="106">
        <v>0.0004993919862542396</v>
      </c>
      <c r="D791" s="102" t="s">
        <v>3369</v>
      </c>
      <c r="E791" s="102" t="b">
        <v>0</v>
      </c>
      <c r="F791" s="102" t="b">
        <v>0</v>
      </c>
      <c r="G791" s="102" t="b">
        <v>0</v>
      </c>
    </row>
    <row r="792" spans="1:7" ht="15">
      <c r="A792" s="104" t="s">
        <v>3127</v>
      </c>
      <c r="B792" s="102">
        <v>2</v>
      </c>
      <c r="C792" s="106">
        <v>0.0004993919862542396</v>
      </c>
      <c r="D792" s="102" t="s">
        <v>3369</v>
      </c>
      <c r="E792" s="102" t="b">
        <v>0</v>
      </c>
      <c r="F792" s="102" t="b">
        <v>0</v>
      </c>
      <c r="G792" s="102" t="b">
        <v>0</v>
      </c>
    </row>
    <row r="793" spans="1:7" ht="15">
      <c r="A793" s="104" t="s">
        <v>3128</v>
      </c>
      <c r="B793" s="102">
        <v>2</v>
      </c>
      <c r="C793" s="106">
        <v>0.0004993919862542396</v>
      </c>
      <c r="D793" s="102" t="s">
        <v>3369</v>
      </c>
      <c r="E793" s="102" t="b">
        <v>0</v>
      </c>
      <c r="F793" s="102" t="b">
        <v>0</v>
      </c>
      <c r="G793" s="102" t="b">
        <v>0</v>
      </c>
    </row>
    <row r="794" spans="1:7" ht="15">
      <c r="A794" s="104" t="s">
        <v>3129</v>
      </c>
      <c r="B794" s="102">
        <v>2</v>
      </c>
      <c r="C794" s="106">
        <v>0.0004993919862542396</v>
      </c>
      <c r="D794" s="102" t="s">
        <v>3369</v>
      </c>
      <c r="E794" s="102" t="b">
        <v>0</v>
      </c>
      <c r="F794" s="102" t="b">
        <v>0</v>
      </c>
      <c r="G794" s="102" t="b">
        <v>0</v>
      </c>
    </row>
    <row r="795" spans="1:7" ht="15">
      <c r="A795" s="104" t="s">
        <v>3130</v>
      </c>
      <c r="B795" s="102">
        <v>2</v>
      </c>
      <c r="C795" s="106">
        <v>0.0004993919862542396</v>
      </c>
      <c r="D795" s="102" t="s">
        <v>3369</v>
      </c>
      <c r="E795" s="102" t="b">
        <v>0</v>
      </c>
      <c r="F795" s="102" t="b">
        <v>0</v>
      </c>
      <c r="G795" s="102" t="b">
        <v>0</v>
      </c>
    </row>
    <row r="796" spans="1:7" ht="15">
      <c r="A796" s="104" t="s">
        <v>3131</v>
      </c>
      <c r="B796" s="102">
        <v>2</v>
      </c>
      <c r="C796" s="106">
        <v>0.0004993919862542396</v>
      </c>
      <c r="D796" s="102" t="s">
        <v>3369</v>
      </c>
      <c r="E796" s="102" t="b">
        <v>0</v>
      </c>
      <c r="F796" s="102" t="b">
        <v>0</v>
      </c>
      <c r="G796" s="102" t="b">
        <v>0</v>
      </c>
    </row>
    <row r="797" spans="1:7" ht="15">
      <c r="A797" s="104" t="s">
        <v>3132</v>
      </c>
      <c r="B797" s="102">
        <v>2</v>
      </c>
      <c r="C797" s="106">
        <v>0.0004993919862542396</v>
      </c>
      <c r="D797" s="102" t="s">
        <v>3369</v>
      </c>
      <c r="E797" s="102" t="b">
        <v>0</v>
      </c>
      <c r="F797" s="102" t="b">
        <v>0</v>
      </c>
      <c r="G797" s="102" t="b">
        <v>0</v>
      </c>
    </row>
    <row r="798" spans="1:7" ht="15">
      <c r="A798" s="104" t="s">
        <v>3133</v>
      </c>
      <c r="B798" s="102">
        <v>2</v>
      </c>
      <c r="C798" s="106">
        <v>0.0005682933356852263</v>
      </c>
      <c r="D798" s="102" t="s">
        <v>3369</v>
      </c>
      <c r="E798" s="102" t="b">
        <v>0</v>
      </c>
      <c r="F798" s="102" t="b">
        <v>0</v>
      </c>
      <c r="G798" s="102" t="b">
        <v>0</v>
      </c>
    </row>
    <row r="799" spans="1:7" ht="15">
      <c r="A799" s="104" t="s">
        <v>3134</v>
      </c>
      <c r="B799" s="102">
        <v>2</v>
      </c>
      <c r="C799" s="106">
        <v>0.0005682933356852263</v>
      </c>
      <c r="D799" s="102" t="s">
        <v>3369</v>
      </c>
      <c r="E799" s="102" t="b">
        <v>0</v>
      </c>
      <c r="F799" s="102" t="b">
        <v>0</v>
      </c>
      <c r="G799" s="102" t="b">
        <v>0</v>
      </c>
    </row>
    <row r="800" spans="1:7" ht="15">
      <c r="A800" s="104" t="s">
        <v>3135</v>
      </c>
      <c r="B800" s="102">
        <v>2</v>
      </c>
      <c r="C800" s="106">
        <v>0.0005682933356852263</v>
      </c>
      <c r="D800" s="102" t="s">
        <v>3369</v>
      </c>
      <c r="E800" s="102" t="b">
        <v>0</v>
      </c>
      <c r="F800" s="102" t="b">
        <v>0</v>
      </c>
      <c r="G800" s="102" t="b">
        <v>0</v>
      </c>
    </row>
    <row r="801" spans="1:7" ht="15">
      <c r="A801" s="104" t="s">
        <v>3136</v>
      </c>
      <c r="B801" s="102">
        <v>2</v>
      </c>
      <c r="C801" s="106">
        <v>0.0005682933356852263</v>
      </c>
      <c r="D801" s="102" t="s">
        <v>3369</v>
      </c>
      <c r="E801" s="102" t="b">
        <v>0</v>
      </c>
      <c r="F801" s="102" t="b">
        <v>0</v>
      </c>
      <c r="G801" s="102" t="b">
        <v>0</v>
      </c>
    </row>
    <row r="802" spans="1:7" ht="15">
      <c r="A802" s="104" t="s">
        <v>3137</v>
      </c>
      <c r="B802" s="102">
        <v>2</v>
      </c>
      <c r="C802" s="106">
        <v>0.0004993919862542396</v>
      </c>
      <c r="D802" s="102" t="s">
        <v>3369</v>
      </c>
      <c r="E802" s="102" t="b">
        <v>0</v>
      </c>
      <c r="F802" s="102" t="b">
        <v>0</v>
      </c>
      <c r="G802" s="102" t="b">
        <v>0</v>
      </c>
    </row>
    <row r="803" spans="1:7" ht="15">
      <c r="A803" s="104" t="s">
        <v>3138</v>
      </c>
      <c r="B803" s="102">
        <v>2</v>
      </c>
      <c r="C803" s="106">
        <v>0.0004993919862542396</v>
      </c>
      <c r="D803" s="102" t="s">
        <v>3369</v>
      </c>
      <c r="E803" s="102" t="b">
        <v>0</v>
      </c>
      <c r="F803" s="102" t="b">
        <v>0</v>
      </c>
      <c r="G803" s="102" t="b">
        <v>0</v>
      </c>
    </row>
    <row r="804" spans="1:7" ht="15">
      <c r="A804" s="104" t="s">
        <v>3139</v>
      </c>
      <c r="B804" s="102">
        <v>2</v>
      </c>
      <c r="C804" s="106">
        <v>0.0004993919862542396</v>
      </c>
      <c r="D804" s="102" t="s">
        <v>3369</v>
      </c>
      <c r="E804" s="102" t="b">
        <v>0</v>
      </c>
      <c r="F804" s="102" t="b">
        <v>0</v>
      </c>
      <c r="G804" s="102" t="b">
        <v>0</v>
      </c>
    </row>
    <row r="805" spans="1:7" ht="15">
      <c r="A805" s="104" t="s">
        <v>3140</v>
      </c>
      <c r="B805" s="102">
        <v>2</v>
      </c>
      <c r="C805" s="106">
        <v>0.0005682933356852263</v>
      </c>
      <c r="D805" s="102" t="s">
        <v>3369</v>
      </c>
      <c r="E805" s="102" t="b">
        <v>0</v>
      </c>
      <c r="F805" s="102" t="b">
        <v>0</v>
      </c>
      <c r="G805" s="102" t="b">
        <v>0</v>
      </c>
    </row>
    <row r="806" spans="1:7" ht="15">
      <c r="A806" s="104" t="s">
        <v>3141</v>
      </c>
      <c r="B806" s="102">
        <v>2</v>
      </c>
      <c r="C806" s="106">
        <v>0.0004993919862542396</v>
      </c>
      <c r="D806" s="102" t="s">
        <v>3369</v>
      </c>
      <c r="E806" s="102" t="b">
        <v>0</v>
      </c>
      <c r="F806" s="102" t="b">
        <v>0</v>
      </c>
      <c r="G806" s="102" t="b">
        <v>0</v>
      </c>
    </row>
    <row r="807" spans="1:7" ht="15">
      <c r="A807" s="104" t="s">
        <v>3142</v>
      </c>
      <c r="B807" s="102">
        <v>2</v>
      </c>
      <c r="C807" s="106">
        <v>0.0004993919862542396</v>
      </c>
      <c r="D807" s="102" t="s">
        <v>3369</v>
      </c>
      <c r="E807" s="102" t="b">
        <v>0</v>
      </c>
      <c r="F807" s="102" t="b">
        <v>0</v>
      </c>
      <c r="G807" s="102" t="b">
        <v>0</v>
      </c>
    </row>
    <row r="808" spans="1:7" ht="15">
      <c r="A808" s="104" t="s">
        <v>3143</v>
      </c>
      <c r="B808" s="102">
        <v>2</v>
      </c>
      <c r="C808" s="106">
        <v>0.0004993919862542396</v>
      </c>
      <c r="D808" s="102" t="s">
        <v>3369</v>
      </c>
      <c r="E808" s="102" t="b">
        <v>0</v>
      </c>
      <c r="F808" s="102" t="b">
        <v>0</v>
      </c>
      <c r="G808" s="102" t="b">
        <v>0</v>
      </c>
    </row>
    <row r="809" spans="1:7" ht="15">
      <c r="A809" s="104" t="s">
        <v>3144</v>
      </c>
      <c r="B809" s="102">
        <v>2</v>
      </c>
      <c r="C809" s="106">
        <v>0.0004993919862542396</v>
      </c>
      <c r="D809" s="102" t="s">
        <v>3369</v>
      </c>
      <c r="E809" s="102" t="b">
        <v>0</v>
      </c>
      <c r="F809" s="102" t="b">
        <v>0</v>
      </c>
      <c r="G809" s="102" t="b">
        <v>0</v>
      </c>
    </row>
    <row r="810" spans="1:7" ht="15">
      <c r="A810" s="104" t="s">
        <v>3145</v>
      </c>
      <c r="B810" s="102">
        <v>2</v>
      </c>
      <c r="C810" s="106">
        <v>0.0005682933356852263</v>
      </c>
      <c r="D810" s="102" t="s">
        <v>3369</v>
      </c>
      <c r="E810" s="102" t="b">
        <v>0</v>
      </c>
      <c r="F810" s="102" t="b">
        <v>0</v>
      </c>
      <c r="G810" s="102" t="b">
        <v>0</v>
      </c>
    </row>
    <row r="811" spans="1:7" ht="15">
      <c r="A811" s="104" t="s">
        <v>3146</v>
      </c>
      <c r="B811" s="102">
        <v>2</v>
      </c>
      <c r="C811" s="106">
        <v>0.0004993919862542396</v>
      </c>
      <c r="D811" s="102" t="s">
        <v>3369</v>
      </c>
      <c r="E811" s="102" t="b">
        <v>0</v>
      </c>
      <c r="F811" s="102" t="b">
        <v>0</v>
      </c>
      <c r="G811" s="102" t="b">
        <v>0</v>
      </c>
    </row>
    <row r="812" spans="1:7" ht="15">
      <c r="A812" s="104" t="s">
        <v>3147</v>
      </c>
      <c r="B812" s="102">
        <v>2</v>
      </c>
      <c r="C812" s="106">
        <v>0.0004993919862542396</v>
      </c>
      <c r="D812" s="102" t="s">
        <v>3369</v>
      </c>
      <c r="E812" s="102" t="b">
        <v>0</v>
      </c>
      <c r="F812" s="102" t="b">
        <v>0</v>
      </c>
      <c r="G812" s="102" t="b">
        <v>0</v>
      </c>
    </row>
    <row r="813" spans="1:7" ht="15">
      <c r="A813" s="104" t="s">
        <v>3148</v>
      </c>
      <c r="B813" s="102">
        <v>2</v>
      </c>
      <c r="C813" s="106">
        <v>0.0004993919862542396</v>
      </c>
      <c r="D813" s="102" t="s">
        <v>3369</v>
      </c>
      <c r="E813" s="102" t="b">
        <v>0</v>
      </c>
      <c r="F813" s="102" t="b">
        <v>0</v>
      </c>
      <c r="G813" s="102" t="b">
        <v>0</v>
      </c>
    </row>
    <row r="814" spans="1:7" ht="15">
      <c r="A814" s="104" t="s">
        <v>3149</v>
      </c>
      <c r="B814" s="102">
        <v>2</v>
      </c>
      <c r="C814" s="106">
        <v>0.0005682933356852263</v>
      </c>
      <c r="D814" s="102" t="s">
        <v>3369</v>
      </c>
      <c r="E814" s="102" t="b">
        <v>0</v>
      </c>
      <c r="F814" s="102" t="b">
        <v>0</v>
      </c>
      <c r="G814" s="102" t="b">
        <v>0</v>
      </c>
    </row>
    <row r="815" spans="1:7" ht="15">
      <c r="A815" s="104" t="s">
        <v>3150</v>
      </c>
      <c r="B815" s="102">
        <v>2</v>
      </c>
      <c r="C815" s="106">
        <v>0.0005682933356852263</v>
      </c>
      <c r="D815" s="102" t="s">
        <v>3369</v>
      </c>
      <c r="E815" s="102" t="b">
        <v>0</v>
      </c>
      <c r="F815" s="102" t="b">
        <v>0</v>
      </c>
      <c r="G815" s="102" t="b">
        <v>0</v>
      </c>
    </row>
    <row r="816" spans="1:7" ht="15">
      <c r="A816" s="104" t="s">
        <v>3151</v>
      </c>
      <c r="B816" s="102">
        <v>2</v>
      </c>
      <c r="C816" s="106">
        <v>0.0005682933356852263</v>
      </c>
      <c r="D816" s="102" t="s">
        <v>3369</v>
      </c>
      <c r="E816" s="102" t="b">
        <v>0</v>
      </c>
      <c r="F816" s="102" t="b">
        <v>0</v>
      </c>
      <c r="G816" s="102" t="b">
        <v>0</v>
      </c>
    </row>
    <row r="817" spans="1:7" ht="15">
      <c r="A817" s="104" t="s">
        <v>3152</v>
      </c>
      <c r="B817" s="102">
        <v>2</v>
      </c>
      <c r="C817" s="106">
        <v>0.0005682933356852263</v>
      </c>
      <c r="D817" s="102" t="s">
        <v>3369</v>
      </c>
      <c r="E817" s="102" t="b">
        <v>0</v>
      </c>
      <c r="F817" s="102" t="b">
        <v>0</v>
      </c>
      <c r="G817" s="102" t="b">
        <v>0</v>
      </c>
    </row>
    <row r="818" spans="1:7" ht="15">
      <c r="A818" s="104" t="s">
        <v>3153</v>
      </c>
      <c r="B818" s="102">
        <v>2</v>
      </c>
      <c r="C818" s="106">
        <v>0.0005682933356852263</v>
      </c>
      <c r="D818" s="102" t="s">
        <v>3369</v>
      </c>
      <c r="E818" s="102" t="b">
        <v>0</v>
      </c>
      <c r="F818" s="102" t="b">
        <v>0</v>
      </c>
      <c r="G818" s="102" t="b">
        <v>0</v>
      </c>
    </row>
    <row r="819" spans="1:7" ht="15">
      <c r="A819" s="104" t="s">
        <v>3154</v>
      </c>
      <c r="B819" s="102">
        <v>2</v>
      </c>
      <c r="C819" s="106">
        <v>0.0005682933356852263</v>
      </c>
      <c r="D819" s="102" t="s">
        <v>3369</v>
      </c>
      <c r="E819" s="102" t="b">
        <v>0</v>
      </c>
      <c r="F819" s="102" t="b">
        <v>0</v>
      </c>
      <c r="G819" s="102" t="b">
        <v>0</v>
      </c>
    </row>
    <row r="820" spans="1:7" ht="15">
      <c r="A820" s="104" t="s">
        <v>3155</v>
      </c>
      <c r="B820" s="102">
        <v>2</v>
      </c>
      <c r="C820" s="106">
        <v>0.0004993919862542396</v>
      </c>
      <c r="D820" s="102" t="s">
        <v>3369</v>
      </c>
      <c r="E820" s="102" t="b">
        <v>0</v>
      </c>
      <c r="F820" s="102" t="b">
        <v>0</v>
      </c>
      <c r="G820" s="102" t="b">
        <v>0</v>
      </c>
    </row>
    <row r="821" spans="1:7" ht="15">
      <c r="A821" s="104" t="s">
        <v>3156</v>
      </c>
      <c r="B821" s="102">
        <v>2</v>
      </c>
      <c r="C821" s="106">
        <v>0.0004993919862542396</v>
      </c>
      <c r="D821" s="102" t="s">
        <v>3369</v>
      </c>
      <c r="E821" s="102" t="b">
        <v>0</v>
      </c>
      <c r="F821" s="102" t="b">
        <v>0</v>
      </c>
      <c r="G821" s="102" t="b">
        <v>0</v>
      </c>
    </row>
    <row r="822" spans="1:7" ht="15">
      <c r="A822" s="104" t="s">
        <v>3157</v>
      </c>
      <c r="B822" s="102">
        <v>2</v>
      </c>
      <c r="C822" s="106">
        <v>0.0004993919862542396</v>
      </c>
      <c r="D822" s="102" t="s">
        <v>3369</v>
      </c>
      <c r="E822" s="102" t="b">
        <v>0</v>
      </c>
      <c r="F822" s="102" t="b">
        <v>0</v>
      </c>
      <c r="G822" s="102" t="b">
        <v>0</v>
      </c>
    </row>
    <row r="823" spans="1:7" ht="15">
      <c r="A823" s="104" t="s">
        <v>3158</v>
      </c>
      <c r="B823" s="102">
        <v>2</v>
      </c>
      <c r="C823" s="106">
        <v>0.0004993919862542396</v>
      </c>
      <c r="D823" s="102" t="s">
        <v>3369</v>
      </c>
      <c r="E823" s="102" t="b">
        <v>0</v>
      </c>
      <c r="F823" s="102" t="b">
        <v>0</v>
      </c>
      <c r="G823" s="102" t="b">
        <v>0</v>
      </c>
    </row>
    <row r="824" spans="1:7" ht="15">
      <c r="A824" s="104" t="s">
        <v>3159</v>
      </c>
      <c r="B824" s="102">
        <v>2</v>
      </c>
      <c r="C824" s="106">
        <v>0.0004993919862542396</v>
      </c>
      <c r="D824" s="102" t="s">
        <v>3369</v>
      </c>
      <c r="E824" s="102" t="b">
        <v>0</v>
      </c>
      <c r="F824" s="102" t="b">
        <v>0</v>
      </c>
      <c r="G824" s="102" t="b">
        <v>0</v>
      </c>
    </row>
    <row r="825" spans="1:7" ht="15">
      <c r="A825" s="104" t="s">
        <v>3160</v>
      </c>
      <c r="B825" s="102">
        <v>2</v>
      </c>
      <c r="C825" s="106">
        <v>0.0004993919862542396</v>
      </c>
      <c r="D825" s="102" t="s">
        <v>3369</v>
      </c>
      <c r="E825" s="102" t="b">
        <v>1</v>
      </c>
      <c r="F825" s="102" t="b">
        <v>0</v>
      </c>
      <c r="G825" s="102" t="b">
        <v>0</v>
      </c>
    </row>
    <row r="826" spans="1:7" ht="15">
      <c r="A826" s="104" t="s">
        <v>3161</v>
      </c>
      <c r="B826" s="102">
        <v>2</v>
      </c>
      <c r="C826" s="106">
        <v>0.0005682933356852263</v>
      </c>
      <c r="D826" s="102" t="s">
        <v>3369</v>
      </c>
      <c r="E826" s="102" t="b">
        <v>0</v>
      </c>
      <c r="F826" s="102" t="b">
        <v>0</v>
      </c>
      <c r="G826" s="102" t="b">
        <v>0</v>
      </c>
    </row>
    <row r="827" spans="1:7" ht="15">
      <c r="A827" s="104" t="s">
        <v>3162</v>
      </c>
      <c r="B827" s="102">
        <v>2</v>
      </c>
      <c r="C827" s="106">
        <v>0.0005682933356852263</v>
      </c>
      <c r="D827" s="102" t="s">
        <v>3369</v>
      </c>
      <c r="E827" s="102" t="b">
        <v>0</v>
      </c>
      <c r="F827" s="102" t="b">
        <v>0</v>
      </c>
      <c r="G827" s="102" t="b">
        <v>0</v>
      </c>
    </row>
    <row r="828" spans="1:7" ht="15">
      <c r="A828" s="104" t="s">
        <v>3163</v>
      </c>
      <c r="B828" s="102">
        <v>2</v>
      </c>
      <c r="C828" s="106">
        <v>0.0005682933356852263</v>
      </c>
      <c r="D828" s="102" t="s">
        <v>3369</v>
      </c>
      <c r="E828" s="102" t="b">
        <v>0</v>
      </c>
      <c r="F828" s="102" t="b">
        <v>0</v>
      </c>
      <c r="G828" s="102" t="b">
        <v>0</v>
      </c>
    </row>
    <row r="829" spans="1:7" ht="15">
      <c r="A829" s="104" t="s">
        <v>3164</v>
      </c>
      <c r="B829" s="102">
        <v>2</v>
      </c>
      <c r="C829" s="106">
        <v>0.0005682933356852263</v>
      </c>
      <c r="D829" s="102" t="s">
        <v>3369</v>
      </c>
      <c r="E829" s="102" t="b">
        <v>0</v>
      </c>
      <c r="F829" s="102" t="b">
        <v>0</v>
      </c>
      <c r="G829" s="102" t="b">
        <v>0</v>
      </c>
    </row>
    <row r="830" spans="1:7" ht="15">
      <c r="A830" s="104" t="s">
        <v>3165</v>
      </c>
      <c r="B830" s="102">
        <v>2</v>
      </c>
      <c r="C830" s="106">
        <v>0.0004993919862542396</v>
      </c>
      <c r="D830" s="102" t="s">
        <v>3369</v>
      </c>
      <c r="E830" s="102" t="b">
        <v>0</v>
      </c>
      <c r="F830" s="102" t="b">
        <v>0</v>
      </c>
      <c r="G830" s="102" t="b">
        <v>0</v>
      </c>
    </row>
    <row r="831" spans="1:7" ht="15">
      <c r="A831" s="104" t="s">
        <v>3166</v>
      </c>
      <c r="B831" s="102">
        <v>2</v>
      </c>
      <c r="C831" s="106">
        <v>0.0005682933356852263</v>
      </c>
      <c r="D831" s="102" t="s">
        <v>3369</v>
      </c>
      <c r="E831" s="102" t="b">
        <v>0</v>
      </c>
      <c r="F831" s="102" t="b">
        <v>0</v>
      </c>
      <c r="G831" s="102" t="b">
        <v>0</v>
      </c>
    </row>
    <row r="832" spans="1:7" ht="15">
      <c r="A832" s="104" t="s">
        <v>3167</v>
      </c>
      <c r="B832" s="102">
        <v>2</v>
      </c>
      <c r="C832" s="106">
        <v>0.0005682933356852263</v>
      </c>
      <c r="D832" s="102" t="s">
        <v>3369</v>
      </c>
      <c r="E832" s="102" t="b">
        <v>0</v>
      </c>
      <c r="F832" s="102" t="b">
        <v>0</v>
      </c>
      <c r="G832" s="102" t="b">
        <v>0</v>
      </c>
    </row>
    <row r="833" spans="1:7" ht="15">
      <c r="A833" s="104" t="s">
        <v>3168</v>
      </c>
      <c r="B833" s="102">
        <v>2</v>
      </c>
      <c r="C833" s="106">
        <v>0.0004993919862542396</v>
      </c>
      <c r="D833" s="102" t="s">
        <v>3369</v>
      </c>
      <c r="E833" s="102" t="b">
        <v>0</v>
      </c>
      <c r="F833" s="102" t="b">
        <v>0</v>
      </c>
      <c r="G833" s="102" t="b">
        <v>0</v>
      </c>
    </row>
    <row r="834" spans="1:7" ht="15">
      <c r="A834" s="104" t="s">
        <v>3169</v>
      </c>
      <c r="B834" s="102">
        <v>2</v>
      </c>
      <c r="C834" s="106">
        <v>0.0004993919862542396</v>
      </c>
      <c r="D834" s="102" t="s">
        <v>3369</v>
      </c>
      <c r="E834" s="102" t="b">
        <v>0</v>
      </c>
      <c r="F834" s="102" t="b">
        <v>0</v>
      </c>
      <c r="G834" s="102" t="b">
        <v>0</v>
      </c>
    </row>
    <row r="835" spans="1:7" ht="15">
      <c r="A835" s="104" t="s">
        <v>3170</v>
      </c>
      <c r="B835" s="102">
        <v>2</v>
      </c>
      <c r="C835" s="106">
        <v>0.0004993919862542396</v>
      </c>
      <c r="D835" s="102" t="s">
        <v>3369</v>
      </c>
      <c r="E835" s="102" t="b">
        <v>0</v>
      </c>
      <c r="F835" s="102" t="b">
        <v>0</v>
      </c>
      <c r="G835" s="102" t="b">
        <v>0</v>
      </c>
    </row>
    <row r="836" spans="1:7" ht="15">
      <c r="A836" s="104" t="s">
        <v>3171</v>
      </c>
      <c r="B836" s="102">
        <v>2</v>
      </c>
      <c r="C836" s="106">
        <v>0.0004993919862542396</v>
      </c>
      <c r="D836" s="102" t="s">
        <v>3369</v>
      </c>
      <c r="E836" s="102" t="b">
        <v>0</v>
      </c>
      <c r="F836" s="102" t="b">
        <v>0</v>
      </c>
      <c r="G836" s="102" t="b">
        <v>0</v>
      </c>
    </row>
    <row r="837" spans="1:7" ht="15">
      <c r="A837" s="104" t="s">
        <v>3172</v>
      </c>
      <c r="B837" s="102">
        <v>2</v>
      </c>
      <c r="C837" s="106">
        <v>0.0004993919862542396</v>
      </c>
      <c r="D837" s="102" t="s">
        <v>3369</v>
      </c>
      <c r="E837" s="102" t="b">
        <v>0</v>
      </c>
      <c r="F837" s="102" t="b">
        <v>1</v>
      </c>
      <c r="G837" s="102" t="b">
        <v>0</v>
      </c>
    </row>
    <row r="838" spans="1:7" ht="15">
      <c r="A838" s="104" t="s">
        <v>3173</v>
      </c>
      <c r="B838" s="102">
        <v>2</v>
      </c>
      <c r="C838" s="106">
        <v>0.0004993919862542396</v>
      </c>
      <c r="D838" s="102" t="s">
        <v>3369</v>
      </c>
      <c r="E838" s="102" t="b">
        <v>0</v>
      </c>
      <c r="F838" s="102" t="b">
        <v>0</v>
      </c>
      <c r="G838" s="102" t="b">
        <v>0</v>
      </c>
    </row>
    <row r="839" spans="1:7" ht="15">
      <c r="A839" s="104" t="s">
        <v>3174</v>
      </c>
      <c r="B839" s="102">
        <v>2</v>
      </c>
      <c r="C839" s="106">
        <v>0.0004993919862542396</v>
      </c>
      <c r="D839" s="102" t="s">
        <v>3369</v>
      </c>
      <c r="E839" s="102" t="b">
        <v>0</v>
      </c>
      <c r="F839" s="102" t="b">
        <v>1</v>
      </c>
      <c r="G839" s="102" t="b">
        <v>0</v>
      </c>
    </row>
    <row r="840" spans="1:7" ht="15">
      <c r="A840" s="104" t="s">
        <v>3175</v>
      </c>
      <c r="B840" s="102">
        <v>2</v>
      </c>
      <c r="C840" s="106">
        <v>0.0004993919862542396</v>
      </c>
      <c r="D840" s="102" t="s">
        <v>3369</v>
      </c>
      <c r="E840" s="102" t="b">
        <v>0</v>
      </c>
      <c r="F840" s="102" t="b">
        <v>1</v>
      </c>
      <c r="G840" s="102" t="b">
        <v>0</v>
      </c>
    </row>
    <row r="841" spans="1:7" ht="15">
      <c r="A841" s="104" t="s">
        <v>3176</v>
      </c>
      <c r="B841" s="102">
        <v>2</v>
      </c>
      <c r="C841" s="106">
        <v>0.0005682933356852263</v>
      </c>
      <c r="D841" s="102" t="s">
        <v>3369</v>
      </c>
      <c r="E841" s="102" t="b">
        <v>0</v>
      </c>
      <c r="F841" s="102" t="b">
        <v>0</v>
      </c>
      <c r="G841" s="102" t="b">
        <v>0</v>
      </c>
    </row>
    <row r="842" spans="1:7" ht="15">
      <c r="A842" s="104" t="s">
        <v>3177</v>
      </c>
      <c r="B842" s="102">
        <v>2</v>
      </c>
      <c r="C842" s="106">
        <v>0.0005682933356852263</v>
      </c>
      <c r="D842" s="102" t="s">
        <v>3369</v>
      </c>
      <c r="E842" s="102" t="b">
        <v>0</v>
      </c>
      <c r="F842" s="102" t="b">
        <v>0</v>
      </c>
      <c r="G842" s="102" t="b">
        <v>0</v>
      </c>
    </row>
    <row r="843" spans="1:7" ht="15">
      <c r="A843" s="104" t="s">
        <v>3178</v>
      </c>
      <c r="B843" s="102">
        <v>2</v>
      </c>
      <c r="C843" s="106">
        <v>0.0004993919862542396</v>
      </c>
      <c r="D843" s="102" t="s">
        <v>3369</v>
      </c>
      <c r="E843" s="102" t="b">
        <v>0</v>
      </c>
      <c r="F843" s="102" t="b">
        <v>0</v>
      </c>
      <c r="G843" s="102" t="b">
        <v>0</v>
      </c>
    </row>
    <row r="844" spans="1:7" ht="15">
      <c r="A844" s="104" t="s">
        <v>3179</v>
      </c>
      <c r="B844" s="102">
        <v>2</v>
      </c>
      <c r="C844" s="106">
        <v>0.0004993919862542396</v>
      </c>
      <c r="D844" s="102" t="s">
        <v>3369</v>
      </c>
      <c r="E844" s="102" t="b">
        <v>0</v>
      </c>
      <c r="F844" s="102" t="b">
        <v>1</v>
      </c>
      <c r="G844" s="102" t="b">
        <v>0</v>
      </c>
    </row>
    <row r="845" spans="1:7" ht="15">
      <c r="A845" s="104" t="s">
        <v>3180</v>
      </c>
      <c r="B845" s="102">
        <v>2</v>
      </c>
      <c r="C845" s="106">
        <v>0.0004993919862542396</v>
      </c>
      <c r="D845" s="102" t="s">
        <v>3369</v>
      </c>
      <c r="E845" s="102" t="b">
        <v>0</v>
      </c>
      <c r="F845" s="102" t="b">
        <v>0</v>
      </c>
      <c r="G845" s="102" t="b">
        <v>0</v>
      </c>
    </row>
    <row r="846" spans="1:7" ht="15">
      <c r="A846" s="104" t="s">
        <v>3181</v>
      </c>
      <c r="B846" s="102">
        <v>2</v>
      </c>
      <c r="C846" s="106">
        <v>0.0004993919862542396</v>
      </c>
      <c r="D846" s="102" t="s">
        <v>3369</v>
      </c>
      <c r="E846" s="102" t="b">
        <v>0</v>
      </c>
      <c r="F846" s="102" t="b">
        <v>0</v>
      </c>
      <c r="G846" s="102" t="b">
        <v>0</v>
      </c>
    </row>
    <row r="847" spans="1:7" ht="15">
      <c r="A847" s="104" t="s">
        <v>3182</v>
      </c>
      <c r="B847" s="102">
        <v>2</v>
      </c>
      <c r="C847" s="106">
        <v>0.0005682933356852263</v>
      </c>
      <c r="D847" s="102" t="s">
        <v>3369</v>
      </c>
      <c r="E847" s="102" t="b">
        <v>0</v>
      </c>
      <c r="F847" s="102" t="b">
        <v>0</v>
      </c>
      <c r="G847" s="102" t="b">
        <v>0</v>
      </c>
    </row>
    <row r="848" spans="1:7" ht="15">
      <c r="A848" s="104" t="s">
        <v>3183</v>
      </c>
      <c r="B848" s="102">
        <v>2</v>
      </c>
      <c r="C848" s="106">
        <v>0.0005682933356852263</v>
      </c>
      <c r="D848" s="102" t="s">
        <v>3369</v>
      </c>
      <c r="E848" s="102" t="b">
        <v>0</v>
      </c>
      <c r="F848" s="102" t="b">
        <v>0</v>
      </c>
      <c r="G848" s="102" t="b">
        <v>0</v>
      </c>
    </row>
    <row r="849" spans="1:7" ht="15">
      <c r="A849" s="104" t="s">
        <v>3184</v>
      </c>
      <c r="B849" s="102">
        <v>2</v>
      </c>
      <c r="C849" s="106">
        <v>0.0005682933356852263</v>
      </c>
      <c r="D849" s="102" t="s">
        <v>3369</v>
      </c>
      <c r="E849" s="102" t="b">
        <v>0</v>
      </c>
      <c r="F849" s="102" t="b">
        <v>0</v>
      </c>
      <c r="G849" s="102" t="b">
        <v>0</v>
      </c>
    </row>
    <row r="850" spans="1:7" ht="15">
      <c r="A850" s="104" t="s">
        <v>3185</v>
      </c>
      <c r="B850" s="102">
        <v>2</v>
      </c>
      <c r="C850" s="106">
        <v>0.0005682933356852263</v>
      </c>
      <c r="D850" s="102" t="s">
        <v>3369</v>
      </c>
      <c r="E850" s="102" t="b">
        <v>0</v>
      </c>
      <c r="F850" s="102" t="b">
        <v>0</v>
      </c>
      <c r="G850" s="102" t="b">
        <v>0</v>
      </c>
    </row>
    <row r="851" spans="1:7" ht="15">
      <c r="A851" s="104" t="s">
        <v>3186</v>
      </c>
      <c r="B851" s="102">
        <v>2</v>
      </c>
      <c r="C851" s="106">
        <v>0.0005682933356852263</v>
      </c>
      <c r="D851" s="102" t="s">
        <v>3369</v>
      </c>
      <c r="E851" s="102" t="b">
        <v>0</v>
      </c>
      <c r="F851" s="102" t="b">
        <v>0</v>
      </c>
      <c r="G851" s="102" t="b">
        <v>0</v>
      </c>
    </row>
    <row r="852" spans="1:7" ht="15">
      <c r="A852" s="104" t="s">
        <v>3187</v>
      </c>
      <c r="B852" s="102">
        <v>2</v>
      </c>
      <c r="C852" s="106">
        <v>0.0005682933356852263</v>
      </c>
      <c r="D852" s="102" t="s">
        <v>3369</v>
      </c>
      <c r="E852" s="102" t="b">
        <v>0</v>
      </c>
      <c r="F852" s="102" t="b">
        <v>0</v>
      </c>
      <c r="G852" s="102" t="b">
        <v>0</v>
      </c>
    </row>
    <row r="853" spans="1:7" ht="15">
      <c r="A853" s="104" t="s">
        <v>3188</v>
      </c>
      <c r="B853" s="102">
        <v>2</v>
      </c>
      <c r="C853" s="106">
        <v>0.0005682933356852263</v>
      </c>
      <c r="D853" s="102" t="s">
        <v>3369</v>
      </c>
      <c r="E853" s="102" t="b">
        <v>0</v>
      </c>
      <c r="F853" s="102" t="b">
        <v>0</v>
      </c>
      <c r="G853" s="102" t="b">
        <v>0</v>
      </c>
    </row>
    <row r="854" spans="1:7" ht="15">
      <c r="A854" s="104" t="s">
        <v>3189</v>
      </c>
      <c r="B854" s="102">
        <v>2</v>
      </c>
      <c r="C854" s="106">
        <v>0.0005682933356852263</v>
      </c>
      <c r="D854" s="102" t="s">
        <v>3369</v>
      </c>
      <c r="E854" s="102" t="b">
        <v>0</v>
      </c>
      <c r="F854" s="102" t="b">
        <v>0</v>
      </c>
      <c r="G854" s="102" t="b">
        <v>0</v>
      </c>
    </row>
    <row r="855" spans="1:7" ht="15">
      <c r="A855" s="104" t="s">
        <v>3190</v>
      </c>
      <c r="B855" s="102">
        <v>2</v>
      </c>
      <c r="C855" s="106">
        <v>0.0005682933356852263</v>
      </c>
      <c r="D855" s="102" t="s">
        <v>3369</v>
      </c>
      <c r="E855" s="102" t="b">
        <v>0</v>
      </c>
      <c r="F855" s="102" t="b">
        <v>0</v>
      </c>
      <c r="G855" s="102" t="b">
        <v>0</v>
      </c>
    </row>
    <row r="856" spans="1:7" ht="15">
      <c r="A856" s="104" t="s">
        <v>3191</v>
      </c>
      <c r="B856" s="102">
        <v>2</v>
      </c>
      <c r="C856" s="106">
        <v>0.0005682933356852263</v>
      </c>
      <c r="D856" s="102" t="s">
        <v>3369</v>
      </c>
      <c r="E856" s="102" t="b">
        <v>0</v>
      </c>
      <c r="F856" s="102" t="b">
        <v>0</v>
      </c>
      <c r="G856" s="102" t="b">
        <v>0</v>
      </c>
    </row>
    <row r="857" spans="1:7" ht="15">
      <c r="A857" s="104" t="s">
        <v>3192</v>
      </c>
      <c r="B857" s="102">
        <v>2</v>
      </c>
      <c r="C857" s="106">
        <v>0.0005682933356852263</v>
      </c>
      <c r="D857" s="102" t="s">
        <v>3369</v>
      </c>
      <c r="E857" s="102" t="b">
        <v>0</v>
      </c>
      <c r="F857" s="102" t="b">
        <v>0</v>
      </c>
      <c r="G857" s="102" t="b">
        <v>0</v>
      </c>
    </row>
    <row r="858" spans="1:7" ht="15">
      <c r="A858" s="104" t="s">
        <v>3193</v>
      </c>
      <c r="B858" s="102">
        <v>2</v>
      </c>
      <c r="C858" s="106">
        <v>0.0005682933356852263</v>
      </c>
      <c r="D858" s="102" t="s">
        <v>3369</v>
      </c>
      <c r="E858" s="102" t="b">
        <v>0</v>
      </c>
      <c r="F858" s="102" t="b">
        <v>0</v>
      </c>
      <c r="G858" s="102" t="b">
        <v>0</v>
      </c>
    </row>
    <row r="859" spans="1:7" ht="15">
      <c r="A859" s="104" t="s">
        <v>3194</v>
      </c>
      <c r="B859" s="102">
        <v>2</v>
      </c>
      <c r="C859" s="106">
        <v>0.0004993919862542396</v>
      </c>
      <c r="D859" s="102" t="s">
        <v>3369</v>
      </c>
      <c r="E859" s="102" t="b">
        <v>0</v>
      </c>
      <c r="F859" s="102" t="b">
        <v>0</v>
      </c>
      <c r="G859" s="102" t="b">
        <v>0</v>
      </c>
    </row>
    <row r="860" spans="1:7" ht="15">
      <c r="A860" s="104" t="s">
        <v>3195</v>
      </c>
      <c r="B860" s="102">
        <v>2</v>
      </c>
      <c r="C860" s="106">
        <v>0.0005682933356852263</v>
      </c>
      <c r="D860" s="102" t="s">
        <v>3369</v>
      </c>
      <c r="E860" s="102" t="b">
        <v>0</v>
      </c>
      <c r="F860" s="102" t="b">
        <v>0</v>
      </c>
      <c r="G860" s="102" t="b">
        <v>0</v>
      </c>
    </row>
    <row r="861" spans="1:7" ht="15">
      <c r="A861" s="104" t="s">
        <v>3196</v>
      </c>
      <c r="B861" s="102">
        <v>2</v>
      </c>
      <c r="C861" s="106">
        <v>0.0005682933356852263</v>
      </c>
      <c r="D861" s="102" t="s">
        <v>3369</v>
      </c>
      <c r="E861" s="102" t="b">
        <v>0</v>
      </c>
      <c r="F861" s="102" t="b">
        <v>1</v>
      </c>
      <c r="G861" s="102" t="b">
        <v>0</v>
      </c>
    </row>
    <row r="862" spans="1:7" ht="15">
      <c r="A862" s="104" t="s">
        <v>3197</v>
      </c>
      <c r="B862" s="102">
        <v>2</v>
      </c>
      <c r="C862" s="106">
        <v>0.0005682933356852263</v>
      </c>
      <c r="D862" s="102" t="s">
        <v>3369</v>
      </c>
      <c r="E862" s="102" t="b">
        <v>0</v>
      </c>
      <c r="F862" s="102" t="b">
        <v>0</v>
      </c>
      <c r="G862" s="102" t="b">
        <v>0</v>
      </c>
    </row>
    <row r="863" spans="1:7" ht="15">
      <c r="A863" s="104" t="s">
        <v>3198</v>
      </c>
      <c r="B863" s="102">
        <v>2</v>
      </c>
      <c r="C863" s="106">
        <v>0.0005682933356852263</v>
      </c>
      <c r="D863" s="102" t="s">
        <v>3369</v>
      </c>
      <c r="E863" s="102" t="b">
        <v>0</v>
      </c>
      <c r="F863" s="102" t="b">
        <v>0</v>
      </c>
      <c r="G863" s="102" t="b">
        <v>0</v>
      </c>
    </row>
    <row r="864" spans="1:7" ht="15">
      <c r="A864" s="104" t="s">
        <v>3199</v>
      </c>
      <c r="B864" s="102">
        <v>2</v>
      </c>
      <c r="C864" s="106">
        <v>0.0004993919862542396</v>
      </c>
      <c r="D864" s="102" t="s">
        <v>3369</v>
      </c>
      <c r="E864" s="102" t="b">
        <v>0</v>
      </c>
      <c r="F864" s="102" t="b">
        <v>0</v>
      </c>
      <c r="G864" s="102" t="b">
        <v>0</v>
      </c>
    </row>
    <row r="865" spans="1:7" ht="15">
      <c r="A865" s="104" t="s">
        <v>3200</v>
      </c>
      <c r="B865" s="102">
        <v>2</v>
      </c>
      <c r="C865" s="106">
        <v>0.0004993919862542396</v>
      </c>
      <c r="D865" s="102" t="s">
        <v>3369</v>
      </c>
      <c r="E865" s="102" t="b">
        <v>0</v>
      </c>
      <c r="F865" s="102" t="b">
        <v>0</v>
      </c>
      <c r="G865" s="102" t="b">
        <v>0</v>
      </c>
    </row>
    <row r="866" spans="1:7" ht="15">
      <c r="A866" s="104" t="s">
        <v>3201</v>
      </c>
      <c r="B866" s="102">
        <v>2</v>
      </c>
      <c r="C866" s="106">
        <v>0.0004993919862542396</v>
      </c>
      <c r="D866" s="102" t="s">
        <v>3369</v>
      </c>
      <c r="E866" s="102" t="b">
        <v>0</v>
      </c>
      <c r="F866" s="102" t="b">
        <v>0</v>
      </c>
      <c r="G866" s="102" t="b">
        <v>0</v>
      </c>
    </row>
    <row r="867" spans="1:7" ht="15">
      <c r="A867" s="104" t="s">
        <v>3202</v>
      </c>
      <c r="B867" s="102">
        <v>2</v>
      </c>
      <c r="C867" s="106">
        <v>0.0005682933356852263</v>
      </c>
      <c r="D867" s="102" t="s">
        <v>3369</v>
      </c>
      <c r="E867" s="102" t="b">
        <v>0</v>
      </c>
      <c r="F867" s="102" t="b">
        <v>0</v>
      </c>
      <c r="G867" s="102" t="b">
        <v>0</v>
      </c>
    </row>
    <row r="868" spans="1:7" ht="15">
      <c r="A868" s="104" t="s">
        <v>3203</v>
      </c>
      <c r="B868" s="102">
        <v>2</v>
      </c>
      <c r="C868" s="106">
        <v>0.0005682933356852263</v>
      </c>
      <c r="D868" s="102" t="s">
        <v>3369</v>
      </c>
      <c r="E868" s="102" t="b">
        <v>0</v>
      </c>
      <c r="F868" s="102" t="b">
        <v>0</v>
      </c>
      <c r="G868" s="102" t="b">
        <v>0</v>
      </c>
    </row>
    <row r="869" spans="1:7" ht="15">
      <c r="A869" s="104" t="s">
        <v>3204</v>
      </c>
      <c r="B869" s="102">
        <v>2</v>
      </c>
      <c r="C869" s="106">
        <v>0.0005682933356852263</v>
      </c>
      <c r="D869" s="102" t="s">
        <v>3369</v>
      </c>
      <c r="E869" s="102" t="b">
        <v>0</v>
      </c>
      <c r="F869" s="102" t="b">
        <v>0</v>
      </c>
      <c r="G869" s="102" t="b">
        <v>0</v>
      </c>
    </row>
    <row r="870" spans="1:7" ht="15">
      <c r="A870" s="104" t="s">
        <v>3205</v>
      </c>
      <c r="B870" s="102">
        <v>2</v>
      </c>
      <c r="C870" s="106">
        <v>0.0005682933356852263</v>
      </c>
      <c r="D870" s="102" t="s">
        <v>3369</v>
      </c>
      <c r="E870" s="102" t="b">
        <v>0</v>
      </c>
      <c r="F870" s="102" t="b">
        <v>0</v>
      </c>
      <c r="G870" s="102" t="b">
        <v>0</v>
      </c>
    </row>
    <row r="871" spans="1:7" ht="15">
      <c r="A871" s="104" t="s">
        <v>3206</v>
      </c>
      <c r="B871" s="102">
        <v>2</v>
      </c>
      <c r="C871" s="106">
        <v>0.0005682933356852263</v>
      </c>
      <c r="D871" s="102" t="s">
        <v>3369</v>
      </c>
      <c r="E871" s="102" t="b">
        <v>0</v>
      </c>
      <c r="F871" s="102" t="b">
        <v>0</v>
      </c>
      <c r="G871" s="102" t="b">
        <v>0</v>
      </c>
    </row>
    <row r="872" spans="1:7" ht="15">
      <c r="A872" s="104" t="s">
        <v>3207</v>
      </c>
      <c r="B872" s="102">
        <v>2</v>
      </c>
      <c r="C872" s="106">
        <v>0.0005682933356852263</v>
      </c>
      <c r="D872" s="102" t="s">
        <v>3369</v>
      </c>
      <c r="E872" s="102" t="b">
        <v>0</v>
      </c>
      <c r="F872" s="102" t="b">
        <v>0</v>
      </c>
      <c r="G872" s="102" t="b">
        <v>0</v>
      </c>
    </row>
    <row r="873" spans="1:7" ht="15">
      <c r="A873" s="104" t="s">
        <v>3208</v>
      </c>
      <c r="B873" s="102">
        <v>2</v>
      </c>
      <c r="C873" s="106">
        <v>0.0005682933356852263</v>
      </c>
      <c r="D873" s="102" t="s">
        <v>3369</v>
      </c>
      <c r="E873" s="102" t="b">
        <v>0</v>
      </c>
      <c r="F873" s="102" t="b">
        <v>0</v>
      </c>
      <c r="G873" s="102" t="b">
        <v>0</v>
      </c>
    </row>
    <row r="874" spans="1:7" ht="15">
      <c r="A874" s="104" t="s">
        <v>3209</v>
      </c>
      <c r="B874" s="102">
        <v>2</v>
      </c>
      <c r="C874" s="106">
        <v>0.0004993919862542396</v>
      </c>
      <c r="D874" s="102" t="s">
        <v>3369</v>
      </c>
      <c r="E874" s="102" t="b">
        <v>0</v>
      </c>
      <c r="F874" s="102" t="b">
        <v>0</v>
      </c>
      <c r="G874" s="102" t="b">
        <v>0</v>
      </c>
    </row>
    <row r="875" spans="1:7" ht="15">
      <c r="A875" s="104" t="s">
        <v>3210</v>
      </c>
      <c r="B875" s="102">
        <v>2</v>
      </c>
      <c r="C875" s="106">
        <v>0.0005682933356852263</v>
      </c>
      <c r="D875" s="102" t="s">
        <v>3369</v>
      </c>
      <c r="E875" s="102" t="b">
        <v>0</v>
      </c>
      <c r="F875" s="102" t="b">
        <v>0</v>
      </c>
      <c r="G875" s="102" t="b">
        <v>0</v>
      </c>
    </row>
    <row r="876" spans="1:7" ht="15">
      <c r="A876" s="104" t="s">
        <v>3211</v>
      </c>
      <c r="B876" s="102">
        <v>2</v>
      </c>
      <c r="C876" s="106">
        <v>0.0004993919862542396</v>
      </c>
      <c r="D876" s="102" t="s">
        <v>3369</v>
      </c>
      <c r="E876" s="102" t="b">
        <v>0</v>
      </c>
      <c r="F876" s="102" t="b">
        <v>0</v>
      </c>
      <c r="G876" s="102" t="b">
        <v>0</v>
      </c>
    </row>
    <row r="877" spans="1:7" ht="15">
      <c r="A877" s="104" t="s">
        <v>3212</v>
      </c>
      <c r="B877" s="102">
        <v>2</v>
      </c>
      <c r="C877" s="106">
        <v>0.0005682933356852263</v>
      </c>
      <c r="D877" s="102" t="s">
        <v>3369</v>
      </c>
      <c r="E877" s="102" t="b">
        <v>0</v>
      </c>
      <c r="F877" s="102" t="b">
        <v>0</v>
      </c>
      <c r="G877" s="102" t="b">
        <v>0</v>
      </c>
    </row>
    <row r="878" spans="1:7" ht="15">
      <c r="A878" s="104" t="s">
        <v>3213</v>
      </c>
      <c r="B878" s="102">
        <v>2</v>
      </c>
      <c r="C878" s="106">
        <v>0.0005682933356852263</v>
      </c>
      <c r="D878" s="102" t="s">
        <v>3369</v>
      </c>
      <c r="E878" s="102" t="b">
        <v>0</v>
      </c>
      <c r="F878" s="102" t="b">
        <v>0</v>
      </c>
      <c r="G878" s="102" t="b">
        <v>0</v>
      </c>
    </row>
    <row r="879" spans="1:7" ht="15">
      <c r="A879" s="104" t="s">
        <v>3214</v>
      </c>
      <c r="B879" s="102">
        <v>2</v>
      </c>
      <c r="C879" s="106">
        <v>0.0005682933356852263</v>
      </c>
      <c r="D879" s="102" t="s">
        <v>3369</v>
      </c>
      <c r="E879" s="102" t="b">
        <v>0</v>
      </c>
      <c r="F879" s="102" t="b">
        <v>0</v>
      </c>
      <c r="G879" s="102" t="b">
        <v>0</v>
      </c>
    </row>
    <row r="880" spans="1:7" ht="15">
      <c r="A880" s="104" t="s">
        <v>3215</v>
      </c>
      <c r="B880" s="102">
        <v>2</v>
      </c>
      <c r="C880" s="106">
        <v>0.0004993919862542396</v>
      </c>
      <c r="D880" s="102" t="s">
        <v>3369</v>
      </c>
      <c r="E880" s="102" t="b">
        <v>0</v>
      </c>
      <c r="F880" s="102" t="b">
        <v>0</v>
      </c>
      <c r="G880" s="102" t="b">
        <v>0</v>
      </c>
    </row>
    <row r="881" spans="1:7" ht="15">
      <c r="A881" s="104" t="s">
        <v>3216</v>
      </c>
      <c r="B881" s="102">
        <v>2</v>
      </c>
      <c r="C881" s="106">
        <v>0.0004993919862542396</v>
      </c>
      <c r="D881" s="102" t="s">
        <v>3369</v>
      </c>
      <c r="E881" s="102" t="b">
        <v>0</v>
      </c>
      <c r="F881" s="102" t="b">
        <v>0</v>
      </c>
      <c r="G881" s="102" t="b">
        <v>0</v>
      </c>
    </row>
    <row r="882" spans="1:7" ht="15">
      <c r="A882" s="104" t="s">
        <v>3217</v>
      </c>
      <c r="B882" s="102">
        <v>2</v>
      </c>
      <c r="C882" s="106">
        <v>0.0004993919862542396</v>
      </c>
      <c r="D882" s="102" t="s">
        <v>3369</v>
      </c>
      <c r="E882" s="102" t="b">
        <v>1</v>
      </c>
      <c r="F882" s="102" t="b">
        <v>0</v>
      </c>
      <c r="G882" s="102" t="b">
        <v>0</v>
      </c>
    </row>
    <row r="883" spans="1:7" ht="15">
      <c r="A883" s="104" t="s">
        <v>3218</v>
      </c>
      <c r="B883" s="102">
        <v>2</v>
      </c>
      <c r="C883" s="106">
        <v>0.0005682933356852263</v>
      </c>
      <c r="D883" s="102" t="s">
        <v>3369</v>
      </c>
      <c r="E883" s="102" t="b">
        <v>0</v>
      </c>
      <c r="F883" s="102" t="b">
        <v>0</v>
      </c>
      <c r="G883" s="102" t="b">
        <v>0</v>
      </c>
    </row>
    <row r="884" spans="1:7" ht="15">
      <c r="A884" s="104" t="s">
        <v>3219</v>
      </c>
      <c r="B884" s="102">
        <v>2</v>
      </c>
      <c r="C884" s="106">
        <v>0.0005682933356852263</v>
      </c>
      <c r="D884" s="102" t="s">
        <v>3369</v>
      </c>
      <c r="E884" s="102" t="b">
        <v>0</v>
      </c>
      <c r="F884" s="102" t="b">
        <v>0</v>
      </c>
      <c r="G884" s="102" t="b">
        <v>0</v>
      </c>
    </row>
    <row r="885" spans="1:7" ht="15">
      <c r="A885" s="104" t="s">
        <v>3220</v>
      </c>
      <c r="B885" s="102">
        <v>2</v>
      </c>
      <c r="C885" s="106">
        <v>0.0005682933356852263</v>
      </c>
      <c r="D885" s="102" t="s">
        <v>3369</v>
      </c>
      <c r="E885" s="102" t="b">
        <v>0</v>
      </c>
      <c r="F885" s="102" t="b">
        <v>0</v>
      </c>
      <c r="G885" s="102" t="b">
        <v>0</v>
      </c>
    </row>
    <row r="886" spans="1:7" ht="15">
      <c r="A886" s="104" t="s">
        <v>3221</v>
      </c>
      <c r="B886" s="102">
        <v>2</v>
      </c>
      <c r="C886" s="106">
        <v>0.0005682933356852263</v>
      </c>
      <c r="D886" s="102" t="s">
        <v>3369</v>
      </c>
      <c r="E886" s="102" t="b">
        <v>0</v>
      </c>
      <c r="F886" s="102" t="b">
        <v>0</v>
      </c>
      <c r="G886" s="102" t="b">
        <v>0</v>
      </c>
    </row>
    <row r="887" spans="1:7" ht="15">
      <c r="A887" s="104" t="s">
        <v>3222</v>
      </c>
      <c r="B887" s="102">
        <v>2</v>
      </c>
      <c r="C887" s="106">
        <v>0.0005682933356852263</v>
      </c>
      <c r="D887" s="102" t="s">
        <v>3369</v>
      </c>
      <c r="E887" s="102" t="b">
        <v>0</v>
      </c>
      <c r="F887" s="102" t="b">
        <v>0</v>
      </c>
      <c r="G887" s="102" t="b">
        <v>0</v>
      </c>
    </row>
    <row r="888" spans="1:7" ht="15">
      <c r="A888" s="104" t="s">
        <v>3223</v>
      </c>
      <c r="B888" s="102">
        <v>2</v>
      </c>
      <c r="C888" s="106">
        <v>0.0005682933356852263</v>
      </c>
      <c r="D888" s="102" t="s">
        <v>3369</v>
      </c>
      <c r="E888" s="102" t="b">
        <v>0</v>
      </c>
      <c r="F888" s="102" t="b">
        <v>0</v>
      </c>
      <c r="G888" s="102" t="b">
        <v>0</v>
      </c>
    </row>
    <row r="889" spans="1:7" ht="15">
      <c r="A889" s="104" t="s">
        <v>3224</v>
      </c>
      <c r="B889" s="102">
        <v>2</v>
      </c>
      <c r="C889" s="106">
        <v>0.0005682933356852263</v>
      </c>
      <c r="D889" s="102" t="s">
        <v>3369</v>
      </c>
      <c r="E889" s="102" t="b">
        <v>0</v>
      </c>
      <c r="F889" s="102" t="b">
        <v>0</v>
      </c>
      <c r="G889" s="102" t="b">
        <v>0</v>
      </c>
    </row>
    <row r="890" spans="1:7" ht="15">
      <c r="A890" s="104" t="s">
        <v>3225</v>
      </c>
      <c r="B890" s="102">
        <v>2</v>
      </c>
      <c r="C890" s="106">
        <v>0.0005682933356852263</v>
      </c>
      <c r="D890" s="102" t="s">
        <v>3369</v>
      </c>
      <c r="E890" s="102" t="b">
        <v>0</v>
      </c>
      <c r="F890" s="102" t="b">
        <v>0</v>
      </c>
      <c r="G890" s="102" t="b">
        <v>0</v>
      </c>
    </row>
    <row r="891" spans="1:7" ht="15">
      <c r="A891" s="104" t="s">
        <v>3226</v>
      </c>
      <c r="B891" s="102">
        <v>2</v>
      </c>
      <c r="C891" s="106">
        <v>0.0005682933356852263</v>
      </c>
      <c r="D891" s="102" t="s">
        <v>3369</v>
      </c>
      <c r="E891" s="102" t="b">
        <v>0</v>
      </c>
      <c r="F891" s="102" t="b">
        <v>0</v>
      </c>
      <c r="G891" s="102" t="b">
        <v>0</v>
      </c>
    </row>
    <row r="892" spans="1:7" ht="15">
      <c r="A892" s="104" t="s">
        <v>3227</v>
      </c>
      <c r="B892" s="102">
        <v>2</v>
      </c>
      <c r="C892" s="106">
        <v>0.0005682933356852263</v>
      </c>
      <c r="D892" s="102" t="s">
        <v>3369</v>
      </c>
      <c r="E892" s="102" t="b">
        <v>0</v>
      </c>
      <c r="F892" s="102" t="b">
        <v>0</v>
      </c>
      <c r="G892" s="102" t="b">
        <v>0</v>
      </c>
    </row>
    <row r="893" spans="1:7" ht="15">
      <c r="A893" s="104" t="s">
        <v>3228</v>
      </c>
      <c r="B893" s="102">
        <v>2</v>
      </c>
      <c r="C893" s="106">
        <v>0.0005682933356852263</v>
      </c>
      <c r="D893" s="102" t="s">
        <v>3369</v>
      </c>
      <c r="E893" s="102" t="b">
        <v>0</v>
      </c>
      <c r="F893" s="102" t="b">
        <v>0</v>
      </c>
      <c r="G893" s="102" t="b">
        <v>0</v>
      </c>
    </row>
    <row r="894" spans="1:7" ht="15">
      <c r="A894" s="104" t="s">
        <v>3229</v>
      </c>
      <c r="B894" s="102">
        <v>2</v>
      </c>
      <c r="C894" s="106">
        <v>0.0005682933356852263</v>
      </c>
      <c r="D894" s="102" t="s">
        <v>3369</v>
      </c>
      <c r="E894" s="102" t="b">
        <v>0</v>
      </c>
      <c r="F894" s="102" t="b">
        <v>0</v>
      </c>
      <c r="G894" s="102" t="b">
        <v>0</v>
      </c>
    </row>
    <row r="895" spans="1:7" ht="15">
      <c r="A895" s="104" t="s">
        <v>3230</v>
      </c>
      <c r="B895" s="102">
        <v>2</v>
      </c>
      <c r="C895" s="106">
        <v>0.0005682933356852263</v>
      </c>
      <c r="D895" s="102" t="s">
        <v>3369</v>
      </c>
      <c r="E895" s="102" t="b">
        <v>0</v>
      </c>
      <c r="F895" s="102" t="b">
        <v>0</v>
      </c>
      <c r="G895" s="102" t="b">
        <v>0</v>
      </c>
    </row>
    <row r="896" spans="1:7" ht="15">
      <c r="A896" s="104" t="s">
        <v>3231</v>
      </c>
      <c r="B896" s="102">
        <v>2</v>
      </c>
      <c r="C896" s="106">
        <v>0.0005682933356852263</v>
      </c>
      <c r="D896" s="102" t="s">
        <v>3369</v>
      </c>
      <c r="E896" s="102" t="b">
        <v>0</v>
      </c>
      <c r="F896" s="102" t="b">
        <v>0</v>
      </c>
      <c r="G896" s="102" t="b">
        <v>0</v>
      </c>
    </row>
    <row r="897" spans="1:7" ht="15">
      <c r="A897" s="104" t="s">
        <v>3232</v>
      </c>
      <c r="B897" s="102">
        <v>2</v>
      </c>
      <c r="C897" s="106">
        <v>0.0005682933356852263</v>
      </c>
      <c r="D897" s="102" t="s">
        <v>3369</v>
      </c>
      <c r="E897" s="102" t="b">
        <v>0</v>
      </c>
      <c r="F897" s="102" t="b">
        <v>0</v>
      </c>
      <c r="G897" s="102" t="b">
        <v>0</v>
      </c>
    </row>
    <row r="898" spans="1:7" ht="15">
      <c r="A898" s="104" t="s">
        <v>3233</v>
      </c>
      <c r="B898" s="102">
        <v>2</v>
      </c>
      <c r="C898" s="106">
        <v>0.0005682933356852263</v>
      </c>
      <c r="D898" s="102" t="s">
        <v>3369</v>
      </c>
      <c r="E898" s="102" t="b">
        <v>0</v>
      </c>
      <c r="F898" s="102" t="b">
        <v>0</v>
      </c>
      <c r="G898" s="102" t="b">
        <v>0</v>
      </c>
    </row>
    <row r="899" spans="1:7" ht="15">
      <c r="A899" s="104" t="s">
        <v>3234</v>
      </c>
      <c r="B899" s="102">
        <v>2</v>
      </c>
      <c r="C899" s="106">
        <v>0.0005682933356852263</v>
      </c>
      <c r="D899" s="102" t="s">
        <v>3369</v>
      </c>
      <c r="E899" s="102" t="b">
        <v>0</v>
      </c>
      <c r="F899" s="102" t="b">
        <v>0</v>
      </c>
      <c r="G899" s="102" t="b">
        <v>0</v>
      </c>
    </row>
    <row r="900" spans="1:7" ht="15">
      <c r="A900" s="104" t="s">
        <v>3235</v>
      </c>
      <c r="B900" s="102">
        <v>2</v>
      </c>
      <c r="C900" s="106">
        <v>0.0005682933356852263</v>
      </c>
      <c r="D900" s="102" t="s">
        <v>3369</v>
      </c>
      <c r="E900" s="102" t="b">
        <v>0</v>
      </c>
      <c r="F900" s="102" t="b">
        <v>0</v>
      </c>
      <c r="G900" s="102" t="b">
        <v>0</v>
      </c>
    </row>
    <row r="901" spans="1:7" ht="15">
      <c r="A901" s="104" t="s">
        <v>3236</v>
      </c>
      <c r="B901" s="102">
        <v>2</v>
      </c>
      <c r="C901" s="106">
        <v>0.0005682933356852263</v>
      </c>
      <c r="D901" s="102" t="s">
        <v>3369</v>
      </c>
      <c r="E901" s="102" t="b">
        <v>0</v>
      </c>
      <c r="F901" s="102" t="b">
        <v>0</v>
      </c>
      <c r="G901" s="102" t="b">
        <v>0</v>
      </c>
    </row>
    <row r="902" spans="1:7" ht="15">
      <c r="A902" s="104" t="s">
        <v>3237</v>
      </c>
      <c r="B902" s="102">
        <v>2</v>
      </c>
      <c r="C902" s="106">
        <v>0.0005682933356852263</v>
      </c>
      <c r="D902" s="102" t="s">
        <v>3369</v>
      </c>
      <c r="E902" s="102" t="b">
        <v>0</v>
      </c>
      <c r="F902" s="102" t="b">
        <v>0</v>
      </c>
      <c r="G902" s="102" t="b">
        <v>0</v>
      </c>
    </row>
    <row r="903" spans="1:7" ht="15">
      <c r="A903" s="104" t="s">
        <v>3238</v>
      </c>
      <c r="B903" s="102">
        <v>2</v>
      </c>
      <c r="C903" s="106">
        <v>0.0005682933356852263</v>
      </c>
      <c r="D903" s="102" t="s">
        <v>3369</v>
      </c>
      <c r="E903" s="102" t="b">
        <v>0</v>
      </c>
      <c r="F903" s="102" t="b">
        <v>0</v>
      </c>
      <c r="G903" s="102" t="b">
        <v>0</v>
      </c>
    </row>
    <row r="904" spans="1:7" ht="15">
      <c r="A904" s="104" t="s">
        <v>3239</v>
      </c>
      <c r="B904" s="102">
        <v>2</v>
      </c>
      <c r="C904" s="106">
        <v>0.0005682933356852263</v>
      </c>
      <c r="D904" s="102" t="s">
        <v>3369</v>
      </c>
      <c r="E904" s="102" t="b">
        <v>0</v>
      </c>
      <c r="F904" s="102" t="b">
        <v>1</v>
      </c>
      <c r="G904" s="102" t="b">
        <v>0</v>
      </c>
    </row>
    <row r="905" spans="1:7" ht="15">
      <c r="A905" s="104" t="s">
        <v>3240</v>
      </c>
      <c r="B905" s="102">
        <v>2</v>
      </c>
      <c r="C905" s="106">
        <v>0.0004993919862542396</v>
      </c>
      <c r="D905" s="102" t="s">
        <v>3369</v>
      </c>
      <c r="E905" s="102" t="b">
        <v>0</v>
      </c>
      <c r="F905" s="102" t="b">
        <v>0</v>
      </c>
      <c r="G905" s="102" t="b">
        <v>0</v>
      </c>
    </row>
    <row r="906" spans="1:7" ht="15">
      <c r="A906" s="104" t="s">
        <v>3241</v>
      </c>
      <c r="B906" s="102">
        <v>2</v>
      </c>
      <c r="C906" s="106">
        <v>0.0004993919862542396</v>
      </c>
      <c r="D906" s="102" t="s">
        <v>3369</v>
      </c>
      <c r="E906" s="102" t="b">
        <v>0</v>
      </c>
      <c r="F906" s="102" t="b">
        <v>0</v>
      </c>
      <c r="G906" s="102" t="b">
        <v>0</v>
      </c>
    </row>
    <row r="907" spans="1:7" ht="15">
      <c r="A907" s="104" t="s">
        <v>3242</v>
      </c>
      <c r="B907" s="102">
        <v>2</v>
      </c>
      <c r="C907" s="106">
        <v>0.0004993919862542396</v>
      </c>
      <c r="D907" s="102" t="s">
        <v>3369</v>
      </c>
      <c r="E907" s="102" t="b">
        <v>0</v>
      </c>
      <c r="F907" s="102" t="b">
        <v>0</v>
      </c>
      <c r="G907" s="102" t="b">
        <v>0</v>
      </c>
    </row>
    <row r="908" spans="1:7" ht="15">
      <c r="A908" s="104" t="s">
        <v>3243</v>
      </c>
      <c r="B908" s="102">
        <v>2</v>
      </c>
      <c r="C908" s="106">
        <v>0.0004993919862542396</v>
      </c>
      <c r="D908" s="102" t="s">
        <v>3369</v>
      </c>
      <c r="E908" s="102" t="b">
        <v>0</v>
      </c>
      <c r="F908" s="102" t="b">
        <v>0</v>
      </c>
      <c r="G908" s="102" t="b">
        <v>0</v>
      </c>
    </row>
    <row r="909" spans="1:7" ht="15">
      <c r="A909" s="104" t="s">
        <v>3244</v>
      </c>
      <c r="B909" s="102">
        <v>2</v>
      </c>
      <c r="C909" s="106">
        <v>0.0004993919862542396</v>
      </c>
      <c r="D909" s="102" t="s">
        <v>3369</v>
      </c>
      <c r="E909" s="102" t="b">
        <v>0</v>
      </c>
      <c r="F909" s="102" t="b">
        <v>0</v>
      </c>
      <c r="G909" s="102" t="b">
        <v>0</v>
      </c>
    </row>
    <row r="910" spans="1:7" ht="15">
      <c r="A910" s="104" t="s">
        <v>3245</v>
      </c>
      <c r="B910" s="102">
        <v>2</v>
      </c>
      <c r="C910" s="106">
        <v>0.0004993919862542396</v>
      </c>
      <c r="D910" s="102" t="s">
        <v>3369</v>
      </c>
      <c r="E910" s="102" t="b">
        <v>0</v>
      </c>
      <c r="F910" s="102" t="b">
        <v>0</v>
      </c>
      <c r="G910" s="102" t="b">
        <v>0</v>
      </c>
    </row>
    <row r="911" spans="1:7" ht="15">
      <c r="A911" s="104" t="s">
        <v>3246</v>
      </c>
      <c r="B911" s="102">
        <v>2</v>
      </c>
      <c r="C911" s="106">
        <v>0.0004993919862542396</v>
      </c>
      <c r="D911" s="102" t="s">
        <v>3369</v>
      </c>
      <c r="E911" s="102" t="b">
        <v>0</v>
      </c>
      <c r="F911" s="102" t="b">
        <v>0</v>
      </c>
      <c r="G911" s="102" t="b">
        <v>0</v>
      </c>
    </row>
    <row r="912" spans="1:7" ht="15">
      <c r="A912" s="104" t="s">
        <v>3247</v>
      </c>
      <c r="B912" s="102">
        <v>2</v>
      </c>
      <c r="C912" s="106">
        <v>0.0005682933356852263</v>
      </c>
      <c r="D912" s="102" t="s">
        <v>3369</v>
      </c>
      <c r="E912" s="102" t="b">
        <v>1</v>
      </c>
      <c r="F912" s="102" t="b">
        <v>0</v>
      </c>
      <c r="G912" s="102" t="b">
        <v>0</v>
      </c>
    </row>
    <row r="913" spans="1:7" ht="15">
      <c r="A913" s="104" t="s">
        <v>3248</v>
      </c>
      <c r="B913" s="102">
        <v>2</v>
      </c>
      <c r="C913" s="106">
        <v>0.0004993919862542396</v>
      </c>
      <c r="D913" s="102" t="s">
        <v>3369</v>
      </c>
      <c r="E913" s="102" t="b">
        <v>0</v>
      </c>
      <c r="F913" s="102" t="b">
        <v>1</v>
      </c>
      <c r="G913" s="102" t="b">
        <v>0</v>
      </c>
    </row>
    <row r="914" spans="1:7" ht="15">
      <c r="A914" s="104" t="s">
        <v>3249</v>
      </c>
      <c r="B914" s="102">
        <v>2</v>
      </c>
      <c r="C914" s="106">
        <v>0.0004993919862542396</v>
      </c>
      <c r="D914" s="102" t="s">
        <v>3369</v>
      </c>
      <c r="E914" s="102" t="b">
        <v>0</v>
      </c>
      <c r="F914" s="102" t="b">
        <v>0</v>
      </c>
      <c r="G914" s="102" t="b">
        <v>0</v>
      </c>
    </row>
    <row r="915" spans="1:7" ht="15">
      <c r="A915" s="104" t="s">
        <v>3250</v>
      </c>
      <c r="B915" s="102">
        <v>2</v>
      </c>
      <c r="C915" s="106">
        <v>0.0004993919862542396</v>
      </c>
      <c r="D915" s="102" t="s">
        <v>3369</v>
      </c>
      <c r="E915" s="102" t="b">
        <v>0</v>
      </c>
      <c r="F915" s="102" t="b">
        <v>0</v>
      </c>
      <c r="G915" s="102" t="b">
        <v>0</v>
      </c>
    </row>
    <row r="916" spans="1:7" ht="15">
      <c r="A916" s="104" t="s">
        <v>3251</v>
      </c>
      <c r="B916" s="102">
        <v>2</v>
      </c>
      <c r="C916" s="106">
        <v>0.0004993919862542396</v>
      </c>
      <c r="D916" s="102" t="s">
        <v>3369</v>
      </c>
      <c r="E916" s="102" t="b">
        <v>0</v>
      </c>
      <c r="F916" s="102" t="b">
        <v>0</v>
      </c>
      <c r="G916" s="102" t="b">
        <v>0</v>
      </c>
    </row>
    <row r="917" spans="1:7" ht="15">
      <c r="A917" s="104" t="s">
        <v>3252</v>
      </c>
      <c r="B917" s="102">
        <v>2</v>
      </c>
      <c r="C917" s="106">
        <v>0.0004993919862542396</v>
      </c>
      <c r="D917" s="102" t="s">
        <v>3369</v>
      </c>
      <c r="E917" s="102" t="b">
        <v>0</v>
      </c>
      <c r="F917" s="102" t="b">
        <v>0</v>
      </c>
      <c r="G917" s="102" t="b">
        <v>0</v>
      </c>
    </row>
    <row r="918" spans="1:7" ht="15">
      <c r="A918" s="104" t="s">
        <v>3253</v>
      </c>
      <c r="B918" s="102">
        <v>2</v>
      </c>
      <c r="C918" s="106">
        <v>0.0004993919862542396</v>
      </c>
      <c r="D918" s="102" t="s">
        <v>3369</v>
      </c>
      <c r="E918" s="102" t="b">
        <v>0</v>
      </c>
      <c r="F918" s="102" t="b">
        <v>0</v>
      </c>
      <c r="G918" s="102" t="b">
        <v>0</v>
      </c>
    </row>
    <row r="919" spans="1:7" ht="15">
      <c r="A919" s="104" t="s">
        <v>3254</v>
      </c>
      <c r="B919" s="102">
        <v>2</v>
      </c>
      <c r="C919" s="106">
        <v>0.0004993919862542396</v>
      </c>
      <c r="D919" s="102" t="s">
        <v>3369</v>
      </c>
      <c r="E919" s="102" t="b">
        <v>0</v>
      </c>
      <c r="F919" s="102" t="b">
        <v>0</v>
      </c>
      <c r="G919" s="102" t="b">
        <v>0</v>
      </c>
    </row>
    <row r="920" spans="1:7" ht="15">
      <c r="A920" s="104" t="s">
        <v>3255</v>
      </c>
      <c r="B920" s="102">
        <v>2</v>
      </c>
      <c r="C920" s="106">
        <v>0.0004993919862542396</v>
      </c>
      <c r="D920" s="102" t="s">
        <v>3369</v>
      </c>
      <c r="E920" s="102" t="b">
        <v>0</v>
      </c>
      <c r="F920" s="102" t="b">
        <v>0</v>
      </c>
      <c r="G920" s="102" t="b">
        <v>0</v>
      </c>
    </row>
    <row r="921" spans="1:7" ht="15">
      <c r="A921" s="104" t="s">
        <v>3256</v>
      </c>
      <c r="B921" s="102">
        <v>2</v>
      </c>
      <c r="C921" s="106">
        <v>0.0004993919862542396</v>
      </c>
      <c r="D921" s="102" t="s">
        <v>3369</v>
      </c>
      <c r="E921" s="102" t="b">
        <v>0</v>
      </c>
      <c r="F921" s="102" t="b">
        <v>0</v>
      </c>
      <c r="G921" s="102" t="b">
        <v>0</v>
      </c>
    </row>
    <row r="922" spans="1:7" ht="15">
      <c r="A922" s="104" t="s">
        <v>3257</v>
      </c>
      <c r="B922" s="102">
        <v>2</v>
      </c>
      <c r="C922" s="106">
        <v>0.0004993919862542396</v>
      </c>
      <c r="D922" s="102" t="s">
        <v>3369</v>
      </c>
      <c r="E922" s="102" t="b">
        <v>0</v>
      </c>
      <c r="F922" s="102" t="b">
        <v>0</v>
      </c>
      <c r="G922" s="102" t="b">
        <v>0</v>
      </c>
    </row>
    <row r="923" spans="1:7" ht="15">
      <c r="A923" s="104" t="s">
        <v>3258</v>
      </c>
      <c r="B923" s="102">
        <v>2</v>
      </c>
      <c r="C923" s="106">
        <v>0.0004993919862542396</v>
      </c>
      <c r="D923" s="102" t="s">
        <v>3369</v>
      </c>
      <c r="E923" s="102" t="b">
        <v>0</v>
      </c>
      <c r="F923" s="102" t="b">
        <v>0</v>
      </c>
      <c r="G923" s="102" t="b">
        <v>0</v>
      </c>
    </row>
    <row r="924" spans="1:7" ht="15">
      <c r="A924" s="104" t="s">
        <v>3259</v>
      </c>
      <c r="B924" s="102">
        <v>2</v>
      </c>
      <c r="C924" s="106">
        <v>0.0004993919862542396</v>
      </c>
      <c r="D924" s="102" t="s">
        <v>3369</v>
      </c>
      <c r="E924" s="102" t="b">
        <v>0</v>
      </c>
      <c r="F924" s="102" t="b">
        <v>0</v>
      </c>
      <c r="G924" s="102" t="b">
        <v>0</v>
      </c>
    </row>
    <row r="925" spans="1:7" ht="15">
      <c r="A925" s="104" t="s">
        <v>3260</v>
      </c>
      <c r="B925" s="102">
        <v>2</v>
      </c>
      <c r="C925" s="106">
        <v>0.0004993919862542396</v>
      </c>
      <c r="D925" s="102" t="s">
        <v>3369</v>
      </c>
      <c r="E925" s="102" t="b">
        <v>0</v>
      </c>
      <c r="F925" s="102" t="b">
        <v>0</v>
      </c>
      <c r="G925" s="102" t="b">
        <v>0</v>
      </c>
    </row>
    <row r="926" spans="1:7" ht="15">
      <c r="A926" s="104" t="s">
        <v>3261</v>
      </c>
      <c r="B926" s="102">
        <v>2</v>
      </c>
      <c r="C926" s="106">
        <v>0.0004993919862542396</v>
      </c>
      <c r="D926" s="102" t="s">
        <v>3369</v>
      </c>
      <c r="E926" s="102" t="b">
        <v>0</v>
      </c>
      <c r="F926" s="102" t="b">
        <v>1</v>
      </c>
      <c r="G926" s="102" t="b">
        <v>0</v>
      </c>
    </row>
    <row r="927" spans="1:7" ht="15">
      <c r="A927" s="104" t="s">
        <v>3262</v>
      </c>
      <c r="B927" s="102">
        <v>2</v>
      </c>
      <c r="C927" s="106">
        <v>0.0004993919862542396</v>
      </c>
      <c r="D927" s="102" t="s">
        <v>3369</v>
      </c>
      <c r="E927" s="102" t="b">
        <v>0</v>
      </c>
      <c r="F927" s="102" t="b">
        <v>0</v>
      </c>
      <c r="G927" s="102" t="b">
        <v>0</v>
      </c>
    </row>
    <row r="928" spans="1:7" ht="15">
      <c r="A928" s="104" t="s">
        <v>3263</v>
      </c>
      <c r="B928" s="102">
        <v>2</v>
      </c>
      <c r="C928" s="106">
        <v>0.0004993919862542396</v>
      </c>
      <c r="D928" s="102" t="s">
        <v>3369</v>
      </c>
      <c r="E928" s="102" t="b">
        <v>0</v>
      </c>
      <c r="F928" s="102" t="b">
        <v>0</v>
      </c>
      <c r="G928" s="102" t="b">
        <v>0</v>
      </c>
    </row>
    <row r="929" spans="1:7" ht="15">
      <c r="A929" s="104" t="s">
        <v>3264</v>
      </c>
      <c r="B929" s="102">
        <v>2</v>
      </c>
      <c r="C929" s="106">
        <v>0.0004993919862542396</v>
      </c>
      <c r="D929" s="102" t="s">
        <v>3369</v>
      </c>
      <c r="E929" s="102" t="b">
        <v>0</v>
      </c>
      <c r="F929" s="102" t="b">
        <v>0</v>
      </c>
      <c r="G929" s="102" t="b">
        <v>0</v>
      </c>
    </row>
    <row r="930" spans="1:7" ht="15">
      <c r="A930" s="104" t="s">
        <v>3265</v>
      </c>
      <c r="B930" s="102">
        <v>2</v>
      </c>
      <c r="C930" s="106">
        <v>0.0004993919862542396</v>
      </c>
      <c r="D930" s="102" t="s">
        <v>3369</v>
      </c>
      <c r="E930" s="102" t="b">
        <v>0</v>
      </c>
      <c r="F930" s="102" t="b">
        <v>0</v>
      </c>
      <c r="G930" s="102" t="b">
        <v>0</v>
      </c>
    </row>
    <row r="931" spans="1:7" ht="15">
      <c r="A931" s="104" t="s">
        <v>3266</v>
      </c>
      <c r="B931" s="102">
        <v>2</v>
      </c>
      <c r="C931" s="106">
        <v>0.0004993919862542396</v>
      </c>
      <c r="D931" s="102" t="s">
        <v>3369</v>
      </c>
      <c r="E931" s="102" t="b">
        <v>0</v>
      </c>
      <c r="F931" s="102" t="b">
        <v>0</v>
      </c>
      <c r="G931" s="102" t="b">
        <v>0</v>
      </c>
    </row>
    <row r="932" spans="1:7" ht="15">
      <c r="A932" s="104" t="s">
        <v>3267</v>
      </c>
      <c r="B932" s="102">
        <v>2</v>
      </c>
      <c r="C932" s="106">
        <v>0.0004993919862542396</v>
      </c>
      <c r="D932" s="102" t="s">
        <v>3369</v>
      </c>
      <c r="E932" s="102" t="b">
        <v>0</v>
      </c>
      <c r="F932" s="102" t="b">
        <v>0</v>
      </c>
      <c r="G932" s="102" t="b">
        <v>0</v>
      </c>
    </row>
    <row r="933" spans="1:7" ht="15">
      <c r="A933" s="104" t="s">
        <v>3268</v>
      </c>
      <c r="B933" s="102">
        <v>2</v>
      </c>
      <c r="C933" s="106">
        <v>0.0005682933356852263</v>
      </c>
      <c r="D933" s="102" t="s">
        <v>3369</v>
      </c>
      <c r="E933" s="102" t="b">
        <v>0</v>
      </c>
      <c r="F933" s="102" t="b">
        <v>0</v>
      </c>
      <c r="G933" s="102" t="b">
        <v>0</v>
      </c>
    </row>
    <row r="934" spans="1:7" ht="15">
      <c r="A934" s="104" t="s">
        <v>3269</v>
      </c>
      <c r="B934" s="102">
        <v>2</v>
      </c>
      <c r="C934" s="106">
        <v>0.0005682933356852263</v>
      </c>
      <c r="D934" s="102" t="s">
        <v>3369</v>
      </c>
      <c r="E934" s="102" t="b">
        <v>0</v>
      </c>
      <c r="F934" s="102" t="b">
        <v>0</v>
      </c>
      <c r="G934" s="102" t="b">
        <v>0</v>
      </c>
    </row>
    <row r="935" spans="1:7" ht="15">
      <c r="A935" s="104" t="s">
        <v>3270</v>
      </c>
      <c r="B935" s="102">
        <v>2</v>
      </c>
      <c r="C935" s="106">
        <v>0.0004993919862542396</v>
      </c>
      <c r="D935" s="102" t="s">
        <v>3369</v>
      </c>
      <c r="E935" s="102" t="b">
        <v>0</v>
      </c>
      <c r="F935" s="102" t="b">
        <v>0</v>
      </c>
      <c r="G935" s="102" t="b">
        <v>0</v>
      </c>
    </row>
    <row r="936" spans="1:7" ht="15">
      <c r="A936" s="104" t="s">
        <v>3271</v>
      </c>
      <c r="B936" s="102">
        <v>2</v>
      </c>
      <c r="C936" s="106">
        <v>0.0004993919862542396</v>
      </c>
      <c r="D936" s="102" t="s">
        <v>3369</v>
      </c>
      <c r="E936" s="102" t="b">
        <v>0</v>
      </c>
      <c r="F936" s="102" t="b">
        <v>0</v>
      </c>
      <c r="G936" s="102" t="b">
        <v>0</v>
      </c>
    </row>
    <row r="937" spans="1:7" ht="15">
      <c r="A937" s="104" t="s">
        <v>3272</v>
      </c>
      <c r="B937" s="102">
        <v>2</v>
      </c>
      <c r="C937" s="106">
        <v>0.0005682933356852263</v>
      </c>
      <c r="D937" s="102" t="s">
        <v>3369</v>
      </c>
      <c r="E937" s="102" t="b">
        <v>0</v>
      </c>
      <c r="F937" s="102" t="b">
        <v>0</v>
      </c>
      <c r="G937" s="102" t="b">
        <v>0</v>
      </c>
    </row>
    <row r="938" spans="1:7" ht="15">
      <c r="A938" s="104" t="s">
        <v>3273</v>
      </c>
      <c r="B938" s="102">
        <v>2</v>
      </c>
      <c r="C938" s="106">
        <v>0.0005682933356852263</v>
      </c>
      <c r="D938" s="102" t="s">
        <v>3369</v>
      </c>
      <c r="E938" s="102" t="b">
        <v>0</v>
      </c>
      <c r="F938" s="102" t="b">
        <v>0</v>
      </c>
      <c r="G938" s="102" t="b">
        <v>0</v>
      </c>
    </row>
    <row r="939" spans="1:7" ht="15">
      <c r="A939" s="104" t="s">
        <v>3274</v>
      </c>
      <c r="B939" s="102">
        <v>2</v>
      </c>
      <c r="C939" s="106">
        <v>0.0005682933356852263</v>
      </c>
      <c r="D939" s="102" t="s">
        <v>3369</v>
      </c>
      <c r="E939" s="102" t="b">
        <v>0</v>
      </c>
      <c r="F939" s="102" t="b">
        <v>0</v>
      </c>
      <c r="G939" s="102" t="b">
        <v>0</v>
      </c>
    </row>
    <row r="940" spans="1:7" ht="15">
      <c r="A940" s="104" t="s">
        <v>3275</v>
      </c>
      <c r="B940" s="102">
        <v>2</v>
      </c>
      <c r="C940" s="106">
        <v>0.0005682933356852263</v>
      </c>
      <c r="D940" s="102" t="s">
        <v>3369</v>
      </c>
      <c r="E940" s="102" t="b">
        <v>0</v>
      </c>
      <c r="F940" s="102" t="b">
        <v>0</v>
      </c>
      <c r="G940" s="102" t="b">
        <v>0</v>
      </c>
    </row>
    <row r="941" spans="1:7" ht="15">
      <c r="A941" s="104" t="s">
        <v>3276</v>
      </c>
      <c r="B941" s="102">
        <v>2</v>
      </c>
      <c r="C941" s="106">
        <v>0.0005682933356852263</v>
      </c>
      <c r="D941" s="102" t="s">
        <v>3369</v>
      </c>
      <c r="E941" s="102" t="b">
        <v>0</v>
      </c>
      <c r="F941" s="102" t="b">
        <v>0</v>
      </c>
      <c r="G941" s="102" t="b">
        <v>0</v>
      </c>
    </row>
    <row r="942" spans="1:7" ht="15">
      <c r="A942" s="104" t="s">
        <v>3277</v>
      </c>
      <c r="B942" s="102">
        <v>2</v>
      </c>
      <c r="C942" s="106">
        <v>0.0005682933356852263</v>
      </c>
      <c r="D942" s="102" t="s">
        <v>3369</v>
      </c>
      <c r="E942" s="102" t="b">
        <v>0</v>
      </c>
      <c r="F942" s="102" t="b">
        <v>1</v>
      </c>
      <c r="G942" s="102" t="b">
        <v>0</v>
      </c>
    </row>
    <row r="943" spans="1:7" ht="15">
      <c r="A943" s="104" t="s">
        <v>3278</v>
      </c>
      <c r="B943" s="102">
        <v>2</v>
      </c>
      <c r="C943" s="106">
        <v>0.0004993919862542396</v>
      </c>
      <c r="D943" s="102" t="s">
        <v>3369</v>
      </c>
      <c r="E943" s="102" t="b">
        <v>0</v>
      </c>
      <c r="F943" s="102" t="b">
        <v>0</v>
      </c>
      <c r="G943" s="102" t="b">
        <v>0</v>
      </c>
    </row>
    <row r="944" spans="1:7" ht="15">
      <c r="A944" s="104" t="s">
        <v>3279</v>
      </c>
      <c r="B944" s="102">
        <v>2</v>
      </c>
      <c r="C944" s="106">
        <v>0.0005682933356852263</v>
      </c>
      <c r="D944" s="102" t="s">
        <v>3369</v>
      </c>
      <c r="E944" s="102" t="b">
        <v>0</v>
      </c>
      <c r="F944" s="102" t="b">
        <v>0</v>
      </c>
      <c r="G944" s="102" t="b">
        <v>0</v>
      </c>
    </row>
    <row r="945" spans="1:7" ht="15">
      <c r="A945" s="104" t="s">
        <v>3280</v>
      </c>
      <c r="B945" s="102">
        <v>2</v>
      </c>
      <c r="C945" s="106">
        <v>0.0005682933356852263</v>
      </c>
      <c r="D945" s="102" t="s">
        <v>3369</v>
      </c>
      <c r="E945" s="102" t="b">
        <v>0</v>
      </c>
      <c r="F945" s="102" t="b">
        <v>0</v>
      </c>
      <c r="G945" s="102" t="b">
        <v>0</v>
      </c>
    </row>
    <row r="946" spans="1:7" ht="15">
      <c r="A946" s="104" t="s">
        <v>3281</v>
      </c>
      <c r="B946" s="102">
        <v>2</v>
      </c>
      <c r="C946" s="106">
        <v>0.0005682933356852263</v>
      </c>
      <c r="D946" s="102" t="s">
        <v>3369</v>
      </c>
      <c r="E946" s="102" t="b">
        <v>0</v>
      </c>
      <c r="F946" s="102" t="b">
        <v>0</v>
      </c>
      <c r="G946" s="102" t="b">
        <v>0</v>
      </c>
    </row>
    <row r="947" spans="1:7" ht="15">
      <c r="A947" s="104" t="s">
        <v>3282</v>
      </c>
      <c r="B947" s="102">
        <v>2</v>
      </c>
      <c r="C947" s="106">
        <v>0.0004993919862542396</v>
      </c>
      <c r="D947" s="102" t="s">
        <v>3369</v>
      </c>
      <c r="E947" s="102" t="b">
        <v>0</v>
      </c>
      <c r="F947" s="102" t="b">
        <v>0</v>
      </c>
      <c r="G947" s="102" t="b">
        <v>0</v>
      </c>
    </row>
    <row r="948" spans="1:7" ht="15">
      <c r="A948" s="104" t="s">
        <v>3283</v>
      </c>
      <c r="B948" s="102">
        <v>2</v>
      </c>
      <c r="C948" s="106">
        <v>0.0005682933356852263</v>
      </c>
      <c r="D948" s="102" t="s">
        <v>3369</v>
      </c>
      <c r="E948" s="102" t="b">
        <v>0</v>
      </c>
      <c r="F948" s="102" t="b">
        <v>0</v>
      </c>
      <c r="G948" s="102" t="b">
        <v>0</v>
      </c>
    </row>
    <row r="949" spans="1:7" ht="15">
      <c r="A949" s="104" t="s">
        <v>3284</v>
      </c>
      <c r="B949" s="102">
        <v>2</v>
      </c>
      <c r="C949" s="106">
        <v>0.0005682933356852263</v>
      </c>
      <c r="D949" s="102" t="s">
        <v>3369</v>
      </c>
      <c r="E949" s="102" t="b">
        <v>0</v>
      </c>
      <c r="F949" s="102" t="b">
        <v>0</v>
      </c>
      <c r="G949" s="102" t="b">
        <v>0</v>
      </c>
    </row>
    <row r="950" spans="1:7" ht="15">
      <c r="A950" s="104" t="s">
        <v>3285</v>
      </c>
      <c r="B950" s="102">
        <v>2</v>
      </c>
      <c r="C950" s="106">
        <v>0.0005682933356852263</v>
      </c>
      <c r="D950" s="102" t="s">
        <v>3369</v>
      </c>
      <c r="E950" s="102" t="b">
        <v>0</v>
      </c>
      <c r="F950" s="102" t="b">
        <v>1</v>
      </c>
      <c r="G950" s="102" t="b">
        <v>0</v>
      </c>
    </row>
    <row r="951" spans="1:7" ht="15">
      <c r="A951" s="104" t="s">
        <v>3286</v>
      </c>
      <c r="B951" s="102">
        <v>2</v>
      </c>
      <c r="C951" s="106">
        <v>0.0005682933356852263</v>
      </c>
      <c r="D951" s="102" t="s">
        <v>3369</v>
      </c>
      <c r="E951" s="102" t="b">
        <v>0</v>
      </c>
      <c r="F951" s="102" t="b">
        <v>0</v>
      </c>
      <c r="G951" s="102" t="b">
        <v>0</v>
      </c>
    </row>
    <row r="952" spans="1:7" ht="15">
      <c r="A952" s="104" t="s">
        <v>3287</v>
      </c>
      <c r="B952" s="102">
        <v>2</v>
      </c>
      <c r="C952" s="106">
        <v>0.0004993919862542396</v>
      </c>
      <c r="D952" s="102" t="s">
        <v>3369</v>
      </c>
      <c r="E952" s="102" t="b">
        <v>0</v>
      </c>
      <c r="F952" s="102" t="b">
        <v>0</v>
      </c>
      <c r="G952" s="102" t="b">
        <v>0</v>
      </c>
    </row>
    <row r="953" spans="1:7" ht="15">
      <c r="A953" s="104" t="s">
        <v>3288</v>
      </c>
      <c r="B953" s="102">
        <v>2</v>
      </c>
      <c r="C953" s="106">
        <v>0.0005682933356852263</v>
      </c>
      <c r="D953" s="102" t="s">
        <v>3369</v>
      </c>
      <c r="E953" s="102" t="b">
        <v>0</v>
      </c>
      <c r="F953" s="102" t="b">
        <v>0</v>
      </c>
      <c r="G953" s="102" t="b">
        <v>0</v>
      </c>
    </row>
    <row r="954" spans="1:7" ht="15">
      <c r="A954" s="104" t="s">
        <v>3289</v>
      </c>
      <c r="B954" s="102">
        <v>2</v>
      </c>
      <c r="C954" s="106">
        <v>0.0004993919862542396</v>
      </c>
      <c r="D954" s="102" t="s">
        <v>3369</v>
      </c>
      <c r="E954" s="102" t="b">
        <v>0</v>
      </c>
      <c r="F954" s="102" t="b">
        <v>0</v>
      </c>
      <c r="G954" s="102" t="b">
        <v>0</v>
      </c>
    </row>
    <row r="955" spans="1:7" ht="15">
      <c r="A955" s="104" t="s">
        <v>3290</v>
      </c>
      <c r="B955" s="102">
        <v>2</v>
      </c>
      <c r="C955" s="106">
        <v>0.0005682933356852263</v>
      </c>
      <c r="D955" s="102" t="s">
        <v>3369</v>
      </c>
      <c r="E955" s="102" t="b">
        <v>0</v>
      </c>
      <c r="F955" s="102" t="b">
        <v>0</v>
      </c>
      <c r="G955" s="102" t="b">
        <v>0</v>
      </c>
    </row>
    <row r="956" spans="1:7" ht="15">
      <c r="A956" s="104" t="s">
        <v>3291</v>
      </c>
      <c r="B956" s="102">
        <v>2</v>
      </c>
      <c r="C956" s="106">
        <v>0.0005682933356852263</v>
      </c>
      <c r="D956" s="102" t="s">
        <v>3369</v>
      </c>
      <c r="E956" s="102" t="b">
        <v>0</v>
      </c>
      <c r="F956" s="102" t="b">
        <v>0</v>
      </c>
      <c r="G956" s="102" t="b">
        <v>0</v>
      </c>
    </row>
    <row r="957" spans="1:7" ht="15">
      <c r="A957" s="104" t="s">
        <v>3292</v>
      </c>
      <c r="B957" s="102">
        <v>2</v>
      </c>
      <c r="C957" s="106">
        <v>0.0004993919862542396</v>
      </c>
      <c r="D957" s="102" t="s">
        <v>3369</v>
      </c>
      <c r="E957" s="102" t="b">
        <v>0</v>
      </c>
      <c r="F957" s="102" t="b">
        <v>0</v>
      </c>
      <c r="G957" s="102" t="b">
        <v>0</v>
      </c>
    </row>
    <row r="958" spans="1:7" ht="15">
      <c r="A958" s="104" t="s">
        <v>3293</v>
      </c>
      <c r="B958" s="102">
        <v>2</v>
      </c>
      <c r="C958" s="106">
        <v>0.0004993919862542396</v>
      </c>
      <c r="D958" s="102" t="s">
        <v>3369</v>
      </c>
      <c r="E958" s="102" t="b">
        <v>0</v>
      </c>
      <c r="F958" s="102" t="b">
        <v>0</v>
      </c>
      <c r="G958" s="102" t="b">
        <v>0</v>
      </c>
    </row>
    <row r="959" spans="1:7" ht="15">
      <c r="A959" s="104" t="s">
        <v>3294</v>
      </c>
      <c r="B959" s="102">
        <v>2</v>
      </c>
      <c r="C959" s="106">
        <v>0.0005682933356852263</v>
      </c>
      <c r="D959" s="102" t="s">
        <v>3369</v>
      </c>
      <c r="E959" s="102" t="b">
        <v>0</v>
      </c>
      <c r="F959" s="102" t="b">
        <v>0</v>
      </c>
      <c r="G959" s="102" t="b">
        <v>0</v>
      </c>
    </row>
    <row r="960" spans="1:7" ht="15">
      <c r="A960" s="104" t="s">
        <v>3295</v>
      </c>
      <c r="B960" s="102">
        <v>2</v>
      </c>
      <c r="C960" s="106">
        <v>0.0004993919862542396</v>
      </c>
      <c r="D960" s="102" t="s">
        <v>3369</v>
      </c>
      <c r="E960" s="102" t="b">
        <v>0</v>
      </c>
      <c r="F960" s="102" t="b">
        <v>0</v>
      </c>
      <c r="G960" s="102" t="b">
        <v>0</v>
      </c>
    </row>
    <row r="961" spans="1:7" ht="15">
      <c r="A961" s="104" t="s">
        <v>3296</v>
      </c>
      <c r="B961" s="102">
        <v>2</v>
      </c>
      <c r="C961" s="106">
        <v>0.0005682933356852263</v>
      </c>
      <c r="D961" s="102" t="s">
        <v>3369</v>
      </c>
      <c r="E961" s="102" t="b">
        <v>0</v>
      </c>
      <c r="F961" s="102" t="b">
        <v>0</v>
      </c>
      <c r="G961" s="102" t="b">
        <v>0</v>
      </c>
    </row>
    <row r="962" spans="1:7" ht="15">
      <c r="A962" s="104" t="s">
        <v>3297</v>
      </c>
      <c r="B962" s="102">
        <v>2</v>
      </c>
      <c r="C962" s="106">
        <v>0.0004993919862542396</v>
      </c>
      <c r="D962" s="102" t="s">
        <v>3369</v>
      </c>
      <c r="E962" s="102" t="b">
        <v>0</v>
      </c>
      <c r="F962" s="102" t="b">
        <v>0</v>
      </c>
      <c r="G962" s="102" t="b">
        <v>0</v>
      </c>
    </row>
    <row r="963" spans="1:7" ht="15">
      <c r="A963" s="104" t="s">
        <v>3298</v>
      </c>
      <c r="B963" s="102">
        <v>2</v>
      </c>
      <c r="C963" s="106">
        <v>0.0004993919862542396</v>
      </c>
      <c r="D963" s="102" t="s">
        <v>3369</v>
      </c>
      <c r="E963" s="102" t="b">
        <v>0</v>
      </c>
      <c r="F963" s="102" t="b">
        <v>0</v>
      </c>
      <c r="G963" s="102" t="b">
        <v>0</v>
      </c>
    </row>
    <row r="964" spans="1:7" ht="15">
      <c r="A964" s="104" t="s">
        <v>3299</v>
      </c>
      <c r="B964" s="102">
        <v>2</v>
      </c>
      <c r="C964" s="106">
        <v>0.0005682933356852263</v>
      </c>
      <c r="D964" s="102" t="s">
        <v>3369</v>
      </c>
      <c r="E964" s="102" t="b">
        <v>0</v>
      </c>
      <c r="F964" s="102" t="b">
        <v>0</v>
      </c>
      <c r="G964" s="102" t="b">
        <v>0</v>
      </c>
    </row>
    <row r="965" spans="1:7" ht="15">
      <c r="A965" s="104" t="s">
        <v>3300</v>
      </c>
      <c r="B965" s="102">
        <v>2</v>
      </c>
      <c r="C965" s="106">
        <v>0.0005682933356852263</v>
      </c>
      <c r="D965" s="102" t="s">
        <v>3369</v>
      </c>
      <c r="E965" s="102" t="b">
        <v>0</v>
      </c>
      <c r="F965" s="102" t="b">
        <v>0</v>
      </c>
      <c r="G965" s="102" t="b">
        <v>0</v>
      </c>
    </row>
    <row r="966" spans="1:7" ht="15">
      <c r="A966" s="104" t="s">
        <v>3301</v>
      </c>
      <c r="B966" s="102">
        <v>2</v>
      </c>
      <c r="C966" s="106">
        <v>0.0005682933356852263</v>
      </c>
      <c r="D966" s="102" t="s">
        <v>3369</v>
      </c>
      <c r="E966" s="102" t="b">
        <v>0</v>
      </c>
      <c r="F966" s="102" t="b">
        <v>0</v>
      </c>
      <c r="G966" s="102" t="b">
        <v>0</v>
      </c>
    </row>
    <row r="967" spans="1:7" ht="15">
      <c r="A967" s="104" t="s">
        <v>3302</v>
      </c>
      <c r="B967" s="102">
        <v>2</v>
      </c>
      <c r="C967" s="106">
        <v>0.0005682933356852263</v>
      </c>
      <c r="D967" s="102" t="s">
        <v>3369</v>
      </c>
      <c r="E967" s="102" t="b">
        <v>0</v>
      </c>
      <c r="F967" s="102" t="b">
        <v>0</v>
      </c>
      <c r="G967" s="102" t="b">
        <v>0</v>
      </c>
    </row>
    <row r="968" spans="1:7" ht="15">
      <c r="A968" s="104" t="s">
        <v>3303</v>
      </c>
      <c r="B968" s="102">
        <v>2</v>
      </c>
      <c r="C968" s="106">
        <v>0.0005682933356852263</v>
      </c>
      <c r="D968" s="102" t="s">
        <v>3369</v>
      </c>
      <c r="E968" s="102" t="b">
        <v>0</v>
      </c>
      <c r="F968" s="102" t="b">
        <v>0</v>
      </c>
      <c r="G968" s="102" t="b">
        <v>0</v>
      </c>
    </row>
    <row r="969" spans="1:7" ht="15">
      <c r="A969" s="104" t="s">
        <v>3304</v>
      </c>
      <c r="B969" s="102">
        <v>2</v>
      </c>
      <c r="C969" s="106">
        <v>0.0005682933356852263</v>
      </c>
      <c r="D969" s="102" t="s">
        <v>3369</v>
      </c>
      <c r="E969" s="102" t="b">
        <v>0</v>
      </c>
      <c r="F969" s="102" t="b">
        <v>0</v>
      </c>
      <c r="G969" s="102" t="b">
        <v>0</v>
      </c>
    </row>
    <row r="970" spans="1:7" ht="15">
      <c r="A970" s="104" t="s">
        <v>3305</v>
      </c>
      <c r="B970" s="102">
        <v>2</v>
      </c>
      <c r="C970" s="106">
        <v>0.0005682933356852263</v>
      </c>
      <c r="D970" s="102" t="s">
        <v>3369</v>
      </c>
      <c r="E970" s="102" t="b">
        <v>0</v>
      </c>
      <c r="F970" s="102" t="b">
        <v>0</v>
      </c>
      <c r="G970" s="102" t="b">
        <v>0</v>
      </c>
    </row>
    <row r="971" spans="1:7" ht="15">
      <c r="A971" s="104" t="s">
        <v>3306</v>
      </c>
      <c r="B971" s="102">
        <v>2</v>
      </c>
      <c r="C971" s="106">
        <v>0.0005682933356852263</v>
      </c>
      <c r="D971" s="102" t="s">
        <v>3369</v>
      </c>
      <c r="E971" s="102" t="b">
        <v>0</v>
      </c>
      <c r="F971" s="102" t="b">
        <v>0</v>
      </c>
      <c r="G971" s="102" t="b">
        <v>0</v>
      </c>
    </row>
    <row r="972" spans="1:7" ht="15">
      <c r="A972" s="104" t="s">
        <v>3307</v>
      </c>
      <c r="B972" s="102">
        <v>2</v>
      </c>
      <c r="C972" s="106">
        <v>0.0005682933356852263</v>
      </c>
      <c r="D972" s="102" t="s">
        <v>3369</v>
      </c>
      <c r="E972" s="102" t="b">
        <v>0</v>
      </c>
      <c r="F972" s="102" t="b">
        <v>0</v>
      </c>
      <c r="G972" s="102" t="b">
        <v>0</v>
      </c>
    </row>
    <row r="973" spans="1:7" ht="15">
      <c r="A973" s="104" t="s">
        <v>3308</v>
      </c>
      <c r="B973" s="102">
        <v>2</v>
      </c>
      <c r="C973" s="106">
        <v>0.0005682933356852263</v>
      </c>
      <c r="D973" s="102" t="s">
        <v>3369</v>
      </c>
      <c r="E973" s="102" t="b">
        <v>0</v>
      </c>
      <c r="F973" s="102" t="b">
        <v>0</v>
      </c>
      <c r="G973" s="102" t="b">
        <v>0</v>
      </c>
    </row>
    <row r="974" spans="1:7" ht="15">
      <c r="A974" s="104" t="s">
        <v>3309</v>
      </c>
      <c r="B974" s="102">
        <v>2</v>
      </c>
      <c r="C974" s="106">
        <v>0.0004993919862542396</v>
      </c>
      <c r="D974" s="102" t="s">
        <v>3369</v>
      </c>
      <c r="E974" s="102" t="b">
        <v>0</v>
      </c>
      <c r="F974" s="102" t="b">
        <v>0</v>
      </c>
      <c r="G974" s="102" t="b">
        <v>0</v>
      </c>
    </row>
    <row r="975" spans="1:7" ht="15">
      <c r="A975" s="104" t="s">
        <v>3310</v>
      </c>
      <c r="B975" s="102">
        <v>2</v>
      </c>
      <c r="C975" s="106">
        <v>0.0004993919862542396</v>
      </c>
      <c r="D975" s="102" t="s">
        <v>3369</v>
      </c>
      <c r="E975" s="102" t="b">
        <v>0</v>
      </c>
      <c r="F975" s="102" t="b">
        <v>0</v>
      </c>
      <c r="G975" s="102" t="b">
        <v>0</v>
      </c>
    </row>
    <row r="976" spans="1:7" ht="15">
      <c r="A976" s="104" t="s">
        <v>3311</v>
      </c>
      <c r="B976" s="102">
        <v>2</v>
      </c>
      <c r="C976" s="106">
        <v>0.0005682933356852263</v>
      </c>
      <c r="D976" s="102" t="s">
        <v>3369</v>
      </c>
      <c r="E976" s="102" t="b">
        <v>0</v>
      </c>
      <c r="F976" s="102" t="b">
        <v>0</v>
      </c>
      <c r="G976" s="102" t="b">
        <v>0</v>
      </c>
    </row>
    <row r="977" spans="1:7" ht="15">
      <c r="A977" s="104" t="s">
        <v>3312</v>
      </c>
      <c r="B977" s="102">
        <v>2</v>
      </c>
      <c r="C977" s="106">
        <v>0.0004993919862542396</v>
      </c>
      <c r="D977" s="102" t="s">
        <v>3369</v>
      </c>
      <c r="E977" s="102" t="b">
        <v>0</v>
      </c>
      <c r="F977" s="102" t="b">
        <v>0</v>
      </c>
      <c r="G977" s="102" t="b">
        <v>0</v>
      </c>
    </row>
    <row r="978" spans="1:7" ht="15">
      <c r="A978" s="104" t="s">
        <v>3313</v>
      </c>
      <c r="B978" s="102">
        <v>2</v>
      </c>
      <c r="C978" s="106">
        <v>0.0004993919862542396</v>
      </c>
      <c r="D978" s="102" t="s">
        <v>3369</v>
      </c>
      <c r="E978" s="102" t="b">
        <v>0</v>
      </c>
      <c r="F978" s="102" t="b">
        <v>0</v>
      </c>
      <c r="G978" s="102" t="b">
        <v>0</v>
      </c>
    </row>
    <row r="979" spans="1:7" ht="15">
      <c r="A979" s="104" t="s">
        <v>3314</v>
      </c>
      <c r="B979" s="102">
        <v>2</v>
      </c>
      <c r="C979" s="106">
        <v>0.0004993919862542396</v>
      </c>
      <c r="D979" s="102" t="s">
        <v>3369</v>
      </c>
      <c r="E979" s="102" t="b">
        <v>0</v>
      </c>
      <c r="F979" s="102" t="b">
        <v>0</v>
      </c>
      <c r="G979" s="102" t="b">
        <v>0</v>
      </c>
    </row>
    <row r="980" spans="1:7" ht="15">
      <c r="A980" s="104" t="s">
        <v>3315</v>
      </c>
      <c r="B980" s="102">
        <v>2</v>
      </c>
      <c r="C980" s="106">
        <v>0.0004993919862542396</v>
      </c>
      <c r="D980" s="102" t="s">
        <v>3369</v>
      </c>
      <c r="E980" s="102" t="b">
        <v>0</v>
      </c>
      <c r="F980" s="102" t="b">
        <v>0</v>
      </c>
      <c r="G980" s="102" t="b">
        <v>0</v>
      </c>
    </row>
    <row r="981" spans="1:7" ht="15">
      <c r="A981" s="104" t="s">
        <v>3316</v>
      </c>
      <c r="B981" s="102">
        <v>2</v>
      </c>
      <c r="C981" s="106">
        <v>0.0004993919862542396</v>
      </c>
      <c r="D981" s="102" t="s">
        <v>3369</v>
      </c>
      <c r="E981" s="102" t="b">
        <v>0</v>
      </c>
      <c r="F981" s="102" t="b">
        <v>0</v>
      </c>
      <c r="G981" s="102" t="b">
        <v>0</v>
      </c>
    </row>
    <row r="982" spans="1:7" ht="15">
      <c r="A982" s="104" t="s">
        <v>3317</v>
      </c>
      <c r="B982" s="102">
        <v>2</v>
      </c>
      <c r="C982" s="106">
        <v>0.0005682933356852263</v>
      </c>
      <c r="D982" s="102" t="s">
        <v>3369</v>
      </c>
      <c r="E982" s="102" t="b">
        <v>0</v>
      </c>
      <c r="F982" s="102" t="b">
        <v>0</v>
      </c>
      <c r="G982" s="102" t="b">
        <v>0</v>
      </c>
    </row>
    <row r="983" spans="1:7" ht="15">
      <c r="A983" s="104" t="s">
        <v>3318</v>
      </c>
      <c r="B983" s="102">
        <v>2</v>
      </c>
      <c r="C983" s="106">
        <v>0.0004993919862542396</v>
      </c>
      <c r="D983" s="102" t="s">
        <v>3369</v>
      </c>
      <c r="E983" s="102" t="b">
        <v>0</v>
      </c>
      <c r="F983" s="102" t="b">
        <v>0</v>
      </c>
      <c r="G983" s="102" t="b">
        <v>0</v>
      </c>
    </row>
    <row r="984" spans="1:7" ht="15">
      <c r="A984" s="104" t="s">
        <v>3319</v>
      </c>
      <c r="B984" s="102">
        <v>2</v>
      </c>
      <c r="C984" s="106">
        <v>0.0005682933356852263</v>
      </c>
      <c r="D984" s="102" t="s">
        <v>3369</v>
      </c>
      <c r="E984" s="102" t="b">
        <v>0</v>
      </c>
      <c r="F984" s="102" t="b">
        <v>0</v>
      </c>
      <c r="G984" s="102" t="b">
        <v>0</v>
      </c>
    </row>
    <row r="985" spans="1:7" ht="15">
      <c r="A985" s="104" t="s">
        <v>3320</v>
      </c>
      <c r="B985" s="102">
        <v>2</v>
      </c>
      <c r="C985" s="106">
        <v>0.0004993919862542396</v>
      </c>
      <c r="D985" s="102" t="s">
        <v>3369</v>
      </c>
      <c r="E985" s="102" t="b">
        <v>0</v>
      </c>
      <c r="F985" s="102" t="b">
        <v>1</v>
      </c>
      <c r="G985" s="102" t="b">
        <v>0</v>
      </c>
    </row>
    <row r="986" spans="1:7" ht="15">
      <c r="A986" s="104" t="s">
        <v>3321</v>
      </c>
      <c r="B986" s="102">
        <v>2</v>
      </c>
      <c r="C986" s="106">
        <v>0.0004993919862542396</v>
      </c>
      <c r="D986" s="102" t="s">
        <v>3369</v>
      </c>
      <c r="E986" s="102" t="b">
        <v>0</v>
      </c>
      <c r="F986" s="102" t="b">
        <v>1</v>
      </c>
      <c r="G986" s="102" t="b">
        <v>0</v>
      </c>
    </row>
    <row r="987" spans="1:7" ht="15">
      <c r="A987" s="104" t="s">
        <v>3322</v>
      </c>
      <c r="B987" s="102">
        <v>2</v>
      </c>
      <c r="C987" s="106">
        <v>0.0004993919862542396</v>
      </c>
      <c r="D987" s="102" t="s">
        <v>3369</v>
      </c>
      <c r="E987" s="102" t="b">
        <v>0</v>
      </c>
      <c r="F987" s="102" t="b">
        <v>0</v>
      </c>
      <c r="G987" s="102" t="b">
        <v>0</v>
      </c>
    </row>
    <row r="988" spans="1:7" ht="15">
      <c r="A988" s="104" t="s">
        <v>3323</v>
      </c>
      <c r="B988" s="102">
        <v>2</v>
      </c>
      <c r="C988" s="106">
        <v>0.0005682933356852263</v>
      </c>
      <c r="D988" s="102" t="s">
        <v>3369</v>
      </c>
      <c r="E988" s="102" t="b">
        <v>0</v>
      </c>
      <c r="F988" s="102" t="b">
        <v>0</v>
      </c>
      <c r="G988" s="102" t="b">
        <v>0</v>
      </c>
    </row>
    <row r="989" spans="1:7" ht="15">
      <c r="A989" s="104" t="s">
        <v>3324</v>
      </c>
      <c r="B989" s="102">
        <v>2</v>
      </c>
      <c r="C989" s="106">
        <v>0.0005682933356852263</v>
      </c>
      <c r="D989" s="102" t="s">
        <v>3369</v>
      </c>
      <c r="E989" s="102" t="b">
        <v>0</v>
      </c>
      <c r="F989" s="102" t="b">
        <v>0</v>
      </c>
      <c r="G989" s="102" t="b">
        <v>0</v>
      </c>
    </row>
    <row r="990" spans="1:7" ht="15">
      <c r="A990" s="104" t="s">
        <v>3325</v>
      </c>
      <c r="B990" s="102">
        <v>2</v>
      </c>
      <c r="C990" s="106">
        <v>0.0005682933356852263</v>
      </c>
      <c r="D990" s="102" t="s">
        <v>3369</v>
      </c>
      <c r="E990" s="102" t="b">
        <v>0</v>
      </c>
      <c r="F990" s="102" t="b">
        <v>0</v>
      </c>
      <c r="G990" s="102" t="b">
        <v>0</v>
      </c>
    </row>
    <row r="991" spans="1:7" ht="15">
      <c r="A991" s="104" t="s">
        <v>3326</v>
      </c>
      <c r="B991" s="102">
        <v>2</v>
      </c>
      <c r="C991" s="106">
        <v>0.0005682933356852263</v>
      </c>
      <c r="D991" s="102" t="s">
        <v>3369</v>
      </c>
      <c r="E991" s="102" t="b">
        <v>0</v>
      </c>
      <c r="F991" s="102" t="b">
        <v>0</v>
      </c>
      <c r="G991" s="102" t="b">
        <v>0</v>
      </c>
    </row>
    <row r="992" spans="1:7" ht="15">
      <c r="A992" s="104" t="s">
        <v>3327</v>
      </c>
      <c r="B992" s="102">
        <v>2</v>
      </c>
      <c r="C992" s="106">
        <v>0.0005682933356852263</v>
      </c>
      <c r="D992" s="102" t="s">
        <v>3369</v>
      </c>
      <c r="E992" s="102" t="b">
        <v>0</v>
      </c>
      <c r="F992" s="102" t="b">
        <v>0</v>
      </c>
      <c r="G992" s="102" t="b">
        <v>0</v>
      </c>
    </row>
    <row r="993" spans="1:7" ht="15">
      <c r="A993" s="104" t="s">
        <v>3328</v>
      </c>
      <c r="B993" s="102">
        <v>2</v>
      </c>
      <c r="C993" s="106">
        <v>0.0005682933356852263</v>
      </c>
      <c r="D993" s="102" t="s">
        <v>3369</v>
      </c>
      <c r="E993" s="102" t="b">
        <v>0</v>
      </c>
      <c r="F993" s="102" t="b">
        <v>0</v>
      </c>
      <c r="G993" s="102" t="b">
        <v>0</v>
      </c>
    </row>
    <row r="994" spans="1:7" ht="15">
      <c r="A994" s="104" t="s">
        <v>3329</v>
      </c>
      <c r="B994" s="102">
        <v>2</v>
      </c>
      <c r="C994" s="106">
        <v>0.0005682933356852263</v>
      </c>
      <c r="D994" s="102" t="s">
        <v>3369</v>
      </c>
      <c r="E994" s="102" t="b">
        <v>0</v>
      </c>
      <c r="F994" s="102" t="b">
        <v>0</v>
      </c>
      <c r="G994" s="102" t="b">
        <v>0</v>
      </c>
    </row>
    <row r="995" spans="1:7" ht="15">
      <c r="A995" s="104" t="s">
        <v>3330</v>
      </c>
      <c r="B995" s="102">
        <v>2</v>
      </c>
      <c r="C995" s="106">
        <v>0.0005682933356852263</v>
      </c>
      <c r="D995" s="102" t="s">
        <v>3369</v>
      </c>
      <c r="E995" s="102" t="b">
        <v>0</v>
      </c>
      <c r="F995" s="102" t="b">
        <v>0</v>
      </c>
      <c r="G995" s="102" t="b">
        <v>0</v>
      </c>
    </row>
    <row r="996" spans="1:7" ht="15">
      <c r="A996" s="104" t="s">
        <v>3331</v>
      </c>
      <c r="B996" s="102">
        <v>2</v>
      </c>
      <c r="C996" s="106">
        <v>0.0004993919862542396</v>
      </c>
      <c r="D996" s="102" t="s">
        <v>3369</v>
      </c>
      <c r="E996" s="102" t="b">
        <v>0</v>
      </c>
      <c r="F996" s="102" t="b">
        <v>0</v>
      </c>
      <c r="G996" s="102" t="b">
        <v>0</v>
      </c>
    </row>
    <row r="997" spans="1:7" ht="15">
      <c r="A997" s="104" t="s">
        <v>3332</v>
      </c>
      <c r="B997" s="102">
        <v>2</v>
      </c>
      <c r="C997" s="106">
        <v>0.0004993919862542396</v>
      </c>
      <c r="D997" s="102" t="s">
        <v>3369</v>
      </c>
      <c r="E997" s="102" t="b">
        <v>0</v>
      </c>
      <c r="F997" s="102" t="b">
        <v>0</v>
      </c>
      <c r="G997" s="102" t="b">
        <v>0</v>
      </c>
    </row>
    <row r="998" spans="1:7" ht="15">
      <c r="A998" s="104" t="s">
        <v>3333</v>
      </c>
      <c r="B998" s="102">
        <v>2</v>
      </c>
      <c r="C998" s="106">
        <v>0.0004993919862542396</v>
      </c>
      <c r="D998" s="102" t="s">
        <v>3369</v>
      </c>
      <c r="E998" s="102" t="b">
        <v>0</v>
      </c>
      <c r="F998" s="102" t="b">
        <v>0</v>
      </c>
      <c r="G998" s="102" t="b">
        <v>0</v>
      </c>
    </row>
    <row r="999" spans="1:7" ht="15">
      <c r="A999" s="104" t="s">
        <v>3334</v>
      </c>
      <c r="B999" s="102">
        <v>2</v>
      </c>
      <c r="C999" s="106">
        <v>0.0005682933356852263</v>
      </c>
      <c r="D999" s="102" t="s">
        <v>3369</v>
      </c>
      <c r="E999" s="102" t="b">
        <v>0</v>
      </c>
      <c r="F999" s="102" t="b">
        <v>0</v>
      </c>
      <c r="G999" s="102" t="b">
        <v>0</v>
      </c>
    </row>
    <row r="1000" spans="1:7" ht="15">
      <c r="A1000" s="104" t="s">
        <v>3335</v>
      </c>
      <c r="B1000" s="102">
        <v>2</v>
      </c>
      <c r="C1000" s="106">
        <v>0.0005682933356852263</v>
      </c>
      <c r="D1000" s="102" t="s">
        <v>3369</v>
      </c>
      <c r="E1000" s="102" t="b">
        <v>0</v>
      </c>
      <c r="F1000" s="102" t="b">
        <v>0</v>
      </c>
      <c r="G1000" s="102" t="b">
        <v>0</v>
      </c>
    </row>
    <row r="1001" spans="1:7" ht="15">
      <c r="A1001" s="104" t="s">
        <v>3336</v>
      </c>
      <c r="B1001" s="102">
        <v>2</v>
      </c>
      <c r="C1001" s="106">
        <v>0.0004993919862542396</v>
      </c>
      <c r="D1001" s="102" t="s">
        <v>3369</v>
      </c>
      <c r="E1001" s="102" t="b">
        <v>0</v>
      </c>
      <c r="F1001" s="102" t="b">
        <v>0</v>
      </c>
      <c r="G1001" s="102" t="b">
        <v>0</v>
      </c>
    </row>
    <row r="1002" spans="1:7" ht="15">
      <c r="A1002" s="104" t="s">
        <v>3337</v>
      </c>
      <c r="B1002" s="102">
        <v>2</v>
      </c>
      <c r="C1002" s="106">
        <v>0.0004993919862542396</v>
      </c>
      <c r="D1002" s="102" t="s">
        <v>3369</v>
      </c>
      <c r="E1002" s="102" t="b">
        <v>0</v>
      </c>
      <c r="F1002" s="102" t="b">
        <v>0</v>
      </c>
      <c r="G1002" s="102" t="b">
        <v>0</v>
      </c>
    </row>
    <row r="1003" spans="1:7" ht="15">
      <c r="A1003" s="104" t="s">
        <v>3338</v>
      </c>
      <c r="B1003" s="102">
        <v>2</v>
      </c>
      <c r="C1003" s="106">
        <v>0.0004993919862542396</v>
      </c>
      <c r="D1003" s="102" t="s">
        <v>3369</v>
      </c>
      <c r="E1003" s="102" t="b">
        <v>0</v>
      </c>
      <c r="F1003" s="102" t="b">
        <v>0</v>
      </c>
      <c r="G1003" s="102" t="b">
        <v>0</v>
      </c>
    </row>
    <row r="1004" spans="1:7" ht="15">
      <c r="A1004" s="104" t="s">
        <v>3339</v>
      </c>
      <c r="B1004" s="102">
        <v>2</v>
      </c>
      <c r="C1004" s="106">
        <v>0.0005682933356852263</v>
      </c>
      <c r="D1004" s="102" t="s">
        <v>3369</v>
      </c>
      <c r="E1004" s="102" t="b">
        <v>0</v>
      </c>
      <c r="F1004" s="102" t="b">
        <v>0</v>
      </c>
      <c r="G1004" s="102" t="b">
        <v>0</v>
      </c>
    </row>
    <row r="1005" spans="1:7" ht="15">
      <c r="A1005" s="104" t="s">
        <v>3340</v>
      </c>
      <c r="B1005" s="102">
        <v>2</v>
      </c>
      <c r="C1005" s="106">
        <v>0.0005682933356852263</v>
      </c>
      <c r="D1005" s="102" t="s">
        <v>3369</v>
      </c>
      <c r="E1005" s="102" t="b">
        <v>0</v>
      </c>
      <c r="F1005" s="102" t="b">
        <v>1</v>
      </c>
      <c r="G1005" s="102" t="b">
        <v>0</v>
      </c>
    </row>
    <row r="1006" spans="1:7" ht="15">
      <c r="A1006" s="104" t="s">
        <v>3341</v>
      </c>
      <c r="B1006" s="102">
        <v>2</v>
      </c>
      <c r="C1006" s="106">
        <v>0.0004993919862542396</v>
      </c>
      <c r="D1006" s="102" t="s">
        <v>3369</v>
      </c>
      <c r="E1006" s="102" t="b">
        <v>0</v>
      </c>
      <c r="F1006" s="102" t="b">
        <v>0</v>
      </c>
      <c r="G1006" s="102" t="b">
        <v>0</v>
      </c>
    </row>
    <row r="1007" spans="1:7" ht="15">
      <c r="A1007" s="104" t="s">
        <v>3342</v>
      </c>
      <c r="B1007" s="102">
        <v>2</v>
      </c>
      <c r="C1007" s="106">
        <v>0.0004993919862542396</v>
      </c>
      <c r="D1007" s="102" t="s">
        <v>3369</v>
      </c>
      <c r="E1007" s="102" t="b">
        <v>0</v>
      </c>
      <c r="F1007" s="102" t="b">
        <v>0</v>
      </c>
      <c r="G1007" s="102" t="b">
        <v>0</v>
      </c>
    </row>
    <row r="1008" spans="1:7" ht="15">
      <c r="A1008" s="104" t="s">
        <v>3343</v>
      </c>
      <c r="B1008" s="102">
        <v>2</v>
      </c>
      <c r="C1008" s="106">
        <v>0.0004993919862542396</v>
      </c>
      <c r="D1008" s="102" t="s">
        <v>3369</v>
      </c>
      <c r="E1008" s="102" t="b">
        <v>0</v>
      </c>
      <c r="F1008" s="102" t="b">
        <v>0</v>
      </c>
      <c r="G1008" s="102" t="b">
        <v>0</v>
      </c>
    </row>
    <row r="1009" spans="1:7" ht="15">
      <c r="A1009" s="104" t="s">
        <v>3344</v>
      </c>
      <c r="B1009" s="102">
        <v>2</v>
      </c>
      <c r="C1009" s="106">
        <v>0.0004993919862542396</v>
      </c>
      <c r="D1009" s="102" t="s">
        <v>3369</v>
      </c>
      <c r="E1009" s="102" t="b">
        <v>0</v>
      </c>
      <c r="F1009" s="102" t="b">
        <v>0</v>
      </c>
      <c r="G1009" s="102" t="b">
        <v>0</v>
      </c>
    </row>
    <row r="1010" spans="1:7" ht="15">
      <c r="A1010" s="104" t="s">
        <v>3345</v>
      </c>
      <c r="B1010" s="102">
        <v>2</v>
      </c>
      <c r="C1010" s="106">
        <v>0.0005682933356852263</v>
      </c>
      <c r="D1010" s="102" t="s">
        <v>3369</v>
      </c>
      <c r="E1010" s="102" t="b">
        <v>0</v>
      </c>
      <c r="F1010" s="102" t="b">
        <v>0</v>
      </c>
      <c r="G1010" s="102" t="b">
        <v>0</v>
      </c>
    </row>
    <row r="1011" spans="1:7" ht="15">
      <c r="A1011" s="104" t="s">
        <v>3346</v>
      </c>
      <c r="B1011" s="102">
        <v>2</v>
      </c>
      <c r="C1011" s="106">
        <v>0.0005682933356852263</v>
      </c>
      <c r="D1011" s="102" t="s">
        <v>3369</v>
      </c>
      <c r="E1011" s="102" t="b">
        <v>0</v>
      </c>
      <c r="F1011" s="102" t="b">
        <v>0</v>
      </c>
      <c r="G1011" s="102" t="b">
        <v>0</v>
      </c>
    </row>
    <row r="1012" spans="1:7" ht="15">
      <c r="A1012" s="104" t="s">
        <v>3347</v>
      </c>
      <c r="B1012" s="102">
        <v>2</v>
      </c>
      <c r="C1012" s="106">
        <v>0.0005682933356852263</v>
      </c>
      <c r="D1012" s="102" t="s">
        <v>3369</v>
      </c>
      <c r="E1012" s="102" t="b">
        <v>0</v>
      </c>
      <c r="F1012" s="102" t="b">
        <v>0</v>
      </c>
      <c r="G1012" s="102" t="b">
        <v>0</v>
      </c>
    </row>
    <row r="1013" spans="1:7" ht="15">
      <c r="A1013" s="104" t="s">
        <v>3348</v>
      </c>
      <c r="B1013" s="102">
        <v>2</v>
      </c>
      <c r="C1013" s="106">
        <v>0.0005682933356852263</v>
      </c>
      <c r="D1013" s="102" t="s">
        <v>3369</v>
      </c>
      <c r="E1013" s="102" t="b">
        <v>0</v>
      </c>
      <c r="F1013" s="102" t="b">
        <v>0</v>
      </c>
      <c r="G1013" s="102" t="b">
        <v>0</v>
      </c>
    </row>
    <row r="1014" spans="1:7" ht="15">
      <c r="A1014" s="104" t="s">
        <v>3349</v>
      </c>
      <c r="B1014" s="102">
        <v>2</v>
      </c>
      <c r="C1014" s="106">
        <v>0.0005682933356852263</v>
      </c>
      <c r="D1014" s="102" t="s">
        <v>3369</v>
      </c>
      <c r="E1014" s="102" t="b">
        <v>0</v>
      </c>
      <c r="F1014" s="102" t="b">
        <v>0</v>
      </c>
      <c r="G1014" s="102" t="b">
        <v>0</v>
      </c>
    </row>
    <row r="1015" spans="1:7" ht="15">
      <c r="A1015" s="104" t="s">
        <v>3350</v>
      </c>
      <c r="B1015" s="102">
        <v>2</v>
      </c>
      <c r="C1015" s="106">
        <v>0.0005682933356852263</v>
      </c>
      <c r="D1015" s="102" t="s">
        <v>3369</v>
      </c>
      <c r="E1015" s="102" t="b">
        <v>0</v>
      </c>
      <c r="F1015" s="102" t="b">
        <v>0</v>
      </c>
      <c r="G1015" s="102" t="b">
        <v>0</v>
      </c>
    </row>
    <row r="1016" spans="1:7" ht="15">
      <c r="A1016" s="104" t="s">
        <v>3351</v>
      </c>
      <c r="B1016" s="102">
        <v>2</v>
      </c>
      <c r="C1016" s="106">
        <v>0.0005682933356852263</v>
      </c>
      <c r="D1016" s="102" t="s">
        <v>3369</v>
      </c>
      <c r="E1016" s="102" t="b">
        <v>0</v>
      </c>
      <c r="F1016" s="102" t="b">
        <v>0</v>
      </c>
      <c r="G1016" s="102" t="b">
        <v>0</v>
      </c>
    </row>
    <row r="1017" spans="1:7" ht="15">
      <c r="A1017" s="104" t="s">
        <v>3352</v>
      </c>
      <c r="B1017" s="102">
        <v>2</v>
      </c>
      <c r="C1017" s="106">
        <v>0.0005682933356852263</v>
      </c>
      <c r="D1017" s="102" t="s">
        <v>3369</v>
      </c>
      <c r="E1017" s="102" t="b">
        <v>0</v>
      </c>
      <c r="F1017" s="102" t="b">
        <v>0</v>
      </c>
      <c r="G1017" s="102" t="b">
        <v>0</v>
      </c>
    </row>
    <row r="1018" spans="1:7" ht="15">
      <c r="A1018" s="104" t="s">
        <v>3353</v>
      </c>
      <c r="B1018" s="102">
        <v>2</v>
      </c>
      <c r="C1018" s="106">
        <v>0.0005682933356852263</v>
      </c>
      <c r="D1018" s="102" t="s">
        <v>3369</v>
      </c>
      <c r="E1018" s="102" t="b">
        <v>0</v>
      </c>
      <c r="F1018" s="102" t="b">
        <v>0</v>
      </c>
      <c r="G1018" s="102" t="b">
        <v>0</v>
      </c>
    </row>
    <row r="1019" spans="1:7" ht="15">
      <c r="A1019" s="104" t="s">
        <v>3354</v>
      </c>
      <c r="B1019" s="102">
        <v>2</v>
      </c>
      <c r="C1019" s="106">
        <v>0.0005682933356852263</v>
      </c>
      <c r="D1019" s="102" t="s">
        <v>3369</v>
      </c>
      <c r="E1019" s="102" t="b">
        <v>0</v>
      </c>
      <c r="F1019" s="102" t="b">
        <v>0</v>
      </c>
      <c r="G1019" s="102" t="b">
        <v>0</v>
      </c>
    </row>
    <row r="1020" spans="1:7" ht="15">
      <c r="A1020" s="104" t="s">
        <v>3355</v>
      </c>
      <c r="B1020" s="102">
        <v>2</v>
      </c>
      <c r="C1020" s="106">
        <v>0.0005682933356852263</v>
      </c>
      <c r="D1020" s="102" t="s">
        <v>3369</v>
      </c>
      <c r="E1020" s="102" t="b">
        <v>0</v>
      </c>
      <c r="F1020" s="102" t="b">
        <v>0</v>
      </c>
      <c r="G1020" s="102" t="b">
        <v>0</v>
      </c>
    </row>
    <row r="1021" spans="1:7" ht="15">
      <c r="A1021" s="104" t="s">
        <v>3356</v>
      </c>
      <c r="B1021" s="102">
        <v>2</v>
      </c>
      <c r="C1021" s="106">
        <v>0.0004993919862542396</v>
      </c>
      <c r="D1021" s="102" t="s">
        <v>3369</v>
      </c>
      <c r="E1021" s="102" t="b">
        <v>0</v>
      </c>
      <c r="F1021" s="102" t="b">
        <v>0</v>
      </c>
      <c r="G1021" s="102" t="b">
        <v>0</v>
      </c>
    </row>
    <row r="1022" spans="1:7" ht="15">
      <c r="A1022" s="104" t="s">
        <v>3357</v>
      </c>
      <c r="B1022" s="102">
        <v>2</v>
      </c>
      <c r="C1022" s="106">
        <v>0.0004993919862542396</v>
      </c>
      <c r="D1022" s="102" t="s">
        <v>3369</v>
      </c>
      <c r="E1022" s="102" t="b">
        <v>0</v>
      </c>
      <c r="F1022" s="102" t="b">
        <v>1</v>
      </c>
      <c r="G1022" s="102" t="b">
        <v>0</v>
      </c>
    </row>
    <row r="1023" spans="1:7" ht="15">
      <c r="A1023" s="104" t="s">
        <v>3358</v>
      </c>
      <c r="B1023" s="102">
        <v>2</v>
      </c>
      <c r="C1023" s="106">
        <v>0.0004993919862542396</v>
      </c>
      <c r="D1023" s="102" t="s">
        <v>3369</v>
      </c>
      <c r="E1023" s="102" t="b">
        <v>0</v>
      </c>
      <c r="F1023" s="102" t="b">
        <v>0</v>
      </c>
      <c r="G1023" s="102" t="b">
        <v>0</v>
      </c>
    </row>
    <row r="1024" spans="1:7" ht="15">
      <c r="A1024" s="104" t="s">
        <v>3359</v>
      </c>
      <c r="B1024" s="102">
        <v>2</v>
      </c>
      <c r="C1024" s="106">
        <v>0.0004993919862542396</v>
      </c>
      <c r="D1024" s="102" t="s">
        <v>3369</v>
      </c>
      <c r="E1024" s="102" t="b">
        <v>0</v>
      </c>
      <c r="F1024" s="102" t="b">
        <v>1</v>
      </c>
      <c r="G1024" s="102" t="b">
        <v>0</v>
      </c>
    </row>
    <row r="1025" spans="1:7" ht="15">
      <c r="A1025" s="104" t="s">
        <v>3360</v>
      </c>
      <c r="B1025" s="102">
        <v>2</v>
      </c>
      <c r="C1025" s="106">
        <v>0.0004993919862542396</v>
      </c>
      <c r="D1025" s="102" t="s">
        <v>3369</v>
      </c>
      <c r="E1025" s="102" t="b">
        <v>0</v>
      </c>
      <c r="F1025" s="102" t="b">
        <v>0</v>
      </c>
      <c r="G1025" s="102" t="b">
        <v>0</v>
      </c>
    </row>
    <row r="1026" spans="1:7" ht="15">
      <c r="A1026" s="104" t="s">
        <v>3361</v>
      </c>
      <c r="B1026" s="102">
        <v>2</v>
      </c>
      <c r="C1026" s="106">
        <v>0.0005682933356852263</v>
      </c>
      <c r="D1026" s="102" t="s">
        <v>3369</v>
      </c>
      <c r="E1026" s="102" t="b">
        <v>0</v>
      </c>
      <c r="F1026" s="102" t="b">
        <v>0</v>
      </c>
      <c r="G1026" s="102" t="b">
        <v>0</v>
      </c>
    </row>
    <row r="1027" spans="1:7" ht="15">
      <c r="A1027" s="104" t="s">
        <v>3362</v>
      </c>
      <c r="B1027" s="102">
        <v>2</v>
      </c>
      <c r="C1027" s="106">
        <v>0.0005682933356852263</v>
      </c>
      <c r="D1027" s="102" t="s">
        <v>3369</v>
      </c>
      <c r="E1027" s="102" t="b">
        <v>0</v>
      </c>
      <c r="F1027" s="102" t="b">
        <v>0</v>
      </c>
      <c r="G1027" s="102" t="b">
        <v>0</v>
      </c>
    </row>
    <row r="1028" spans="1:7" ht="15">
      <c r="A1028" s="104" t="s">
        <v>3363</v>
      </c>
      <c r="B1028" s="102">
        <v>2</v>
      </c>
      <c r="C1028" s="106">
        <v>0.0005682933356852263</v>
      </c>
      <c r="D1028" s="102" t="s">
        <v>3369</v>
      </c>
      <c r="E1028" s="102" t="b">
        <v>0</v>
      </c>
      <c r="F1028" s="102" t="b">
        <v>0</v>
      </c>
      <c r="G1028" s="102" t="b">
        <v>0</v>
      </c>
    </row>
    <row r="1029" spans="1:7" ht="15">
      <c r="A1029" s="104" t="s">
        <v>2349</v>
      </c>
      <c r="B1029" s="102">
        <v>54</v>
      </c>
      <c r="C1029" s="106">
        <v>0.011083698486562358</v>
      </c>
      <c r="D1029" s="102" t="s">
        <v>2320</v>
      </c>
      <c r="E1029" s="102" t="b">
        <v>0</v>
      </c>
      <c r="F1029" s="102" t="b">
        <v>0</v>
      </c>
      <c r="G1029" s="102" t="b">
        <v>0</v>
      </c>
    </row>
    <row r="1030" spans="1:7" ht="15">
      <c r="A1030" s="104" t="s">
        <v>2350</v>
      </c>
      <c r="B1030" s="102">
        <v>44</v>
      </c>
      <c r="C1030" s="106">
        <v>0.011577924924566644</v>
      </c>
      <c r="D1030" s="102" t="s">
        <v>2320</v>
      </c>
      <c r="E1030" s="102" t="b">
        <v>0</v>
      </c>
      <c r="F1030" s="102" t="b">
        <v>0</v>
      </c>
      <c r="G1030" s="102" t="b">
        <v>0</v>
      </c>
    </row>
    <row r="1031" spans="1:7" ht="15">
      <c r="A1031" s="104" t="s">
        <v>2348</v>
      </c>
      <c r="B1031" s="102">
        <v>29</v>
      </c>
      <c r="C1031" s="106">
        <v>0.011975902528222355</v>
      </c>
      <c r="D1031" s="102" t="s">
        <v>2320</v>
      </c>
      <c r="E1031" s="102" t="b">
        <v>0</v>
      </c>
      <c r="F1031" s="102" t="b">
        <v>0</v>
      </c>
      <c r="G1031" s="102" t="b">
        <v>0</v>
      </c>
    </row>
    <row r="1032" spans="1:7" ht="15">
      <c r="A1032" s="104" t="s">
        <v>2351</v>
      </c>
      <c r="B1032" s="102">
        <v>23</v>
      </c>
      <c r="C1032" s="106">
        <v>0.01101509808627428</v>
      </c>
      <c r="D1032" s="102" t="s">
        <v>2320</v>
      </c>
      <c r="E1032" s="102" t="b">
        <v>0</v>
      </c>
      <c r="F1032" s="102" t="b">
        <v>0</v>
      </c>
      <c r="G1032" s="102" t="b">
        <v>0</v>
      </c>
    </row>
    <row r="1033" spans="1:7" ht="15">
      <c r="A1033" s="104" t="s">
        <v>2365</v>
      </c>
      <c r="B1033" s="102">
        <v>20</v>
      </c>
      <c r="C1033" s="106">
        <v>0.014364554066970023</v>
      </c>
      <c r="D1033" s="102" t="s">
        <v>2320</v>
      </c>
      <c r="E1033" s="102" t="b">
        <v>0</v>
      </c>
      <c r="F1033" s="102" t="b">
        <v>0</v>
      </c>
      <c r="G1033" s="102" t="b">
        <v>0</v>
      </c>
    </row>
    <row r="1034" spans="1:7" ht="15">
      <c r="A1034" s="104" t="s">
        <v>2356</v>
      </c>
      <c r="B1034" s="102">
        <v>19</v>
      </c>
      <c r="C1034" s="106">
        <v>0.00981439341570264</v>
      </c>
      <c r="D1034" s="102" t="s">
        <v>2320</v>
      </c>
      <c r="E1034" s="102" t="b">
        <v>0</v>
      </c>
      <c r="F1034" s="102" t="b">
        <v>0</v>
      </c>
      <c r="G1034" s="102" t="b">
        <v>0</v>
      </c>
    </row>
    <row r="1035" spans="1:7" ht="15">
      <c r="A1035" s="104" t="s">
        <v>2393</v>
      </c>
      <c r="B1035" s="102">
        <v>17</v>
      </c>
      <c r="C1035" s="106">
        <v>0.01686215270809514</v>
      </c>
      <c r="D1035" s="102" t="s">
        <v>2320</v>
      </c>
      <c r="E1035" s="102" t="b">
        <v>0</v>
      </c>
      <c r="F1035" s="102" t="b">
        <v>0</v>
      </c>
      <c r="G1035" s="102" t="b">
        <v>0</v>
      </c>
    </row>
    <row r="1036" spans="1:7" ht="15">
      <c r="A1036" s="104" t="s">
        <v>2360</v>
      </c>
      <c r="B1036" s="102">
        <v>17</v>
      </c>
      <c r="C1036" s="106">
        <v>0.011175238753542318</v>
      </c>
      <c r="D1036" s="102" t="s">
        <v>2320</v>
      </c>
      <c r="E1036" s="102" t="b">
        <v>0</v>
      </c>
      <c r="F1036" s="102" t="b">
        <v>1</v>
      </c>
      <c r="G1036" s="102" t="b">
        <v>0</v>
      </c>
    </row>
    <row r="1037" spans="1:7" ht="15">
      <c r="A1037" s="104" t="s">
        <v>2382</v>
      </c>
      <c r="B1037" s="102">
        <v>16</v>
      </c>
      <c r="C1037" s="106">
        <v>0.018431588776771108</v>
      </c>
      <c r="D1037" s="102" t="s">
        <v>2320</v>
      </c>
      <c r="E1037" s="102" t="b">
        <v>0</v>
      </c>
      <c r="F1037" s="102" t="b">
        <v>0</v>
      </c>
      <c r="G1037" s="102" t="b">
        <v>0</v>
      </c>
    </row>
    <row r="1038" spans="1:7" ht="15">
      <c r="A1038" s="104" t="s">
        <v>2396</v>
      </c>
      <c r="B1038" s="102">
        <v>13</v>
      </c>
      <c r="C1038" s="106">
        <v>0.011418038659643113</v>
      </c>
      <c r="D1038" s="102" t="s">
        <v>2320</v>
      </c>
      <c r="E1038" s="102" t="b">
        <v>0</v>
      </c>
      <c r="F1038" s="102" t="b">
        <v>0</v>
      </c>
      <c r="G1038" s="102" t="b">
        <v>0</v>
      </c>
    </row>
    <row r="1039" spans="1:7" ht="15">
      <c r="A1039" s="104" t="s">
        <v>2457</v>
      </c>
      <c r="B1039" s="102">
        <v>13</v>
      </c>
      <c r="C1039" s="106">
        <v>0.01853329310260994</v>
      </c>
      <c r="D1039" s="102" t="s">
        <v>2320</v>
      </c>
      <c r="E1039" s="102" t="b">
        <v>0</v>
      </c>
      <c r="F1039" s="102" t="b">
        <v>0</v>
      </c>
      <c r="G1039" s="102" t="b">
        <v>0</v>
      </c>
    </row>
    <row r="1040" spans="1:7" ht="15">
      <c r="A1040" s="104" t="s">
        <v>2385</v>
      </c>
      <c r="B1040" s="102">
        <v>12</v>
      </c>
      <c r="C1040" s="106">
        <v>0.0061985642625490365</v>
      </c>
      <c r="D1040" s="102" t="s">
        <v>2320</v>
      </c>
      <c r="E1040" s="102" t="b">
        <v>0</v>
      </c>
      <c r="F1040" s="102" t="b">
        <v>0</v>
      </c>
      <c r="G1040" s="102" t="b">
        <v>0</v>
      </c>
    </row>
    <row r="1041" spans="1:7" ht="15">
      <c r="A1041" s="104" t="s">
        <v>2446</v>
      </c>
      <c r="B1041" s="102">
        <v>11</v>
      </c>
      <c r="C1041" s="106">
        <v>0.01568201724066995</v>
      </c>
      <c r="D1041" s="102" t="s">
        <v>2320</v>
      </c>
      <c r="E1041" s="102" t="b">
        <v>0</v>
      </c>
      <c r="F1041" s="102" t="b">
        <v>0</v>
      </c>
      <c r="G1041" s="102" t="b">
        <v>0</v>
      </c>
    </row>
    <row r="1042" spans="1:7" ht="15">
      <c r="A1042" s="104" t="s">
        <v>2397</v>
      </c>
      <c r="B1042" s="102">
        <v>10</v>
      </c>
      <c r="C1042" s="106">
        <v>0.007182277033485012</v>
      </c>
      <c r="D1042" s="102" t="s">
        <v>2320</v>
      </c>
      <c r="E1042" s="102" t="b">
        <v>0</v>
      </c>
      <c r="F1042" s="102" t="b">
        <v>0</v>
      </c>
      <c r="G1042" s="102" t="b">
        <v>0</v>
      </c>
    </row>
    <row r="1043" spans="1:7" ht="15">
      <c r="A1043" s="104" t="s">
        <v>2379</v>
      </c>
      <c r="B1043" s="102">
        <v>10</v>
      </c>
      <c r="C1043" s="106">
        <v>0.007902106543008875</v>
      </c>
      <c r="D1043" s="102" t="s">
        <v>2320</v>
      </c>
      <c r="E1043" s="102" t="b">
        <v>0</v>
      </c>
      <c r="F1043" s="102" t="b">
        <v>0</v>
      </c>
      <c r="G1043" s="102" t="b">
        <v>0</v>
      </c>
    </row>
    <row r="1044" spans="1:7" ht="15">
      <c r="A1044" s="104" t="s">
        <v>2357</v>
      </c>
      <c r="B1044" s="102">
        <v>10</v>
      </c>
      <c r="C1044" s="106">
        <v>0.007182277033485012</v>
      </c>
      <c r="D1044" s="102" t="s">
        <v>2320</v>
      </c>
      <c r="E1044" s="102" t="b">
        <v>0</v>
      </c>
      <c r="F1044" s="102" t="b">
        <v>0</v>
      </c>
      <c r="G1044" s="102" t="b">
        <v>0</v>
      </c>
    </row>
    <row r="1045" spans="1:7" ht="15">
      <c r="A1045" s="104" t="s">
        <v>2387</v>
      </c>
      <c r="B1045" s="102">
        <v>10</v>
      </c>
      <c r="C1045" s="106">
        <v>0.014256379309699954</v>
      </c>
      <c r="D1045" s="102" t="s">
        <v>2320</v>
      </c>
      <c r="E1045" s="102" t="b">
        <v>0</v>
      </c>
      <c r="F1045" s="102" t="b">
        <v>0</v>
      </c>
      <c r="G1045" s="102" t="b">
        <v>0</v>
      </c>
    </row>
    <row r="1046" spans="1:7" ht="15">
      <c r="A1046" s="104" t="s">
        <v>2497</v>
      </c>
      <c r="B1046" s="102">
        <v>10</v>
      </c>
      <c r="C1046" s="106">
        <v>0.014256379309699954</v>
      </c>
      <c r="D1046" s="102" t="s">
        <v>2320</v>
      </c>
      <c r="E1046" s="102" t="b">
        <v>0</v>
      </c>
      <c r="F1046" s="102" t="b">
        <v>0</v>
      </c>
      <c r="G1046" s="102" t="b">
        <v>0</v>
      </c>
    </row>
    <row r="1047" spans="1:7" ht="15">
      <c r="A1047" s="104" t="s">
        <v>2395</v>
      </c>
      <c r="B1047" s="102">
        <v>9</v>
      </c>
      <c r="C1047" s="106">
        <v>0.01283074137872996</v>
      </c>
      <c r="D1047" s="102" t="s">
        <v>2320</v>
      </c>
      <c r="E1047" s="102" t="b">
        <v>0</v>
      </c>
      <c r="F1047" s="102" t="b">
        <v>0</v>
      </c>
      <c r="G1047" s="102" t="b">
        <v>0</v>
      </c>
    </row>
    <row r="1048" spans="1:7" ht="15">
      <c r="A1048" s="104" t="s">
        <v>2421</v>
      </c>
      <c r="B1048" s="102">
        <v>9</v>
      </c>
      <c r="C1048" s="106">
        <v>0.01283074137872996</v>
      </c>
      <c r="D1048" s="102" t="s">
        <v>2320</v>
      </c>
      <c r="E1048" s="102" t="b">
        <v>0</v>
      </c>
      <c r="F1048" s="102" t="b">
        <v>0</v>
      </c>
      <c r="G1048" s="102" t="b">
        <v>0</v>
      </c>
    </row>
    <row r="1049" spans="1:7" ht="15">
      <c r="A1049" s="104" t="s">
        <v>2429</v>
      </c>
      <c r="B1049" s="102">
        <v>8</v>
      </c>
      <c r="C1049" s="106">
        <v>0.005745821626788009</v>
      </c>
      <c r="D1049" s="102" t="s">
        <v>2320</v>
      </c>
      <c r="E1049" s="102" t="b">
        <v>0</v>
      </c>
      <c r="F1049" s="102" t="b">
        <v>0</v>
      </c>
      <c r="G1049" s="102" t="b">
        <v>0</v>
      </c>
    </row>
    <row r="1050" spans="1:7" ht="15">
      <c r="A1050" s="104" t="s">
        <v>2547</v>
      </c>
      <c r="B1050" s="102">
        <v>8</v>
      </c>
      <c r="C1050" s="106">
        <v>0.011405103447759964</v>
      </c>
      <c r="D1050" s="102" t="s">
        <v>2320</v>
      </c>
      <c r="E1050" s="102" t="b">
        <v>0</v>
      </c>
      <c r="F1050" s="102" t="b">
        <v>1</v>
      </c>
      <c r="G1050" s="102" t="b">
        <v>0</v>
      </c>
    </row>
    <row r="1051" spans="1:7" ht="15">
      <c r="A1051" s="104" t="s">
        <v>2548</v>
      </c>
      <c r="B1051" s="102">
        <v>8</v>
      </c>
      <c r="C1051" s="106">
        <v>0.011405103447759964</v>
      </c>
      <c r="D1051" s="102" t="s">
        <v>2320</v>
      </c>
      <c r="E1051" s="102" t="b">
        <v>0</v>
      </c>
      <c r="F1051" s="102" t="b">
        <v>1</v>
      </c>
      <c r="G1051" s="102" t="b">
        <v>0</v>
      </c>
    </row>
    <row r="1052" spans="1:7" ht="15">
      <c r="A1052" s="104" t="s">
        <v>2544</v>
      </c>
      <c r="B1052" s="102">
        <v>8</v>
      </c>
      <c r="C1052" s="106">
        <v>0.011405103447759964</v>
      </c>
      <c r="D1052" s="102" t="s">
        <v>2320</v>
      </c>
      <c r="E1052" s="102" t="b">
        <v>0</v>
      </c>
      <c r="F1052" s="102" t="b">
        <v>0</v>
      </c>
      <c r="G1052" s="102" t="b">
        <v>0</v>
      </c>
    </row>
    <row r="1053" spans="1:7" ht="15">
      <c r="A1053" s="104" t="s">
        <v>2355</v>
      </c>
      <c r="B1053" s="102">
        <v>8</v>
      </c>
      <c r="C1053" s="106">
        <v>0.0063216852344071</v>
      </c>
      <c r="D1053" s="102" t="s">
        <v>2320</v>
      </c>
      <c r="E1053" s="102" t="b">
        <v>0</v>
      </c>
      <c r="F1053" s="102" t="b">
        <v>0</v>
      </c>
      <c r="G1053" s="102" t="b">
        <v>0</v>
      </c>
    </row>
    <row r="1054" spans="1:7" ht="15">
      <c r="A1054" s="104" t="s">
        <v>2545</v>
      </c>
      <c r="B1054" s="102">
        <v>7</v>
      </c>
      <c r="C1054" s="106">
        <v>0.009979465516789968</v>
      </c>
      <c r="D1054" s="102" t="s">
        <v>2320</v>
      </c>
      <c r="E1054" s="102" t="b">
        <v>0</v>
      </c>
      <c r="F1054" s="102" t="b">
        <v>0</v>
      </c>
      <c r="G1054" s="102" t="b">
        <v>0</v>
      </c>
    </row>
    <row r="1055" spans="1:7" ht="15">
      <c r="A1055" s="104" t="s">
        <v>2546</v>
      </c>
      <c r="B1055" s="102">
        <v>7</v>
      </c>
      <c r="C1055" s="106">
        <v>0.009979465516789968</v>
      </c>
      <c r="D1055" s="102" t="s">
        <v>2320</v>
      </c>
      <c r="E1055" s="102" t="b">
        <v>0</v>
      </c>
      <c r="F1055" s="102" t="b">
        <v>0</v>
      </c>
      <c r="G1055" s="102" t="b">
        <v>0</v>
      </c>
    </row>
    <row r="1056" spans="1:7" ht="15">
      <c r="A1056" s="104" t="s">
        <v>2578</v>
      </c>
      <c r="B1056" s="102">
        <v>7</v>
      </c>
      <c r="C1056" s="106">
        <v>0.009979465516789968</v>
      </c>
      <c r="D1056" s="102" t="s">
        <v>2320</v>
      </c>
      <c r="E1056" s="102" t="b">
        <v>0</v>
      </c>
      <c r="F1056" s="102" t="b">
        <v>0</v>
      </c>
      <c r="G1056" s="102" t="b">
        <v>0</v>
      </c>
    </row>
    <row r="1057" spans="1:7" ht="15">
      <c r="A1057" s="104" t="s">
        <v>2436</v>
      </c>
      <c r="B1057" s="102">
        <v>7</v>
      </c>
      <c r="C1057" s="106">
        <v>0.009979465516789968</v>
      </c>
      <c r="D1057" s="102" t="s">
        <v>2320</v>
      </c>
      <c r="E1057" s="102" t="b">
        <v>0</v>
      </c>
      <c r="F1057" s="102" t="b">
        <v>0</v>
      </c>
      <c r="G1057" s="102" t="b">
        <v>0</v>
      </c>
    </row>
    <row r="1058" spans="1:7" ht="15">
      <c r="A1058" s="104" t="s">
        <v>2494</v>
      </c>
      <c r="B1058" s="102">
        <v>7</v>
      </c>
      <c r="C1058" s="106">
        <v>0.009979465516789968</v>
      </c>
      <c r="D1058" s="102" t="s">
        <v>2320</v>
      </c>
      <c r="E1058" s="102" t="b">
        <v>0</v>
      </c>
      <c r="F1058" s="102" t="b">
        <v>0</v>
      </c>
      <c r="G1058" s="102" t="b">
        <v>0</v>
      </c>
    </row>
    <row r="1059" spans="1:7" ht="15">
      <c r="A1059" s="104" t="s">
        <v>2362</v>
      </c>
      <c r="B1059" s="102">
        <v>7</v>
      </c>
      <c r="C1059" s="106">
        <v>0.00806382008983736</v>
      </c>
      <c r="D1059" s="102" t="s">
        <v>2320</v>
      </c>
      <c r="E1059" s="102" t="b">
        <v>0</v>
      </c>
      <c r="F1059" s="102" t="b">
        <v>0</v>
      </c>
      <c r="G1059" s="102" t="b">
        <v>0</v>
      </c>
    </row>
    <row r="1060" spans="1:7" ht="15">
      <c r="A1060" s="104" t="s">
        <v>2628</v>
      </c>
      <c r="B1060" s="102">
        <v>6</v>
      </c>
      <c r="C1060" s="106">
        <v>0.008553827585819974</v>
      </c>
      <c r="D1060" s="102" t="s">
        <v>2320</v>
      </c>
      <c r="E1060" s="102" t="b">
        <v>0</v>
      </c>
      <c r="F1060" s="102" t="b">
        <v>0</v>
      </c>
      <c r="G1060" s="102" t="b">
        <v>0</v>
      </c>
    </row>
    <row r="1061" spans="1:7" ht="15">
      <c r="A1061" s="104" t="s">
        <v>2470</v>
      </c>
      <c r="B1061" s="102">
        <v>6</v>
      </c>
      <c r="C1061" s="106">
        <v>0.006911845791289166</v>
      </c>
      <c r="D1061" s="102" t="s">
        <v>2320</v>
      </c>
      <c r="E1061" s="102" t="b">
        <v>0</v>
      </c>
      <c r="F1061" s="102" t="b">
        <v>0</v>
      </c>
      <c r="G1061" s="102" t="b">
        <v>0</v>
      </c>
    </row>
    <row r="1062" spans="1:7" ht="15">
      <c r="A1062" s="104" t="s">
        <v>2484</v>
      </c>
      <c r="B1062" s="102">
        <v>6</v>
      </c>
      <c r="C1062" s="106">
        <v>0.006911845791289166</v>
      </c>
      <c r="D1062" s="102" t="s">
        <v>2320</v>
      </c>
      <c r="E1062" s="102" t="b">
        <v>0</v>
      </c>
      <c r="F1062" s="102" t="b">
        <v>0</v>
      </c>
      <c r="G1062" s="102" t="b">
        <v>0</v>
      </c>
    </row>
    <row r="1063" spans="1:7" ht="15">
      <c r="A1063" s="104" t="s">
        <v>2575</v>
      </c>
      <c r="B1063" s="102">
        <v>6</v>
      </c>
      <c r="C1063" s="106">
        <v>0.006911845791289166</v>
      </c>
      <c r="D1063" s="102" t="s">
        <v>2320</v>
      </c>
      <c r="E1063" s="102" t="b">
        <v>0</v>
      </c>
      <c r="F1063" s="102" t="b">
        <v>0</v>
      </c>
      <c r="G1063" s="102" t="b">
        <v>0</v>
      </c>
    </row>
    <row r="1064" spans="1:7" ht="15">
      <c r="A1064" s="104" t="s">
        <v>2398</v>
      </c>
      <c r="B1064" s="102">
        <v>6</v>
      </c>
      <c r="C1064" s="106">
        <v>0.005951348014621815</v>
      </c>
      <c r="D1064" s="102" t="s">
        <v>2320</v>
      </c>
      <c r="E1064" s="102" t="b">
        <v>0</v>
      </c>
      <c r="F1064" s="102" t="b">
        <v>0</v>
      </c>
      <c r="G1064" s="102" t="b">
        <v>0</v>
      </c>
    </row>
    <row r="1065" spans="1:7" ht="15">
      <c r="A1065" s="104" t="s">
        <v>2619</v>
      </c>
      <c r="B1065" s="102">
        <v>6</v>
      </c>
      <c r="C1065" s="106">
        <v>0.008553827585819974</v>
      </c>
      <c r="D1065" s="102" t="s">
        <v>2320</v>
      </c>
      <c r="E1065" s="102" t="b">
        <v>0</v>
      </c>
      <c r="F1065" s="102" t="b">
        <v>0</v>
      </c>
      <c r="G1065" s="102" t="b">
        <v>0</v>
      </c>
    </row>
    <row r="1066" spans="1:7" ht="15">
      <c r="A1066" s="104" t="s">
        <v>2451</v>
      </c>
      <c r="B1066" s="102">
        <v>5</v>
      </c>
      <c r="C1066" s="106">
        <v>0.003951053271504437</v>
      </c>
      <c r="D1066" s="102" t="s">
        <v>2320</v>
      </c>
      <c r="E1066" s="102" t="b">
        <v>0</v>
      </c>
      <c r="F1066" s="102" t="b">
        <v>0</v>
      </c>
      <c r="G1066" s="102" t="b">
        <v>0</v>
      </c>
    </row>
    <row r="1067" spans="1:7" ht="15">
      <c r="A1067" s="104" t="s">
        <v>2476</v>
      </c>
      <c r="B1067" s="102">
        <v>5</v>
      </c>
      <c r="C1067" s="106">
        <v>0.003951053271504437</v>
      </c>
      <c r="D1067" s="102" t="s">
        <v>2320</v>
      </c>
      <c r="E1067" s="102" t="b">
        <v>0</v>
      </c>
      <c r="F1067" s="102" t="b">
        <v>1</v>
      </c>
      <c r="G1067" s="102" t="b">
        <v>0</v>
      </c>
    </row>
    <row r="1068" spans="1:7" ht="15">
      <c r="A1068" s="104" t="s">
        <v>2692</v>
      </c>
      <c r="B1068" s="102">
        <v>5</v>
      </c>
      <c r="C1068" s="106">
        <v>0.005759871492740971</v>
      </c>
      <c r="D1068" s="102" t="s">
        <v>2320</v>
      </c>
      <c r="E1068" s="102" t="b">
        <v>0</v>
      </c>
      <c r="F1068" s="102" t="b">
        <v>0</v>
      </c>
      <c r="G1068" s="102" t="b">
        <v>0</v>
      </c>
    </row>
    <row r="1069" spans="1:7" ht="15">
      <c r="A1069" s="104" t="s">
        <v>2693</v>
      </c>
      <c r="B1069" s="102">
        <v>5</v>
      </c>
      <c r="C1069" s="106">
        <v>0.007128189654849977</v>
      </c>
      <c r="D1069" s="102" t="s">
        <v>2320</v>
      </c>
      <c r="E1069" s="102" t="b">
        <v>0</v>
      </c>
      <c r="F1069" s="102" t="b">
        <v>0</v>
      </c>
      <c r="G1069" s="102" t="b">
        <v>0</v>
      </c>
    </row>
    <row r="1070" spans="1:7" ht="15">
      <c r="A1070" s="104" t="s">
        <v>2401</v>
      </c>
      <c r="B1070" s="102">
        <v>5</v>
      </c>
      <c r="C1070" s="106">
        <v>0.004959456678851512</v>
      </c>
      <c r="D1070" s="102" t="s">
        <v>2320</v>
      </c>
      <c r="E1070" s="102" t="b">
        <v>0</v>
      </c>
      <c r="F1070" s="102" t="b">
        <v>0</v>
      </c>
      <c r="G1070" s="102" t="b">
        <v>0</v>
      </c>
    </row>
    <row r="1071" spans="1:7" ht="15">
      <c r="A1071" s="104" t="s">
        <v>2373</v>
      </c>
      <c r="B1071" s="102">
        <v>5</v>
      </c>
      <c r="C1071" s="106">
        <v>0.005759871492740971</v>
      </c>
      <c r="D1071" s="102" t="s">
        <v>2320</v>
      </c>
      <c r="E1071" s="102" t="b">
        <v>0</v>
      </c>
      <c r="F1071" s="102" t="b">
        <v>0</v>
      </c>
      <c r="G1071" s="102" t="b">
        <v>0</v>
      </c>
    </row>
    <row r="1072" spans="1:7" ht="15">
      <c r="A1072" s="104" t="s">
        <v>2466</v>
      </c>
      <c r="B1072" s="102">
        <v>4</v>
      </c>
      <c r="C1072" s="106">
        <v>0.003513242664505573</v>
      </c>
      <c r="D1072" s="102" t="s">
        <v>2320</v>
      </c>
      <c r="E1072" s="102" t="b">
        <v>0</v>
      </c>
      <c r="F1072" s="102" t="b">
        <v>0</v>
      </c>
      <c r="G1072" s="102" t="b">
        <v>0</v>
      </c>
    </row>
    <row r="1073" spans="1:7" ht="15">
      <c r="A1073" s="104" t="s">
        <v>2480</v>
      </c>
      <c r="B1073" s="102">
        <v>4</v>
      </c>
      <c r="C1073" s="106">
        <v>0.003513242664505573</v>
      </c>
      <c r="D1073" s="102" t="s">
        <v>2320</v>
      </c>
      <c r="E1073" s="102" t="b">
        <v>0</v>
      </c>
      <c r="F1073" s="102" t="b">
        <v>0</v>
      </c>
      <c r="G1073" s="102" t="b">
        <v>0</v>
      </c>
    </row>
    <row r="1074" spans="1:7" ht="15">
      <c r="A1074" s="104" t="s">
        <v>2769</v>
      </c>
      <c r="B1074" s="102">
        <v>4</v>
      </c>
      <c r="C1074" s="106">
        <v>0.005702551723879982</v>
      </c>
      <c r="D1074" s="102" t="s">
        <v>2320</v>
      </c>
      <c r="E1074" s="102" t="b">
        <v>0</v>
      </c>
      <c r="F1074" s="102" t="b">
        <v>0</v>
      </c>
      <c r="G1074" s="102" t="b">
        <v>0</v>
      </c>
    </row>
    <row r="1075" spans="1:7" ht="15">
      <c r="A1075" s="104" t="s">
        <v>2450</v>
      </c>
      <c r="B1075" s="102">
        <v>4</v>
      </c>
      <c r="C1075" s="106">
        <v>0.004607897194192777</v>
      </c>
      <c r="D1075" s="102" t="s">
        <v>2320</v>
      </c>
      <c r="E1075" s="102" t="b">
        <v>0</v>
      </c>
      <c r="F1075" s="102" t="b">
        <v>0</v>
      </c>
      <c r="G1075" s="102" t="b">
        <v>0</v>
      </c>
    </row>
    <row r="1076" spans="1:7" ht="15">
      <c r="A1076" s="104" t="s">
        <v>2423</v>
      </c>
      <c r="B1076" s="102">
        <v>4</v>
      </c>
      <c r="C1076" s="106">
        <v>0.005702551723879982</v>
      </c>
      <c r="D1076" s="102" t="s">
        <v>2320</v>
      </c>
      <c r="E1076" s="102" t="b">
        <v>0</v>
      </c>
      <c r="F1076" s="102" t="b">
        <v>0</v>
      </c>
      <c r="G1076" s="102" t="b">
        <v>0</v>
      </c>
    </row>
    <row r="1077" spans="1:7" ht="15">
      <c r="A1077" s="104" t="s">
        <v>2496</v>
      </c>
      <c r="B1077" s="102">
        <v>4</v>
      </c>
      <c r="C1077" s="106">
        <v>0.003513242664505573</v>
      </c>
      <c r="D1077" s="102" t="s">
        <v>2320</v>
      </c>
      <c r="E1077" s="102" t="b">
        <v>0</v>
      </c>
      <c r="F1077" s="102" t="b">
        <v>1</v>
      </c>
      <c r="G1077" s="102" t="b">
        <v>0</v>
      </c>
    </row>
    <row r="1078" spans="1:7" ht="15">
      <c r="A1078" s="104" t="s">
        <v>2565</v>
      </c>
      <c r="B1078" s="102">
        <v>4</v>
      </c>
      <c r="C1078" s="106">
        <v>0.003513242664505573</v>
      </c>
      <c r="D1078" s="102" t="s">
        <v>2320</v>
      </c>
      <c r="E1078" s="102" t="b">
        <v>0</v>
      </c>
      <c r="F1078" s="102" t="b">
        <v>0</v>
      </c>
      <c r="G1078" s="102" t="b">
        <v>0</v>
      </c>
    </row>
    <row r="1079" spans="1:7" ht="15">
      <c r="A1079" s="104" t="s">
        <v>2420</v>
      </c>
      <c r="B1079" s="102">
        <v>4</v>
      </c>
      <c r="C1079" s="106">
        <v>0.003513242664505573</v>
      </c>
      <c r="D1079" s="102" t="s">
        <v>2320</v>
      </c>
      <c r="E1079" s="102" t="b">
        <v>0</v>
      </c>
      <c r="F1079" s="102" t="b">
        <v>0</v>
      </c>
      <c r="G1079" s="102" t="b">
        <v>0</v>
      </c>
    </row>
    <row r="1080" spans="1:7" ht="15">
      <c r="A1080" s="104" t="s">
        <v>2487</v>
      </c>
      <c r="B1080" s="102">
        <v>4</v>
      </c>
      <c r="C1080" s="106">
        <v>0.003513242664505573</v>
      </c>
      <c r="D1080" s="102" t="s">
        <v>2320</v>
      </c>
      <c r="E1080" s="102" t="b">
        <v>0</v>
      </c>
      <c r="F1080" s="102" t="b">
        <v>0</v>
      </c>
      <c r="G1080" s="102" t="b">
        <v>0</v>
      </c>
    </row>
    <row r="1081" spans="1:7" ht="15">
      <c r="A1081" s="104" t="s">
        <v>2416</v>
      </c>
      <c r="B1081" s="102">
        <v>4</v>
      </c>
      <c r="C1081" s="106">
        <v>0.003513242664505573</v>
      </c>
      <c r="D1081" s="102" t="s">
        <v>2320</v>
      </c>
      <c r="E1081" s="102" t="b">
        <v>0</v>
      </c>
      <c r="F1081" s="102" t="b">
        <v>0</v>
      </c>
      <c r="G1081" s="102" t="b">
        <v>0</v>
      </c>
    </row>
    <row r="1082" spans="1:7" ht="15">
      <c r="A1082" s="104" t="s">
        <v>2590</v>
      </c>
      <c r="B1082" s="102">
        <v>4</v>
      </c>
      <c r="C1082" s="106">
        <v>0.003513242664505573</v>
      </c>
      <c r="D1082" s="102" t="s">
        <v>2320</v>
      </c>
      <c r="E1082" s="102" t="b">
        <v>0</v>
      </c>
      <c r="F1082" s="102" t="b">
        <v>0</v>
      </c>
      <c r="G1082" s="102" t="b">
        <v>0</v>
      </c>
    </row>
    <row r="1083" spans="1:7" ht="15">
      <c r="A1083" s="104" t="s">
        <v>2438</v>
      </c>
      <c r="B1083" s="102">
        <v>4</v>
      </c>
      <c r="C1083" s="106">
        <v>0.004607897194192777</v>
      </c>
      <c r="D1083" s="102" t="s">
        <v>2320</v>
      </c>
      <c r="E1083" s="102" t="b">
        <v>0</v>
      </c>
      <c r="F1083" s="102" t="b">
        <v>0</v>
      </c>
      <c r="G1083" s="102" t="b">
        <v>0</v>
      </c>
    </row>
    <row r="1084" spans="1:7" ht="15">
      <c r="A1084" s="104" t="s">
        <v>2765</v>
      </c>
      <c r="B1084" s="102">
        <v>4</v>
      </c>
      <c r="C1084" s="106">
        <v>0.005702551723879982</v>
      </c>
      <c r="D1084" s="102" t="s">
        <v>2320</v>
      </c>
      <c r="E1084" s="102" t="b">
        <v>0</v>
      </c>
      <c r="F1084" s="102" t="b">
        <v>0</v>
      </c>
      <c r="G1084" s="102" t="b">
        <v>0</v>
      </c>
    </row>
    <row r="1085" spans="1:7" ht="15">
      <c r="A1085" s="104" t="s">
        <v>2468</v>
      </c>
      <c r="B1085" s="102">
        <v>4</v>
      </c>
      <c r="C1085" s="106">
        <v>0.004607897194192777</v>
      </c>
      <c r="D1085" s="102" t="s">
        <v>2320</v>
      </c>
      <c r="E1085" s="102" t="b">
        <v>0</v>
      </c>
      <c r="F1085" s="102" t="b">
        <v>0</v>
      </c>
      <c r="G1085" s="102" t="b">
        <v>0</v>
      </c>
    </row>
    <row r="1086" spans="1:7" ht="15">
      <c r="A1086" s="104" t="s">
        <v>2448</v>
      </c>
      <c r="B1086" s="102">
        <v>4</v>
      </c>
      <c r="C1086" s="106">
        <v>0.005702551723879982</v>
      </c>
      <c r="D1086" s="102" t="s">
        <v>2320</v>
      </c>
      <c r="E1086" s="102" t="b">
        <v>0</v>
      </c>
      <c r="F1086" s="102" t="b">
        <v>0</v>
      </c>
      <c r="G1086" s="102" t="b">
        <v>0</v>
      </c>
    </row>
    <row r="1087" spans="1:7" ht="15">
      <c r="A1087" s="104" t="s">
        <v>2419</v>
      </c>
      <c r="B1087" s="102">
        <v>4</v>
      </c>
      <c r="C1087" s="106">
        <v>0.004607897194192777</v>
      </c>
      <c r="D1087" s="102" t="s">
        <v>2320</v>
      </c>
      <c r="E1087" s="102" t="b">
        <v>0</v>
      </c>
      <c r="F1087" s="102" t="b">
        <v>0</v>
      </c>
      <c r="G1087" s="102" t="b">
        <v>0</v>
      </c>
    </row>
    <row r="1088" spans="1:7" ht="15">
      <c r="A1088" s="104" t="s">
        <v>2682</v>
      </c>
      <c r="B1088" s="102">
        <v>4</v>
      </c>
      <c r="C1088" s="106">
        <v>0.005702551723879982</v>
      </c>
      <c r="D1088" s="102" t="s">
        <v>2320</v>
      </c>
      <c r="E1088" s="102" t="b">
        <v>0</v>
      </c>
      <c r="F1088" s="102" t="b">
        <v>0</v>
      </c>
      <c r="G1088" s="102" t="b">
        <v>0</v>
      </c>
    </row>
    <row r="1089" spans="1:7" ht="15">
      <c r="A1089" s="104" t="s">
        <v>2764</v>
      </c>
      <c r="B1089" s="102">
        <v>4</v>
      </c>
      <c r="C1089" s="106">
        <v>0.005702551723879982</v>
      </c>
      <c r="D1089" s="102" t="s">
        <v>2320</v>
      </c>
      <c r="E1089" s="102" t="b">
        <v>0</v>
      </c>
      <c r="F1089" s="102" t="b">
        <v>0</v>
      </c>
      <c r="G1089" s="102" t="b">
        <v>0</v>
      </c>
    </row>
    <row r="1090" spans="1:7" ht="15">
      <c r="A1090" s="104" t="s">
        <v>2760</v>
      </c>
      <c r="B1090" s="102">
        <v>4</v>
      </c>
      <c r="C1090" s="106">
        <v>0.003967565343081209</v>
      </c>
      <c r="D1090" s="102" t="s">
        <v>2320</v>
      </c>
      <c r="E1090" s="102" t="b">
        <v>0</v>
      </c>
      <c r="F1090" s="102" t="b">
        <v>0</v>
      </c>
      <c r="G1090" s="102" t="b">
        <v>0</v>
      </c>
    </row>
    <row r="1091" spans="1:7" ht="15">
      <c r="A1091" s="104" t="s">
        <v>2433</v>
      </c>
      <c r="B1091" s="102">
        <v>4</v>
      </c>
      <c r="C1091" s="106">
        <v>0.005702551723879982</v>
      </c>
      <c r="D1091" s="102" t="s">
        <v>2320</v>
      </c>
      <c r="E1091" s="102" t="b">
        <v>0</v>
      </c>
      <c r="F1091" s="102" t="b">
        <v>0</v>
      </c>
      <c r="G1091" s="102" t="b">
        <v>0</v>
      </c>
    </row>
    <row r="1092" spans="1:7" ht="15">
      <c r="A1092" s="104" t="s">
        <v>2686</v>
      </c>
      <c r="B1092" s="102">
        <v>3</v>
      </c>
      <c r="C1092" s="106">
        <v>0.0029756740073109073</v>
      </c>
      <c r="D1092" s="102" t="s">
        <v>2320</v>
      </c>
      <c r="E1092" s="102" t="b">
        <v>0</v>
      </c>
      <c r="F1092" s="102" t="b">
        <v>0</v>
      </c>
      <c r="G1092" s="102" t="b">
        <v>0</v>
      </c>
    </row>
    <row r="1093" spans="1:7" ht="15">
      <c r="A1093" s="104" t="s">
        <v>2558</v>
      </c>
      <c r="B1093" s="102">
        <v>3</v>
      </c>
      <c r="C1093" s="106">
        <v>0.004276913792909987</v>
      </c>
      <c r="D1093" s="102" t="s">
        <v>2320</v>
      </c>
      <c r="E1093" s="102" t="b">
        <v>0</v>
      </c>
      <c r="F1093" s="102" t="b">
        <v>0</v>
      </c>
      <c r="G1093" s="102" t="b">
        <v>0</v>
      </c>
    </row>
    <row r="1094" spans="1:7" ht="15">
      <c r="A1094" s="104" t="s">
        <v>2586</v>
      </c>
      <c r="B1094" s="102">
        <v>3</v>
      </c>
      <c r="C1094" s="106">
        <v>0.003455922895644583</v>
      </c>
      <c r="D1094" s="102" t="s">
        <v>2320</v>
      </c>
      <c r="E1094" s="102" t="b">
        <v>0</v>
      </c>
      <c r="F1094" s="102" t="b">
        <v>0</v>
      </c>
      <c r="G1094" s="102" t="b">
        <v>0</v>
      </c>
    </row>
    <row r="1095" spans="1:7" ht="15">
      <c r="A1095" s="104" t="s">
        <v>2926</v>
      </c>
      <c r="B1095" s="102">
        <v>3</v>
      </c>
      <c r="C1095" s="106">
        <v>0.004276913792909987</v>
      </c>
      <c r="D1095" s="102" t="s">
        <v>2320</v>
      </c>
      <c r="E1095" s="102" t="b">
        <v>0</v>
      </c>
      <c r="F1095" s="102" t="b">
        <v>0</v>
      </c>
      <c r="G1095" s="102" t="b">
        <v>0</v>
      </c>
    </row>
    <row r="1096" spans="1:7" ht="15">
      <c r="A1096" s="104" t="s">
        <v>2549</v>
      </c>
      <c r="B1096" s="102">
        <v>3</v>
      </c>
      <c r="C1096" s="106">
        <v>0.004276913792909987</v>
      </c>
      <c r="D1096" s="102" t="s">
        <v>2320</v>
      </c>
      <c r="E1096" s="102" t="b">
        <v>0</v>
      </c>
      <c r="F1096" s="102" t="b">
        <v>0</v>
      </c>
      <c r="G1096" s="102" t="b">
        <v>0</v>
      </c>
    </row>
    <row r="1097" spans="1:7" ht="15">
      <c r="A1097" s="104" t="s">
        <v>2469</v>
      </c>
      <c r="B1097" s="102">
        <v>3</v>
      </c>
      <c r="C1097" s="106">
        <v>0.003455922895644583</v>
      </c>
      <c r="D1097" s="102" t="s">
        <v>2320</v>
      </c>
      <c r="E1097" s="102" t="b">
        <v>0</v>
      </c>
      <c r="F1097" s="102" t="b">
        <v>0</v>
      </c>
      <c r="G1097" s="102" t="b">
        <v>0</v>
      </c>
    </row>
    <row r="1098" spans="1:7" ht="15">
      <c r="A1098" s="104" t="s">
        <v>2923</v>
      </c>
      <c r="B1098" s="102">
        <v>3</v>
      </c>
      <c r="C1098" s="106">
        <v>0.003455922895644583</v>
      </c>
      <c r="D1098" s="102" t="s">
        <v>2320</v>
      </c>
      <c r="E1098" s="102" t="b">
        <v>0</v>
      </c>
      <c r="F1098" s="102" t="b">
        <v>0</v>
      </c>
      <c r="G1098" s="102" t="b">
        <v>0</v>
      </c>
    </row>
    <row r="1099" spans="1:7" ht="15">
      <c r="A1099" s="104" t="s">
        <v>2533</v>
      </c>
      <c r="B1099" s="102">
        <v>3</v>
      </c>
      <c r="C1099" s="106">
        <v>0.003455922895644583</v>
      </c>
      <c r="D1099" s="102" t="s">
        <v>2320</v>
      </c>
      <c r="E1099" s="102" t="b">
        <v>0</v>
      </c>
      <c r="F1099" s="102" t="b">
        <v>0</v>
      </c>
      <c r="G1099" s="102" t="b">
        <v>0</v>
      </c>
    </row>
    <row r="1100" spans="1:7" ht="15">
      <c r="A1100" s="104" t="s">
        <v>2368</v>
      </c>
      <c r="B1100" s="102">
        <v>3</v>
      </c>
      <c r="C1100" s="106">
        <v>0.0029756740073109073</v>
      </c>
      <c r="D1100" s="102" t="s">
        <v>2320</v>
      </c>
      <c r="E1100" s="102" t="b">
        <v>0</v>
      </c>
      <c r="F1100" s="102" t="b">
        <v>0</v>
      </c>
      <c r="G1100" s="102" t="b">
        <v>0</v>
      </c>
    </row>
    <row r="1101" spans="1:7" ht="15">
      <c r="A1101" s="104" t="s">
        <v>2369</v>
      </c>
      <c r="B1101" s="102">
        <v>3</v>
      </c>
      <c r="C1101" s="106">
        <v>0.0029756740073109073</v>
      </c>
      <c r="D1101" s="102" t="s">
        <v>2320</v>
      </c>
      <c r="E1101" s="102" t="b">
        <v>0</v>
      </c>
      <c r="F1101" s="102" t="b">
        <v>0</v>
      </c>
      <c r="G1101" s="102" t="b">
        <v>0</v>
      </c>
    </row>
    <row r="1102" spans="1:7" ht="15">
      <c r="A1102" s="104" t="s">
        <v>2431</v>
      </c>
      <c r="B1102" s="102">
        <v>3</v>
      </c>
      <c r="C1102" s="106">
        <v>0.0029756740073109073</v>
      </c>
      <c r="D1102" s="102" t="s">
        <v>2320</v>
      </c>
      <c r="E1102" s="102" t="b">
        <v>1</v>
      </c>
      <c r="F1102" s="102" t="b">
        <v>0</v>
      </c>
      <c r="G1102" s="102" t="b">
        <v>0</v>
      </c>
    </row>
    <row r="1103" spans="1:7" ht="15">
      <c r="A1103" s="104" t="s">
        <v>2924</v>
      </c>
      <c r="B1103" s="102">
        <v>3</v>
      </c>
      <c r="C1103" s="106">
        <v>0.004276913792909987</v>
      </c>
      <c r="D1103" s="102" t="s">
        <v>2320</v>
      </c>
      <c r="E1103" s="102" t="b">
        <v>0</v>
      </c>
      <c r="F1103" s="102" t="b">
        <v>0</v>
      </c>
      <c r="G1103" s="102" t="b">
        <v>0</v>
      </c>
    </row>
    <row r="1104" spans="1:7" ht="15">
      <c r="A1104" s="104" t="s">
        <v>2925</v>
      </c>
      <c r="B1104" s="102">
        <v>3</v>
      </c>
      <c r="C1104" s="106">
        <v>0.004276913792909987</v>
      </c>
      <c r="D1104" s="102" t="s">
        <v>2320</v>
      </c>
      <c r="E1104" s="102" t="b">
        <v>0</v>
      </c>
      <c r="F1104" s="102" t="b">
        <v>0</v>
      </c>
      <c r="G1104" s="102" t="b">
        <v>0</v>
      </c>
    </row>
    <row r="1105" spans="1:7" ht="15">
      <c r="A1105" s="104" t="s">
        <v>2354</v>
      </c>
      <c r="B1105" s="102">
        <v>3</v>
      </c>
      <c r="C1105" s="106">
        <v>0.0029756740073109073</v>
      </c>
      <c r="D1105" s="102" t="s">
        <v>2320</v>
      </c>
      <c r="E1105" s="102" t="b">
        <v>0</v>
      </c>
      <c r="F1105" s="102" t="b">
        <v>0</v>
      </c>
      <c r="G1105" s="102" t="b">
        <v>0</v>
      </c>
    </row>
    <row r="1106" spans="1:7" ht="15">
      <c r="A1106" s="104" t="s">
        <v>2417</v>
      </c>
      <c r="B1106" s="102">
        <v>3</v>
      </c>
      <c r="C1106" s="106">
        <v>0.003455922895644583</v>
      </c>
      <c r="D1106" s="102" t="s">
        <v>2320</v>
      </c>
      <c r="E1106" s="102" t="b">
        <v>0</v>
      </c>
      <c r="F1106" s="102" t="b">
        <v>0</v>
      </c>
      <c r="G1106" s="102" t="b">
        <v>0</v>
      </c>
    </row>
    <row r="1107" spans="1:7" ht="15">
      <c r="A1107" s="104" t="s">
        <v>2461</v>
      </c>
      <c r="B1107" s="102">
        <v>3</v>
      </c>
      <c r="C1107" s="106">
        <v>0.0029756740073109073</v>
      </c>
      <c r="D1107" s="102" t="s">
        <v>2320</v>
      </c>
      <c r="E1107" s="102" t="b">
        <v>0</v>
      </c>
      <c r="F1107" s="102" t="b">
        <v>0</v>
      </c>
      <c r="G1107" s="102" t="b">
        <v>0</v>
      </c>
    </row>
    <row r="1108" spans="1:7" ht="15">
      <c r="A1108" s="104" t="s">
        <v>2414</v>
      </c>
      <c r="B1108" s="102">
        <v>3</v>
      </c>
      <c r="C1108" s="106">
        <v>0.0029756740073109073</v>
      </c>
      <c r="D1108" s="102" t="s">
        <v>2320</v>
      </c>
      <c r="E1108" s="102" t="b">
        <v>0</v>
      </c>
      <c r="F1108" s="102" t="b">
        <v>0</v>
      </c>
      <c r="G1108" s="102" t="b">
        <v>0</v>
      </c>
    </row>
    <row r="1109" spans="1:7" ht="15">
      <c r="A1109" s="104" t="s">
        <v>2432</v>
      </c>
      <c r="B1109" s="102">
        <v>3</v>
      </c>
      <c r="C1109" s="106">
        <v>0.0029756740073109073</v>
      </c>
      <c r="D1109" s="102" t="s">
        <v>2320</v>
      </c>
      <c r="E1109" s="102" t="b">
        <v>0</v>
      </c>
      <c r="F1109" s="102" t="b">
        <v>0</v>
      </c>
      <c r="G1109" s="102" t="b">
        <v>0</v>
      </c>
    </row>
    <row r="1110" spans="1:7" ht="15">
      <c r="A1110" s="104" t="s">
        <v>2684</v>
      </c>
      <c r="B1110" s="102">
        <v>3</v>
      </c>
      <c r="C1110" s="106">
        <v>0.0029756740073109073</v>
      </c>
      <c r="D1110" s="102" t="s">
        <v>2320</v>
      </c>
      <c r="E1110" s="102" t="b">
        <v>0</v>
      </c>
      <c r="F1110" s="102" t="b">
        <v>0</v>
      </c>
      <c r="G1110" s="102" t="b">
        <v>0</v>
      </c>
    </row>
    <row r="1111" spans="1:7" ht="15">
      <c r="A1111" s="104" t="s">
        <v>2402</v>
      </c>
      <c r="B1111" s="102">
        <v>3</v>
      </c>
      <c r="C1111" s="106">
        <v>0.0029756740073109073</v>
      </c>
      <c r="D1111" s="102" t="s">
        <v>2320</v>
      </c>
      <c r="E1111" s="102" t="b">
        <v>0</v>
      </c>
      <c r="F1111" s="102" t="b">
        <v>0</v>
      </c>
      <c r="G1111" s="102" t="b">
        <v>0</v>
      </c>
    </row>
    <row r="1112" spans="1:7" ht="15">
      <c r="A1112" s="104" t="s">
        <v>2392</v>
      </c>
      <c r="B1112" s="102">
        <v>3</v>
      </c>
      <c r="C1112" s="106">
        <v>0.003455922895644583</v>
      </c>
      <c r="D1112" s="102" t="s">
        <v>2320</v>
      </c>
      <c r="E1112" s="102" t="b">
        <v>0</v>
      </c>
      <c r="F1112" s="102" t="b">
        <v>0</v>
      </c>
      <c r="G1112" s="102" t="b">
        <v>0</v>
      </c>
    </row>
    <row r="1113" spans="1:7" ht="15">
      <c r="A1113" s="104" t="s">
        <v>2886</v>
      </c>
      <c r="B1113" s="102">
        <v>3</v>
      </c>
      <c r="C1113" s="106">
        <v>0.004276913792909987</v>
      </c>
      <c r="D1113" s="102" t="s">
        <v>2320</v>
      </c>
      <c r="E1113" s="102" t="b">
        <v>0</v>
      </c>
      <c r="F1113" s="102" t="b">
        <v>0</v>
      </c>
      <c r="G1113" s="102" t="b">
        <v>0</v>
      </c>
    </row>
    <row r="1114" spans="1:7" ht="15">
      <c r="A1114" s="104" t="s">
        <v>2633</v>
      </c>
      <c r="B1114" s="102">
        <v>3</v>
      </c>
      <c r="C1114" s="106">
        <v>0.003455922895644583</v>
      </c>
      <c r="D1114" s="102" t="s">
        <v>2320</v>
      </c>
      <c r="E1114" s="102" t="b">
        <v>0</v>
      </c>
      <c r="F1114" s="102" t="b">
        <v>0</v>
      </c>
      <c r="G1114" s="102" t="b">
        <v>0</v>
      </c>
    </row>
    <row r="1115" spans="1:7" ht="15">
      <c r="A1115" s="104" t="s">
        <v>2363</v>
      </c>
      <c r="B1115" s="102">
        <v>3</v>
      </c>
      <c r="C1115" s="106">
        <v>0.004276913792909987</v>
      </c>
      <c r="D1115" s="102" t="s">
        <v>2320</v>
      </c>
      <c r="E1115" s="102" t="b">
        <v>0</v>
      </c>
      <c r="F1115" s="102" t="b">
        <v>0</v>
      </c>
      <c r="G1115" s="102" t="b">
        <v>0</v>
      </c>
    </row>
    <row r="1116" spans="1:7" ht="15">
      <c r="A1116" s="104" t="s">
        <v>2486</v>
      </c>
      <c r="B1116" s="102">
        <v>3</v>
      </c>
      <c r="C1116" s="106">
        <v>0.003455922895644583</v>
      </c>
      <c r="D1116" s="102" t="s">
        <v>2320</v>
      </c>
      <c r="E1116" s="102" t="b">
        <v>0</v>
      </c>
      <c r="F1116" s="102" t="b">
        <v>0</v>
      </c>
      <c r="G1116" s="102" t="b">
        <v>0</v>
      </c>
    </row>
    <row r="1117" spans="1:7" ht="15">
      <c r="A1117" s="104" t="s">
        <v>2453</v>
      </c>
      <c r="B1117" s="102">
        <v>3</v>
      </c>
      <c r="C1117" s="106">
        <v>0.003455922895644583</v>
      </c>
      <c r="D1117" s="102" t="s">
        <v>2320</v>
      </c>
      <c r="E1117" s="102" t="b">
        <v>0</v>
      </c>
      <c r="F1117" s="102" t="b">
        <v>0</v>
      </c>
      <c r="G1117" s="102" t="b">
        <v>0</v>
      </c>
    </row>
    <row r="1118" spans="1:7" ht="15">
      <c r="A1118" s="104" t="s">
        <v>2881</v>
      </c>
      <c r="B1118" s="102">
        <v>3</v>
      </c>
      <c r="C1118" s="106">
        <v>0.004276913792909987</v>
      </c>
      <c r="D1118" s="102" t="s">
        <v>2320</v>
      </c>
      <c r="E1118" s="102" t="b">
        <v>0</v>
      </c>
      <c r="F1118" s="102" t="b">
        <v>0</v>
      </c>
      <c r="G1118" s="102" t="b">
        <v>0</v>
      </c>
    </row>
    <row r="1119" spans="1:7" ht="15">
      <c r="A1119" s="104" t="s">
        <v>2455</v>
      </c>
      <c r="B1119" s="102">
        <v>2</v>
      </c>
      <c r="C1119" s="106">
        <v>0.0023039485970963885</v>
      </c>
      <c r="D1119" s="102" t="s">
        <v>2320</v>
      </c>
      <c r="E1119" s="102" t="b">
        <v>0</v>
      </c>
      <c r="F1119" s="102" t="b">
        <v>0</v>
      </c>
      <c r="G1119" s="102" t="b">
        <v>0</v>
      </c>
    </row>
    <row r="1120" spans="1:7" ht="15">
      <c r="A1120" s="104" t="s">
        <v>2465</v>
      </c>
      <c r="B1120" s="102">
        <v>2</v>
      </c>
      <c r="C1120" s="106">
        <v>0.0023039485970963885</v>
      </c>
      <c r="D1120" s="102" t="s">
        <v>2320</v>
      </c>
      <c r="E1120" s="102" t="b">
        <v>0</v>
      </c>
      <c r="F1120" s="102" t="b">
        <v>1</v>
      </c>
      <c r="G1120" s="102" t="b">
        <v>0</v>
      </c>
    </row>
    <row r="1121" spans="1:7" ht="15">
      <c r="A1121" s="104" t="s">
        <v>2601</v>
      </c>
      <c r="B1121" s="102">
        <v>2</v>
      </c>
      <c r="C1121" s="106">
        <v>0.0023039485970963885</v>
      </c>
      <c r="D1121" s="102" t="s">
        <v>2320</v>
      </c>
      <c r="E1121" s="102" t="b">
        <v>0</v>
      </c>
      <c r="F1121" s="102" t="b">
        <v>0</v>
      </c>
      <c r="G1121" s="102" t="b">
        <v>0</v>
      </c>
    </row>
    <row r="1122" spans="1:7" ht="15">
      <c r="A1122" s="104" t="s">
        <v>3141</v>
      </c>
      <c r="B1122" s="102">
        <v>2</v>
      </c>
      <c r="C1122" s="106">
        <v>0.0023039485970963885</v>
      </c>
      <c r="D1122" s="102" t="s">
        <v>2320</v>
      </c>
      <c r="E1122" s="102" t="b">
        <v>0</v>
      </c>
      <c r="F1122" s="102" t="b">
        <v>0</v>
      </c>
      <c r="G1122" s="102" t="b">
        <v>0</v>
      </c>
    </row>
    <row r="1123" spans="1:7" ht="15">
      <c r="A1123" s="104" t="s">
        <v>2442</v>
      </c>
      <c r="B1123" s="102">
        <v>2</v>
      </c>
      <c r="C1123" s="106">
        <v>0.0023039485970963885</v>
      </c>
      <c r="D1123" s="102" t="s">
        <v>2320</v>
      </c>
      <c r="E1123" s="102" t="b">
        <v>0</v>
      </c>
      <c r="F1123" s="102" t="b">
        <v>0</v>
      </c>
      <c r="G1123" s="102" t="b">
        <v>0</v>
      </c>
    </row>
    <row r="1124" spans="1:7" ht="15">
      <c r="A1124" s="104" t="s">
        <v>2454</v>
      </c>
      <c r="B1124" s="102">
        <v>2</v>
      </c>
      <c r="C1124" s="106">
        <v>0.0023039485970963885</v>
      </c>
      <c r="D1124" s="102" t="s">
        <v>2320</v>
      </c>
      <c r="E1124" s="102" t="b">
        <v>0</v>
      </c>
      <c r="F1124" s="102" t="b">
        <v>0</v>
      </c>
      <c r="G1124" s="102" t="b">
        <v>0</v>
      </c>
    </row>
    <row r="1125" spans="1:7" ht="15">
      <c r="A1125" s="104" t="s">
        <v>3269</v>
      </c>
      <c r="B1125" s="102">
        <v>2</v>
      </c>
      <c r="C1125" s="106">
        <v>0.002851275861939991</v>
      </c>
      <c r="D1125" s="102" t="s">
        <v>2320</v>
      </c>
      <c r="E1125" s="102" t="b">
        <v>0</v>
      </c>
      <c r="F1125" s="102" t="b">
        <v>0</v>
      </c>
      <c r="G1125" s="102" t="b">
        <v>0</v>
      </c>
    </row>
    <row r="1126" spans="1:7" ht="15">
      <c r="A1126" s="104" t="s">
        <v>2515</v>
      </c>
      <c r="B1126" s="102">
        <v>2</v>
      </c>
      <c r="C1126" s="106">
        <v>0.002851275861939991</v>
      </c>
      <c r="D1126" s="102" t="s">
        <v>2320</v>
      </c>
      <c r="E1126" s="102" t="b">
        <v>0</v>
      </c>
      <c r="F1126" s="102" t="b">
        <v>0</v>
      </c>
      <c r="G1126" s="102" t="b">
        <v>0</v>
      </c>
    </row>
    <row r="1127" spans="1:7" ht="15">
      <c r="A1127" s="104" t="s">
        <v>2530</v>
      </c>
      <c r="B1127" s="102">
        <v>2</v>
      </c>
      <c r="C1127" s="106">
        <v>0.0023039485970963885</v>
      </c>
      <c r="D1127" s="102" t="s">
        <v>2320</v>
      </c>
      <c r="E1127" s="102" t="b">
        <v>0</v>
      </c>
      <c r="F1127" s="102" t="b">
        <v>0</v>
      </c>
      <c r="G1127" s="102" t="b">
        <v>0</v>
      </c>
    </row>
    <row r="1128" spans="1:7" ht="15">
      <c r="A1128" s="104" t="s">
        <v>3147</v>
      </c>
      <c r="B1128" s="102">
        <v>2</v>
      </c>
      <c r="C1128" s="106">
        <v>0.0023039485970963885</v>
      </c>
      <c r="D1128" s="102" t="s">
        <v>2320</v>
      </c>
      <c r="E1128" s="102" t="b">
        <v>0</v>
      </c>
      <c r="F1128" s="102" t="b">
        <v>0</v>
      </c>
      <c r="G1128" s="102" t="b">
        <v>0</v>
      </c>
    </row>
    <row r="1129" spans="1:7" ht="15">
      <c r="A1129" s="104" t="s">
        <v>2720</v>
      </c>
      <c r="B1129" s="102">
        <v>2</v>
      </c>
      <c r="C1129" s="106">
        <v>0.0023039485970963885</v>
      </c>
      <c r="D1129" s="102" t="s">
        <v>2320</v>
      </c>
      <c r="E1129" s="102" t="b">
        <v>0</v>
      </c>
      <c r="F1129" s="102" t="b">
        <v>0</v>
      </c>
      <c r="G1129" s="102" t="b">
        <v>0</v>
      </c>
    </row>
    <row r="1130" spans="1:7" ht="15">
      <c r="A1130" s="104" t="s">
        <v>3265</v>
      </c>
      <c r="B1130" s="102">
        <v>2</v>
      </c>
      <c r="C1130" s="106">
        <v>0.0023039485970963885</v>
      </c>
      <c r="D1130" s="102" t="s">
        <v>2320</v>
      </c>
      <c r="E1130" s="102" t="b">
        <v>0</v>
      </c>
      <c r="F1130" s="102" t="b">
        <v>0</v>
      </c>
      <c r="G1130" s="102" t="b">
        <v>0</v>
      </c>
    </row>
    <row r="1131" spans="1:7" ht="15">
      <c r="A1131" s="104" t="s">
        <v>2652</v>
      </c>
      <c r="B1131" s="102">
        <v>2</v>
      </c>
      <c r="C1131" s="106">
        <v>0.0023039485970963885</v>
      </c>
      <c r="D1131" s="102" t="s">
        <v>2320</v>
      </c>
      <c r="E1131" s="102" t="b">
        <v>0</v>
      </c>
      <c r="F1131" s="102" t="b">
        <v>0</v>
      </c>
      <c r="G1131" s="102" t="b">
        <v>0</v>
      </c>
    </row>
    <row r="1132" spans="1:7" ht="15">
      <c r="A1132" s="104" t="s">
        <v>2657</v>
      </c>
      <c r="B1132" s="102">
        <v>2</v>
      </c>
      <c r="C1132" s="106">
        <v>0.0023039485970963885</v>
      </c>
      <c r="D1132" s="102" t="s">
        <v>2320</v>
      </c>
      <c r="E1132" s="102" t="b">
        <v>0</v>
      </c>
      <c r="F1132" s="102" t="b">
        <v>0</v>
      </c>
      <c r="G1132" s="102" t="b">
        <v>0</v>
      </c>
    </row>
    <row r="1133" spans="1:7" ht="15">
      <c r="A1133" s="104" t="s">
        <v>2422</v>
      </c>
      <c r="B1133" s="102">
        <v>2</v>
      </c>
      <c r="C1133" s="106">
        <v>0.0023039485970963885</v>
      </c>
      <c r="D1133" s="102" t="s">
        <v>2320</v>
      </c>
      <c r="E1133" s="102" t="b">
        <v>0</v>
      </c>
      <c r="F1133" s="102" t="b">
        <v>0</v>
      </c>
      <c r="G1133" s="102" t="b">
        <v>0</v>
      </c>
    </row>
    <row r="1134" spans="1:7" ht="15">
      <c r="A1134" s="104" t="s">
        <v>3268</v>
      </c>
      <c r="B1134" s="102">
        <v>2</v>
      </c>
      <c r="C1134" s="106">
        <v>0.002851275861939991</v>
      </c>
      <c r="D1134" s="102" t="s">
        <v>2320</v>
      </c>
      <c r="E1134" s="102" t="b">
        <v>0</v>
      </c>
      <c r="F1134" s="102" t="b">
        <v>0</v>
      </c>
      <c r="G1134" s="102" t="b">
        <v>0</v>
      </c>
    </row>
    <row r="1135" spans="1:7" ht="15">
      <c r="A1135" s="104" t="s">
        <v>2887</v>
      </c>
      <c r="B1135" s="102">
        <v>2</v>
      </c>
      <c r="C1135" s="106">
        <v>0.0023039485970963885</v>
      </c>
      <c r="D1135" s="102" t="s">
        <v>2320</v>
      </c>
      <c r="E1135" s="102" t="b">
        <v>0</v>
      </c>
      <c r="F1135" s="102" t="b">
        <v>0</v>
      </c>
      <c r="G1135" s="102" t="b">
        <v>0</v>
      </c>
    </row>
    <row r="1136" spans="1:7" ht="15">
      <c r="A1136" s="104" t="s">
        <v>3179</v>
      </c>
      <c r="B1136" s="102">
        <v>2</v>
      </c>
      <c r="C1136" s="106">
        <v>0.0023039485970963885</v>
      </c>
      <c r="D1136" s="102" t="s">
        <v>2320</v>
      </c>
      <c r="E1136" s="102" t="b">
        <v>0</v>
      </c>
      <c r="F1136" s="102" t="b">
        <v>1</v>
      </c>
      <c r="G1136" s="102" t="b">
        <v>0</v>
      </c>
    </row>
    <row r="1137" spans="1:7" ht="15">
      <c r="A1137" s="104" t="s">
        <v>2897</v>
      </c>
      <c r="B1137" s="102">
        <v>2</v>
      </c>
      <c r="C1137" s="106">
        <v>0.0023039485970963885</v>
      </c>
      <c r="D1137" s="102" t="s">
        <v>2320</v>
      </c>
      <c r="E1137" s="102" t="b">
        <v>0</v>
      </c>
      <c r="F1137" s="102" t="b">
        <v>0</v>
      </c>
      <c r="G1137" s="102" t="b">
        <v>0</v>
      </c>
    </row>
    <row r="1138" spans="1:7" ht="15">
      <c r="A1138" s="104" t="s">
        <v>2888</v>
      </c>
      <c r="B1138" s="102">
        <v>2</v>
      </c>
      <c r="C1138" s="106">
        <v>0.0023039485970963885</v>
      </c>
      <c r="D1138" s="102" t="s">
        <v>2320</v>
      </c>
      <c r="E1138" s="102" t="b">
        <v>0</v>
      </c>
      <c r="F1138" s="102" t="b">
        <v>0</v>
      </c>
      <c r="G1138" s="102" t="b">
        <v>0</v>
      </c>
    </row>
    <row r="1139" spans="1:7" ht="15">
      <c r="A1139" s="104" t="s">
        <v>3180</v>
      </c>
      <c r="B1139" s="102">
        <v>2</v>
      </c>
      <c r="C1139" s="106">
        <v>0.0023039485970963885</v>
      </c>
      <c r="D1139" s="102" t="s">
        <v>2320</v>
      </c>
      <c r="E1139" s="102" t="b">
        <v>0</v>
      </c>
      <c r="F1139" s="102" t="b">
        <v>0</v>
      </c>
      <c r="G1139" s="102" t="b">
        <v>0</v>
      </c>
    </row>
    <row r="1140" spans="1:7" ht="15">
      <c r="A1140" s="104" t="s">
        <v>3168</v>
      </c>
      <c r="B1140" s="102">
        <v>2</v>
      </c>
      <c r="C1140" s="106">
        <v>0.0023039485970963885</v>
      </c>
      <c r="D1140" s="102" t="s">
        <v>2320</v>
      </c>
      <c r="E1140" s="102" t="b">
        <v>0</v>
      </c>
      <c r="F1140" s="102" t="b">
        <v>0</v>
      </c>
      <c r="G1140" s="102" t="b">
        <v>0</v>
      </c>
    </row>
    <row r="1141" spans="1:7" ht="15">
      <c r="A1141" s="104" t="s">
        <v>2510</v>
      </c>
      <c r="B1141" s="102">
        <v>2</v>
      </c>
      <c r="C1141" s="106">
        <v>0.0023039485970963885</v>
      </c>
      <c r="D1141" s="102" t="s">
        <v>2320</v>
      </c>
      <c r="E1141" s="102" t="b">
        <v>0</v>
      </c>
      <c r="F1141" s="102" t="b">
        <v>0</v>
      </c>
      <c r="G1141" s="102" t="b">
        <v>0</v>
      </c>
    </row>
    <row r="1142" spans="1:7" ht="15">
      <c r="A1142" s="104" t="s">
        <v>2561</v>
      </c>
      <c r="B1142" s="102">
        <v>2</v>
      </c>
      <c r="C1142" s="106">
        <v>0.0023039485970963885</v>
      </c>
      <c r="D1142" s="102" t="s">
        <v>2320</v>
      </c>
      <c r="E1142" s="102" t="b">
        <v>0</v>
      </c>
      <c r="F1142" s="102" t="b">
        <v>0</v>
      </c>
      <c r="G1142" s="102" t="b">
        <v>0</v>
      </c>
    </row>
    <row r="1143" spans="1:7" ht="15">
      <c r="A1143" s="104" t="s">
        <v>2894</v>
      </c>
      <c r="B1143" s="102">
        <v>2</v>
      </c>
      <c r="C1143" s="106">
        <v>0.0023039485970963885</v>
      </c>
      <c r="D1143" s="102" t="s">
        <v>2320</v>
      </c>
      <c r="E1143" s="102" t="b">
        <v>0</v>
      </c>
      <c r="F1143" s="102" t="b">
        <v>0</v>
      </c>
      <c r="G1143" s="102" t="b">
        <v>0</v>
      </c>
    </row>
    <row r="1144" spans="1:7" ht="15">
      <c r="A1144" s="104" t="s">
        <v>3176</v>
      </c>
      <c r="B1144" s="102">
        <v>2</v>
      </c>
      <c r="C1144" s="106">
        <v>0.002851275861939991</v>
      </c>
      <c r="D1144" s="102" t="s">
        <v>2320</v>
      </c>
      <c r="E1144" s="102" t="b">
        <v>0</v>
      </c>
      <c r="F1144" s="102" t="b">
        <v>0</v>
      </c>
      <c r="G1144" s="102" t="b">
        <v>0</v>
      </c>
    </row>
    <row r="1145" spans="1:7" ht="15">
      <c r="A1145" s="104" t="s">
        <v>3177</v>
      </c>
      <c r="B1145" s="102">
        <v>2</v>
      </c>
      <c r="C1145" s="106">
        <v>0.002851275861939991</v>
      </c>
      <c r="D1145" s="102" t="s">
        <v>2320</v>
      </c>
      <c r="E1145" s="102" t="b">
        <v>0</v>
      </c>
      <c r="F1145" s="102" t="b">
        <v>0</v>
      </c>
      <c r="G1145" s="102" t="b">
        <v>0</v>
      </c>
    </row>
    <row r="1146" spans="1:7" ht="15">
      <c r="A1146" s="104" t="s">
        <v>3137</v>
      </c>
      <c r="B1146" s="102">
        <v>2</v>
      </c>
      <c r="C1146" s="106">
        <v>0.0023039485970963885</v>
      </c>
      <c r="D1146" s="102" t="s">
        <v>2320</v>
      </c>
      <c r="E1146" s="102" t="b">
        <v>0</v>
      </c>
      <c r="F1146" s="102" t="b">
        <v>0</v>
      </c>
      <c r="G1146" s="102" t="b">
        <v>0</v>
      </c>
    </row>
    <row r="1147" spans="1:7" ht="15">
      <c r="A1147" s="104" t="s">
        <v>2381</v>
      </c>
      <c r="B1147" s="102">
        <v>2</v>
      </c>
      <c r="C1147" s="106">
        <v>0.0023039485970963885</v>
      </c>
      <c r="D1147" s="102" t="s">
        <v>2320</v>
      </c>
      <c r="E1147" s="102" t="b">
        <v>0</v>
      </c>
      <c r="F1147" s="102" t="b">
        <v>0</v>
      </c>
      <c r="G1147" s="102" t="b">
        <v>0</v>
      </c>
    </row>
    <row r="1148" spans="1:7" ht="15">
      <c r="A1148" s="104" t="s">
        <v>3138</v>
      </c>
      <c r="B1148" s="102">
        <v>2</v>
      </c>
      <c r="C1148" s="106">
        <v>0.0023039485970963885</v>
      </c>
      <c r="D1148" s="102" t="s">
        <v>2320</v>
      </c>
      <c r="E1148" s="102" t="b">
        <v>0</v>
      </c>
      <c r="F1148" s="102" t="b">
        <v>0</v>
      </c>
      <c r="G1148" s="102" t="b">
        <v>0</v>
      </c>
    </row>
    <row r="1149" spans="1:7" ht="15">
      <c r="A1149" s="104" t="s">
        <v>3139</v>
      </c>
      <c r="B1149" s="102">
        <v>2</v>
      </c>
      <c r="C1149" s="106">
        <v>0.0023039485970963885</v>
      </c>
      <c r="D1149" s="102" t="s">
        <v>2320</v>
      </c>
      <c r="E1149" s="102" t="b">
        <v>0</v>
      </c>
      <c r="F1149" s="102" t="b">
        <v>0</v>
      </c>
      <c r="G1149" s="102" t="b">
        <v>0</v>
      </c>
    </row>
    <row r="1150" spans="1:7" ht="15">
      <c r="A1150" s="104" t="s">
        <v>2386</v>
      </c>
      <c r="B1150" s="102">
        <v>2</v>
      </c>
      <c r="C1150" s="106">
        <v>0.002851275861939991</v>
      </c>
      <c r="D1150" s="102" t="s">
        <v>2320</v>
      </c>
      <c r="E1150" s="102" t="b">
        <v>0</v>
      </c>
      <c r="F1150" s="102" t="b">
        <v>0</v>
      </c>
      <c r="G1150" s="102" t="b">
        <v>0</v>
      </c>
    </row>
    <row r="1151" spans="1:7" ht="15">
      <c r="A1151" s="104" t="s">
        <v>3161</v>
      </c>
      <c r="B1151" s="102">
        <v>2</v>
      </c>
      <c r="C1151" s="106">
        <v>0.002851275861939991</v>
      </c>
      <c r="D1151" s="102" t="s">
        <v>2320</v>
      </c>
      <c r="E1151" s="102" t="b">
        <v>0</v>
      </c>
      <c r="F1151" s="102" t="b">
        <v>0</v>
      </c>
      <c r="G1151" s="102" t="b">
        <v>0</v>
      </c>
    </row>
    <row r="1152" spans="1:7" ht="15">
      <c r="A1152" s="104" t="s">
        <v>2841</v>
      </c>
      <c r="B1152" s="102">
        <v>2</v>
      </c>
      <c r="C1152" s="106">
        <v>0.002851275861939991</v>
      </c>
      <c r="D1152" s="102" t="s">
        <v>2320</v>
      </c>
      <c r="E1152" s="102" t="b">
        <v>0</v>
      </c>
      <c r="F1152" s="102" t="b">
        <v>0</v>
      </c>
      <c r="G1152" s="102" t="b">
        <v>0</v>
      </c>
    </row>
    <row r="1153" spans="1:7" ht="15">
      <c r="A1153" s="104" t="s">
        <v>3162</v>
      </c>
      <c r="B1153" s="102">
        <v>2</v>
      </c>
      <c r="C1153" s="106">
        <v>0.002851275861939991</v>
      </c>
      <c r="D1153" s="102" t="s">
        <v>2320</v>
      </c>
      <c r="E1153" s="102" t="b">
        <v>0</v>
      </c>
      <c r="F1153" s="102" t="b">
        <v>0</v>
      </c>
      <c r="G1153" s="102" t="b">
        <v>0</v>
      </c>
    </row>
    <row r="1154" spans="1:7" ht="15">
      <c r="A1154" s="104" t="s">
        <v>3163</v>
      </c>
      <c r="B1154" s="102">
        <v>2</v>
      </c>
      <c r="C1154" s="106">
        <v>0.002851275861939991</v>
      </c>
      <c r="D1154" s="102" t="s">
        <v>2320</v>
      </c>
      <c r="E1154" s="102" t="b">
        <v>0</v>
      </c>
      <c r="F1154" s="102" t="b">
        <v>0</v>
      </c>
      <c r="G1154" s="102" t="b">
        <v>0</v>
      </c>
    </row>
    <row r="1155" spans="1:7" ht="15">
      <c r="A1155" s="104" t="s">
        <v>2383</v>
      </c>
      <c r="B1155" s="102">
        <v>2</v>
      </c>
      <c r="C1155" s="106">
        <v>0.0023039485970963885</v>
      </c>
      <c r="D1155" s="102" t="s">
        <v>2320</v>
      </c>
      <c r="E1155" s="102" t="b">
        <v>0</v>
      </c>
      <c r="F1155" s="102" t="b">
        <v>0</v>
      </c>
      <c r="G1155" s="102" t="b">
        <v>0</v>
      </c>
    </row>
    <row r="1156" spans="1:7" ht="15">
      <c r="A1156" s="104" t="s">
        <v>2371</v>
      </c>
      <c r="B1156" s="102">
        <v>2</v>
      </c>
      <c r="C1156" s="106">
        <v>0.002851275861939991</v>
      </c>
      <c r="D1156" s="102" t="s">
        <v>2320</v>
      </c>
      <c r="E1156" s="102" t="b">
        <v>0</v>
      </c>
      <c r="F1156" s="102" t="b">
        <v>0</v>
      </c>
      <c r="G1156" s="102" t="b">
        <v>0</v>
      </c>
    </row>
    <row r="1157" spans="1:7" ht="15">
      <c r="A1157" s="104" t="s">
        <v>2358</v>
      </c>
      <c r="B1157" s="102">
        <v>2</v>
      </c>
      <c r="C1157" s="106">
        <v>0.002851275861939991</v>
      </c>
      <c r="D1157" s="102" t="s">
        <v>2320</v>
      </c>
      <c r="E1157" s="102" t="b">
        <v>0</v>
      </c>
      <c r="F1157" s="102" t="b">
        <v>0</v>
      </c>
      <c r="G1157" s="102" t="b">
        <v>0</v>
      </c>
    </row>
    <row r="1158" spans="1:7" ht="15">
      <c r="A1158" s="104" t="s">
        <v>2380</v>
      </c>
      <c r="B1158" s="102">
        <v>2</v>
      </c>
      <c r="C1158" s="106">
        <v>0.002851275861939991</v>
      </c>
      <c r="D1158" s="102" t="s">
        <v>2320</v>
      </c>
      <c r="E1158" s="102" t="b">
        <v>0</v>
      </c>
      <c r="F1158" s="102" t="b">
        <v>0</v>
      </c>
      <c r="G1158" s="102" t="b">
        <v>0</v>
      </c>
    </row>
    <row r="1159" spans="1:7" ht="15">
      <c r="A1159" s="104" t="s">
        <v>2639</v>
      </c>
      <c r="B1159" s="102">
        <v>2</v>
      </c>
      <c r="C1159" s="106">
        <v>0.0023039485970963885</v>
      </c>
      <c r="D1159" s="102" t="s">
        <v>2320</v>
      </c>
      <c r="E1159" s="102" t="b">
        <v>0</v>
      </c>
      <c r="F1159" s="102" t="b">
        <v>0</v>
      </c>
      <c r="G1159" s="102" t="b">
        <v>0</v>
      </c>
    </row>
    <row r="1160" spans="1:7" ht="15">
      <c r="A1160" s="104" t="s">
        <v>3152</v>
      </c>
      <c r="B1160" s="102">
        <v>2</v>
      </c>
      <c r="C1160" s="106">
        <v>0.002851275861939991</v>
      </c>
      <c r="D1160" s="102" t="s">
        <v>2320</v>
      </c>
      <c r="E1160" s="102" t="b">
        <v>0</v>
      </c>
      <c r="F1160" s="102" t="b">
        <v>0</v>
      </c>
      <c r="G1160" s="102" t="b">
        <v>0</v>
      </c>
    </row>
    <row r="1161" spans="1:7" ht="15">
      <c r="A1161" s="104" t="s">
        <v>3149</v>
      </c>
      <c r="B1161" s="102">
        <v>2</v>
      </c>
      <c r="C1161" s="106">
        <v>0.002851275861939991</v>
      </c>
      <c r="D1161" s="102" t="s">
        <v>2320</v>
      </c>
      <c r="E1161" s="102" t="b">
        <v>0</v>
      </c>
      <c r="F1161" s="102" t="b">
        <v>0</v>
      </c>
      <c r="G1161" s="102" t="b">
        <v>0</v>
      </c>
    </row>
    <row r="1162" spans="1:7" ht="15">
      <c r="A1162" s="104" t="s">
        <v>3150</v>
      </c>
      <c r="B1162" s="102">
        <v>2</v>
      </c>
      <c r="C1162" s="106">
        <v>0.002851275861939991</v>
      </c>
      <c r="D1162" s="102" t="s">
        <v>2320</v>
      </c>
      <c r="E1162" s="102" t="b">
        <v>0</v>
      </c>
      <c r="F1162" s="102" t="b">
        <v>0</v>
      </c>
      <c r="G1162" s="102" t="b">
        <v>0</v>
      </c>
    </row>
    <row r="1163" spans="1:7" ht="15">
      <c r="A1163" s="104" t="s">
        <v>3151</v>
      </c>
      <c r="B1163" s="102">
        <v>2</v>
      </c>
      <c r="C1163" s="106">
        <v>0.002851275861939991</v>
      </c>
      <c r="D1163" s="102" t="s">
        <v>2320</v>
      </c>
      <c r="E1163" s="102" t="b">
        <v>0</v>
      </c>
      <c r="F1163" s="102" t="b">
        <v>0</v>
      </c>
      <c r="G1163" s="102" t="b">
        <v>0</v>
      </c>
    </row>
    <row r="1164" spans="1:7" ht="15">
      <c r="A1164" s="104" t="s">
        <v>2452</v>
      </c>
      <c r="B1164" s="102">
        <v>2</v>
      </c>
      <c r="C1164" s="106">
        <v>0.002851275861939991</v>
      </c>
      <c r="D1164" s="102" t="s">
        <v>2320</v>
      </c>
      <c r="E1164" s="102" t="b">
        <v>0</v>
      </c>
      <c r="F1164" s="102" t="b">
        <v>0</v>
      </c>
      <c r="G1164" s="102" t="b">
        <v>0</v>
      </c>
    </row>
    <row r="1165" spans="1:7" ht="15">
      <c r="A1165" s="104" t="s">
        <v>3145</v>
      </c>
      <c r="B1165" s="102">
        <v>2</v>
      </c>
      <c r="C1165" s="106">
        <v>0.002851275861939991</v>
      </c>
      <c r="D1165" s="102" t="s">
        <v>2320</v>
      </c>
      <c r="E1165" s="102" t="b">
        <v>0</v>
      </c>
      <c r="F1165" s="102" t="b">
        <v>0</v>
      </c>
      <c r="G1165" s="102" t="b">
        <v>0</v>
      </c>
    </row>
    <row r="1166" spans="1:7" ht="15">
      <c r="A1166" s="104" t="s">
        <v>2364</v>
      </c>
      <c r="B1166" s="102">
        <v>2</v>
      </c>
      <c r="C1166" s="106">
        <v>0.002851275861939991</v>
      </c>
      <c r="D1166" s="102" t="s">
        <v>2320</v>
      </c>
      <c r="E1166" s="102" t="b">
        <v>0</v>
      </c>
      <c r="F1166" s="102" t="b">
        <v>0</v>
      </c>
      <c r="G1166" s="102" t="b">
        <v>0</v>
      </c>
    </row>
    <row r="1167" spans="1:7" ht="15">
      <c r="A1167" s="104" t="s">
        <v>3140</v>
      </c>
      <c r="B1167" s="102">
        <v>2</v>
      </c>
      <c r="C1167" s="106">
        <v>0.002851275861939991</v>
      </c>
      <c r="D1167" s="102" t="s">
        <v>2320</v>
      </c>
      <c r="E1167" s="102" t="b">
        <v>0</v>
      </c>
      <c r="F1167" s="102" t="b">
        <v>0</v>
      </c>
      <c r="G1167" s="102" t="b">
        <v>0</v>
      </c>
    </row>
    <row r="1168" spans="1:7" ht="15">
      <c r="A1168" s="104" t="s">
        <v>2880</v>
      </c>
      <c r="B1168" s="102">
        <v>2</v>
      </c>
      <c r="C1168" s="106">
        <v>0.002851275861939991</v>
      </c>
      <c r="D1168" s="102" t="s">
        <v>2320</v>
      </c>
      <c r="E1168" s="102" t="b">
        <v>0</v>
      </c>
      <c r="F1168" s="102" t="b">
        <v>0</v>
      </c>
      <c r="G1168" s="102" t="b">
        <v>0</v>
      </c>
    </row>
    <row r="1169" spans="1:7" ht="15">
      <c r="A1169" s="104" t="s">
        <v>2599</v>
      </c>
      <c r="B1169" s="102">
        <v>2</v>
      </c>
      <c r="C1169" s="106">
        <v>0.002851275861939991</v>
      </c>
      <c r="D1169" s="102" t="s">
        <v>2320</v>
      </c>
      <c r="E1169" s="102" t="b">
        <v>0</v>
      </c>
      <c r="F1169" s="102" t="b">
        <v>1</v>
      </c>
      <c r="G1169" s="102" t="b">
        <v>0</v>
      </c>
    </row>
    <row r="1170" spans="1:7" ht="15">
      <c r="A1170" s="104" t="s">
        <v>3135</v>
      </c>
      <c r="B1170" s="102">
        <v>2</v>
      </c>
      <c r="C1170" s="106">
        <v>0.002851275861939991</v>
      </c>
      <c r="D1170" s="102" t="s">
        <v>2320</v>
      </c>
      <c r="E1170" s="102" t="b">
        <v>0</v>
      </c>
      <c r="F1170" s="102" t="b">
        <v>0</v>
      </c>
      <c r="G1170" s="102" t="b">
        <v>0</v>
      </c>
    </row>
    <row r="1171" spans="1:7" ht="15">
      <c r="A1171" s="104" t="s">
        <v>3136</v>
      </c>
      <c r="B1171" s="102">
        <v>2</v>
      </c>
      <c r="C1171" s="106">
        <v>0.002851275861939991</v>
      </c>
      <c r="D1171" s="102" t="s">
        <v>2320</v>
      </c>
      <c r="E1171" s="102" t="b">
        <v>0</v>
      </c>
      <c r="F1171" s="102" t="b">
        <v>0</v>
      </c>
      <c r="G1171" s="102" t="b">
        <v>0</v>
      </c>
    </row>
    <row r="1172" spans="1:7" ht="15">
      <c r="A1172" s="104" t="s">
        <v>3133</v>
      </c>
      <c r="B1172" s="102">
        <v>2</v>
      </c>
      <c r="C1172" s="106">
        <v>0.002851275861939991</v>
      </c>
      <c r="D1172" s="102" t="s">
        <v>2320</v>
      </c>
      <c r="E1172" s="102" t="b">
        <v>0</v>
      </c>
      <c r="F1172" s="102" t="b">
        <v>0</v>
      </c>
      <c r="G1172" s="102" t="b">
        <v>0</v>
      </c>
    </row>
    <row r="1173" spans="1:7" ht="15">
      <c r="A1173" s="104" t="s">
        <v>2409</v>
      </c>
      <c r="B1173" s="102">
        <v>2</v>
      </c>
      <c r="C1173" s="106">
        <v>0.002851275861939991</v>
      </c>
      <c r="D1173" s="102" t="s">
        <v>2320</v>
      </c>
      <c r="E1173" s="102" t="b">
        <v>0</v>
      </c>
      <c r="F1173" s="102" t="b">
        <v>0</v>
      </c>
      <c r="G1173" s="102" t="b">
        <v>0</v>
      </c>
    </row>
    <row r="1174" spans="1:7" ht="15">
      <c r="A1174" s="104" t="s">
        <v>3134</v>
      </c>
      <c r="B1174" s="102">
        <v>2</v>
      </c>
      <c r="C1174" s="106">
        <v>0.002851275861939991</v>
      </c>
      <c r="D1174" s="102" t="s">
        <v>2320</v>
      </c>
      <c r="E1174" s="102" t="b">
        <v>0</v>
      </c>
      <c r="F1174" s="102" t="b">
        <v>0</v>
      </c>
      <c r="G1174" s="102" t="b">
        <v>0</v>
      </c>
    </row>
    <row r="1175" spans="1:7" ht="15">
      <c r="A1175" s="104" t="s">
        <v>2350</v>
      </c>
      <c r="B1175" s="102">
        <v>35</v>
      </c>
      <c r="C1175" s="106">
        <v>0.010440552210138728</v>
      </c>
      <c r="D1175" s="102" t="s">
        <v>2321</v>
      </c>
      <c r="E1175" s="102" t="b">
        <v>0</v>
      </c>
      <c r="F1175" s="102" t="b">
        <v>0</v>
      </c>
      <c r="G1175" s="102" t="b">
        <v>0</v>
      </c>
    </row>
    <row r="1176" spans="1:7" ht="15">
      <c r="A1176" s="104" t="s">
        <v>2351</v>
      </c>
      <c r="B1176" s="102">
        <v>35</v>
      </c>
      <c r="C1176" s="106">
        <v>0.016568493004799713</v>
      </c>
      <c r="D1176" s="102" t="s">
        <v>2321</v>
      </c>
      <c r="E1176" s="102" t="b">
        <v>0</v>
      </c>
      <c r="F1176" s="102" t="b">
        <v>0</v>
      </c>
      <c r="G1176" s="102" t="b">
        <v>0</v>
      </c>
    </row>
    <row r="1177" spans="1:7" ht="15">
      <c r="A1177" s="104" t="s">
        <v>2349</v>
      </c>
      <c r="B1177" s="102">
        <v>31</v>
      </c>
      <c r="C1177" s="106">
        <v>0.010930898113962828</v>
      </c>
      <c r="D1177" s="102" t="s">
        <v>2321</v>
      </c>
      <c r="E1177" s="102" t="b">
        <v>0</v>
      </c>
      <c r="F1177" s="102" t="b">
        <v>0</v>
      </c>
      <c r="G1177" s="102" t="b">
        <v>0</v>
      </c>
    </row>
    <row r="1178" spans="1:7" ht="15">
      <c r="A1178" s="104" t="s">
        <v>2348</v>
      </c>
      <c r="B1178" s="102">
        <v>23</v>
      </c>
      <c r="C1178" s="106">
        <v>0.010887866831725525</v>
      </c>
      <c r="D1178" s="102" t="s">
        <v>2321</v>
      </c>
      <c r="E1178" s="102" t="b">
        <v>0</v>
      </c>
      <c r="F1178" s="102" t="b">
        <v>0</v>
      </c>
      <c r="G1178" s="102" t="b">
        <v>0</v>
      </c>
    </row>
    <row r="1179" spans="1:7" ht="15">
      <c r="A1179" s="104" t="s">
        <v>2404</v>
      </c>
      <c r="B1179" s="102">
        <v>20</v>
      </c>
      <c r="C1179" s="106">
        <v>0.023185131413285508</v>
      </c>
      <c r="D1179" s="102" t="s">
        <v>2321</v>
      </c>
      <c r="E1179" s="102" t="b">
        <v>0</v>
      </c>
      <c r="F1179" s="102" t="b">
        <v>0</v>
      </c>
      <c r="G1179" s="102" t="b">
        <v>0</v>
      </c>
    </row>
    <row r="1180" spans="1:7" ht="15">
      <c r="A1180" s="104" t="s">
        <v>2386</v>
      </c>
      <c r="B1180" s="102">
        <v>17</v>
      </c>
      <c r="C1180" s="106">
        <v>0.01414421949948592</v>
      </c>
      <c r="D1180" s="102" t="s">
        <v>2321</v>
      </c>
      <c r="E1180" s="102" t="b">
        <v>0</v>
      </c>
      <c r="F1180" s="102" t="b">
        <v>0</v>
      </c>
      <c r="G1180" s="102" t="b">
        <v>0</v>
      </c>
    </row>
    <row r="1181" spans="1:7" ht="15">
      <c r="A1181" s="104" t="s">
        <v>2373</v>
      </c>
      <c r="B1181" s="102">
        <v>16</v>
      </c>
      <c r="C1181" s="106">
        <v>0.010008722410368943</v>
      </c>
      <c r="D1181" s="102" t="s">
        <v>2321</v>
      </c>
      <c r="E1181" s="102" t="b">
        <v>0</v>
      </c>
      <c r="F1181" s="102" t="b">
        <v>0</v>
      </c>
      <c r="G1181" s="102" t="b">
        <v>0</v>
      </c>
    </row>
    <row r="1182" spans="1:7" ht="15">
      <c r="A1182" s="104" t="s">
        <v>2424</v>
      </c>
      <c r="B1182" s="102">
        <v>16</v>
      </c>
      <c r="C1182" s="106">
        <v>0.018548105130628406</v>
      </c>
      <c r="D1182" s="102" t="s">
        <v>2321</v>
      </c>
      <c r="E1182" s="102" t="b">
        <v>0</v>
      </c>
      <c r="F1182" s="102" t="b">
        <v>1</v>
      </c>
      <c r="G1182" s="102" t="b">
        <v>0</v>
      </c>
    </row>
    <row r="1183" spans="1:7" ht="15">
      <c r="A1183" s="104" t="s">
        <v>2354</v>
      </c>
      <c r="B1183" s="102">
        <v>15</v>
      </c>
      <c r="C1183" s="106">
        <v>0.008694424279982066</v>
      </c>
      <c r="D1183" s="102" t="s">
        <v>2321</v>
      </c>
      <c r="E1183" s="102" t="b">
        <v>0</v>
      </c>
      <c r="F1183" s="102" t="b">
        <v>0</v>
      </c>
      <c r="G1183" s="102" t="b">
        <v>0</v>
      </c>
    </row>
    <row r="1184" spans="1:7" ht="15">
      <c r="A1184" s="104" t="s">
        <v>2430</v>
      </c>
      <c r="B1184" s="102">
        <v>14</v>
      </c>
      <c r="C1184" s="106">
        <v>0.013339043334090162</v>
      </c>
      <c r="D1184" s="102" t="s">
        <v>2321</v>
      </c>
      <c r="E1184" s="102" t="b">
        <v>0</v>
      </c>
      <c r="F1184" s="102" t="b">
        <v>0</v>
      </c>
      <c r="G1184" s="102" t="b">
        <v>0</v>
      </c>
    </row>
    <row r="1185" spans="1:7" ht="15">
      <c r="A1185" s="104" t="s">
        <v>2357</v>
      </c>
      <c r="B1185" s="102">
        <v>14</v>
      </c>
      <c r="C1185" s="106">
        <v>0.00951794585712958</v>
      </c>
      <c r="D1185" s="102" t="s">
        <v>2321</v>
      </c>
      <c r="E1185" s="102" t="b">
        <v>0</v>
      </c>
      <c r="F1185" s="102" t="b">
        <v>0</v>
      </c>
      <c r="G1185" s="102" t="b">
        <v>0</v>
      </c>
    </row>
    <row r="1186" spans="1:7" ht="15">
      <c r="A1186" s="104" t="s">
        <v>2445</v>
      </c>
      <c r="B1186" s="102">
        <v>13</v>
      </c>
      <c r="C1186" s="106">
        <v>0.01238625452451229</v>
      </c>
      <c r="D1186" s="102" t="s">
        <v>2321</v>
      </c>
      <c r="E1186" s="102" t="b">
        <v>0</v>
      </c>
      <c r="F1186" s="102" t="b">
        <v>0</v>
      </c>
      <c r="G1186" s="102" t="b">
        <v>0</v>
      </c>
    </row>
    <row r="1187" spans="1:7" ht="15">
      <c r="A1187" s="104" t="s">
        <v>2362</v>
      </c>
      <c r="B1187" s="102">
        <v>13</v>
      </c>
      <c r="C1187" s="106">
        <v>0.008838092581620325</v>
      </c>
      <c r="D1187" s="102" t="s">
        <v>2321</v>
      </c>
      <c r="E1187" s="102" t="b">
        <v>0</v>
      </c>
      <c r="F1187" s="102" t="b">
        <v>0</v>
      </c>
      <c r="G1187" s="102" t="b">
        <v>0</v>
      </c>
    </row>
    <row r="1188" spans="1:7" ht="15">
      <c r="A1188" s="104" t="s">
        <v>2458</v>
      </c>
      <c r="B1188" s="102">
        <v>13</v>
      </c>
      <c r="C1188" s="106">
        <v>0.01507033541863558</v>
      </c>
      <c r="D1188" s="102" t="s">
        <v>2321</v>
      </c>
      <c r="E1188" s="102" t="b">
        <v>0</v>
      </c>
      <c r="F1188" s="102" t="b">
        <v>0</v>
      </c>
      <c r="G1188" s="102" t="b">
        <v>0</v>
      </c>
    </row>
    <row r="1189" spans="1:7" ht="15">
      <c r="A1189" s="104" t="s">
        <v>2471</v>
      </c>
      <c r="B1189" s="102">
        <v>12</v>
      </c>
      <c r="C1189" s="106">
        <v>0.013911078847971306</v>
      </c>
      <c r="D1189" s="102" t="s">
        <v>2321</v>
      </c>
      <c r="E1189" s="102" t="b">
        <v>0</v>
      </c>
      <c r="F1189" s="102" t="b">
        <v>0</v>
      </c>
      <c r="G1189" s="102" t="b">
        <v>0</v>
      </c>
    </row>
    <row r="1190" spans="1:7" ht="15">
      <c r="A1190" s="104" t="s">
        <v>2408</v>
      </c>
      <c r="B1190" s="102">
        <v>11</v>
      </c>
      <c r="C1190" s="106">
        <v>0.01275182227730703</v>
      </c>
      <c r="D1190" s="102" t="s">
        <v>2321</v>
      </c>
      <c r="E1190" s="102" t="b">
        <v>0</v>
      </c>
      <c r="F1190" s="102" t="b">
        <v>1</v>
      </c>
      <c r="G1190" s="102" t="b">
        <v>0</v>
      </c>
    </row>
    <row r="1191" spans="1:7" ht="15">
      <c r="A1191" s="104" t="s">
        <v>2459</v>
      </c>
      <c r="B1191" s="102">
        <v>11</v>
      </c>
      <c r="C1191" s="106">
        <v>0.01275182227730703</v>
      </c>
      <c r="D1191" s="102" t="s">
        <v>2321</v>
      </c>
      <c r="E1191" s="102" t="b">
        <v>0</v>
      </c>
      <c r="F1191" s="102" t="b">
        <v>0</v>
      </c>
      <c r="G1191" s="102" t="b">
        <v>0</v>
      </c>
    </row>
    <row r="1192" spans="1:7" ht="15">
      <c r="A1192" s="104" t="s">
        <v>2500</v>
      </c>
      <c r="B1192" s="102">
        <v>10</v>
      </c>
      <c r="C1192" s="106">
        <v>0.011592565706642754</v>
      </c>
      <c r="D1192" s="102" t="s">
        <v>2321</v>
      </c>
      <c r="E1192" s="102" t="b">
        <v>0</v>
      </c>
      <c r="F1192" s="102" t="b">
        <v>0</v>
      </c>
      <c r="G1192" s="102" t="b">
        <v>0</v>
      </c>
    </row>
    <row r="1193" spans="1:7" ht="15">
      <c r="A1193" s="104" t="s">
        <v>2428</v>
      </c>
      <c r="B1193" s="102">
        <v>9</v>
      </c>
      <c r="C1193" s="106">
        <v>0.0074881162056101925</v>
      </c>
      <c r="D1193" s="102" t="s">
        <v>2321</v>
      </c>
      <c r="E1193" s="102" t="b">
        <v>0</v>
      </c>
      <c r="F1193" s="102" t="b">
        <v>0</v>
      </c>
      <c r="G1193" s="102" t="b">
        <v>0</v>
      </c>
    </row>
    <row r="1194" spans="1:7" ht="15">
      <c r="A1194" s="104" t="s">
        <v>2520</v>
      </c>
      <c r="B1194" s="102">
        <v>9</v>
      </c>
      <c r="C1194" s="106">
        <v>0.010433309135978478</v>
      </c>
      <c r="D1194" s="102" t="s">
        <v>2321</v>
      </c>
      <c r="E1194" s="102" t="b">
        <v>0</v>
      </c>
      <c r="F1194" s="102" t="b">
        <v>0</v>
      </c>
      <c r="G1194" s="102" t="b">
        <v>0</v>
      </c>
    </row>
    <row r="1195" spans="1:7" ht="15">
      <c r="A1195" s="104" t="s">
        <v>2353</v>
      </c>
      <c r="B1195" s="102">
        <v>9</v>
      </c>
      <c r="C1195" s="106">
        <v>0.008575099286200817</v>
      </c>
      <c r="D1195" s="102" t="s">
        <v>2321</v>
      </c>
      <c r="E1195" s="102" t="b">
        <v>0</v>
      </c>
      <c r="F1195" s="102" t="b">
        <v>0</v>
      </c>
      <c r="G1195" s="102" t="b">
        <v>0</v>
      </c>
    </row>
    <row r="1196" spans="1:7" ht="15">
      <c r="A1196" s="104" t="s">
        <v>2519</v>
      </c>
      <c r="B1196" s="102">
        <v>9</v>
      </c>
      <c r="C1196" s="106">
        <v>0.010433309135978478</v>
      </c>
      <c r="D1196" s="102" t="s">
        <v>2321</v>
      </c>
      <c r="E1196" s="102" t="b">
        <v>0</v>
      </c>
      <c r="F1196" s="102" t="b">
        <v>0</v>
      </c>
      <c r="G1196" s="102" t="b">
        <v>0</v>
      </c>
    </row>
    <row r="1197" spans="1:7" ht="15">
      <c r="A1197" s="104" t="s">
        <v>2518</v>
      </c>
      <c r="B1197" s="102">
        <v>9</v>
      </c>
      <c r="C1197" s="106">
        <v>0.010433309135978478</v>
      </c>
      <c r="D1197" s="102" t="s">
        <v>2321</v>
      </c>
      <c r="E1197" s="102" t="b">
        <v>0</v>
      </c>
      <c r="F1197" s="102" t="b">
        <v>0</v>
      </c>
      <c r="G1197" s="102" t="b">
        <v>0</v>
      </c>
    </row>
    <row r="1198" spans="1:7" ht="15">
      <c r="A1198" s="104" t="s">
        <v>2498</v>
      </c>
      <c r="B1198" s="102">
        <v>9</v>
      </c>
      <c r="C1198" s="106">
        <v>0.010433309135978478</v>
      </c>
      <c r="D1198" s="102" t="s">
        <v>2321</v>
      </c>
      <c r="E1198" s="102" t="b">
        <v>0</v>
      </c>
      <c r="F1198" s="102" t="b">
        <v>0</v>
      </c>
      <c r="G1198" s="102" t="b">
        <v>0</v>
      </c>
    </row>
    <row r="1199" spans="1:7" ht="15">
      <c r="A1199" s="104" t="s">
        <v>2444</v>
      </c>
      <c r="B1199" s="102">
        <v>9</v>
      </c>
      <c r="C1199" s="106">
        <v>0.010433309135978478</v>
      </c>
      <c r="D1199" s="102" t="s">
        <v>2321</v>
      </c>
      <c r="E1199" s="102" t="b">
        <v>0</v>
      </c>
      <c r="F1199" s="102" t="b">
        <v>0</v>
      </c>
      <c r="G1199" s="102" t="b">
        <v>0</v>
      </c>
    </row>
    <row r="1200" spans="1:7" ht="15">
      <c r="A1200" s="104" t="s">
        <v>2517</v>
      </c>
      <c r="B1200" s="102">
        <v>9</v>
      </c>
      <c r="C1200" s="106">
        <v>0.010433309135978478</v>
      </c>
      <c r="D1200" s="102" t="s">
        <v>2321</v>
      </c>
      <c r="E1200" s="102" t="b">
        <v>0</v>
      </c>
      <c r="F1200" s="102" t="b">
        <v>0</v>
      </c>
      <c r="G1200" s="102" t="b">
        <v>0</v>
      </c>
    </row>
    <row r="1201" spans="1:7" ht="15">
      <c r="A1201" s="104" t="s">
        <v>2499</v>
      </c>
      <c r="B1201" s="102">
        <v>9</v>
      </c>
      <c r="C1201" s="106">
        <v>0.010433309135978478</v>
      </c>
      <c r="D1201" s="102" t="s">
        <v>2321</v>
      </c>
      <c r="E1201" s="102" t="b">
        <v>0</v>
      </c>
      <c r="F1201" s="102" t="b">
        <v>0</v>
      </c>
      <c r="G1201" s="102" t="b">
        <v>0</v>
      </c>
    </row>
    <row r="1202" spans="1:7" ht="15">
      <c r="A1202" s="104" t="s">
        <v>2392</v>
      </c>
      <c r="B1202" s="102">
        <v>8</v>
      </c>
      <c r="C1202" s="106">
        <v>0.0059705683879316945</v>
      </c>
      <c r="D1202" s="102" t="s">
        <v>2321</v>
      </c>
      <c r="E1202" s="102" t="b">
        <v>0</v>
      </c>
      <c r="F1202" s="102" t="b">
        <v>0</v>
      </c>
      <c r="G1202" s="102" t="b">
        <v>0</v>
      </c>
    </row>
    <row r="1203" spans="1:7" ht="15">
      <c r="A1203" s="104" t="s">
        <v>2360</v>
      </c>
      <c r="B1203" s="102">
        <v>8</v>
      </c>
      <c r="C1203" s="106">
        <v>0.0046370262826571015</v>
      </c>
      <c r="D1203" s="102" t="s">
        <v>2321</v>
      </c>
      <c r="E1203" s="102" t="b">
        <v>0</v>
      </c>
      <c r="F1203" s="102" t="b">
        <v>1</v>
      </c>
      <c r="G1203" s="102" t="b">
        <v>0</v>
      </c>
    </row>
    <row r="1204" spans="1:7" ht="15">
      <c r="A1204" s="104" t="s">
        <v>2364</v>
      </c>
      <c r="B1204" s="102">
        <v>8</v>
      </c>
      <c r="C1204" s="106">
        <v>0.005438826204074046</v>
      </c>
      <c r="D1204" s="102" t="s">
        <v>2321</v>
      </c>
      <c r="E1204" s="102" t="b">
        <v>0</v>
      </c>
      <c r="F1204" s="102" t="b">
        <v>0</v>
      </c>
      <c r="G1204" s="102" t="b">
        <v>0</v>
      </c>
    </row>
    <row r="1205" spans="1:7" ht="15">
      <c r="A1205" s="104" t="s">
        <v>2493</v>
      </c>
      <c r="B1205" s="102">
        <v>8</v>
      </c>
      <c r="C1205" s="106">
        <v>0.009274052565314203</v>
      </c>
      <c r="D1205" s="102" t="s">
        <v>2321</v>
      </c>
      <c r="E1205" s="102" t="b">
        <v>0</v>
      </c>
      <c r="F1205" s="102" t="b">
        <v>0</v>
      </c>
      <c r="G1205" s="102" t="b">
        <v>0</v>
      </c>
    </row>
    <row r="1206" spans="1:7" ht="15">
      <c r="A1206" s="104" t="s">
        <v>2473</v>
      </c>
      <c r="B1206" s="102">
        <v>8</v>
      </c>
      <c r="C1206" s="106">
        <v>0.009274052565314203</v>
      </c>
      <c r="D1206" s="102" t="s">
        <v>2321</v>
      </c>
      <c r="E1206" s="102" t="b">
        <v>0</v>
      </c>
      <c r="F1206" s="102" t="b">
        <v>0</v>
      </c>
      <c r="G1206" s="102" t="b">
        <v>0</v>
      </c>
    </row>
    <row r="1207" spans="1:7" ht="15">
      <c r="A1207" s="104" t="s">
        <v>2477</v>
      </c>
      <c r="B1207" s="102">
        <v>8</v>
      </c>
      <c r="C1207" s="106">
        <v>0.009274052565314203</v>
      </c>
      <c r="D1207" s="102" t="s">
        <v>2321</v>
      </c>
      <c r="E1207" s="102" t="b">
        <v>0</v>
      </c>
      <c r="F1207" s="102" t="b">
        <v>0</v>
      </c>
      <c r="G1207" s="102" t="b">
        <v>0</v>
      </c>
    </row>
    <row r="1208" spans="1:7" ht="15">
      <c r="A1208" s="104" t="s">
        <v>2412</v>
      </c>
      <c r="B1208" s="102">
        <v>7</v>
      </c>
      <c r="C1208" s="106">
        <v>0.006669521667045081</v>
      </c>
      <c r="D1208" s="102" t="s">
        <v>2321</v>
      </c>
      <c r="E1208" s="102" t="b">
        <v>0</v>
      </c>
      <c r="F1208" s="102" t="b">
        <v>0</v>
      </c>
      <c r="G1208" s="102" t="b">
        <v>0</v>
      </c>
    </row>
    <row r="1209" spans="1:7" ht="15">
      <c r="A1209" s="104" t="s">
        <v>2383</v>
      </c>
      <c r="B1209" s="102">
        <v>6</v>
      </c>
      <c r="C1209" s="106">
        <v>0.004992077470406795</v>
      </c>
      <c r="D1209" s="102" t="s">
        <v>2321</v>
      </c>
      <c r="E1209" s="102" t="b">
        <v>0</v>
      </c>
      <c r="F1209" s="102" t="b">
        <v>0</v>
      </c>
      <c r="G1209" s="102" t="b">
        <v>0</v>
      </c>
    </row>
    <row r="1210" spans="1:7" ht="15">
      <c r="A1210" s="104" t="s">
        <v>2626</v>
      </c>
      <c r="B1210" s="102">
        <v>6</v>
      </c>
      <c r="C1210" s="106">
        <v>0.004992077470406795</v>
      </c>
      <c r="D1210" s="102" t="s">
        <v>2321</v>
      </c>
      <c r="E1210" s="102" t="b">
        <v>0</v>
      </c>
      <c r="F1210" s="102" t="b">
        <v>0</v>
      </c>
      <c r="G1210" s="102" t="b">
        <v>0</v>
      </c>
    </row>
    <row r="1211" spans="1:7" ht="15">
      <c r="A1211" s="104" t="s">
        <v>2625</v>
      </c>
      <c r="B1211" s="102">
        <v>6</v>
      </c>
      <c r="C1211" s="106">
        <v>0.006955539423985653</v>
      </c>
      <c r="D1211" s="102" t="s">
        <v>2321</v>
      </c>
      <c r="E1211" s="102" t="b">
        <v>0</v>
      </c>
      <c r="F1211" s="102" t="b">
        <v>0</v>
      </c>
      <c r="G1211" s="102" t="b">
        <v>0</v>
      </c>
    </row>
    <row r="1212" spans="1:7" ht="15">
      <c r="A1212" s="104" t="s">
        <v>2623</v>
      </c>
      <c r="B1212" s="102">
        <v>6</v>
      </c>
      <c r="C1212" s="106">
        <v>0.006955539423985653</v>
      </c>
      <c r="D1212" s="102" t="s">
        <v>2321</v>
      </c>
      <c r="E1212" s="102" t="b">
        <v>0</v>
      </c>
      <c r="F1212" s="102" t="b">
        <v>0</v>
      </c>
      <c r="G1212" s="102" t="b">
        <v>0</v>
      </c>
    </row>
    <row r="1213" spans="1:7" ht="15">
      <c r="A1213" s="104" t="s">
        <v>2355</v>
      </c>
      <c r="B1213" s="102">
        <v>6</v>
      </c>
      <c r="C1213" s="106">
        <v>0.004992077470406795</v>
      </c>
      <c r="D1213" s="102" t="s">
        <v>2321</v>
      </c>
      <c r="E1213" s="102" t="b">
        <v>0</v>
      </c>
      <c r="F1213" s="102" t="b">
        <v>0</v>
      </c>
      <c r="G1213" s="102" t="b">
        <v>0</v>
      </c>
    </row>
    <row r="1214" spans="1:7" ht="15">
      <c r="A1214" s="104" t="s">
        <v>2622</v>
      </c>
      <c r="B1214" s="102">
        <v>6</v>
      </c>
      <c r="C1214" s="106">
        <v>0.006955539423985653</v>
      </c>
      <c r="D1214" s="102" t="s">
        <v>2321</v>
      </c>
      <c r="E1214" s="102" t="b">
        <v>0</v>
      </c>
      <c r="F1214" s="102" t="b">
        <v>0</v>
      </c>
      <c r="G1214" s="102" t="b">
        <v>0</v>
      </c>
    </row>
    <row r="1215" spans="1:7" ht="15">
      <c r="A1215" s="104" t="s">
        <v>2563</v>
      </c>
      <c r="B1215" s="102">
        <v>6</v>
      </c>
      <c r="C1215" s="106">
        <v>0.006955539423985653</v>
      </c>
      <c r="D1215" s="102" t="s">
        <v>2321</v>
      </c>
      <c r="E1215" s="102" t="b">
        <v>0</v>
      </c>
      <c r="F1215" s="102" t="b">
        <v>0</v>
      </c>
      <c r="G1215" s="102" t="b">
        <v>0</v>
      </c>
    </row>
    <row r="1216" spans="1:7" ht="15">
      <c r="A1216" s="104" t="s">
        <v>2455</v>
      </c>
      <c r="B1216" s="102">
        <v>5</v>
      </c>
      <c r="C1216" s="106">
        <v>0.0041600645586723295</v>
      </c>
      <c r="D1216" s="102" t="s">
        <v>2321</v>
      </c>
      <c r="E1216" s="102" t="b">
        <v>0</v>
      </c>
      <c r="F1216" s="102" t="b">
        <v>0</v>
      </c>
      <c r="G1216" s="102" t="b">
        <v>0</v>
      </c>
    </row>
    <row r="1217" spans="1:7" ht="15">
      <c r="A1217" s="104" t="s">
        <v>2689</v>
      </c>
      <c r="B1217" s="102">
        <v>5</v>
      </c>
      <c r="C1217" s="106">
        <v>0.005796282853321377</v>
      </c>
      <c r="D1217" s="102" t="s">
        <v>2321</v>
      </c>
      <c r="E1217" s="102" t="b">
        <v>0</v>
      </c>
      <c r="F1217" s="102" t="b">
        <v>0</v>
      </c>
      <c r="G1217" s="102" t="b">
        <v>0</v>
      </c>
    </row>
    <row r="1218" spans="1:7" ht="15">
      <c r="A1218" s="104" t="s">
        <v>2627</v>
      </c>
      <c r="B1218" s="102">
        <v>5</v>
      </c>
      <c r="C1218" s="106">
        <v>0.005796282853321377</v>
      </c>
      <c r="D1218" s="102" t="s">
        <v>2321</v>
      </c>
      <c r="E1218" s="102" t="b">
        <v>0</v>
      </c>
      <c r="F1218" s="102" t="b">
        <v>0</v>
      </c>
      <c r="G1218" s="102" t="b">
        <v>0</v>
      </c>
    </row>
    <row r="1219" spans="1:7" ht="15">
      <c r="A1219" s="104" t="s">
        <v>2398</v>
      </c>
      <c r="B1219" s="102">
        <v>5</v>
      </c>
      <c r="C1219" s="106">
        <v>0.003731605242457309</v>
      </c>
      <c r="D1219" s="102" t="s">
        <v>2321</v>
      </c>
      <c r="E1219" s="102" t="b">
        <v>0</v>
      </c>
      <c r="F1219" s="102" t="b">
        <v>0</v>
      </c>
      <c r="G1219" s="102" t="b">
        <v>0</v>
      </c>
    </row>
    <row r="1220" spans="1:7" ht="15">
      <c r="A1220" s="104" t="s">
        <v>2624</v>
      </c>
      <c r="B1220" s="102">
        <v>5</v>
      </c>
      <c r="C1220" s="106">
        <v>0.005796282853321377</v>
      </c>
      <c r="D1220" s="102" t="s">
        <v>2321</v>
      </c>
      <c r="E1220" s="102" t="b">
        <v>0</v>
      </c>
      <c r="F1220" s="102" t="b">
        <v>0</v>
      </c>
      <c r="G1220" s="102" t="b">
        <v>0</v>
      </c>
    </row>
    <row r="1221" spans="1:7" ht="15">
      <c r="A1221" s="104" t="s">
        <v>2621</v>
      </c>
      <c r="B1221" s="102">
        <v>5</v>
      </c>
      <c r="C1221" s="106">
        <v>0.004763944047889343</v>
      </c>
      <c r="D1221" s="102" t="s">
        <v>2321</v>
      </c>
      <c r="E1221" s="102" t="b">
        <v>0</v>
      </c>
      <c r="F1221" s="102" t="b">
        <v>0</v>
      </c>
      <c r="G1221" s="102" t="b">
        <v>0</v>
      </c>
    </row>
    <row r="1222" spans="1:7" ht="15">
      <c r="A1222" s="104" t="s">
        <v>2687</v>
      </c>
      <c r="B1222" s="102">
        <v>5</v>
      </c>
      <c r="C1222" s="106">
        <v>0.005796282853321377</v>
      </c>
      <c r="D1222" s="102" t="s">
        <v>2321</v>
      </c>
      <c r="E1222" s="102" t="b">
        <v>0</v>
      </c>
      <c r="F1222" s="102" t="b">
        <v>0</v>
      </c>
      <c r="G1222" s="102" t="b">
        <v>0</v>
      </c>
    </row>
    <row r="1223" spans="1:7" ht="15">
      <c r="A1223" s="104" t="s">
        <v>2534</v>
      </c>
      <c r="B1223" s="102">
        <v>5</v>
      </c>
      <c r="C1223" s="106">
        <v>0.005796282853321377</v>
      </c>
      <c r="D1223" s="102" t="s">
        <v>2321</v>
      </c>
      <c r="E1223" s="102" t="b">
        <v>0</v>
      </c>
      <c r="F1223" s="102" t="b">
        <v>0</v>
      </c>
      <c r="G1223" s="102" t="b">
        <v>0</v>
      </c>
    </row>
    <row r="1224" spans="1:7" ht="15">
      <c r="A1224" s="104" t="s">
        <v>2382</v>
      </c>
      <c r="B1224" s="102">
        <v>5</v>
      </c>
      <c r="C1224" s="106">
        <v>0.005796282853321377</v>
      </c>
      <c r="D1224" s="102" t="s">
        <v>2321</v>
      </c>
      <c r="E1224" s="102" t="b">
        <v>0</v>
      </c>
      <c r="F1224" s="102" t="b">
        <v>0</v>
      </c>
      <c r="G1224" s="102" t="b">
        <v>0</v>
      </c>
    </row>
    <row r="1225" spans="1:7" ht="15">
      <c r="A1225" s="104" t="s">
        <v>2402</v>
      </c>
      <c r="B1225" s="102">
        <v>4</v>
      </c>
      <c r="C1225" s="106">
        <v>0.003811155238311474</v>
      </c>
      <c r="D1225" s="102" t="s">
        <v>2321</v>
      </c>
      <c r="E1225" s="102" t="b">
        <v>0</v>
      </c>
      <c r="F1225" s="102" t="b">
        <v>0</v>
      </c>
      <c r="G1225" s="102" t="b">
        <v>0</v>
      </c>
    </row>
    <row r="1226" spans="1:7" ht="15">
      <c r="A1226" s="104" t="s">
        <v>2613</v>
      </c>
      <c r="B1226" s="102">
        <v>4</v>
      </c>
      <c r="C1226" s="106">
        <v>0.0029852841939658472</v>
      </c>
      <c r="D1226" s="102" t="s">
        <v>2321</v>
      </c>
      <c r="E1226" s="102" t="b">
        <v>1</v>
      </c>
      <c r="F1226" s="102" t="b">
        <v>0</v>
      </c>
      <c r="G1226" s="102" t="b">
        <v>0</v>
      </c>
    </row>
    <row r="1227" spans="1:7" ht="15">
      <c r="A1227" s="104" t="s">
        <v>2411</v>
      </c>
      <c r="B1227" s="102">
        <v>4</v>
      </c>
      <c r="C1227" s="106">
        <v>0.0029852841939658472</v>
      </c>
      <c r="D1227" s="102" t="s">
        <v>2321</v>
      </c>
      <c r="E1227" s="102" t="b">
        <v>0</v>
      </c>
      <c r="F1227" s="102" t="b">
        <v>0</v>
      </c>
      <c r="G1227" s="102" t="b">
        <v>0</v>
      </c>
    </row>
    <row r="1228" spans="1:7" ht="15">
      <c r="A1228" s="104" t="s">
        <v>2564</v>
      </c>
      <c r="B1228" s="102">
        <v>4</v>
      </c>
      <c r="C1228" s="106">
        <v>0.0033280516469378634</v>
      </c>
      <c r="D1228" s="102" t="s">
        <v>2321</v>
      </c>
      <c r="E1228" s="102" t="b">
        <v>0</v>
      </c>
      <c r="F1228" s="102" t="b">
        <v>0</v>
      </c>
      <c r="G1228" s="102" t="b">
        <v>0</v>
      </c>
    </row>
    <row r="1229" spans="1:7" ht="15">
      <c r="A1229" s="104" t="s">
        <v>2691</v>
      </c>
      <c r="B1229" s="102">
        <v>4</v>
      </c>
      <c r="C1229" s="106">
        <v>0.003811155238311474</v>
      </c>
      <c r="D1229" s="102" t="s">
        <v>2321</v>
      </c>
      <c r="E1229" s="102" t="b">
        <v>0</v>
      </c>
      <c r="F1229" s="102" t="b">
        <v>0</v>
      </c>
      <c r="G1229" s="102" t="b">
        <v>0</v>
      </c>
    </row>
    <row r="1230" spans="1:7" ht="15">
      <c r="A1230" s="104" t="s">
        <v>2381</v>
      </c>
      <c r="B1230" s="102">
        <v>4</v>
      </c>
      <c r="C1230" s="106">
        <v>0.0033280516469378634</v>
      </c>
      <c r="D1230" s="102" t="s">
        <v>2321</v>
      </c>
      <c r="E1230" s="102" t="b">
        <v>0</v>
      </c>
      <c r="F1230" s="102" t="b">
        <v>0</v>
      </c>
      <c r="G1230" s="102" t="b">
        <v>0</v>
      </c>
    </row>
    <row r="1231" spans="1:7" ht="15">
      <c r="A1231" s="104" t="s">
        <v>2450</v>
      </c>
      <c r="B1231" s="102">
        <v>4</v>
      </c>
      <c r="C1231" s="106">
        <v>0.0046370262826571015</v>
      </c>
      <c r="D1231" s="102" t="s">
        <v>2321</v>
      </c>
      <c r="E1231" s="102" t="b">
        <v>0</v>
      </c>
      <c r="F1231" s="102" t="b">
        <v>0</v>
      </c>
      <c r="G1231" s="102" t="b">
        <v>0</v>
      </c>
    </row>
    <row r="1232" spans="1:7" ht="15">
      <c r="A1232" s="104" t="s">
        <v>2365</v>
      </c>
      <c r="B1232" s="102">
        <v>4</v>
      </c>
      <c r="C1232" s="106">
        <v>0.0033280516469378634</v>
      </c>
      <c r="D1232" s="102" t="s">
        <v>2321</v>
      </c>
      <c r="E1232" s="102" t="b">
        <v>0</v>
      </c>
      <c r="F1232" s="102" t="b">
        <v>0</v>
      </c>
      <c r="G1232" s="102" t="b">
        <v>0</v>
      </c>
    </row>
    <row r="1233" spans="1:7" ht="15">
      <c r="A1233" s="104" t="s">
        <v>2777</v>
      </c>
      <c r="B1233" s="102">
        <v>4</v>
      </c>
      <c r="C1233" s="106">
        <v>0.0046370262826571015</v>
      </c>
      <c r="D1233" s="102" t="s">
        <v>2321</v>
      </c>
      <c r="E1233" s="102" t="b">
        <v>0</v>
      </c>
      <c r="F1233" s="102" t="b">
        <v>0</v>
      </c>
      <c r="G1233" s="102" t="b">
        <v>0</v>
      </c>
    </row>
    <row r="1234" spans="1:7" ht="15">
      <c r="A1234" s="104" t="s">
        <v>2778</v>
      </c>
      <c r="B1234" s="102">
        <v>4</v>
      </c>
      <c r="C1234" s="106">
        <v>0.0046370262826571015</v>
      </c>
      <c r="D1234" s="102" t="s">
        <v>2321</v>
      </c>
      <c r="E1234" s="102" t="b">
        <v>0</v>
      </c>
      <c r="F1234" s="102" t="b">
        <v>0</v>
      </c>
      <c r="G1234" s="102" t="b">
        <v>0</v>
      </c>
    </row>
    <row r="1235" spans="1:7" ht="15">
      <c r="A1235" s="104" t="s">
        <v>2776</v>
      </c>
      <c r="B1235" s="102">
        <v>4</v>
      </c>
      <c r="C1235" s="106">
        <v>0.0046370262826571015</v>
      </c>
      <c r="D1235" s="102" t="s">
        <v>2321</v>
      </c>
      <c r="E1235" s="102" t="b">
        <v>0</v>
      </c>
      <c r="F1235" s="102" t="b">
        <v>0</v>
      </c>
      <c r="G1235" s="102" t="b">
        <v>0</v>
      </c>
    </row>
    <row r="1236" spans="1:7" ht="15">
      <c r="A1236" s="104" t="s">
        <v>2771</v>
      </c>
      <c r="B1236" s="102">
        <v>4</v>
      </c>
      <c r="C1236" s="106">
        <v>0.0033280516469378634</v>
      </c>
      <c r="D1236" s="102" t="s">
        <v>2321</v>
      </c>
      <c r="E1236" s="102" t="b">
        <v>0</v>
      </c>
      <c r="F1236" s="102" t="b">
        <v>0</v>
      </c>
      <c r="G1236" s="102" t="b">
        <v>0</v>
      </c>
    </row>
    <row r="1237" spans="1:7" ht="15">
      <c r="A1237" s="104" t="s">
        <v>2775</v>
      </c>
      <c r="B1237" s="102">
        <v>4</v>
      </c>
      <c r="C1237" s="106">
        <v>0.0046370262826571015</v>
      </c>
      <c r="D1237" s="102" t="s">
        <v>2321</v>
      </c>
      <c r="E1237" s="102" t="b">
        <v>0</v>
      </c>
      <c r="F1237" s="102" t="b">
        <v>0</v>
      </c>
      <c r="G1237" s="102" t="b">
        <v>0</v>
      </c>
    </row>
    <row r="1238" spans="1:7" ht="15">
      <c r="A1238" s="104" t="s">
        <v>2423</v>
      </c>
      <c r="B1238" s="102">
        <v>4</v>
      </c>
      <c r="C1238" s="106">
        <v>0.0046370262826571015</v>
      </c>
      <c r="D1238" s="102" t="s">
        <v>2321</v>
      </c>
      <c r="E1238" s="102" t="b">
        <v>0</v>
      </c>
      <c r="F1238" s="102" t="b">
        <v>0</v>
      </c>
      <c r="G1238" s="102" t="b">
        <v>0</v>
      </c>
    </row>
    <row r="1239" spans="1:7" ht="15">
      <c r="A1239" s="104" t="s">
        <v>2772</v>
      </c>
      <c r="B1239" s="102">
        <v>4</v>
      </c>
      <c r="C1239" s="106">
        <v>0.0046370262826571015</v>
      </c>
      <c r="D1239" s="102" t="s">
        <v>2321</v>
      </c>
      <c r="E1239" s="102" t="b">
        <v>0</v>
      </c>
      <c r="F1239" s="102" t="b">
        <v>0</v>
      </c>
      <c r="G1239" s="102" t="b">
        <v>0</v>
      </c>
    </row>
    <row r="1240" spans="1:7" ht="15">
      <c r="A1240" s="104" t="s">
        <v>2954</v>
      </c>
      <c r="B1240" s="102">
        <v>3</v>
      </c>
      <c r="C1240" s="106">
        <v>0.0034777697119928266</v>
      </c>
      <c r="D1240" s="102" t="s">
        <v>2321</v>
      </c>
      <c r="E1240" s="102" t="b">
        <v>0</v>
      </c>
      <c r="F1240" s="102" t="b">
        <v>0</v>
      </c>
      <c r="G1240" s="102" t="b">
        <v>0</v>
      </c>
    </row>
    <row r="1241" spans="1:7" ht="15">
      <c r="A1241" s="104" t="s">
        <v>2369</v>
      </c>
      <c r="B1241" s="102">
        <v>3</v>
      </c>
      <c r="C1241" s="106">
        <v>0.0024960387352033976</v>
      </c>
      <c r="D1241" s="102" t="s">
        <v>2321</v>
      </c>
      <c r="E1241" s="102" t="b">
        <v>0</v>
      </c>
      <c r="F1241" s="102" t="b">
        <v>0</v>
      </c>
      <c r="G1241" s="102" t="b">
        <v>0</v>
      </c>
    </row>
    <row r="1242" spans="1:7" ht="15">
      <c r="A1242" s="104" t="s">
        <v>2414</v>
      </c>
      <c r="B1242" s="102">
        <v>3</v>
      </c>
      <c r="C1242" s="106">
        <v>0.0024960387352033976</v>
      </c>
      <c r="D1242" s="102" t="s">
        <v>2321</v>
      </c>
      <c r="E1242" s="102" t="b">
        <v>0</v>
      </c>
      <c r="F1242" s="102" t="b">
        <v>0</v>
      </c>
      <c r="G1242" s="102" t="b">
        <v>0</v>
      </c>
    </row>
    <row r="1243" spans="1:7" ht="15">
      <c r="A1243" s="104" t="s">
        <v>2528</v>
      </c>
      <c r="B1243" s="102">
        <v>3</v>
      </c>
      <c r="C1243" s="106">
        <v>0.0024960387352033976</v>
      </c>
      <c r="D1243" s="102" t="s">
        <v>2321</v>
      </c>
      <c r="E1243" s="102" t="b">
        <v>0</v>
      </c>
      <c r="F1243" s="102" t="b">
        <v>0</v>
      </c>
      <c r="G1243" s="102" t="b">
        <v>0</v>
      </c>
    </row>
    <row r="1244" spans="1:7" ht="15">
      <c r="A1244" s="104" t="s">
        <v>2487</v>
      </c>
      <c r="B1244" s="102">
        <v>3</v>
      </c>
      <c r="C1244" s="106">
        <v>0.0024960387352033976</v>
      </c>
      <c r="D1244" s="102" t="s">
        <v>2321</v>
      </c>
      <c r="E1244" s="102" t="b">
        <v>0</v>
      </c>
      <c r="F1244" s="102" t="b">
        <v>0</v>
      </c>
      <c r="G1244" s="102" t="b">
        <v>0</v>
      </c>
    </row>
    <row r="1245" spans="1:7" ht="15">
      <c r="A1245" s="104" t="s">
        <v>2467</v>
      </c>
      <c r="B1245" s="102">
        <v>3</v>
      </c>
      <c r="C1245" s="106">
        <v>0.0024960387352033976</v>
      </c>
      <c r="D1245" s="102" t="s">
        <v>2321</v>
      </c>
      <c r="E1245" s="102" t="b">
        <v>0</v>
      </c>
      <c r="F1245" s="102" t="b">
        <v>0</v>
      </c>
      <c r="G1245" s="102" t="b">
        <v>0</v>
      </c>
    </row>
    <row r="1246" spans="1:7" ht="15">
      <c r="A1246" s="104" t="s">
        <v>2465</v>
      </c>
      <c r="B1246" s="102">
        <v>3</v>
      </c>
      <c r="C1246" s="106">
        <v>0.0024960387352033976</v>
      </c>
      <c r="D1246" s="102" t="s">
        <v>2321</v>
      </c>
      <c r="E1246" s="102" t="b">
        <v>0</v>
      </c>
      <c r="F1246" s="102" t="b">
        <v>1</v>
      </c>
      <c r="G1246" s="102" t="b">
        <v>0</v>
      </c>
    </row>
    <row r="1247" spans="1:7" ht="15">
      <c r="A1247" s="104" t="s">
        <v>2780</v>
      </c>
      <c r="B1247" s="102">
        <v>3</v>
      </c>
      <c r="C1247" s="106">
        <v>0.0034777697119928266</v>
      </c>
      <c r="D1247" s="102" t="s">
        <v>2321</v>
      </c>
      <c r="E1247" s="102" t="b">
        <v>0</v>
      </c>
      <c r="F1247" s="102" t="b">
        <v>0</v>
      </c>
      <c r="G1247" s="102" t="b">
        <v>0</v>
      </c>
    </row>
    <row r="1248" spans="1:7" ht="15">
      <c r="A1248" s="104" t="s">
        <v>2543</v>
      </c>
      <c r="B1248" s="102">
        <v>3</v>
      </c>
      <c r="C1248" s="106">
        <v>0.002858366428733606</v>
      </c>
      <c r="D1248" s="102" t="s">
        <v>2321</v>
      </c>
      <c r="E1248" s="102" t="b">
        <v>0</v>
      </c>
      <c r="F1248" s="102" t="b">
        <v>0</v>
      </c>
      <c r="G1248" s="102" t="b">
        <v>0</v>
      </c>
    </row>
    <row r="1249" spans="1:7" ht="15">
      <c r="A1249" s="104" t="s">
        <v>2594</v>
      </c>
      <c r="B1249" s="102">
        <v>3</v>
      </c>
      <c r="C1249" s="106">
        <v>0.002858366428733606</v>
      </c>
      <c r="D1249" s="102" t="s">
        <v>2321</v>
      </c>
      <c r="E1249" s="102" t="b">
        <v>0</v>
      </c>
      <c r="F1249" s="102" t="b">
        <v>0</v>
      </c>
      <c r="G1249" s="102" t="b">
        <v>0</v>
      </c>
    </row>
    <row r="1250" spans="1:7" ht="15">
      <c r="A1250" s="104" t="s">
        <v>2530</v>
      </c>
      <c r="B1250" s="102">
        <v>3</v>
      </c>
      <c r="C1250" s="106">
        <v>0.002858366428733606</v>
      </c>
      <c r="D1250" s="102" t="s">
        <v>2321</v>
      </c>
      <c r="E1250" s="102" t="b">
        <v>0</v>
      </c>
      <c r="F1250" s="102" t="b">
        <v>0</v>
      </c>
      <c r="G1250" s="102" t="b">
        <v>0</v>
      </c>
    </row>
    <row r="1251" spans="1:7" ht="15">
      <c r="A1251" s="104" t="s">
        <v>2905</v>
      </c>
      <c r="B1251" s="102">
        <v>3</v>
      </c>
      <c r="C1251" s="106">
        <v>0.002858366428733606</v>
      </c>
      <c r="D1251" s="102" t="s">
        <v>2321</v>
      </c>
      <c r="E1251" s="102" t="b">
        <v>0</v>
      </c>
      <c r="F1251" s="102" t="b">
        <v>0</v>
      </c>
      <c r="G1251" s="102" t="b">
        <v>0</v>
      </c>
    </row>
    <row r="1252" spans="1:7" ht="15">
      <c r="A1252" s="104" t="s">
        <v>2637</v>
      </c>
      <c r="B1252" s="102">
        <v>3</v>
      </c>
      <c r="C1252" s="106">
        <v>0.0024960387352033976</v>
      </c>
      <c r="D1252" s="102" t="s">
        <v>2321</v>
      </c>
      <c r="E1252" s="102" t="b">
        <v>0</v>
      </c>
      <c r="F1252" s="102" t="b">
        <v>0</v>
      </c>
      <c r="G1252" s="102" t="b">
        <v>0</v>
      </c>
    </row>
    <row r="1253" spans="1:7" ht="15">
      <c r="A1253" s="104" t="s">
        <v>2410</v>
      </c>
      <c r="B1253" s="102">
        <v>3</v>
      </c>
      <c r="C1253" s="106">
        <v>0.0024960387352033976</v>
      </c>
      <c r="D1253" s="102" t="s">
        <v>2321</v>
      </c>
      <c r="E1253" s="102" t="b">
        <v>0</v>
      </c>
      <c r="F1253" s="102" t="b">
        <v>0</v>
      </c>
      <c r="G1253" s="102" t="b">
        <v>0</v>
      </c>
    </row>
    <row r="1254" spans="1:7" ht="15">
      <c r="A1254" s="104" t="s">
        <v>2665</v>
      </c>
      <c r="B1254" s="102">
        <v>3</v>
      </c>
      <c r="C1254" s="106">
        <v>0.002858366428733606</v>
      </c>
      <c r="D1254" s="102" t="s">
        <v>2321</v>
      </c>
      <c r="E1254" s="102" t="b">
        <v>0</v>
      </c>
      <c r="F1254" s="102" t="b">
        <v>0</v>
      </c>
      <c r="G1254" s="102" t="b">
        <v>0</v>
      </c>
    </row>
    <row r="1255" spans="1:7" ht="15">
      <c r="A1255" s="104" t="s">
        <v>2468</v>
      </c>
      <c r="B1255" s="102">
        <v>3</v>
      </c>
      <c r="C1255" s="106">
        <v>0.002858366428733606</v>
      </c>
      <c r="D1255" s="102" t="s">
        <v>2321</v>
      </c>
      <c r="E1255" s="102" t="b">
        <v>0</v>
      </c>
      <c r="F1255" s="102" t="b">
        <v>0</v>
      </c>
      <c r="G1255" s="102" t="b">
        <v>0</v>
      </c>
    </row>
    <row r="1256" spans="1:7" ht="15">
      <c r="A1256" s="104" t="s">
        <v>2916</v>
      </c>
      <c r="B1256" s="102">
        <v>3</v>
      </c>
      <c r="C1256" s="106">
        <v>0.0034777697119928266</v>
      </c>
      <c r="D1256" s="102" t="s">
        <v>2321</v>
      </c>
      <c r="E1256" s="102" t="b">
        <v>0</v>
      </c>
      <c r="F1256" s="102" t="b">
        <v>0</v>
      </c>
      <c r="G1256" s="102" t="b">
        <v>0</v>
      </c>
    </row>
    <row r="1257" spans="1:7" ht="15">
      <c r="A1257" s="104" t="s">
        <v>2917</v>
      </c>
      <c r="B1257" s="102">
        <v>3</v>
      </c>
      <c r="C1257" s="106">
        <v>0.0034777697119928266</v>
      </c>
      <c r="D1257" s="102" t="s">
        <v>2321</v>
      </c>
      <c r="E1257" s="102" t="b">
        <v>0</v>
      </c>
      <c r="F1257" s="102" t="b">
        <v>0</v>
      </c>
      <c r="G1257" s="102" t="b">
        <v>0</v>
      </c>
    </row>
    <row r="1258" spans="1:7" ht="15">
      <c r="A1258" s="104" t="s">
        <v>2359</v>
      </c>
      <c r="B1258" s="102">
        <v>3</v>
      </c>
      <c r="C1258" s="106">
        <v>0.0024960387352033976</v>
      </c>
      <c r="D1258" s="102" t="s">
        <v>2321</v>
      </c>
      <c r="E1258" s="102" t="b">
        <v>0</v>
      </c>
      <c r="F1258" s="102" t="b">
        <v>0</v>
      </c>
      <c r="G1258" s="102" t="b">
        <v>0</v>
      </c>
    </row>
    <row r="1259" spans="1:7" ht="15">
      <c r="A1259" s="104" t="s">
        <v>2539</v>
      </c>
      <c r="B1259" s="102">
        <v>3</v>
      </c>
      <c r="C1259" s="106">
        <v>0.002858366428733606</v>
      </c>
      <c r="D1259" s="102" t="s">
        <v>2321</v>
      </c>
      <c r="E1259" s="102" t="b">
        <v>0</v>
      </c>
      <c r="F1259" s="102" t="b">
        <v>0</v>
      </c>
      <c r="G1259" s="102" t="b">
        <v>0</v>
      </c>
    </row>
    <row r="1260" spans="1:7" ht="15">
      <c r="A1260" s="104" t="s">
        <v>2915</v>
      </c>
      <c r="B1260" s="102">
        <v>3</v>
      </c>
      <c r="C1260" s="106">
        <v>0.0034777697119928266</v>
      </c>
      <c r="D1260" s="102" t="s">
        <v>2321</v>
      </c>
      <c r="E1260" s="102" t="b">
        <v>0</v>
      </c>
      <c r="F1260" s="102" t="b">
        <v>0</v>
      </c>
      <c r="G1260" s="102" t="b">
        <v>0</v>
      </c>
    </row>
    <row r="1261" spans="1:7" ht="15">
      <c r="A1261" s="104" t="s">
        <v>2367</v>
      </c>
      <c r="B1261" s="102">
        <v>3</v>
      </c>
      <c r="C1261" s="106">
        <v>0.002858366428733606</v>
      </c>
      <c r="D1261" s="102" t="s">
        <v>2321</v>
      </c>
      <c r="E1261" s="102" t="b">
        <v>0</v>
      </c>
      <c r="F1261" s="102" t="b">
        <v>0</v>
      </c>
      <c r="G1261" s="102" t="b">
        <v>0</v>
      </c>
    </row>
    <row r="1262" spans="1:7" ht="15">
      <c r="A1262" s="104" t="s">
        <v>2908</v>
      </c>
      <c r="B1262" s="102">
        <v>3</v>
      </c>
      <c r="C1262" s="106">
        <v>0.0034777697119928266</v>
      </c>
      <c r="D1262" s="102" t="s">
        <v>2321</v>
      </c>
      <c r="E1262" s="102" t="b">
        <v>0</v>
      </c>
      <c r="F1262" s="102" t="b">
        <v>0</v>
      </c>
      <c r="G1262" s="102" t="b">
        <v>0</v>
      </c>
    </row>
    <row r="1263" spans="1:7" ht="15">
      <c r="A1263" s="104" t="s">
        <v>2909</v>
      </c>
      <c r="B1263" s="102">
        <v>3</v>
      </c>
      <c r="C1263" s="106">
        <v>0.0034777697119928266</v>
      </c>
      <c r="D1263" s="102" t="s">
        <v>2321</v>
      </c>
      <c r="E1263" s="102" t="b">
        <v>0</v>
      </c>
      <c r="F1263" s="102" t="b">
        <v>0</v>
      </c>
      <c r="G1263" s="102" t="b">
        <v>0</v>
      </c>
    </row>
    <row r="1264" spans="1:7" ht="15">
      <c r="A1264" s="104" t="s">
        <v>2910</v>
      </c>
      <c r="B1264" s="102">
        <v>3</v>
      </c>
      <c r="C1264" s="106">
        <v>0.0034777697119928266</v>
      </c>
      <c r="D1264" s="102" t="s">
        <v>2321</v>
      </c>
      <c r="E1264" s="102" t="b">
        <v>0</v>
      </c>
      <c r="F1264" s="102" t="b">
        <v>1</v>
      </c>
      <c r="G1264" s="102" t="b">
        <v>0</v>
      </c>
    </row>
    <row r="1265" spans="1:7" ht="15">
      <c r="A1265" s="104" t="s">
        <v>2911</v>
      </c>
      <c r="B1265" s="102">
        <v>3</v>
      </c>
      <c r="C1265" s="106">
        <v>0.0034777697119928266</v>
      </c>
      <c r="D1265" s="102" t="s">
        <v>2321</v>
      </c>
      <c r="E1265" s="102" t="b">
        <v>0</v>
      </c>
      <c r="F1265" s="102" t="b">
        <v>0</v>
      </c>
      <c r="G1265" s="102" t="b">
        <v>0</v>
      </c>
    </row>
    <row r="1266" spans="1:7" ht="15">
      <c r="A1266" s="104" t="s">
        <v>2912</v>
      </c>
      <c r="B1266" s="102">
        <v>3</v>
      </c>
      <c r="C1266" s="106">
        <v>0.0034777697119928266</v>
      </c>
      <c r="D1266" s="102" t="s">
        <v>2321</v>
      </c>
      <c r="E1266" s="102" t="b">
        <v>0</v>
      </c>
      <c r="F1266" s="102" t="b">
        <v>0</v>
      </c>
      <c r="G1266" s="102" t="b">
        <v>0</v>
      </c>
    </row>
    <row r="1267" spans="1:7" ht="15">
      <c r="A1267" s="104" t="s">
        <v>2913</v>
      </c>
      <c r="B1267" s="102">
        <v>3</v>
      </c>
      <c r="C1267" s="106">
        <v>0.0034777697119928266</v>
      </c>
      <c r="D1267" s="102" t="s">
        <v>2321</v>
      </c>
      <c r="E1267" s="102" t="b">
        <v>0</v>
      </c>
      <c r="F1267" s="102" t="b">
        <v>0</v>
      </c>
      <c r="G1267" s="102" t="b">
        <v>0</v>
      </c>
    </row>
    <row r="1268" spans="1:7" ht="15">
      <c r="A1268" s="104" t="s">
        <v>2914</v>
      </c>
      <c r="B1268" s="102">
        <v>3</v>
      </c>
      <c r="C1268" s="106">
        <v>0.0034777697119928266</v>
      </c>
      <c r="D1268" s="102" t="s">
        <v>2321</v>
      </c>
      <c r="E1268" s="102" t="b">
        <v>0</v>
      </c>
      <c r="F1268" s="102" t="b">
        <v>0</v>
      </c>
      <c r="G1268" s="102" t="b">
        <v>0</v>
      </c>
    </row>
    <row r="1269" spans="1:7" ht="15">
      <c r="A1269" s="104" t="s">
        <v>2377</v>
      </c>
      <c r="B1269" s="102">
        <v>3</v>
      </c>
      <c r="C1269" s="106">
        <v>0.002858366428733606</v>
      </c>
      <c r="D1269" s="102" t="s">
        <v>2321</v>
      </c>
      <c r="E1269" s="102" t="b">
        <v>0</v>
      </c>
      <c r="F1269" s="102" t="b">
        <v>0</v>
      </c>
      <c r="G1269" s="102" t="b">
        <v>0</v>
      </c>
    </row>
    <row r="1270" spans="1:7" ht="15">
      <c r="A1270" s="104" t="s">
        <v>2385</v>
      </c>
      <c r="B1270" s="102">
        <v>3</v>
      </c>
      <c r="C1270" s="106">
        <v>0.0024960387352033976</v>
      </c>
      <c r="D1270" s="102" t="s">
        <v>2321</v>
      </c>
      <c r="E1270" s="102" t="b">
        <v>0</v>
      </c>
      <c r="F1270" s="102" t="b">
        <v>0</v>
      </c>
      <c r="G1270" s="102" t="b">
        <v>0</v>
      </c>
    </row>
    <row r="1271" spans="1:7" ht="15">
      <c r="A1271" s="104" t="s">
        <v>2907</v>
      </c>
      <c r="B1271" s="102">
        <v>3</v>
      </c>
      <c r="C1271" s="106">
        <v>0.0034777697119928266</v>
      </c>
      <c r="D1271" s="102" t="s">
        <v>2321</v>
      </c>
      <c r="E1271" s="102" t="b">
        <v>0</v>
      </c>
      <c r="F1271" s="102" t="b">
        <v>0</v>
      </c>
      <c r="G1271" s="102" t="b">
        <v>0</v>
      </c>
    </row>
    <row r="1272" spans="1:7" ht="15">
      <c r="A1272" s="104" t="s">
        <v>2433</v>
      </c>
      <c r="B1272" s="102">
        <v>3</v>
      </c>
      <c r="C1272" s="106">
        <v>0.002858366428733606</v>
      </c>
      <c r="D1272" s="102" t="s">
        <v>2321</v>
      </c>
      <c r="E1272" s="102" t="b">
        <v>0</v>
      </c>
      <c r="F1272" s="102" t="b">
        <v>0</v>
      </c>
      <c r="G1272" s="102" t="b">
        <v>0</v>
      </c>
    </row>
    <row r="1273" spans="1:7" ht="15">
      <c r="A1273" s="104" t="s">
        <v>2906</v>
      </c>
      <c r="B1273" s="102">
        <v>3</v>
      </c>
      <c r="C1273" s="106">
        <v>0.0034777697119928266</v>
      </c>
      <c r="D1273" s="102" t="s">
        <v>2321</v>
      </c>
      <c r="E1273" s="102" t="b">
        <v>0</v>
      </c>
      <c r="F1273" s="102" t="b">
        <v>0</v>
      </c>
      <c r="G1273" s="102" t="b">
        <v>0</v>
      </c>
    </row>
    <row r="1274" spans="1:7" ht="15">
      <c r="A1274" s="104" t="s">
        <v>2774</v>
      </c>
      <c r="B1274" s="102">
        <v>3</v>
      </c>
      <c r="C1274" s="106">
        <v>0.0034777697119928266</v>
      </c>
      <c r="D1274" s="102" t="s">
        <v>2321</v>
      </c>
      <c r="E1274" s="102" t="b">
        <v>0</v>
      </c>
      <c r="F1274" s="102" t="b">
        <v>0</v>
      </c>
      <c r="G1274" s="102" t="b">
        <v>0</v>
      </c>
    </row>
    <row r="1275" spans="1:7" ht="15">
      <c r="A1275" s="104" t="s">
        <v>2770</v>
      </c>
      <c r="B1275" s="102">
        <v>3</v>
      </c>
      <c r="C1275" s="106">
        <v>0.002858366428733606</v>
      </c>
      <c r="D1275" s="102" t="s">
        <v>2321</v>
      </c>
      <c r="E1275" s="102" t="b">
        <v>0</v>
      </c>
      <c r="F1275" s="102" t="b">
        <v>0</v>
      </c>
      <c r="G1275" s="102" t="b">
        <v>0</v>
      </c>
    </row>
    <row r="1276" spans="1:7" ht="15">
      <c r="A1276" s="104" t="s">
        <v>2901</v>
      </c>
      <c r="B1276" s="102">
        <v>3</v>
      </c>
      <c r="C1276" s="106">
        <v>0.0034777697119928266</v>
      </c>
      <c r="D1276" s="102" t="s">
        <v>2321</v>
      </c>
      <c r="E1276" s="102" t="b">
        <v>0</v>
      </c>
      <c r="F1276" s="102" t="b">
        <v>0</v>
      </c>
      <c r="G1276" s="102" t="b">
        <v>0</v>
      </c>
    </row>
    <row r="1277" spans="1:7" ht="15">
      <c r="A1277" s="104" t="s">
        <v>2902</v>
      </c>
      <c r="B1277" s="102">
        <v>3</v>
      </c>
      <c r="C1277" s="106">
        <v>0.0034777697119928266</v>
      </c>
      <c r="D1277" s="102" t="s">
        <v>2321</v>
      </c>
      <c r="E1277" s="102" t="b">
        <v>0</v>
      </c>
      <c r="F1277" s="102" t="b">
        <v>0</v>
      </c>
      <c r="G1277" s="102" t="b">
        <v>0</v>
      </c>
    </row>
    <row r="1278" spans="1:7" ht="15">
      <c r="A1278" s="104" t="s">
        <v>2900</v>
      </c>
      <c r="B1278" s="102">
        <v>3</v>
      </c>
      <c r="C1278" s="106">
        <v>0.0034777697119928266</v>
      </c>
      <c r="D1278" s="102" t="s">
        <v>2321</v>
      </c>
      <c r="E1278" s="102" t="b">
        <v>0</v>
      </c>
      <c r="F1278" s="102" t="b">
        <v>0</v>
      </c>
      <c r="G1278" s="102" t="b">
        <v>0</v>
      </c>
    </row>
    <row r="1279" spans="1:7" ht="15">
      <c r="A1279" s="104" t="s">
        <v>2899</v>
      </c>
      <c r="B1279" s="102">
        <v>3</v>
      </c>
      <c r="C1279" s="106">
        <v>0.0034777697119928266</v>
      </c>
      <c r="D1279" s="102" t="s">
        <v>2321</v>
      </c>
      <c r="E1279" s="102" t="b">
        <v>0</v>
      </c>
      <c r="F1279" s="102" t="b">
        <v>0</v>
      </c>
      <c r="G1279" s="102" t="b">
        <v>0</v>
      </c>
    </row>
    <row r="1280" spans="1:7" ht="15">
      <c r="A1280" s="104" t="s">
        <v>2890</v>
      </c>
      <c r="B1280" s="102">
        <v>3</v>
      </c>
      <c r="C1280" s="106">
        <v>0.0034777697119928266</v>
      </c>
      <c r="D1280" s="102" t="s">
        <v>2321</v>
      </c>
      <c r="E1280" s="102" t="b">
        <v>0</v>
      </c>
      <c r="F1280" s="102" t="b">
        <v>0</v>
      </c>
      <c r="G1280" s="102" t="b">
        <v>0</v>
      </c>
    </row>
    <row r="1281" spans="1:7" ht="15">
      <c r="A1281" s="104" t="s">
        <v>2893</v>
      </c>
      <c r="B1281" s="102">
        <v>3</v>
      </c>
      <c r="C1281" s="106">
        <v>0.0034777697119928266</v>
      </c>
      <c r="D1281" s="102" t="s">
        <v>2321</v>
      </c>
      <c r="E1281" s="102" t="b">
        <v>0</v>
      </c>
      <c r="F1281" s="102" t="b">
        <v>0</v>
      </c>
      <c r="G1281" s="102" t="b">
        <v>0</v>
      </c>
    </row>
    <row r="1282" spans="1:7" ht="15">
      <c r="A1282" s="104" t="s">
        <v>2551</v>
      </c>
      <c r="B1282" s="102">
        <v>2</v>
      </c>
      <c r="C1282" s="106">
        <v>0.001905577619155737</v>
      </c>
      <c r="D1282" s="102" t="s">
        <v>2321</v>
      </c>
      <c r="E1282" s="102" t="b">
        <v>0</v>
      </c>
      <c r="F1282" s="102" t="b">
        <v>0</v>
      </c>
      <c r="G1282" s="102" t="b">
        <v>0</v>
      </c>
    </row>
    <row r="1283" spans="1:7" ht="15">
      <c r="A1283" s="104" t="s">
        <v>2538</v>
      </c>
      <c r="B1283" s="102">
        <v>2</v>
      </c>
      <c r="C1283" s="106">
        <v>0.0023185131413285508</v>
      </c>
      <c r="D1283" s="102" t="s">
        <v>2321</v>
      </c>
      <c r="E1283" s="102" t="b">
        <v>0</v>
      </c>
      <c r="F1283" s="102" t="b">
        <v>0</v>
      </c>
      <c r="G1283" s="102" t="b">
        <v>0</v>
      </c>
    </row>
    <row r="1284" spans="1:7" ht="15">
      <c r="A1284" s="104" t="s">
        <v>3171</v>
      </c>
      <c r="B1284" s="102">
        <v>2</v>
      </c>
      <c r="C1284" s="106">
        <v>0.001905577619155737</v>
      </c>
      <c r="D1284" s="102" t="s">
        <v>2321</v>
      </c>
      <c r="E1284" s="102" t="b">
        <v>0</v>
      </c>
      <c r="F1284" s="102" t="b">
        <v>0</v>
      </c>
      <c r="G1284" s="102" t="b">
        <v>0</v>
      </c>
    </row>
    <row r="1285" spans="1:7" ht="15">
      <c r="A1285" s="104" t="s">
        <v>2368</v>
      </c>
      <c r="B1285" s="102">
        <v>2</v>
      </c>
      <c r="C1285" s="106">
        <v>0.001905577619155737</v>
      </c>
      <c r="D1285" s="102" t="s">
        <v>2321</v>
      </c>
      <c r="E1285" s="102" t="b">
        <v>0</v>
      </c>
      <c r="F1285" s="102" t="b">
        <v>0</v>
      </c>
      <c r="G1285" s="102" t="b">
        <v>0</v>
      </c>
    </row>
    <row r="1286" spans="1:7" ht="15">
      <c r="A1286" s="104" t="s">
        <v>2529</v>
      </c>
      <c r="B1286" s="102">
        <v>2</v>
      </c>
      <c r="C1286" s="106">
        <v>0.001905577619155737</v>
      </c>
      <c r="D1286" s="102" t="s">
        <v>2321</v>
      </c>
      <c r="E1286" s="102" t="b">
        <v>0</v>
      </c>
      <c r="F1286" s="102" t="b">
        <v>0</v>
      </c>
      <c r="G1286" s="102" t="b">
        <v>0</v>
      </c>
    </row>
    <row r="1287" spans="1:7" ht="15">
      <c r="A1287" s="104" t="s">
        <v>2511</v>
      </c>
      <c r="B1287" s="102">
        <v>2</v>
      </c>
      <c r="C1287" s="106">
        <v>0.0023185131413285508</v>
      </c>
      <c r="D1287" s="102" t="s">
        <v>2321</v>
      </c>
      <c r="E1287" s="102" t="b">
        <v>0</v>
      </c>
      <c r="F1287" s="102" t="b">
        <v>0</v>
      </c>
      <c r="G1287" s="102" t="b">
        <v>0</v>
      </c>
    </row>
    <row r="1288" spans="1:7" ht="15">
      <c r="A1288" s="104" t="s">
        <v>3334</v>
      </c>
      <c r="B1288" s="102">
        <v>2</v>
      </c>
      <c r="C1288" s="106">
        <v>0.0023185131413285508</v>
      </c>
      <c r="D1288" s="102" t="s">
        <v>2321</v>
      </c>
      <c r="E1288" s="102" t="b">
        <v>0</v>
      </c>
      <c r="F1288" s="102" t="b">
        <v>0</v>
      </c>
      <c r="G1288" s="102" t="b">
        <v>0</v>
      </c>
    </row>
    <row r="1289" spans="1:7" ht="15">
      <c r="A1289" s="104" t="s">
        <v>2422</v>
      </c>
      <c r="B1289" s="102">
        <v>2</v>
      </c>
      <c r="C1289" s="106">
        <v>0.0023185131413285508</v>
      </c>
      <c r="D1289" s="102" t="s">
        <v>2321</v>
      </c>
      <c r="E1289" s="102" t="b">
        <v>0</v>
      </c>
      <c r="F1289" s="102" t="b">
        <v>0</v>
      </c>
      <c r="G1289" s="102" t="b">
        <v>0</v>
      </c>
    </row>
    <row r="1290" spans="1:7" ht="15">
      <c r="A1290" s="104" t="s">
        <v>2476</v>
      </c>
      <c r="B1290" s="102">
        <v>2</v>
      </c>
      <c r="C1290" s="106">
        <v>0.001905577619155737</v>
      </c>
      <c r="D1290" s="102" t="s">
        <v>2321</v>
      </c>
      <c r="E1290" s="102" t="b">
        <v>0</v>
      </c>
      <c r="F1290" s="102" t="b">
        <v>1</v>
      </c>
      <c r="G1290" s="102" t="b">
        <v>0</v>
      </c>
    </row>
    <row r="1291" spans="1:7" ht="15">
      <c r="A1291" s="104" t="s">
        <v>2903</v>
      </c>
      <c r="B1291" s="102">
        <v>2</v>
      </c>
      <c r="C1291" s="106">
        <v>0.001905577619155737</v>
      </c>
      <c r="D1291" s="102" t="s">
        <v>2321</v>
      </c>
      <c r="E1291" s="102" t="b">
        <v>0</v>
      </c>
      <c r="F1291" s="102" t="b">
        <v>0</v>
      </c>
      <c r="G1291" s="102" t="b">
        <v>0</v>
      </c>
    </row>
    <row r="1292" spans="1:7" ht="15">
      <c r="A1292" s="104" t="s">
        <v>3242</v>
      </c>
      <c r="B1292" s="102">
        <v>2</v>
      </c>
      <c r="C1292" s="106">
        <v>0.001905577619155737</v>
      </c>
      <c r="D1292" s="102" t="s">
        <v>2321</v>
      </c>
      <c r="E1292" s="102" t="b">
        <v>0</v>
      </c>
      <c r="F1292" s="102" t="b">
        <v>0</v>
      </c>
      <c r="G1292" s="102" t="b">
        <v>0</v>
      </c>
    </row>
    <row r="1293" spans="1:7" ht="15">
      <c r="A1293" s="104" t="s">
        <v>2472</v>
      </c>
      <c r="B1293" s="102">
        <v>2</v>
      </c>
      <c r="C1293" s="106">
        <v>0.001905577619155737</v>
      </c>
      <c r="D1293" s="102" t="s">
        <v>2321</v>
      </c>
      <c r="E1293" s="102" t="b">
        <v>0</v>
      </c>
      <c r="F1293" s="102" t="b">
        <v>0</v>
      </c>
      <c r="G1293" s="102" t="b">
        <v>0</v>
      </c>
    </row>
    <row r="1294" spans="1:7" ht="15">
      <c r="A1294" s="104" t="s">
        <v>3215</v>
      </c>
      <c r="B1294" s="102">
        <v>2</v>
      </c>
      <c r="C1294" s="106">
        <v>0.001905577619155737</v>
      </c>
      <c r="D1294" s="102" t="s">
        <v>2321</v>
      </c>
      <c r="E1294" s="102" t="b">
        <v>0</v>
      </c>
      <c r="F1294" s="102" t="b">
        <v>0</v>
      </c>
      <c r="G1294" s="102" t="b">
        <v>0</v>
      </c>
    </row>
    <row r="1295" spans="1:7" ht="15">
      <c r="A1295" s="104" t="s">
        <v>2356</v>
      </c>
      <c r="B1295" s="102">
        <v>2</v>
      </c>
      <c r="C1295" s="106">
        <v>0.001905577619155737</v>
      </c>
      <c r="D1295" s="102" t="s">
        <v>2321</v>
      </c>
      <c r="E1295" s="102" t="b">
        <v>0</v>
      </c>
      <c r="F1295" s="102" t="b">
        <v>0</v>
      </c>
      <c r="G1295" s="102" t="b">
        <v>0</v>
      </c>
    </row>
    <row r="1296" spans="1:7" ht="15">
      <c r="A1296" s="104" t="s">
        <v>2397</v>
      </c>
      <c r="B1296" s="102">
        <v>2</v>
      </c>
      <c r="C1296" s="106">
        <v>0.001905577619155737</v>
      </c>
      <c r="D1296" s="102" t="s">
        <v>2321</v>
      </c>
      <c r="E1296" s="102" t="b">
        <v>0</v>
      </c>
      <c r="F1296" s="102" t="b">
        <v>0</v>
      </c>
      <c r="G1296" s="102" t="b">
        <v>0</v>
      </c>
    </row>
    <row r="1297" spans="1:7" ht="15">
      <c r="A1297" s="104" t="s">
        <v>2474</v>
      </c>
      <c r="B1297" s="102">
        <v>2</v>
      </c>
      <c r="C1297" s="106">
        <v>0.001905577619155737</v>
      </c>
      <c r="D1297" s="102" t="s">
        <v>2321</v>
      </c>
      <c r="E1297" s="102" t="b">
        <v>0</v>
      </c>
      <c r="F1297" s="102" t="b">
        <v>0</v>
      </c>
      <c r="G1297" s="102" t="b">
        <v>0</v>
      </c>
    </row>
    <row r="1298" spans="1:7" ht="15">
      <c r="A1298" s="104" t="s">
        <v>2657</v>
      </c>
      <c r="B1298" s="102">
        <v>2</v>
      </c>
      <c r="C1298" s="106">
        <v>0.001905577619155737</v>
      </c>
      <c r="D1298" s="102" t="s">
        <v>2321</v>
      </c>
      <c r="E1298" s="102" t="b">
        <v>0</v>
      </c>
      <c r="F1298" s="102" t="b">
        <v>0</v>
      </c>
      <c r="G1298" s="102" t="b">
        <v>0</v>
      </c>
    </row>
    <row r="1299" spans="1:7" ht="15">
      <c r="A1299" s="104" t="s">
        <v>2503</v>
      </c>
      <c r="B1299" s="102">
        <v>2</v>
      </c>
      <c r="C1299" s="106">
        <v>0.0023185131413285508</v>
      </c>
      <c r="D1299" s="102" t="s">
        <v>2321</v>
      </c>
      <c r="E1299" s="102" t="b">
        <v>0</v>
      </c>
      <c r="F1299" s="102" t="b">
        <v>0</v>
      </c>
      <c r="G1299" s="102" t="b">
        <v>0</v>
      </c>
    </row>
    <row r="1300" spans="1:7" ht="15">
      <c r="A1300" s="104" t="s">
        <v>3247</v>
      </c>
      <c r="B1300" s="102">
        <v>2</v>
      </c>
      <c r="C1300" s="106">
        <v>0.0023185131413285508</v>
      </c>
      <c r="D1300" s="102" t="s">
        <v>2321</v>
      </c>
      <c r="E1300" s="102" t="b">
        <v>1</v>
      </c>
      <c r="F1300" s="102" t="b">
        <v>0</v>
      </c>
      <c r="G1300" s="102" t="b">
        <v>0</v>
      </c>
    </row>
    <row r="1301" spans="1:7" ht="15">
      <c r="A1301" s="104" t="s">
        <v>2524</v>
      </c>
      <c r="B1301" s="102">
        <v>2</v>
      </c>
      <c r="C1301" s="106">
        <v>0.001905577619155737</v>
      </c>
      <c r="D1301" s="102" t="s">
        <v>2321</v>
      </c>
      <c r="E1301" s="102" t="b">
        <v>0</v>
      </c>
      <c r="F1301" s="102" t="b">
        <v>0</v>
      </c>
      <c r="G1301" s="102" t="b">
        <v>0</v>
      </c>
    </row>
    <row r="1302" spans="1:7" ht="15">
      <c r="A1302" s="104" t="s">
        <v>2439</v>
      </c>
      <c r="B1302" s="102">
        <v>2</v>
      </c>
      <c r="C1302" s="106">
        <v>0.001905577619155737</v>
      </c>
      <c r="D1302" s="102" t="s">
        <v>2321</v>
      </c>
      <c r="E1302" s="102" t="b">
        <v>0</v>
      </c>
      <c r="F1302" s="102" t="b">
        <v>0</v>
      </c>
      <c r="G1302" s="102" t="b">
        <v>0</v>
      </c>
    </row>
    <row r="1303" spans="1:7" ht="15">
      <c r="A1303" s="104" t="s">
        <v>2515</v>
      </c>
      <c r="B1303" s="102">
        <v>2</v>
      </c>
      <c r="C1303" s="106">
        <v>0.001905577619155737</v>
      </c>
      <c r="D1303" s="102" t="s">
        <v>2321</v>
      </c>
      <c r="E1303" s="102" t="b">
        <v>0</v>
      </c>
      <c r="F1303" s="102" t="b">
        <v>0</v>
      </c>
      <c r="G1303" s="102" t="b">
        <v>0</v>
      </c>
    </row>
    <row r="1304" spans="1:7" ht="15">
      <c r="A1304" s="104" t="s">
        <v>2527</v>
      </c>
      <c r="B1304" s="102">
        <v>2</v>
      </c>
      <c r="C1304" s="106">
        <v>0.001905577619155737</v>
      </c>
      <c r="D1304" s="102" t="s">
        <v>2321</v>
      </c>
      <c r="E1304" s="102" t="b">
        <v>0</v>
      </c>
      <c r="F1304" s="102" t="b">
        <v>0</v>
      </c>
      <c r="G1304" s="102" t="b">
        <v>0</v>
      </c>
    </row>
    <row r="1305" spans="1:7" ht="15">
      <c r="A1305" s="104" t="s">
        <v>2634</v>
      </c>
      <c r="B1305" s="102">
        <v>2</v>
      </c>
      <c r="C1305" s="106">
        <v>0.001905577619155737</v>
      </c>
      <c r="D1305" s="102" t="s">
        <v>2321</v>
      </c>
      <c r="E1305" s="102" t="b">
        <v>0</v>
      </c>
      <c r="F1305" s="102" t="b">
        <v>0</v>
      </c>
      <c r="G1305" s="102" t="b">
        <v>0</v>
      </c>
    </row>
    <row r="1306" spans="1:7" ht="15">
      <c r="A1306" s="104" t="s">
        <v>2882</v>
      </c>
      <c r="B1306" s="102">
        <v>2</v>
      </c>
      <c r="C1306" s="106">
        <v>0.0023185131413285508</v>
      </c>
      <c r="D1306" s="102" t="s">
        <v>2321</v>
      </c>
      <c r="E1306" s="102" t="b">
        <v>0</v>
      </c>
      <c r="F1306" s="102" t="b">
        <v>0</v>
      </c>
      <c r="G1306" s="102" t="b">
        <v>0</v>
      </c>
    </row>
    <row r="1307" spans="1:7" ht="15">
      <c r="A1307" s="104" t="s">
        <v>2565</v>
      </c>
      <c r="B1307" s="102">
        <v>2</v>
      </c>
      <c r="C1307" s="106">
        <v>0.001905577619155737</v>
      </c>
      <c r="D1307" s="102" t="s">
        <v>2321</v>
      </c>
      <c r="E1307" s="102" t="b">
        <v>0</v>
      </c>
      <c r="F1307" s="102" t="b">
        <v>0</v>
      </c>
      <c r="G1307" s="102" t="b">
        <v>0</v>
      </c>
    </row>
    <row r="1308" spans="1:7" ht="15">
      <c r="A1308" s="104" t="s">
        <v>2858</v>
      </c>
      <c r="B1308" s="102">
        <v>2</v>
      </c>
      <c r="C1308" s="106">
        <v>0.0023185131413285508</v>
      </c>
      <c r="D1308" s="102" t="s">
        <v>2321</v>
      </c>
      <c r="E1308" s="102" t="b">
        <v>0</v>
      </c>
      <c r="F1308" s="102" t="b">
        <v>0</v>
      </c>
      <c r="G1308" s="102" t="b">
        <v>0</v>
      </c>
    </row>
    <row r="1309" spans="1:7" ht="15">
      <c r="A1309" s="104" t="s">
        <v>2611</v>
      </c>
      <c r="B1309" s="102">
        <v>2</v>
      </c>
      <c r="C1309" s="106">
        <v>0.001905577619155737</v>
      </c>
      <c r="D1309" s="102" t="s">
        <v>2321</v>
      </c>
      <c r="E1309" s="102" t="b">
        <v>0</v>
      </c>
      <c r="F1309" s="102" t="b">
        <v>1</v>
      </c>
      <c r="G1309" s="102" t="b">
        <v>0</v>
      </c>
    </row>
    <row r="1310" spans="1:7" ht="15">
      <c r="A1310" s="104" t="s">
        <v>3230</v>
      </c>
      <c r="B1310" s="102">
        <v>2</v>
      </c>
      <c r="C1310" s="106">
        <v>0.0023185131413285508</v>
      </c>
      <c r="D1310" s="102" t="s">
        <v>2321</v>
      </c>
      <c r="E1310" s="102" t="b">
        <v>0</v>
      </c>
      <c r="F1310" s="102" t="b">
        <v>0</v>
      </c>
      <c r="G1310" s="102" t="b">
        <v>0</v>
      </c>
    </row>
    <row r="1311" spans="1:7" ht="15">
      <c r="A1311" s="104" t="s">
        <v>3231</v>
      </c>
      <c r="B1311" s="102">
        <v>2</v>
      </c>
      <c r="C1311" s="106">
        <v>0.0023185131413285508</v>
      </c>
      <c r="D1311" s="102" t="s">
        <v>2321</v>
      </c>
      <c r="E1311" s="102" t="b">
        <v>0</v>
      </c>
      <c r="F1311" s="102" t="b">
        <v>0</v>
      </c>
      <c r="G1311" s="102" t="b">
        <v>0</v>
      </c>
    </row>
    <row r="1312" spans="1:7" ht="15">
      <c r="A1312" s="104" t="s">
        <v>3232</v>
      </c>
      <c r="B1312" s="102">
        <v>2</v>
      </c>
      <c r="C1312" s="106">
        <v>0.0023185131413285508</v>
      </c>
      <c r="D1312" s="102" t="s">
        <v>2321</v>
      </c>
      <c r="E1312" s="102" t="b">
        <v>0</v>
      </c>
      <c r="F1312" s="102" t="b">
        <v>0</v>
      </c>
      <c r="G1312" s="102" t="b">
        <v>0</v>
      </c>
    </row>
    <row r="1313" spans="1:7" ht="15">
      <c r="A1313" s="104" t="s">
        <v>3233</v>
      </c>
      <c r="B1313" s="102">
        <v>2</v>
      </c>
      <c r="C1313" s="106">
        <v>0.0023185131413285508</v>
      </c>
      <c r="D1313" s="102" t="s">
        <v>2321</v>
      </c>
      <c r="E1313" s="102" t="b">
        <v>0</v>
      </c>
      <c r="F1313" s="102" t="b">
        <v>0</v>
      </c>
      <c r="G1313" s="102" t="b">
        <v>0</v>
      </c>
    </row>
    <row r="1314" spans="1:7" ht="15">
      <c r="A1314" s="104" t="s">
        <v>3234</v>
      </c>
      <c r="B1314" s="102">
        <v>2</v>
      </c>
      <c r="C1314" s="106">
        <v>0.0023185131413285508</v>
      </c>
      <c r="D1314" s="102" t="s">
        <v>2321</v>
      </c>
      <c r="E1314" s="102" t="b">
        <v>0</v>
      </c>
      <c r="F1314" s="102" t="b">
        <v>0</v>
      </c>
      <c r="G1314" s="102" t="b">
        <v>0</v>
      </c>
    </row>
    <row r="1315" spans="1:7" ht="15">
      <c r="A1315" s="104" t="s">
        <v>3235</v>
      </c>
      <c r="B1315" s="102">
        <v>2</v>
      </c>
      <c r="C1315" s="106">
        <v>0.0023185131413285508</v>
      </c>
      <c r="D1315" s="102" t="s">
        <v>2321</v>
      </c>
      <c r="E1315" s="102" t="b">
        <v>0</v>
      </c>
      <c r="F1315" s="102" t="b">
        <v>0</v>
      </c>
      <c r="G1315" s="102" t="b">
        <v>0</v>
      </c>
    </row>
    <row r="1316" spans="1:7" ht="15">
      <c r="A1316" s="104" t="s">
        <v>3236</v>
      </c>
      <c r="B1316" s="102">
        <v>2</v>
      </c>
      <c r="C1316" s="106">
        <v>0.0023185131413285508</v>
      </c>
      <c r="D1316" s="102" t="s">
        <v>2321</v>
      </c>
      <c r="E1316" s="102" t="b">
        <v>0</v>
      </c>
      <c r="F1316" s="102" t="b">
        <v>0</v>
      </c>
      <c r="G1316" s="102" t="b">
        <v>0</v>
      </c>
    </row>
    <row r="1317" spans="1:7" ht="15">
      <c r="A1317" s="104" t="s">
        <v>3237</v>
      </c>
      <c r="B1317" s="102">
        <v>2</v>
      </c>
      <c r="C1317" s="106">
        <v>0.0023185131413285508</v>
      </c>
      <c r="D1317" s="102" t="s">
        <v>2321</v>
      </c>
      <c r="E1317" s="102" t="b">
        <v>0</v>
      </c>
      <c r="F1317" s="102" t="b">
        <v>0</v>
      </c>
      <c r="G1317" s="102" t="b">
        <v>0</v>
      </c>
    </row>
    <row r="1318" spans="1:7" ht="15">
      <c r="A1318" s="104" t="s">
        <v>3238</v>
      </c>
      <c r="B1318" s="102">
        <v>2</v>
      </c>
      <c r="C1318" s="106">
        <v>0.0023185131413285508</v>
      </c>
      <c r="D1318" s="102" t="s">
        <v>2321</v>
      </c>
      <c r="E1318" s="102" t="b">
        <v>0</v>
      </c>
      <c r="F1318" s="102" t="b">
        <v>0</v>
      </c>
      <c r="G1318" s="102" t="b">
        <v>0</v>
      </c>
    </row>
    <row r="1319" spans="1:7" ht="15">
      <c r="A1319" s="104" t="s">
        <v>3239</v>
      </c>
      <c r="B1319" s="102">
        <v>2</v>
      </c>
      <c r="C1319" s="106">
        <v>0.0023185131413285508</v>
      </c>
      <c r="D1319" s="102" t="s">
        <v>2321</v>
      </c>
      <c r="E1319" s="102" t="b">
        <v>0</v>
      </c>
      <c r="F1319" s="102" t="b">
        <v>1</v>
      </c>
      <c r="G1319" s="102" t="b">
        <v>0</v>
      </c>
    </row>
    <row r="1320" spans="1:7" ht="15">
      <c r="A1320" s="104" t="s">
        <v>3228</v>
      </c>
      <c r="B1320" s="102">
        <v>2</v>
      </c>
      <c r="C1320" s="106">
        <v>0.0023185131413285508</v>
      </c>
      <c r="D1320" s="102" t="s">
        <v>2321</v>
      </c>
      <c r="E1320" s="102" t="b">
        <v>0</v>
      </c>
      <c r="F1320" s="102" t="b">
        <v>0</v>
      </c>
      <c r="G1320" s="102" t="b">
        <v>0</v>
      </c>
    </row>
    <row r="1321" spans="1:7" ht="15">
      <c r="A1321" s="104" t="s">
        <v>3229</v>
      </c>
      <c r="B1321" s="102">
        <v>2</v>
      </c>
      <c r="C1321" s="106">
        <v>0.0023185131413285508</v>
      </c>
      <c r="D1321" s="102" t="s">
        <v>2321</v>
      </c>
      <c r="E1321" s="102" t="b">
        <v>0</v>
      </c>
      <c r="F1321" s="102" t="b">
        <v>0</v>
      </c>
      <c r="G1321" s="102" t="b">
        <v>0</v>
      </c>
    </row>
    <row r="1322" spans="1:7" ht="15">
      <c r="A1322" s="104" t="s">
        <v>2773</v>
      </c>
      <c r="B1322" s="102">
        <v>2</v>
      </c>
      <c r="C1322" s="106">
        <v>0.001905577619155737</v>
      </c>
      <c r="D1322" s="102" t="s">
        <v>2321</v>
      </c>
      <c r="E1322" s="102" t="b">
        <v>0</v>
      </c>
      <c r="F1322" s="102" t="b">
        <v>0</v>
      </c>
      <c r="G1322" s="102" t="b">
        <v>0</v>
      </c>
    </row>
    <row r="1323" spans="1:7" ht="15">
      <c r="A1323" s="104" t="s">
        <v>3227</v>
      </c>
      <c r="B1323" s="102">
        <v>2</v>
      </c>
      <c r="C1323" s="106">
        <v>0.0023185131413285508</v>
      </c>
      <c r="D1323" s="102" t="s">
        <v>2321</v>
      </c>
      <c r="E1323" s="102" t="b">
        <v>0</v>
      </c>
      <c r="F1323" s="102" t="b">
        <v>0</v>
      </c>
      <c r="G1323" s="102" t="b">
        <v>0</v>
      </c>
    </row>
    <row r="1324" spans="1:7" ht="15">
      <c r="A1324" s="104" t="s">
        <v>3226</v>
      </c>
      <c r="B1324" s="102">
        <v>2</v>
      </c>
      <c r="C1324" s="106">
        <v>0.0023185131413285508</v>
      </c>
      <c r="D1324" s="102" t="s">
        <v>2321</v>
      </c>
      <c r="E1324" s="102" t="b">
        <v>0</v>
      </c>
      <c r="F1324" s="102" t="b">
        <v>0</v>
      </c>
      <c r="G1324" s="102" t="b">
        <v>0</v>
      </c>
    </row>
    <row r="1325" spans="1:7" ht="15">
      <c r="A1325" s="104" t="s">
        <v>3220</v>
      </c>
      <c r="B1325" s="102">
        <v>2</v>
      </c>
      <c r="C1325" s="106">
        <v>0.0023185131413285508</v>
      </c>
      <c r="D1325" s="102" t="s">
        <v>2321</v>
      </c>
      <c r="E1325" s="102" t="b">
        <v>0</v>
      </c>
      <c r="F1325" s="102" t="b">
        <v>0</v>
      </c>
      <c r="G1325" s="102" t="b">
        <v>0</v>
      </c>
    </row>
    <row r="1326" spans="1:7" ht="15">
      <c r="A1326" s="104" t="s">
        <v>3209</v>
      </c>
      <c r="B1326" s="102">
        <v>2</v>
      </c>
      <c r="C1326" s="106">
        <v>0.001905577619155737</v>
      </c>
      <c r="D1326" s="102" t="s">
        <v>2321</v>
      </c>
      <c r="E1326" s="102" t="b">
        <v>0</v>
      </c>
      <c r="F1326" s="102" t="b">
        <v>0</v>
      </c>
      <c r="G1326" s="102" t="b">
        <v>0</v>
      </c>
    </row>
    <row r="1327" spans="1:7" ht="15">
      <c r="A1327" s="104" t="s">
        <v>3221</v>
      </c>
      <c r="B1327" s="102">
        <v>2</v>
      </c>
      <c r="C1327" s="106">
        <v>0.0023185131413285508</v>
      </c>
      <c r="D1327" s="102" t="s">
        <v>2321</v>
      </c>
      <c r="E1327" s="102" t="b">
        <v>0</v>
      </c>
      <c r="F1327" s="102" t="b">
        <v>0</v>
      </c>
      <c r="G1327" s="102" t="b">
        <v>0</v>
      </c>
    </row>
    <row r="1328" spans="1:7" ht="15">
      <c r="A1328" s="104" t="s">
        <v>3222</v>
      </c>
      <c r="B1328" s="102">
        <v>2</v>
      </c>
      <c r="C1328" s="106">
        <v>0.0023185131413285508</v>
      </c>
      <c r="D1328" s="102" t="s">
        <v>2321</v>
      </c>
      <c r="E1328" s="102" t="b">
        <v>0</v>
      </c>
      <c r="F1328" s="102" t="b">
        <v>0</v>
      </c>
      <c r="G1328" s="102" t="b">
        <v>0</v>
      </c>
    </row>
    <row r="1329" spans="1:7" ht="15">
      <c r="A1329" s="104" t="s">
        <v>3223</v>
      </c>
      <c r="B1329" s="102">
        <v>2</v>
      </c>
      <c r="C1329" s="106">
        <v>0.0023185131413285508</v>
      </c>
      <c r="D1329" s="102" t="s">
        <v>2321</v>
      </c>
      <c r="E1329" s="102" t="b">
        <v>0</v>
      </c>
      <c r="F1329" s="102" t="b">
        <v>0</v>
      </c>
      <c r="G1329" s="102" t="b">
        <v>0</v>
      </c>
    </row>
    <row r="1330" spans="1:7" ht="15">
      <c r="A1330" s="104" t="s">
        <v>3224</v>
      </c>
      <c r="B1330" s="102">
        <v>2</v>
      </c>
      <c r="C1330" s="106">
        <v>0.0023185131413285508</v>
      </c>
      <c r="D1330" s="102" t="s">
        <v>2321</v>
      </c>
      <c r="E1330" s="102" t="b">
        <v>0</v>
      </c>
      <c r="F1330" s="102" t="b">
        <v>0</v>
      </c>
      <c r="G1330" s="102" t="b">
        <v>0</v>
      </c>
    </row>
    <row r="1331" spans="1:7" ht="15">
      <c r="A1331" s="104" t="s">
        <v>3225</v>
      </c>
      <c r="B1331" s="102">
        <v>2</v>
      </c>
      <c r="C1331" s="106">
        <v>0.0023185131413285508</v>
      </c>
      <c r="D1331" s="102" t="s">
        <v>2321</v>
      </c>
      <c r="E1331" s="102" t="b">
        <v>0</v>
      </c>
      <c r="F1331" s="102" t="b">
        <v>0</v>
      </c>
      <c r="G1331" s="102" t="b">
        <v>0</v>
      </c>
    </row>
    <row r="1332" spans="1:7" ht="15">
      <c r="A1332" s="104" t="s">
        <v>2384</v>
      </c>
      <c r="B1332" s="102">
        <v>2</v>
      </c>
      <c r="C1332" s="106">
        <v>0.001905577619155737</v>
      </c>
      <c r="D1332" s="102" t="s">
        <v>2321</v>
      </c>
      <c r="E1332" s="102" t="b">
        <v>0</v>
      </c>
      <c r="F1332" s="102" t="b">
        <v>0</v>
      </c>
      <c r="G1332" s="102" t="b">
        <v>0</v>
      </c>
    </row>
    <row r="1333" spans="1:7" ht="15">
      <c r="A1333" s="104" t="s">
        <v>2388</v>
      </c>
      <c r="B1333" s="102">
        <v>2</v>
      </c>
      <c r="C1333" s="106">
        <v>0.001905577619155737</v>
      </c>
      <c r="D1333" s="102" t="s">
        <v>2321</v>
      </c>
      <c r="E1333" s="102" t="b">
        <v>0</v>
      </c>
      <c r="F1333" s="102" t="b">
        <v>0</v>
      </c>
      <c r="G1333" s="102" t="b">
        <v>0</v>
      </c>
    </row>
    <row r="1334" spans="1:7" ht="15">
      <c r="A1334" s="104" t="s">
        <v>2567</v>
      </c>
      <c r="B1334" s="102">
        <v>2</v>
      </c>
      <c r="C1334" s="106">
        <v>0.001905577619155737</v>
      </c>
      <c r="D1334" s="102" t="s">
        <v>2321</v>
      </c>
      <c r="E1334" s="102" t="b">
        <v>0</v>
      </c>
      <c r="F1334" s="102" t="b">
        <v>0</v>
      </c>
      <c r="G1334" s="102" t="b">
        <v>0</v>
      </c>
    </row>
    <row r="1335" spans="1:7" ht="15">
      <c r="A1335" s="104" t="s">
        <v>2464</v>
      </c>
      <c r="B1335" s="102">
        <v>2</v>
      </c>
      <c r="C1335" s="106">
        <v>0.001905577619155737</v>
      </c>
      <c r="D1335" s="102" t="s">
        <v>2321</v>
      </c>
      <c r="E1335" s="102" t="b">
        <v>0</v>
      </c>
      <c r="F1335" s="102" t="b">
        <v>0</v>
      </c>
      <c r="G1335" s="102" t="b">
        <v>0</v>
      </c>
    </row>
    <row r="1336" spans="1:7" ht="15">
      <c r="A1336" s="104" t="s">
        <v>3216</v>
      </c>
      <c r="B1336" s="102">
        <v>2</v>
      </c>
      <c r="C1336" s="106">
        <v>0.001905577619155737</v>
      </c>
      <c r="D1336" s="102" t="s">
        <v>2321</v>
      </c>
      <c r="E1336" s="102" t="b">
        <v>0</v>
      </c>
      <c r="F1336" s="102" t="b">
        <v>0</v>
      </c>
      <c r="G1336" s="102" t="b">
        <v>0</v>
      </c>
    </row>
    <row r="1337" spans="1:7" ht="15">
      <c r="A1337" s="104" t="s">
        <v>2540</v>
      </c>
      <c r="B1337" s="102">
        <v>2</v>
      </c>
      <c r="C1337" s="106">
        <v>0.001905577619155737</v>
      </c>
      <c r="D1337" s="102" t="s">
        <v>2321</v>
      </c>
      <c r="E1337" s="102" t="b">
        <v>0</v>
      </c>
      <c r="F1337" s="102" t="b">
        <v>0</v>
      </c>
      <c r="G1337" s="102" t="b">
        <v>0</v>
      </c>
    </row>
    <row r="1338" spans="1:7" ht="15">
      <c r="A1338" s="104" t="s">
        <v>2756</v>
      </c>
      <c r="B1338" s="102">
        <v>2</v>
      </c>
      <c r="C1338" s="106">
        <v>0.001905577619155737</v>
      </c>
      <c r="D1338" s="102" t="s">
        <v>2321</v>
      </c>
      <c r="E1338" s="102" t="b">
        <v>0</v>
      </c>
      <c r="F1338" s="102" t="b">
        <v>0</v>
      </c>
      <c r="G1338" s="102" t="b">
        <v>0</v>
      </c>
    </row>
    <row r="1339" spans="1:7" ht="15">
      <c r="A1339" s="104" t="s">
        <v>2725</v>
      </c>
      <c r="B1339" s="102">
        <v>2</v>
      </c>
      <c r="C1339" s="106">
        <v>0.0023185131413285508</v>
      </c>
      <c r="D1339" s="102" t="s">
        <v>2321</v>
      </c>
      <c r="E1339" s="102" t="b">
        <v>0</v>
      </c>
      <c r="F1339" s="102" t="b">
        <v>0</v>
      </c>
      <c r="G1339" s="102" t="b">
        <v>0</v>
      </c>
    </row>
    <row r="1340" spans="1:7" ht="15">
      <c r="A1340" s="104" t="s">
        <v>3218</v>
      </c>
      <c r="B1340" s="102">
        <v>2</v>
      </c>
      <c r="C1340" s="106">
        <v>0.0023185131413285508</v>
      </c>
      <c r="D1340" s="102" t="s">
        <v>2321</v>
      </c>
      <c r="E1340" s="102" t="b">
        <v>0</v>
      </c>
      <c r="F1340" s="102" t="b">
        <v>0</v>
      </c>
      <c r="G1340" s="102" t="b">
        <v>0</v>
      </c>
    </row>
    <row r="1341" spans="1:7" ht="15">
      <c r="A1341" s="104" t="s">
        <v>3219</v>
      </c>
      <c r="B1341" s="102">
        <v>2</v>
      </c>
      <c r="C1341" s="106">
        <v>0.0023185131413285508</v>
      </c>
      <c r="D1341" s="102" t="s">
        <v>2321</v>
      </c>
      <c r="E1341" s="102" t="b">
        <v>0</v>
      </c>
      <c r="F1341" s="102" t="b">
        <v>0</v>
      </c>
      <c r="G1341" s="102" t="b">
        <v>0</v>
      </c>
    </row>
    <row r="1342" spans="1:7" ht="15">
      <c r="A1342" s="104" t="s">
        <v>3210</v>
      </c>
      <c r="B1342" s="102">
        <v>2</v>
      </c>
      <c r="C1342" s="106">
        <v>0.0023185131413285508</v>
      </c>
      <c r="D1342" s="102" t="s">
        <v>2321</v>
      </c>
      <c r="E1342" s="102" t="b">
        <v>0</v>
      </c>
      <c r="F1342" s="102" t="b">
        <v>0</v>
      </c>
      <c r="G1342" s="102" t="b">
        <v>0</v>
      </c>
    </row>
    <row r="1343" spans="1:7" ht="15">
      <c r="A1343" s="104" t="s">
        <v>3212</v>
      </c>
      <c r="B1343" s="102">
        <v>2</v>
      </c>
      <c r="C1343" s="106">
        <v>0.0023185131413285508</v>
      </c>
      <c r="D1343" s="102" t="s">
        <v>2321</v>
      </c>
      <c r="E1343" s="102" t="b">
        <v>0</v>
      </c>
      <c r="F1343" s="102" t="b">
        <v>0</v>
      </c>
      <c r="G1343" s="102" t="b">
        <v>0</v>
      </c>
    </row>
    <row r="1344" spans="1:7" ht="15">
      <c r="A1344" s="104" t="s">
        <v>3213</v>
      </c>
      <c r="B1344" s="102">
        <v>2</v>
      </c>
      <c r="C1344" s="106">
        <v>0.0023185131413285508</v>
      </c>
      <c r="D1344" s="102" t="s">
        <v>2321</v>
      </c>
      <c r="E1344" s="102" t="b">
        <v>0</v>
      </c>
      <c r="F1344" s="102" t="b">
        <v>0</v>
      </c>
      <c r="G1344" s="102" t="b">
        <v>0</v>
      </c>
    </row>
    <row r="1345" spans="1:7" ht="15">
      <c r="A1345" s="104" t="s">
        <v>3208</v>
      </c>
      <c r="B1345" s="102">
        <v>2</v>
      </c>
      <c r="C1345" s="106">
        <v>0.0023185131413285508</v>
      </c>
      <c r="D1345" s="102" t="s">
        <v>2321</v>
      </c>
      <c r="E1345" s="102" t="b">
        <v>0</v>
      </c>
      <c r="F1345" s="102" t="b">
        <v>0</v>
      </c>
      <c r="G1345" s="102" t="b">
        <v>0</v>
      </c>
    </row>
    <row r="1346" spans="1:7" ht="15">
      <c r="A1346" s="104" t="s">
        <v>3204</v>
      </c>
      <c r="B1346" s="102">
        <v>2</v>
      </c>
      <c r="C1346" s="106">
        <v>0.0023185131413285508</v>
      </c>
      <c r="D1346" s="102" t="s">
        <v>2321</v>
      </c>
      <c r="E1346" s="102" t="b">
        <v>0</v>
      </c>
      <c r="F1346" s="102" t="b">
        <v>0</v>
      </c>
      <c r="G1346" s="102" t="b">
        <v>0</v>
      </c>
    </row>
    <row r="1347" spans="1:7" ht="15">
      <c r="A1347" s="104" t="s">
        <v>3205</v>
      </c>
      <c r="B1347" s="102">
        <v>2</v>
      </c>
      <c r="C1347" s="106">
        <v>0.0023185131413285508</v>
      </c>
      <c r="D1347" s="102" t="s">
        <v>2321</v>
      </c>
      <c r="E1347" s="102" t="b">
        <v>0</v>
      </c>
      <c r="F1347" s="102" t="b">
        <v>0</v>
      </c>
      <c r="G1347" s="102" t="b">
        <v>0</v>
      </c>
    </row>
    <row r="1348" spans="1:7" ht="15">
      <c r="A1348" s="104" t="s">
        <v>3206</v>
      </c>
      <c r="B1348" s="102">
        <v>2</v>
      </c>
      <c r="C1348" s="106">
        <v>0.0023185131413285508</v>
      </c>
      <c r="D1348" s="102" t="s">
        <v>2321</v>
      </c>
      <c r="E1348" s="102" t="b">
        <v>0</v>
      </c>
      <c r="F1348" s="102" t="b">
        <v>0</v>
      </c>
      <c r="G1348" s="102" t="b">
        <v>0</v>
      </c>
    </row>
    <row r="1349" spans="1:7" ht="15">
      <c r="A1349" s="104" t="s">
        <v>3207</v>
      </c>
      <c r="B1349" s="102">
        <v>2</v>
      </c>
      <c r="C1349" s="106">
        <v>0.0023185131413285508</v>
      </c>
      <c r="D1349" s="102" t="s">
        <v>2321</v>
      </c>
      <c r="E1349" s="102" t="b">
        <v>0</v>
      </c>
      <c r="F1349" s="102" t="b">
        <v>0</v>
      </c>
      <c r="G1349" s="102" t="b">
        <v>0</v>
      </c>
    </row>
    <row r="1350" spans="1:7" ht="15">
      <c r="A1350" s="104" t="s">
        <v>2766</v>
      </c>
      <c r="B1350" s="102">
        <v>2</v>
      </c>
      <c r="C1350" s="106">
        <v>0.001905577619155737</v>
      </c>
      <c r="D1350" s="102" t="s">
        <v>2321</v>
      </c>
      <c r="E1350" s="102" t="b">
        <v>1</v>
      </c>
      <c r="F1350" s="102" t="b">
        <v>0</v>
      </c>
      <c r="G1350" s="102" t="b">
        <v>0</v>
      </c>
    </row>
    <row r="1351" spans="1:7" ht="15">
      <c r="A1351" s="104" t="s">
        <v>3203</v>
      </c>
      <c r="B1351" s="102">
        <v>2</v>
      </c>
      <c r="C1351" s="106">
        <v>0.0023185131413285508</v>
      </c>
      <c r="D1351" s="102" t="s">
        <v>2321</v>
      </c>
      <c r="E1351" s="102" t="b">
        <v>0</v>
      </c>
      <c r="F1351" s="102" t="b">
        <v>0</v>
      </c>
      <c r="G1351" s="102" t="b">
        <v>0</v>
      </c>
    </row>
    <row r="1352" spans="1:7" ht="15">
      <c r="A1352" s="104" t="s">
        <v>2490</v>
      </c>
      <c r="B1352" s="102">
        <v>2</v>
      </c>
      <c r="C1352" s="106">
        <v>0.0023185131413285508</v>
      </c>
      <c r="D1352" s="102" t="s">
        <v>2321</v>
      </c>
      <c r="E1352" s="102" t="b">
        <v>0</v>
      </c>
      <c r="F1352" s="102" t="b">
        <v>0</v>
      </c>
      <c r="G1352" s="102" t="b">
        <v>0</v>
      </c>
    </row>
    <row r="1353" spans="1:7" ht="15">
      <c r="A1353" s="104" t="s">
        <v>3202</v>
      </c>
      <c r="B1353" s="102">
        <v>2</v>
      </c>
      <c r="C1353" s="106">
        <v>0.0023185131413285508</v>
      </c>
      <c r="D1353" s="102" t="s">
        <v>2321</v>
      </c>
      <c r="E1353" s="102" t="b">
        <v>0</v>
      </c>
      <c r="F1353" s="102" t="b">
        <v>0</v>
      </c>
      <c r="G1353" s="102" t="b">
        <v>0</v>
      </c>
    </row>
    <row r="1354" spans="1:7" ht="15">
      <c r="A1354" s="104" t="s">
        <v>2675</v>
      </c>
      <c r="B1354" s="102">
        <v>2</v>
      </c>
      <c r="C1354" s="106">
        <v>0.0023185131413285508</v>
      </c>
      <c r="D1354" s="102" t="s">
        <v>2321</v>
      </c>
      <c r="E1354" s="102" t="b">
        <v>1</v>
      </c>
      <c r="F1354" s="102" t="b">
        <v>0</v>
      </c>
      <c r="G1354" s="102" t="b">
        <v>0</v>
      </c>
    </row>
    <row r="1355" spans="1:7" ht="15">
      <c r="A1355" s="104" t="s">
        <v>3195</v>
      </c>
      <c r="B1355" s="102">
        <v>2</v>
      </c>
      <c r="C1355" s="106">
        <v>0.0023185131413285508</v>
      </c>
      <c r="D1355" s="102" t="s">
        <v>2321</v>
      </c>
      <c r="E1355" s="102" t="b">
        <v>0</v>
      </c>
      <c r="F1355" s="102" t="b">
        <v>0</v>
      </c>
      <c r="G1355" s="102" t="b">
        <v>0</v>
      </c>
    </row>
    <row r="1356" spans="1:7" ht="15">
      <c r="A1356" s="104" t="s">
        <v>3196</v>
      </c>
      <c r="B1356" s="102">
        <v>2</v>
      </c>
      <c r="C1356" s="106">
        <v>0.0023185131413285508</v>
      </c>
      <c r="D1356" s="102" t="s">
        <v>2321</v>
      </c>
      <c r="E1356" s="102" t="b">
        <v>0</v>
      </c>
      <c r="F1356" s="102" t="b">
        <v>1</v>
      </c>
      <c r="G1356" s="102" t="b">
        <v>0</v>
      </c>
    </row>
    <row r="1357" spans="1:7" ht="15">
      <c r="A1357" s="104" t="s">
        <v>3197</v>
      </c>
      <c r="B1357" s="102">
        <v>2</v>
      </c>
      <c r="C1357" s="106">
        <v>0.0023185131413285508</v>
      </c>
      <c r="D1357" s="102" t="s">
        <v>2321</v>
      </c>
      <c r="E1357" s="102" t="b">
        <v>0</v>
      </c>
      <c r="F1357" s="102" t="b">
        <v>0</v>
      </c>
      <c r="G1357" s="102" t="b">
        <v>0</v>
      </c>
    </row>
    <row r="1358" spans="1:7" ht="15">
      <c r="A1358" s="104" t="s">
        <v>3198</v>
      </c>
      <c r="B1358" s="102">
        <v>2</v>
      </c>
      <c r="C1358" s="106">
        <v>0.0023185131413285508</v>
      </c>
      <c r="D1358" s="102" t="s">
        <v>2321</v>
      </c>
      <c r="E1358" s="102" t="b">
        <v>0</v>
      </c>
      <c r="F1358" s="102" t="b">
        <v>0</v>
      </c>
      <c r="G1358" s="102" t="b">
        <v>0</v>
      </c>
    </row>
    <row r="1359" spans="1:7" ht="15">
      <c r="A1359" s="104" t="s">
        <v>3190</v>
      </c>
      <c r="B1359" s="102">
        <v>2</v>
      </c>
      <c r="C1359" s="106">
        <v>0.0023185131413285508</v>
      </c>
      <c r="D1359" s="102" t="s">
        <v>2321</v>
      </c>
      <c r="E1359" s="102" t="b">
        <v>0</v>
      </c>
      <c r="F1359" s="102" t="b">
        <v>0</v>
      </c>
      <c r="G1359" s="102" t="b">
        <v>0</v>
      </c>
    </row>
    <row r="1360" spans="1:7" ht="15">
      <c r="A1360" s="104" t="s">
        <v>3191</v>
      </c>
      <c r="B1360" s="102">
        <v>2</v>
      </c>
      <c r="C1360" s="106">
        <v>0.0023185131413285508</v>
      </c>
      <c r="D1360" s="102" t="s">
        <v>2321</v>
      </c>
      <c r="E1360" s="102" t="b">
        <v>0</v>
      </c>
      <c r="F1360" s="102" t="b">
        <v>0</v>
      </c>
      <c r="G1360" s="102" t="b">
        <v>0</v>
      </c>
    </row>
    <row r="1361" spans="1:7" ht="15">
      <c r="A1361" s="104" t="s">
        <v>3192</v>
      </c>
      <c r="B1361" s="102">
        <v>2</v>
      </c>
      <c r="C1361" s="106">
        <v>0.0023185131413285508</v>
      </c>
      <c r="D1361" s="102" t="s">
        <v>2321</v>
      </c>
      <c r="E1361" s="102" t="b">
        <v>0</v>
      </c>
      <c r="F1361" s="102" t="b">
        <v>0</v>
      </c>
      <c r="G1361" s="102" t="b">
        <v>0</v>
      </c>
    </row>
    <row r="1362" spans="1:7" ht="15">
      <c r="A1362" s="104" t="s">
        <v>3193</v>
      </c>
      <c r="B1362" s="102">
        <v>2</v>
      </c>
      <c r="C1362" s="106">
        <v>0.0023185131413285508</v>
      </c>
      <c r="D1362" s="102" t="s">
        <v>2321</v>
      </c>
      <c r="E1362" s="102" t="b">
        <v>0</v>
      </c>
      <c r="F1362" s="102" t="b">
        <v>0</v>
      </c>
      <c r="G1362" s="102" t="b">
        <v>0</v>
      </c>
    </row>
    <row r="1363" spans="1:7" ht="15">
      <c r="A1363" s="104" t="s">
        <v>2617</v>
      </c>
      <c r="B1363" s="102">
        <v>2</v>
      </c>
      <c r="C1363" s="106">
        <v>0.001905577619155737</v>
      </c>
      <c r="D1363" s="102" t="s">
        <v>2321</v>
      </c>
      <c r="E1363" s="102" t="b">
        <v>0</v>
      </c>
      <c r="F1363" s="102" t="b">
        <v>0</v>
      </c>
      <c r="G1363" s="102" t="b">
        <v>0</v>
      </c>
    </row>
    <row r="1364" spans="1:7" ht="15">
      <c r="A1364" s="104" t="s">
        <v>3189</v>
      </c>
      <c r="B1364" s="102">
        <v>2</v>
      </c>
      <c r="C1364" s="106">
        <v>0.0023185131413285508</v>
      </c>
      <c r="D1364" s="102" t="s">
        <v>2321</v>
      </c>
      <c r="E1364" s="102" t="b">
        <v>0</v>
      </c>
      <c r="F1364" s="102" t="b">
        <v>0</v>
      </c>
      <c r="G1364" s="102" t="b">
        <v>0</v>
      </c>
    </row>
    <row r="1365" spans="1:7" ht="15">
      <c r="A1365" s="104" t="s">
        <v>3186</v>
      </c>
      <c r="B1365" s="102">
        <v>2</v>
      </c>
      <c r="C1365" s="106">
        <v>0.0023185131413285508</v>
      </c>
      <c r="D1365" s="102" t="s">
        <v>2321</v>
      </c>
      <c r="E1365" s="102" t="b">
        <v>0</v>
      </c>
      <c r="F1365" s="102" t="b">
        <v>0</v>
      </c>
      <c r="G1365" s="102" t="b">
        <v>0</v>
      </c>
    </row>
    <row r="1366" spans="1:7" ht="15">
      <c r="A1366" s="104" t="s">
        <v>2757</v>
      </c>
      <c r="B1366" s="102">
        <v>2</v>
      </c>
      <c r="C1366" s="106">
        <v>0.0023185131413285508</v>
      </c>
      <c r="D1366" s="102" t="s">
        <v>2321</v>
      </c>
      <c r="E1366" s="102" t="b">
        <v>0</v>
      </c>
      <c r="F1366" s="102" t="b">
        <v>0</v>
      </c>
      <c r="G1366" s="102" t="b">
        <v>0</v>
      </c>
    </row>
    <row r="1367" spans="1:7" ht="15">
      <c r="A1367" s="104" t="s">
        <v>3187</v>
      </c>
      <c r="B1367" s="102">
        <v>2</v>
      </c>
      <c r="C1367" s="106">
        <v>0.0023185131413285508</v>
      </c>
      <c r="D1367" s="102" t="s">
        <v>2321</v>
      </c>
      <c r="E1367" s="102" t="b">
        <v>0</v>
      </c>
      <c r="F1367" s="102" t="b">
        <v>0</v>
      </c>
      <c r="G1367" s="102" t="b">
        <v>0</v>
      </c>
    </row>
    <row r="1368" spans="1:7" ht="15">
      <c r="A1368" s="104" t="s">
        <v>3188</v>
      </c>
      <c r="B1368" s="102">
        <v>2</v>
      </c>
      <c r="C1368" s="106">
        <v>0.0023185131413285508</v>
      </c>
      <c r="D1368" s="102" t="s">
        <v>2321</v>
      </c>
      <c r="E1368" s="102" t="b">
        <v>0</v>
      </c>
      <c r="F1368" s="102" t="b">
        <v>0</v>
      </c>
      <c r="G1368" s="102" t="b">
        <v>0</v>
      </c>
    </row>
    <row r="1369" spans="1:7" ht="15">
      <c r="A1369" s="104" t="s">
        <v>3182</v>
      </c>
      <c r="B1369" s="102">
        <v>2</v>
      </c>
      <c r="C1369" s="106">
        <v>0.0023185131413285508</v>
      </c>
      <c r="D1369" s="102" t="s">
        <v>2321</v>
      </c>
      <c r="E1369" s="102" t="b">
        <v>0</v>
      </c>
      <c r="F1369" s="102" t="b">
        <v>0</v>
      </c>
      <c r="G1369" s="102" t="b">
        <v>0</v>
      </c>
    </row>
    <row r="1370" spans="1:7" ht="15">
      <c r="A1370" s="104" t="s">
        <v>3183</v>
      </c>
      <c r="B1370" s="102">
        <v>2</v>
      </c>
      <c r="C1370" s="106">
        <v>0.0023185131413285508</v>
      </c>
      <c r="D1370" s="102" t="s">
        <v>2321</v>
      </c>
      <c r="E1370" s="102" t="b">
        <v>0</v>
      </c>
      <c r="F1370" s="102" t="b">
        <v>0</v>
      </c>
      <c r="G1370" s="102" t="b">
        <v>0</v>
      </c>
    </row>
    <row r="1371" spans="1:7" ht="15">
      <c r="A1371" s="104" t="s">
        <v>3184</v>
      </c>
      <c r="B1371" s="102">
        <v>2</v>
      </c>
      <c r="C1371" s="106">
        <v>0.0023185131413285508</v>
      </c>
      <c r="D1371" s="102" t="s">
        <v>2321</v>
      </c>
      <c r="E1371" s="102" t="b">
        <v>0</v>
      </c>
      <c r="F1371" s="102" t="b">
        <v>0</v>
      </c>
      <c r="G1371" s="102" t="b">
        <v>0</v>
      </c>
    </row>
    <row r="1372" spans="1:7" ht="15">
      <c r="A1372" s="104" t="s">
        <v>3185</v>
      </c>
      <c r="B1372" s="102">
        <v>2</v>
      </c>
      <c r="C1372" s="106">
        <v>0.0023185131413285508</v>
      </c>
      <c r="D1372" s="102" t="s">
        <v>2321</v>
      </c>
      <c r="E1372" s="102" t="b">
        <v>0</v>
      </c>
      <c r="F1372" s="102" t="b">
        <v>0</v>
      </c>
      <c r="G1372" s="102" t="b">
        <v>0</v>
      </c>
    </row>
    <row r="1373" spans="1:7" ht="15">
      <c r="A1373" s="104" t="s">
        <v>2506</v>
      </c>
      <c r="B1373" s="102">
        <v>2</v>
      </c>
      <c r="C1373" s="106">
        <v>0.0023185131413285508</v>
      </c>
      <c r="D1373" s="102" t="s">
        <v>2321</v>
      </c>
      <c r="E1373" s="102" t="b">
        <v>0</v>
      </c>
      <c r="F1373" s="102" t="b">
        <v>0</v>
      </c>
      <c r="G1373" s="102" t="b">
        <v>0</v>
      </c>
    </row>
    <row r="1374" spans="1:7" ht="15">
      <c r="A1374" s="104" t="s">
        <v>3166</v>
      </c>
      <c r="B1374" s="102">
        <v>2</v>
      </c>
      <c r="C1374" s="106">
        <v>0.0023185131413285508</v>
      </c>
      <c r="D1374" s="102" t="s">
        <v>2321</v>
      </c>
      <c r="E1374" s="102" t="b">
        <v>0</v>
      </c>
      <c r="F1374" s="102" t="b">
        <v>0</v>
      </c>
      <c r="G1374" s="102" t="b">
        <v>0</v>
      </c>
    </row>
    <row r="1375" spans="1:7" ht="15">
      <c r="A1375" s="104" t="s">
        <v>3167</v>
      </c>
      <c r="B1375" s="102">
        <v>2</v>
      </c>
      <c r="C1375" s="106">
        <v>0.0023185131413285508</v>
      </c>
      <c r="D1375" s="102" t="s">
        <v>2321</v>
      </c>
      <c r="E1375" s="102" t="b">
        <v>0</v>
      </c>
      <c r="F1375" s="102" t="b">
        <v>0</v>
      </c>
      <c r="G1375" s="102" t="b">
        <v>0</v>
      </c>
    </row>
    <row r="1376" spans="1:7" ht="15">
      <c r="A1376" s="104" t="s">
        <v>2670</v>
      </c>
      <c r="B1376" s="102">
        <v>2</v>
      </c>
      <c r="C1376" s="106">
        <v>0.0023185131413285508</v>
      </c>
      <c r="D1376" s="102" t="s">
        <v>2321</v>
      </c>
      <c r="E1376" s="102" t="b">
        <v>0</v>
      </c>
      <c r="F1376" s="102" t="b">
        <v>0</v>
      </c>
      <c r="G1376" s="102" t="b">
        <v>0</v>
      </c>
    </row>
    <row r="1377" spans="1:7" ht="15">
      <c r="A1377" s="104" t="s">
        <v>2451</v>
      </c>
      <c r="B1377" s="102">
        <v>2</v>
      </c>
      <c r="C1377" s="106">
        <v>0.001905577619155737</v>
      </c>
      <c r="D1377" s="102" t="s">
        <v>2321</v>
      </c>
      <c r="E1377" s="102" t="b">
        <v>0</v>
      </c>
      <c r="F1377" s="102" t="b">
        <v>0</v>
      </c>
      <c r="G1377" s="102" t="b">
        <v>0</v>
      </c>
    </row>
    <row r="1378" spans="1:7" ht="15">
      <c r="A1378" s="104" t="s">
        <v>2350</v>
      </c>
      <c r="B1378" s="102">
        <v>32</v>
      </c>
      <c r="C1378" s="106">
        <v>0.012033697063669788</v>
      </c>
      <c r="D1378" s="102" t="s">
        <v>2322</v>
      </c>
      <c r="E1378" s="102" t="b">
        <v>0</v>
      </c>
      <c r="F1378" s="102" t="b">
        <v>0</v>
      </c>
      <c r="G1378" s="102" t="b">
        <v>0</v>
      </c>
    </row>
    <row r="1379" spans="1:7" ht="15">
      <c r="A1379" s="104" t="s">
        <v>2372</v>
      </c>
      <c r="B1379" s="102">
        <v>32</v>
      </c>
      <c r="C1379" s="106">
        <v>0.015723872452141296</v>
      </c>
      <c r="D1379" s="102" t="s">
        <v>2322</v>
      </c>
      <c r="E1379" s="102" t="b">
        <v>0</v>
      </c>
      <c r="F1379" s="102" t="b">
        <v>0</v>
      </c>
      <c r="G1379" s="102" t="b">
        <v>0</v>
      </c>
    </row>
    <row r="1380" spans="1:7" ht="15">
      <c r="A1380" s="104" t="s">
        <v>2374</v>
      </c>
      <c r="B1380" s="102">
        <v>31</v>
      </c>
      <c r="C1380" s="106">
        <v>0.016073075176830442</v>
      </c>
      <c r="D1380" s="102" t="s">
        <v>2322</v>
      </c>
      <c r="E1380" s="102" t="b">
        <v>0</v>
      </c>
      <c r="F1380" s="102" t="b">
        <v>0</v>
      </c>
      <c r="G1380" s="102" t="b">
        <v>0</v>
      </c>
    </row>
    <row r="1381" spans="1:7" ht="15">
      <c r="A1381" s="104" t="s">
        <v>2405</v>
      </c>
      <c r="B1381" s="102">
        <v>18</v>
      </c>
      <c r="C1381" s="106">
        <v>0.022809557759844418</v>
      </c>
      <c r="D1381" s="102" t="s">
        <v>2322</v>
      </c>
      <c r="E1381" s="102" t="b">
        <v>0</v>
      </c>
      <c r="F1381" s="102" t="b">
        <v>0</v>
      </c>
      <c r="G1381" s="102" t="b">
        <v>0</v>
      </c>
    </row>
    <row r="1382" spans="1:7" ht="15">
      <c r="A1382" s="104" t="s">
        <v>2413</v>
      </c>
      <c r="B1382" s="102">
        <v>17</v>
      </c>
      <c r="C1382" s="106">
        <v>0.008353307240200064</v>
      </c>
      <c r="D1382" s="102" t="s">
        <v>2322</v>
      </c>
      <c r="E1382" s="102" t="b">
        <v>0</v>
      </c>
      <c r="F1382" s="102" t="b">
        <v>0</v>
      </c>
      <c r="G1382" s="102" t="b">
        <v>0</v>
      </c>
    </row>
    <row r="1383" spans="1:7" ht="15">
      <c r="A1383" s="104" t="s">
        <v>2425</v>
      </c>
      <c r="B1383" s="102">
        <v>16</v>
      </c>
      <c r="C1383" s="106">
        <v>0.008295780736428615</v>
      </c>
      <c r="D1383" s="102" t="s">
        <v>2322</v>
      </c>
      <c r="E1383" s="102" t="b">
        <v>0</v>
      </c>
      <c r="F1383" s="102" t="b">
        <v>0</v>
      </c>
      <c r="G1383" s="102" t="b">
        <v>0</v>
      </c>
    </row>
    <row r="1384" spans="1:7" ht="15">
      <c r="A1384" s="104" t="s">
        <v>2407</v>
      </c>
      <c r="B1384" s="102">
        <v>16</v>
      </c>
      <c r="C1384" s="106">
        <v>0.008295780736428615</v>
      </c>
      <c r="D1384" s="102" t="s">
        <v>2322</v>
      </c>
      <c r="E1384" s="102" t="b">
        <v>0</v>
      </c>
      <c r="F1384" s="102" t="b">
        <v>0</v>
      </c>
      <c r="G1384" s="102" t="b">
        <v>0</v>
      </c>
    </row>
    <row r="1385" spans="1:7" ht="15">
      <c r="A1385" s="104" t="s">
        <v>2400</v>
      </c>
      <c r="B1385" s="102">
        <v>16</v>
      </c>
      <c r="C1385" s="106">
        <v>0.008295780736428615</v>
      </c>
      <c r="D1385" s="102" t="s">
        <v>2322</v>
      </c>
      <c r="E1385" s="102" t="b">
        <v>0</v>
      </c>
      <c r="F1385" s="102" t="b">
        <v>0</v>
      </c>
      <c r="G1385" s="102" t="b">
        <v>0</v>
      </c>
    </row>
    <row r="1386" spans="1:7" ht="15">
      <c r="A1386" s="104" t="s">
        <v>2478</v>
      </c>
      <c r="B1386" s="102">
        <v>11</v>
      </c>
      <c r="C1386" s="106">
        <v>0.019344255341995156</v>
      </c>
      <c r="D1386" s="102" t="s">
        <v>2322</v>
      </c>
      <c r="E1386" s="102" t="b">
        <v>0</v>
      </c>
      <c r="F1386" s="102" t="b">
        <v>0</v>
      </c>
      <c r="G1386" s="102" t="b">
        <v>0</v>
      </c>
    </row>
    <row r="1387" spans="1:7" ht="15">
      <c r="A1387" s="104" t="s">
        <v>2349</v>
      </c>
      <c r="B1387" s="102">
        <v>10</v>
      </c>
      <c r="C1387" s="106">
        <v>0.008285068888836176</v>
      </c>
      <c r="D1387" s="102" t="s">
        <v>2322</v>
      </c>
      <c r="E1387" s="102" t="b">
        <v>0</v>
      </c>
      <c r="F1387" s="102" t="b">
        <v>0</v>
      </c>
      <c r="G1387" s="102" t="b">
        <v>0</v>
      </c>
    </row>
    <row r="1388" spans="1:7" ht="15">
      <c r="A1388" s="104" t="s">
        <v>2521</v>
      </c>
      <c r="B1388" s="102">
        <v>9</v>
      </c>
      <c r="C1388" s="106">
        <v>0.015827118007086947</v>
      </c>
      <c r="D1388" s="102" t="s">
        <v>2322</v>
      </c>
      <c r="E1388" s="102" t="b">
        <v>0</v>
      </c>
      <c r="F1388" s="102" t="b">
        <v>1</v>
      </c>
      <c r="G1388" s="102" t="b">
        <v>0</v>
      </c>
    </row>
    <row r="1389" spans="1:7" ht="15">
      <c r="A1389" s="104" t="s">
        <v>2402</v>
      </c>
      <c r="B1389" s="102">
        <v>8</v>
      </c>
      <c r="C1389" s="106">
        <v>0.008309785143249577</v>
      </c>
      <c r="D1389" s="102" t="s">
        <v>2322</v>
      </c>
      <c r="E1389" s="102" t="b">
        <v>0</v>
      </c>
      <c r="F1389" s="102" t="b">
        <v>0</v>
      </c>
      <c r="G1389" s="102" t="b">
        <v>0</v>
      </c>
    </row>
    <row r="1390" spans="1:7" ht="15">
      <c r="A1390" s="104" t="s">
        <v>2550</v>
      </c>
      <c r="B1390" s="102">
        <v>8</v>
      </c>
      <c r="C1390" s="106">
        <v>0.014068549339632842</v>
      </c>
      <c r="D1390" s="102" t="s">
        <v>2322</v>
      </c>
      <c r="E1390" s="102" t="b">
        <v>0</v>
      </c>
      <c r="F1390" s="102" t="b">
        <v>0</v>
      </c>
      <c r="G1390" s="102" t="b">
        <v>0</v>
      </c>
    </row>
    <row r="1391" spans="1:7" ht="15">
      <c r="A1391" s="104" t="s">
        <v>2448</v>
      </c>
      <c r="B1391" s="102">
        <v>7</v>
      </c>
      <c r="C1391" s="106">
        <v>0.012309980672178738</v>
      </c>
      <c r="D1391" s="102" t="s">
        <v>2322</v>
      </c>
      <c r="E1391" s="102" t="b">
        <v>0</v>
      </c>
      <c r="F1391" s="102" t="b">
        <v>0</v>
      </c>
      <c r="G1391" s="102" t="b">
        <v>0</v>
      </c>
    </row>
    <row r="1392" spans="1:7" ht="15">
      <c r="A1392" s="104" t="s">
        <v>2584</v>
      </c>
      <c r="B1392" s="102">
        <v>7</v>
      </c>
      <c r="C1392" s="106">
        <v>0.012309980672178738</v>
      </c>
      <c r="D1392" s="102" t="s">
        <v>2322</v>
      </c>
      <c r="E1392" s="102" t="b">
        <v>0</v>
      </c>
      <c r="F1392" s="102" t="b">
        <v>0</v>
      </c>
      <c r="G1392" s="102" t="b">
        <v>0</v>
      </c>
    </row>
    <row r="1393" spans="1:7" ht="15">
      <c r="A1393" s="104" t="s">
        <v>2469</v>
      </c>
      <c r="B1393" s="102">
        <v>7</v>
      </c>
      <c r="C1393" s="106">
        <v>0.012309980672178738</v>
      </c>
      <c r="D1393" s="102" t="s">
        <v>2322</v>
      </c>
      <c r="E1393" s="102" t="b">
        <v>0</v>
      </c>
      <c r="F1393" s="102" t="b">
        <v>0</v>
      </c>
      <c r="G1393" s="102" t="b">
        <v>0</v>
      </c>
    </row>
    <row r="1394" spans="1:7" ht="15">
      <c r="A1394" s="104" t="s">
        <v>2583</v>
      </c>
      <c r="B1394" s="102">
        <v>7</v>
      </c>
      <c r="C1394" s="106">
        <v>0.012309980672178738</v>
      </c>
      <c r="D1394" s="102" t="s">
        <v>2322</v>
      </c>
      <c r="E1394" s="102" t="b">
        <v>0</v>
      </c>
      <c r="F1394" s="102" t="b">
        <v>0</v>
      </c>
      <c r="G1394" s="102" t="b">
        <v>0</v>
      </c>
    </row>
    <row r="1395" spans="1:7" ht="15">
      <c r="A1395" s="104" t="s">
        <v>2434</v>
      </c>
      <c r="B1395" s="102">
        <v>6</v>
      </c>
      <c r="C1395" s="106">
        <v>0.006831164890442681</v>
      </c>
      <c r="D1395" s="102" t="s">
        <v>2322</v>
      </c>
      <c r="E1395" s="102" t="b">
        <v>0</v>
      </c>
      <c r="F1395" s="102" t="b">
        <v>0</v>
      </c>
      <c r="G1395" s="102" t="b">
        <v>0</v>
      </c>
    </row>
    <row r="1396" spans="1:7" ht="15">
      <c r="A1396" s="104" t="s">
        <v>2576</v>
      </c>
      <c r="B1396" s="102">
        <v>6</v>
      </c>
      <c r="C1396" s="106">
        <v>0.006831164890442681</v>
      </c>
      <c r="D1396" s="102" t="s">
        <v>2322</v>
      </c>
      <c r="E1396" s="102" t="b">
        <v>0</v>
      </c>
      <c r="F1396" s="102" t="b">
        <v>0</v>
      </c>
      <c r="G1396" s="102" t="b">
        <v>0</v>
      </c>
    </row>
    <row r="1397" spans="1:7" ht="15">
      <c r="A1397" s="104" t="s">
        <v>2577</v>
      </c>
      <c r="B1397" s="102">
        <v>6</v>
      </c>
      <c r="C1397" s="106">
        <v>0.006831164890442681</v>
      </c>
      <c r="D1397" s="102" t="s">
        <v>2322</v>
      </c>
      <c r="E1397" s="102" t="b">
        <v>0</v>
      </c>
      <c r="F1397" s="102" t="b">
        <v>0</v>
      </c>
      <c r="G1397" s="102" t="b">
        <v>0</v>
      </c>
    </row>
    <row r="1398" spans="1:7" ht="15">
      <c r="A1398" s="104" t="s">
        <v>2472</v>
      </c>
      <c r="B1398" s="102">
        <v>6</v>
      </c>
      <c r="C1398" s="106">
        <v>0.0076031859199481395</v>
      </c>
      <c r="D1398" s="102" t="s">
        <v>2322</v>
      </c>
      <c r="E1398" s="102" t="b">
        <v>0</v>
      </c>
      <c r="F1398" s="102" t="b">
        <v>0</v>
      </c>
      <c r="G1398" s="102" t="b">
        <v>0</v>
      </c>
    </row>
    <row r="1399" spans="1:7" ht="15">
      <c r="A1399" s="104" t="s">
        <v>2501</v>
      </c>
      <c r="B1399" s="102">
        <v>6</v>
      </c>
      <c r="C1399" s="106">
        <v>0.010551412004724632</v>
      </c>
      <c r="D1399" s="102" t="s">
        <v>2322</v>
      </c>
      <c r="E1399" s="102" t="b">
        <v>0</v>
      </c>
      <c r="F1399" s="102" t="b">
        <v>0</v>
      </c>
      <c r="G1399" s="102" t="b">
        <v>0</v>
      </c>
    </row>
    <row r="1400" spans="1:7" ht="15">
      <c r="A1400" s="104" t="s">
        <v>2629</v>
      </c>
      <c r="B1400" s="102">
        <v>6</v>
      </c>
      <c r="C1400" s="106">
        <v>0.010551412004724632</v>
      </c>
      <c r="D1400" s="102" t="s">
        <v>2322</v>
      </c>
      <c r="E1400" s="102" t="b">
        <v>0</v>
      </c>
      <c r="F1400" s="102" t="b">
        <v>0</v>
      </c>
      <c r="G1400" s="102" t="b">
        <v>0</v>
      </c>
    </row>
    <row r="1401" spans="1:7" ht="15">
      <c r="A1401" s="104" t="s">
        <v>2383</v>
      </c>
      <c r="B1401" s="102">
        <v>5</v>
      </c>
      <c r="C1401" s="106">
        <v>0.00633598826662345</v>
      </c>
      <c r="D1401" s="102" t="s">
        <v>2322</v>
      </c>
      <c r="E1401" s="102" t="b">
        <v>0</v>
      </c>
      <c r="F1401" s="102" t="b">
        <v>0</v>
      </c>
      <c r="G1401" s="102" t="b">
        <v>0</v>
      </c>
    </row>
    <row r="1402" spans="1:7" ht="15">
      <c r="A1402" s="104" t="s">
        <v>2362</v>
      </c>
      <c r="B1402" s="102">
        <v>5</v>
      </c>
      <c r="C1402" s="106">
        <v>0.005692637408702235</v>
      </c>
      <c r="D1402" s="102" t="s">
        <v>2322</v>
      </c>
      <c r="E1402" s="102" t="b">
        <v>0</v>
      </c>
      <c r="F1402" s="102" t="b">
        <v>0</v>
      </c>
      <c r="G1402" s="102" t="b">
        <v>0</v>
      </c>
    </row>
    <row r="1403" spans="1:7" ht="15">
      <c r="A1403" s="104" t="s">
        <v>2356</v>
      </c>
      <c r="B1403" s="102">
        <v>5</v>
      </c>
      <c r="C1403" s="106">
        <v>0.005692637408702235</v>
      </c>
      <c r="D1403" s="102" t="s">
        <v>2322</v>
      </c>
      <c r="E1403" s="102" t="b">
        <v>0</v>
      </c>
      <c r="F1403" s="102" t="b">
        <v>0</v>
      </c>
      <c r="G1403" s="102" t="b">
        <v>0</v>
      </c>
    </row>
    <row r="1404" spans="1:7" ht="15">
      <c r="A1404" s="104" t="s">
        <v>2697</v>
      </c>
      <c r="B1404" s="102">
        <v>5</v>
      </c>
      <c r="C1404" s="106">
        <v>0.00633598826662345</v>
      </c>
      <c r="D1404" s="102" t="s">
        <v>2322</v>
      </c>
      <c r="E1404" s="102" t="b">
        <v>0</v>
      </c>
      <c r="F1404" s="102" t="b">
        <v>0</v>
      </c>
      <c r="G1404" s="102" t="b">
        <v>0</v>
      </c>
    </row>
    <row r="1405" spans="1:7" ht="15">
      <c r="A1405" s="104" t="s">
        <v>2620</v>
      </c>
      <c r="B1405" s="102">
        <v>5</v>
      </c>
      <c r="C1405" s="106">
        <v>0.00633598826662345</v>
      </c>
      <c r="D1405" s="102" t="s">
        <v>2322</v>
      </c>
      <c r="E1405" s="102" t="b">
        <v>0</v>
      </c>
      <c r="F1405" s="102" t="b">
        <v>0</v>
      </c>
      <c r="G1405" s="102" t="b">
        <v>0</v>
      </c>
    </row>
    <row r="1406" spans="1:7" ht="15">
      <c r="A1406" s="104" t="s">
        <v>2406</v>
      </c>
      <c r="B1406" s="102">
        <v>5</v>
      </c>
      <c r="C1406" s="106">
        <v>0.00633598826662345</v>
      </c>
      <c r="D1406" s="102" t="s">
        <v>2322</v>
      </c>
      <c r="E1406" s="102" t="b">
        <v>0</v>
      </c>
      <c r="F1406" s="102" t="b">
        <v>1</v>
      </c>
      <c r="G1406" s="102" t="b">
        <v>0</v>
      </c>
    </row>
    <row r="1407" spans="1:7" ht="15">
      <c r="A1407" s="104" t="s">
        <v>2396</v>
      </c>
      <c r="B1407" s="102">
        <v>5</v>
      </c>
      <c r="C1407" s="106">
        <v>0.0072427403729863815</v>
      </c>
      <c r="D1407" s="102" t="s">
        <v>2322</v>
      </c>
      <c r="E1407" s="102" t="b">
        <v>0</v>
      </c>
      <c r="F1407" s="102" t="b">
        <v>0</v>
      </c>
      <c r="G1407" s="102" t="b">
        <v>0</v>
      </c>
    </row>
    <row r="1408" spans="1:7" ht="15">
      <c r="A1408" s="104" t="s">
        <v>2361</v>
      </c>
      <c r="B1408" s="102">
        <v>5</v>
      </c>
      <c r="C1408" s="106">
        <v>0.0072427403729863815</v>
      </c>
      <c r="D1408" s="102" t="s">
        <v>2322</v>
      </c>
      <c r="E1408" s="102" t="b">
        <v>0</v>
      </c>
      <c r="F1408" s="102" t="b">
        <v>0</v>
      </c>
      <c r="G1408" s="102" t="b">
        <v>0</v>
      </c>
    </row>
    <row r="1409" spans="1:7" ht="15">
      <c r="A1409" s="104" t="s">
        <v>2695</v>
      </c>
      <c r="B1409" s="102">
        <v>5</v>
      </c>
      <c r="C1409" s="106">
        <v>0.008792843337270527</v>
      </c>
      <c r="D1409" s="102" t="s">
        <v>2322</v>
      </c>
      <c r="E1409" s="102" t="b">
        <v>0</v>
      </c>
      <c r="F1409" s="102" t="b">
        <v>0</v>
      </c>
      <c r="G1409" s="102" t="b">
        <v>0</v>
      </c>
    </row>
    <row r="1410" spans="1:7" ht="15">
      <c r="A1410" s="104" t="s">
        <v>2696</v>
      </c>
      <c r="B1410" s="102">
        <v>5</v>
      </c>
      <c r="C1410" s="106">
        <v>0.008792843337270527</v>
      </c>
      <c r="D1410" s="102" t="s">
        <v>2322</v>
      </c>
      <c r="E1410" s="102" t="b">
        <v>0</v>
      </c>
      <c r="F1410" s="102" t="b">
        <v>0</v>
      </c>
      <c r="G1410" s="102" t="b">
        <v>0</v>
      </c>
    </row>
    <row r="1411" spans="1:7" ht="15">
      <c r="A1411" s="104" t="s">
        <v>2612</v>
      </c>
      <c r="B1411" s="102">
        <v>5</v>
      </c>
      <c r="C1411" s="106">
        <v>0.008792843337270527</v>
      </c>
      <c r="D1411" s="102" t="s">
        <v>2322</v>
      </c>
      <c r="E1411" s="102" t="b">
        <v>0</v>
      </c>
      <c r="F1411" s="102" t="b">
        <v>0</v>
      </c>
      <c r="G1411" s="102" t="b">
        <v>0</v>
      </c>
    </row>
    <row r="1412" spans="1:7" ht="15">
      <c r="A1412" s="104" t="s">
        <v>2694</v>
      </c>
      <c r="B1412" s="102">
        <v>5</v>
      </c>
      <c r="C1412" s="106">
        <v>0.008792843337270527</v>
      </c>
      <c r="D1412" s="102" t="s">
        <v>2322</v>
      </c>
      <c r="E1412" s="102" t="b">
        <v>0</v>
      </c>
      <c r="F1412" s="102" t="b">
        <v>0</v>
      </c>
      <c r="G1412" s="102" t="b">
        <v>0</v>
      </c>
    </row>
    <row r="1413" spans="1:7" ht="15">
      <c r="A1413" s="104" t="s">
        <v>2354</v>
      </c>
      <c r="B1413" s="102">
        <v>4</v>
      </c>
      <c r="C1413" s="106">
        <v>0.0045541099269617875</v>
      </c>
      <c r="D1413" s="102" t="s">
        <v>2322</v>
      </c>
      <c r="E1413" s="102" t="b">
        <v>0</v>
      </c>
      <c r="F1413" s="102" t="b">
        <v>0</v>
      </c>
      <c r="G1413" s="102" t="b">
        <v>0</v>
      </c>
    </row>
    <row r="1414" spans="1:7" ht="15">
      <c r="A1414" s="104" t="s">
        <v>2423</v>
      </c>
      <c r="B1414" s="102">
        <v>4</v>
      </c>
      <c r="C1414" s="106">
        <v>0.005794192298389105</v>
      </c>
      <c r="D1414" s="102" t="s">
        <v>2322</v>
      </c>
      <c r="E1414" s="102" t="b">
        <v>0</v>
      </c>
      <c r="F1414" s="102" t="b">
        <v>0</v>
      </c>
      <c r="G1414" s="102" t="b">
        <v>0</v>
      </c>
    </row>
    <row r="1415" spans="1:7" ht="15">
      <c r="A1415" s="104" t="s">
        <v>2648</v>
      </c>
      <c r="B1415" s="102">
        <v>4</v>
      </c>
      <c r="C1415" s="106">
        <v>0.005068790613298759</v>
      </c>
      <c r="D1415" s="102" t="s">
        <v>2322</v>
      </c>
      <c r="E1415" s="102" t="b">
        <v>0</v>
      </c>
      <c r="F1415" s="102" t="b">
        <v>0</v>
      </c>
      <c r="G1415" s="102" t="b">
        <v>0</v>
      </c>
    </row>
    <row r="1416" spans="1:7" ht="15">
      <c r="A1416" s="104" t="s">
        <v>2786</v>
      </c>
      <c r="B1416" s="102">
        <v>4</v>
      </c>
      <c r="C1416" s="106">
        <v>0.005068790613298759</v>
      </c>
      <c r="D1416" s="102" t="s">
        <v>2322</v>
      </c>
      <c r="E1416" s="102" t="b">
        <v>0</v>
      </c>
      <c r="F1416" s="102" t="b">
        <v>0</v>
      </c>
      <c r="G1416" s="102" t="b">
        <v>0</v>
      </c>
    </row>
    <row r="1417" spans="1:7" ht="15">
      <c r="A1417" s="104" t="s">
        <v>2787</v>
      </c>
      <c r="B1417" s="102">
        <v>4</v>
      </c>
      <c r="C1417" s="106">
        <v>0.005068790613298759</v>
      </c>
      <c r="D1417" s="102" t="s">
        <v>2322</v>
      </c>
      <c r="E1417" s="102" t="b">
        <v>0</v>
      </c>
      <c r="F1417" s="102" t="b">
        <v>0</v>
      </c>
      <c r="G1417" s="102" t="b">
        <v>0</v>
      </c>
    </row>
    <row r="1418" spans="1:7" ht="15">
      <c r="A1418" s="104" t="s">
        <v>2444</v>
      </c>
      <c r="B1418" s="102">
        <v>4</v>
      </c>
      <c r="C1418" s="106">
        <v>0.005068790613298759</v>
      </c>
      <c r="D1418" s="102" t="s">
        <v>2322</v>
      </c>
      <c r="E1418" s="102" t="b">
        <v>0</v>
      </c>
      <c r="F1418" s="102" t="b">
        <v>0</v>
      </c>
      <c r="G1418" s="102" t="b">
        <v>0</v>
      </c>
    </row>
    <row r="1419" spans="1:7" ht="15">
      <c r="A1419" s="104" t="s">
        <v>2788</v>
      </c>
      <c r="B1419" s="102">
        <v>4</v>
      </c>
      <c r="C1419" s="106">
        <v>0.0045541099269617875</v>
      </c>
      <c r="D1419" s="102" t="s">
        <v>2322</v>
      </c>
      <c r="E1419" s="102" t="b">
        <v>0</v>
      </c>
      <c r="F1419" s="102" t="b">
        <v>0</v>
      </c>
      <c r="G1419" s="102" t="b">
        <v>0</v>
      </c>
    </row>
    <row r="1420" spans="1:7" ht="15">
      <c r="A1420" s="104" t="s">
        <v>2782</v>
      </c>
      <c r="B1420" s="102">
        <v>4</v>
      </c>
      <c r="C1420" s="106">
        <v>0.005068790613298759</v>
      </c>
      <c r="D1420" s="102" t="s">
        <v>2322</v>
      </c>
      <c r="E1420" s="102" t="b">
        <v>0</v>
      </c>
      <c r="F1420" s="102" t="b">
        <v>0</v>
      </c>
      <c r="G1420" s="102" t="b">
        <v>0</v>
      </c>
    </row>
    <row r="1421" spans="1:7" ht="15">
      <c r="A1421" s="104" t="s">
        <v>2369</v>
      </c>
      <c r="B1421" s="102">
        <v>4</v>
      </c>
      <c r="C1421" s="106">
        <v>0.005068790613298759</v>
      </c>
      <c r="D1421" s="102" t="s">
        <v>2322</v>
      </c>
      <c r="E1421" s="102" t="b">
        <v>0</v>
      </c>
      <c r="F1421" s="102" t="b">
        <v>0</v>
      </c>
      <c r="G1421" s="102" t="b">
        <v>0</v>
      </c>
    </row>
    <row r="1422" spans="1:7" ht="15">
      <c r="A1422" s="104" t="s">
        <v>2542</v>
      </c>
      <c r="B1422" s="102">
        <v>4</v>
      </c>
      <c r="C1422" s="106">
        <v>0.005068790613298759</v>
      </c>
      <c r="D1422" s="102" t="s">
        <v>2322</v>
      </c>
      <c r="E1422" s="102" t="b">
        <v>0</v>
      </c>
      <c r="F1422" s="102" t="b">
        <v>0</v>
      </c>
      <c r="G1422" s="102" t="b">
        <v>0</v>
      </c>
    </row>
    <row r="1423" spans="1:7" ht="15">
      <c r="A1423" s="104" t="s">
        <v>2784</v>
      </c>
      <c r="B1423" s="102">
        <v>4</v>
      </c>
      <c r="C1423" s="106">
        <v>0.007034274669816421</v>
      </c>
      <c r="D1423" s="102" t="s">
        <v>2322</v>
      </c>
      <c r="E1423" s="102" t="b">
        <v>0</v>
      </c>
      <c r="F1423" s="102" t="b">
        <v>0</v>
      </c>
      <c r="G1423" s="102" t="b">
        <v>0</v>
      </c>
    </row>
    <row r="1424" spans="1:7" ht="15">
      <c r="A1424" s="104" t="s">
        <v>2678</v>
      </c>
      <c r="B1424" s="102">
        <v>4</v>
      </c>
      <c r="C1424" s="106">
        <v>0.007034274669816421</v>
      </c>
      <c r="D1424" s="102" t="s">
        <v>2322</v>
      </c>
      <c r="E1424" s="102" t="b">
        <v>0</v>
      </c>
      <c r="F1424" s="102" t="b">
        <v>0</v>
      </c>
      <c r="G1424" s="102" t="b">
        <v>0</v>
      </c>
    </row>
    <row r="1425" spans="1:7" ht="15">
      <c r="A1425" s="104" t="s">
        <v>2367</v>
      </c>
      <c r="B1425" s="102">
        <v>4</v>
      </c>
      <c r="C1425" s="106">
        <v>0.005068790613298759</v>
      </c>
      <c r="D1425" s="102" t="s">
        <v>2322</v>
      </c>
      <c r="E1425" s="102" t="b">
        <v>0</v>
      </c>
      <c r="F1425" s="102" t="b">
        <v>0</v>
      </c>
      <c r="G1425" s="102" t="b">
        <v>0</v>
      </c>
    </row>
    <row r="1426" spans="1:7" ht="15">
      <c r="A1426" s="104" t="s">
        <v>2380</v>
      </c>
      <c r="B1426" s="102">
        <v>4</v>
      </c>
      <c r="C1426" s="106">
        <v>0.007034274669816421</v>
      </c>
      <c r="D1426" s="102" t="s">
        <v>2322</v>
      </c>
      <c r="E1426" s="102" t="b">
        <v>0</v>
      </c>
      <c r="F1426" s="102" t="b">
        <v>0</v>
      </c>
      <c r="G1426" s="102" t="b">
        <v>0</v>
      </c>
    </row>
    <row r="1427" spans="1:7" ht="15">
      <c r="A1427" s="104" t="s">
        <v>2783</v>
      </c>
      <c r="B1427" s="102">
        <v>4</v>
      </c>
      <c r="C1427" s="106">
        <v>0.007034274669816421</v>
      </c>
      <c r="D1427" s="102" t="s">
        <v>2322</v>
      </c>
      <c r="E1427" s="102" t="b">
        <v>0</v>
      </c>
      <c r="F1427" s="102" t="b">
        <v>1</v>
      </c>
      <c r="G1427" s="102" t="b">
        <v>0</v>
      </c>
    </row>
    <row r="1428" spans="1:7" ht="15">
      <c r="A1428" s="104" t="s">
        <v>2680</v>
      </c>
      <c r="B1428" s="102">
        <v>4</v>
      </c>
      <c r="C1428" s="106">
        <v>0.007034274669816421</v>
      </c>
      <c r="D1428" s="102" t="s">
        <v>2322</v>
      </c>
      <c r="E1428" s="102" t="b">
        <v>0</v>
      </c>
      <c r="F1428" s="102" t="b">
        <v>0</v>
      </c>
      <c r="G1428" s="102" t="b">
        <v>0</v>
      </c>
    </row>
    <row r="1429" spans="1:7" ht="15">
      <c r="A1429" s="104" t="s">
        <v>2568</v>
      </c>
      <c r="B1429" s="102">
        <v>4</v>
      </c>
      <c r="C1429" s="106">
        <v>0.007034274669816421</v>
      </c>
      <c r="D1429" s="102" t="s">
        <v>2322</v>
      </c>
      <c r="E1429" s="102" t="b">
        <v>0</v>
      </c>
      <c r="F1429" s="102" t="b">
        <v>0</v>
      </c>
      <c r="G1429" s="102" t="b">
        <v>0</v>
      </c>
    </row>
    <row r="1430" spans="1:7" ht="15">
      <c r="A1430" s="104" t="s">
        <v>2438</v>
      </c>
      <c r="B1430" s="102">
        <v>3</v>
      </c>
      <c r="C1430" s="106">
        <v>0.0038015929599740698</v>
      </c>
      <c r="D1430" s="102" t="s">
        <v>2322</v>
      </c>
      <c r="E1430" s="102" t="b">
        <v>0</v>
      </c>
      <c r="F1430" s="102" t="b">
        <v>0</v>
      </c>
      <c r="G1430" s="102" t="b">
        <v>0</v>
      </c>
    </row>
    <row r="1431" spans="1:7" ht="15">
      <c r="A1431" s="104" t="s">
        <v>2414</v>
      </c>
      <c r="B1431" s="102">
        <v>3</v>
      </c>
      <c r="C1431" s="106">
        <v>0.0038015929599740698</v>
      </c>
      <c r="D1431" s="102" t="s">
        <v>2322</v>
      </c>
      <c r="E1431" s="102" t="b">
        <v>0</v>
      </c>
      <c r="F1431" s="102" t="b">
        <v>0</v>
      </c>
      <c r="G1431" s="102" t="b">
        <v>0</v>
      </c>
    </row>
    <row r="1432" spans="1:7" ht="15">
      <c r="A1432" s="104" t="s">
        <v>2581</v>
      </c>
      <c r="B1432" s="102">
        <v>3</v>
      </c>
      <c r="C1432" s="106">
        <v>0.0038015929599740698</v>
      </c>
      <c r="D1432" s="102" t="s">
        <v>2322</v>
      </c>
      <c r="E1432" s="102" t="b">
        <v>0</v>
      </c>
      <c r="F1432" s="102" t="b">
        <v>0</v>
      </c>
      <c r="G1432" s="102" t="b">
        <v>0</v>
      </c>
    </row>
    <row r="1433" spans="1:7" ht="15">
      <c r="A1433" s="104" t="s">
        <v>2385</v>
      </c>
      <c r="B1433" s="102">
        <v>3</v>
      </c>
      <c r="C1433" s="106">
        <v>0.0038015929599740698</v>
      </c>
      <c r="D1433" s="102" t="s">
        <v>2322</v>
      </c>
      <c r="E1433" s="102" t="b">
        <v>0</v>
      </c>
      <c r="F1433" s="102" t="b">
        <v>0</v>
      </c>
      <c r="G1433" s="102" t="b">
        <v>0</v>
      </c>
    </row>
    <row r="1434" spans="1:7" ht="15">
      <c r="A1434" s="104" t="s">
        <v>2514</v>
      </c>
      <c r="B1434" s="102">
        <v>3</v>
      </c>
      <c r="C1434" s="106">
        <v>0.004345644223791829</v>
      </c>
      <c r="D1434" s="102" t="s">
        <v>2322</v>
      </c>
      <c r="E1434" s="102" t="b">
        <v>0</v>
      </c>
      <c r="F1434" s="102" t="b">
        <v>0</v>
      </c>
      <c r="G1434" s="102" t="b">
        <v>0</v>
      </c>
    </row>
    <row r="1435" spans="1:7" ht="15">
      <c r="A1435" s="104" t="s">
        <v>2532</v>
      </c>
      <c r="B1435" s="102">
        <v>3</v>
      </c>
      <c r="C1435" s="106">
        <v>0.0038015929599740698</v>
      </c>
      <c r="D1435" s="102" t="s">
        <v>2322</v>
      </c>
      <c r="E1435" s="102" t="b">
        <v>0</v>
      </c>
      <c r="F1435" s="102" t="b">
        <v>1</v>
      </c>
      <c r="G1435" s="102" t="b">
        <v>0</v>
      </c>
    </row>
    <row r="1436" spans="1:7" ht="15">
      <c r="A1436" s="104" t="s">
        <v>2596</v>
      </c>
      <c r="B1436" s="102">
        <v>3</v>
      </c>
      <c r="C1436" s="106">
        <v>0.0038015929599740698</v>
      </c>
      <c r="D1436" s="102" t="s">
        <v>2322</v>
      </c>
      <c r="E1436" s="102" t="b">
        <v>0</v>
      </c>
      <c r="F1436" s="102" t="b">
        <v>0</v>
      </c>
      <c r="G1436" s="102" t="b">
        <v>0</v>
      </c>
    </row>
    <row r="1437" spans="1:7" ht="15">
      <c r="A1437" s="104" t="s">
        <v>2597</v>
      </c>
      <c r="B1437" s="102">
        <v>3</v>
      </c>
      <c r="C1437" s="106">
        <v>0.004345644223791829</v>
      </c>
      <c r="D1437" s="102" t="s">
        <v>2322</v>
      </c>
      <c r="E1437" s="102" t="b">
        <v>0</v>
      </c>
      <c r="F1437" s="102" t="b">
        <v>1</v>
      </c>
      <c r="G1437" s="102" t="b">
        <v>0</v>
      </c>
    </row>
    <row r="1438" spans="1:7" ht="15">
      <c r="A1438" s="104" t="s">
        <v>2940</v>
      </c>
      <c r="B1438" s="102">
        <v>3</v>
      </c>
      <c r="C1438" s="106">
        <v>0.0038015929599740698</v>
      </c>
      <c r="D1438" s="102" t="s">
        <v>2322</v>
      </c>
      <c r="E1438" s="102" t="b">
        <v>0</v>
      </c>
      <c r="F1438" s="102" t="b">
        <v>0</v>
      </c>
      <c r="G1438" s="102" t="b">
        <v>0</v>
      </c>
    </row>
    <row r="1439" spans="1:7" ht="15">
      <c r="A1439" s="104" t="s">
        <v>2941</v>
      </c>
      <c r="B1439" s="102">
        <v>3</v>
      </c>
      <c r="C1439" s="106">
        <v>0.0038015929599740698</v>
      </c>
      <c r="D1439" s="102" t="s">
        <v>2322</v>
      </c>
      <c r="E1439" s="102" t="b">
        <v>0</v>
      </c>
      <c r="F1439" s="102" t="b">
        <v>0</v>
      </c>
      <c r="G1439" s="102" t="b">
        <v>0</v>
      </c>
    </row>
    <row r="1440" spans="1:7" ht="15">
      <c r="A1440" s="104" t="s">
        <v>2351</v>
      </c>
      <c r="B1440" s="102">
        <v>3</v>
      </c>
      <c r="C1440" s="106">
        <v>0.0038015929599740698</v>
      </c>
      <c r="D1440" s="102" t="s">
        <v>2322</v>
      </c>
      <c r="E1440" s="102" t="b">
        <v>0</v>
      </c>
      <c r="F1440" s="102" t="b">
        <v>0</v>
      </c>
      <c r="G1440" s="102" t="b">
        <v>0</v>
      </c>
    </row>
    <row r="1441" spans="1:7" ht="15">
      <c r="A1441" s="104" t="s">
        <v>2936</v>
      </c>
      <c r="B1441" s="102">
        <v>3</v>
      </c>
      <c r="C1441" s="106">
        <v>0.004345644223791829</v>
      </c>
      <c r="D1441" s="102" t="s">
        <v>2322</v>
      </c>
      <c r="E1441" s="102" t="b">
        <v>0</v>
      </c>
      <c r="F1441" s="102" t="b">
        <v>0</v>
      </c>
      <c r="G1441" s="102" t="b">
        <v>0</v>
      </c>
    </row>
    <row r="1442" spans="1:7" ht="15">
      <c r="A1442" s="104" t="s">
        <v>2516</v>
      </c>
      <c r="B1442" s="102">
        <v>3</v>
      </c>
      <c r="C1442" s="106">
        <v>0.005275706002362316</v>
      </c>
      <c r="D1442" s="102" t="s">
        <v>2322</v>
      </c>
      <c r="E1442" s="102" t="b">
        <v>0</v>
      </c>
      <c r="F1442" s="102" t="b">
        <v>0</v>
      </c>
      <c r="G1442" s="102" t="b">
        <v>0</v>
      </c>
    </row>
    <row r="1443" spans="1:7" ht="15">
      <c r="A1443" s="104" t="s">
        <v>2938</v>
      </c>
      <c r="B1443" s="102">
        <v>3</v>
      </c>
      <c r="C1443" s="106">
        <v>0.005275706002362316</v>
      </c>
      <c r="D1443" s="102" t="s">
        <v>2322</v>
      </c>
      <c r="E1443" s="102" t="b">
        <v>0</v>
      </c>
      <c r="F1443" s="102" t="b">
        <v>0</v>
      </c>
      <c r="G1443" s="102" t="b">
        <v>0</v>
      </c>
    </row>
    <row r="1444" spans="1:7" ht="15">
      <c r="A1444" s="104" t="s">
        <v>2939</v>
      </c>
      <c r="B1444" s="102">
        <v>3</v>
      </c>
      <c r="C1444" s="106">
        <v>0.005275706002362316</v>
      </c>
      <c r="D1444" s="102" t="s">
        <v>2322</v>
      </c>
      <c r="E1444" s="102" t="b">
        <v>0</v>
      </c>
      <c r="F1444" s="102" t="b">
        <v>0</v>
      </c>
      <c r="G1444" s="102" t="b">
        <v>0</v>
      </c>
    </row>
    <row r="1445" spans="1:7" ht="15">
      <c r="A1445" s="104" t="s">
        <v>2937</v>
      </c>
      <c r="B1445" s="102">
        <v>3</v>
      </c>
      <c r="C1445" s="106">
        <v>0.005275706002362316</v>
      </c>
      <c r="D1445" s="102" t="s">
        <v>2322</v>
      </c>
      <c r="E1445" s="102" t="b">
        <v>0</v>
      </c>
      <c r="F1445" s="102" t="b">
        <v>0</v>
      </c>
      <c r="G1445" s="102" t="b">
        <v>0</v>
      </c>
    </row>
    <row r="1446" spans="1:7" ht="15">
      <c r="A1446" s="104" t="s">
        <v>2934</v>
      </c>
      <c r="B1446" s="102">
        <v>3</v>
      </c>
      <c r="C1446" s="106">
        <v>0.005275706002362316</v>
      </c>
      <c r="D1446" s="102" t="s">
        <v>2322</v>
      </c>
      <c r="E1446" s="102" t="b">
        <v>1</v>
      </c>
      <c r="F1446" s="102" t="b">
        <v>0</v>
      </c>
      <c r="G1446" s="102" t="b">
        <v>0</v>
      </c>
    </row>
    <row r="1447" spans="1:7" ht="15">
      <c r="A1447" s="104" t="s">
        <v>2935</v>
      </c>
      <c r="B1447" s="102">
        <v>3</v>
      </c>
      <c r="C1447" s="106">
        <v>0.005275706002362316</v>
      </c>
      <c r="D1447" s="102" t="s">
        <v>2322</v>
      </c>
      <c r="E1447" s="102" t="b">
        <v>0</v>
      </c>
      <c r="F1447" s="102" t="b">
        <v>0</v>
      </c>
      <c r="G1447" s="102" t="b">
        <v>0</v>
      </c>
    </row>
    <row r="1448" spans="1:7" ht="15">
      <c r="A1448" s="104" t="s">
        <v>2932</v>
      </c>
      <c r="B1448" s="102">
        <v>3</v>
      </c>
      <c r="C1448" s="106">
        <v>0.005275706002362316</v>
      </c>
      <c r="D1448" s="102" t="s">
        <v>2322</v>
      </c>
      <c r="E1448" s="102" t="b">
        <v>0</v>
      </c>
      <c r="F1448" s="102" t="b">
        <v>0</v>
      </c>
      <c r="G1448" s="102" t="b">
        <v>0</v>
      </c>
    </row>
    <row r="1449" spans="1:7" ht="15">
      <c r="A1449" s="104" t="s">
        <v>2933</v>
      </c>
      <c r="B1449" s="102">
        <v>3</v>
      </c>
      <c r="C1449" s="106">
        <v>0.005275706002362316</v>
      </c>
      <c r="D1449" s="102" t="s">
        <v>2322</v>
      </c>
      <c r="E1449" s="102" t="b">
        <v>0</v>
      </c>
      <c r="F1449" s="102" t="b">
        <v>1</v>
      </c>
      <c r="G1449" s="102" t="b">
        <v>0</v>
      </c>
    </row>
    <row r="1450" spans="1:7" ht="15">
      <c r="A1450" s="104" t="s">
        <v>2931</v>
      </c>
      <c r="B1450" s="102">
        <v>3</v>
      </c>
      <c r="C1450" s="106">
        <v>0.005275706002362316</v>
      </c>
      <c r="D1450" s="102" t="s">
        <v>2322</v>
      </c>
      <c r="E1450" s="102" t="b">
        <v>0</v>
      </c>
      <c r="F1450" s="102" t="b">
        <v>0</v>
      </c>
      <c r="G1450" s="102" t="b">
        <v>0</v>
      </c>
    </row>
    <row r="1451" spans="1:7" ht="15">
      <c r="A1451" s="104" t="s">
        <v>2930</v>
      </c>
      <c r="B1451" s="102">
        <v>3</v>
      </c>
      <c r="C1451" s="106">
        <v>0.005275706002362316</v>
      </c>
      <c r="D1451" s="102" t="s">
        <v>2322</v>
      </c>
      <c r="E1451" s="102" t="b">
        <v>0</v>
      </c>
      <c r="F1451" s="102" t="b">
        <v>0</v>
      </c>
      <c r="G1451" s="102" t="b">
        <v>0</v>
      </c>
    </row>
    <row r="1452" spans="1:7" ht="15">
      <c r="A1452" s="104" t="s">
        <v>2368</v>
      </c>
      <c r="B1452" s="102">
        <v>3</v>
      </c>
      <c r="C1452" s="106">
        <v>0.005275706002362316</v>
      </c>
      <c r="D1452" s="102" t="s">
        <v>2322</v>
      </c>
      <c r="E1452" s="102" t="b">
        <v>0</v>
      </c>
      <c r="F1452" s="102" t="b">
        <v>0</v>
      </c>
      <c r="G1452" s="102" t="b">
        <v>0</v>
      </c>
    </row>
    <row r="1453" spans="1:7" ht="15">
      <c r="A1453" s="104" t="s">
        <v>2928</v>
      </c>
      <c r="B1453" s="102">
        <v>3</v>
      </c>
      <c r="C1453" s="106">
        <v>0.005275706002362316</v>
      </c>
      <c r="D1453" s="102" t="s">
        <v>2322</v>
      </c>
      <c r="E1453" s="102" t="b">
        <v>0</v>
      </c>
      <c r="F1453" s="102" t="b">
        <v>0</v>
      </c>
      <c r="G1453" s="102" t="b">
        <v>0</v>
      </c>
    </row>
    <row r="1454" spans="1:7" ht="15">
      <c r="A1454" s="104" t="s">
        <v>2360</v>
      </c>
      <c r="B1454" s="102">
        <v>2</v>
      </c>
      <c r="C1454" s="106">
        <v>0.0028970961491945526</v>
      </c>
      <c r="D1454" s="102" t="s">
        <v>2322</v>
      </c>
      <c r="E1454" s="102" t="b">
        <v>0</v>
      </c>
      <c r="F1454" s="102" t="b">
        <v>1</v>
      </c>
      <c r="G1454" s="102" t="b">
        <v>0</v>
      </c>
    </row>
    <row r="1455" spans="1:7" ht="15">
      <c r="A1455" s="104" t="s">
        <v>2379</v>
      </c>
      <c r="B1455" s="102">
        <v>2</v>
      </c>
      <c r="C1455" s="106">
        <v>0.0028970961491945526</v>
      </c>
      <c r="D1455" s="102" t="s">
        <v>2322</v>
      </c>
      <c r="E1455" s="102" t="b">
        <v>0</v>
      </c>
      <c r="F1455" s="102" t="b">
        <v>0</v>
      </c>
      <c r="G1455" s="102" t="b">
        <v>0</v>
      </c>
    </row>
    <row r="1456" spans="1:7" ht="15">
      <c r="A1456" s="104" t="s">
        <v>2807</v>
      </c>
      <c r="B1456" s="102">
        <v>2</v>
      </c>
      <c r="C1456" s="106">
        <v>0.0035171373349082106</v>
      </c>
      <c r="D1456" s="102" t="s">
        <v>2322</v>
      </c>
      <c r="E1456" s="102" t="b">
        <v>0</v>
      </c>
      <c r="F1456" s="102" t="b">
        <v>0</v>
      </c>
      <c r="G1456" s="102" t="b">
        <v>0</v>
      </c>
    </row>
    <row r="1457" spans="1:7" ht="15">
      <c r="A1457" s="104" t="s">
        <v>2821</v>
      </c>
      <c r="B1457" s="102">
        <v>2</v>
      </c>
      <c r="C1457" s="106">
        <v>0.0028970961491945526</v>
      </c>
      <c r="D1457" s="102" t="s">
        <v>2322</v>
      </c>
      <c r="E1457" s="102" t="b">
        <v>0</v>
      </c>
      <c r="F1457" s="102" t="b">
        <v>1</v>
      </c>
      <c r="G1457" s="102" t="b">
        <v>0</v>
      </c>
    </row>
    <row r="1458" spans="1:7" ht="15">
      <c r="A1458" s="104" t="s">
        <v>2397</v>
      </c>
      <c r="B1458" s="102">
        <v>2</v>
      </c>
      <c r="C1458" s="106">
        <v>0.0028970961491945526</v>
      </c>
      <c r="D1458" s="102" t="s">
        <v>2322</v>
      </c>
      <c r="E1458" s="102" t="b">
        <v>0</v>
      </c>
      <c r="F1458" s="102" t="b">
        <v>0</v>
      </c>
      <c r="G1458" s="102" t="b">
        <v>0</v>
      </c>
    </row>
    <row r="1459" spans="1:7" ht="15">
      <c r="A1459" s="104" t="s">
        <v>2422</v>
      </c>
      <c r="B1459" s="102">
        <v>2</v>
      </c>
      <c r="C1459" s="106">
        <v>0.0028970961491945526</v>
      </c>
      <c r="D1459" s="102" t="s">
        <v>2322</v>
      </c>
      <c r="E1459" s="102" t="b">
        <v>0</v>
      </c>
      <c r="F1459" s="102" t="b">
        <v>0</v>
      </c>
      <c r="G1459" s="102" t="b">
        <v>0</v>
      </c>
    </row>
    <row r="1460" spans="1:7" ht="15">
      <c r="A1460" s="104" t="s">
        <v>2611</v>
      </c>
      <c r="B1460" s="102">
        <v>2</v>
      </c>
      <c r="C1460" s="106">
        <v>0.0035171373349082106</v>
      </c>
      <c r="D1460" s="102" t="s">
        <v>2322</v>
      </c>
      <c r="E1460" s="102" t="b">
        <v>0</v>
      </c>
      <c r="F1460" s="102" t="b">
        <v>1</v>
      </c>
      <c r="G1460" s="102" t="b">
        <v>0</v>
      </c>
    </row>
    <row r="1461" spans="1:7" ht="15">
      <c r="A1461" s="104" t="s">
        <v>2744</v>
      </c>
      <c r="B1461" s="102">
        <v>2</v>
      </c>
      <c r="C1461" s="106">
        <v>0.0035171373349082106</v>
      </c>
      <c r="D1461" s="102" t="s">
        <v>2322</v>
      </c>
      <c r="E1461" s="102" t="b">
        <v>0</v>
      </c>
      <c r="F1461" s="102" t="b">
        <v>0</v>
      </c>
      <c r="G1461" s="102" t="b">
        <v>0</v>
      </c>
    </row>
    <row r="1462" spans="1:7" ht="15">
      <c r="A1462" s="104" t="s">
        <v>2849</v>
      </c>
      <c r="B1462" s="102">
        <v>2</v>
      </c>
      <c r="C1462" s="106">
        <v>0.0028970961491945526</v>
      </c>
      <c r="D1462" s="102" t="s">
        <v>2322</v>
      </c>
      <c r="E1462" s="102" t="b">
        <v>0</v>
      </c>
      <c r="F1462" s="102" t="b">
        <v>0</v>
      </c>
      <c r="G1462" s="102" t="b">
        <v>0</v>
      </c>
    </row>
    <row r="1463" spans="1:7" ht="15">
      <c r="A1463" s="104" t="s">
        <v>3278</v>
      </c>
      <c r="B1463" s="102">
        <v>2</v>
      </c>
      <c r="C1463" s="106">
        <v>0.0028970961491945526</v>
      </c>
      <c r="D1463" s="102" t="s">
        <v>2322</v>
      </c>
      <c r="E1463" s="102" t="b">
        <v>0</v>
      </c>
      <c r="F1463" s="102" t="b">
        <v>0</v>
      </c>
      <c r="G1463" s="102" t="b">
        <v>0</v>
      </c>
    </row>
    <row r="1464" spans="1:7" ht="15">
      <c r="A1464" s="104" t="s">
        <v>3292</v>
      </c>
      <c r="B1464" s="102">
        <v>2</v>
      </c>
      <c r="C1464" s="106">
        <v>0.0028970961491945526</v>
      </c>
      <c r="D1464" s="102" t="s">
        <v>2322</v>
      </c>
      <c r="E1464" s="102" t="b">
        <v>0</v>
      </c>
      <c r="F1464" s="102" t="b">
        <v>0</v>
      </c>
      <c r="G1464" s="102" t="b">
        <v>0</v>
      </c>
    </row>
    <row r="1465" spans="1:7" ht="15">
      <c r="A1465" s="104" t="s">
        <v>3308</v>
      </c>
      <c r="B1465" s="102">
        <v>2</v>
      </c>
      <c r="C1465" s="106">
        <v>0.0035171373349082106</v>
      </c>
      <c r="D1465" s="102" t="s">
        <v>2322</v>
      </c>
      <c r="E1465" s="102" t="b">
        <v>0</v>
      </c>
      <c r="F1465" s="102" t="b">
        <v>0</v>
      </c>
      <c r="G1465" s="102" t="b">
        <v>0</v>
      </c>
    </row>
    <row r="1466" spans="1:7" ht="15">
      <c r="A1466" s="104" t="s">
        <v>2812</v>
      </c>
      <c r="B1466" s="102">
        <v>2</v>
      </c>
      <c r="C1466" s="106">
        <v>0.0035171373349082106</v>
      </c>
      <c r="D1466" s="102" t="s">
        <v>2322</v>
      </c>
      <c r="E1466" s="102" t="b">
        <v>0</v>
      </c>
      <c r="F1466" s="102" t="b">
        <v>0</v>
      </c>
      <c r="G1466" s="102" t="b">
        <v>0</v>
      </c>
    </row>
    <row r="1467" spans="1:7" ht="15">
      <c r="A1467" s="104" t="s">
        <v>2813</v>
      </c>
      <c r="B1467" s="102">
        <v>2</v>
      </c>
      <c r="C1467" s="106">
        <v>0.0035171373349082106</v>
      </c>
      <c r="D1467" s="102" t="s">
        <v>2322</v>
      </c>
      <c r="E1467" s="102" t="b">
        <v>0</v>
      </c>
      <c r="F1467" s="102" t="b">
        <v>0</v>
      </c>
      <c r="G1467" s="102" t="b">
        <v>0</v>
      </c>
    </row>
    <row r="1468" spans="1:7" ht="15">
      <c r="A1468" s="104" t="s">
        <v>3307</v>
      </c>
      <c r="B1468" s="102">
        <v>2</v>
      </c>
      <c r="C1468" s="106">
        <v>0.0035171373349082106</v>
      </c>
      <c r="D1468" s="102" t="s">
        <v>2322</v>
      </c>
      <c r="E1468" s="102" t="b">
        <v>0</v>
      </c>
      <c r="F1468" s="102" t="b">
        <v>0</v>
      </c>
      <c r="G1468" s="102" t="b">
        <v>0</v>
      </c>
    </row>
    <row r="1469" spans="1:7" ht="15">
      <c r="A1469" s="104" t="s">
        <v>2747</v>
      </c>
      <c r="B1469" s="102">
        <v>2</v>
      </c>
      <c r="C1469" s="106">
        <v>0.0028970961491945526</v>
      </c>
      <c r="D1469" s="102" t="s">
        <v>2322</v>
      </c>
      <c r="E1469" s="102" t="b">
        <v>0</v>
      </c>
      <c r="F1469" s="102" t="b">
        <v>1</v>
      </c>
      <c r="G1469" s="102" t="b">
        <v>0</v>
      </c>
    </row>
    <row r="1470" spans="1:7" ht="15">
      <c r="A1470" s="104" t="s">
        <v>3306</v>
      </c>
      <c r="B1470" s="102">
        <v>2</v>
      </c>
      <c r="C1470" s="106">
        <v>0.0035171373349082106</v>
      </c>
      <c r="D1470" s="102" t="s">
        <v>2322</v>
      </c>
      <c r="E1470" s="102" t="b">
        <v>0</v>
      </c>
      <c r="F1470" s="102" t="b">
        <v>0</v>
      </c>
      <c r="G1470" s="102" t="b">
        <v>0</v>
      </c>
    </row>
    <row r="1471" spans="1:7" ht="15">
      <c r="A1471" s="104" t="s">
        <v>2704</v>
      </c>
      <c r="B1471" s="102">
        <v>2</v>
      </c>
      <c r="C1471" s="106">
        <v>0.0028970961491945526</v>
      </c>
      <c r="D1471" s="102" t="s">
        <v>2322</v>
      </c>
      <c r="E1471" s="102" t="b">
        <v>0</v>
      </c>
      <c r="F1471" s="102" t="b">
        <v>0</v>
      </c>
      <c r="G1471" s="102" t="b">
        <v>0</v>
      </c>
    </row>
    <row r="1472" spans="1:7" ht="15">
      <c r="A1472" s="104" t="s">
        <v>2419</v>
      </c>
      <c r="B1472" s="102">
        <v>2</v>
      </c>
      <c r="C1472" s="106">
        <v>0.0028970961491945526</v>
      </c>
      <c r="D1472" s="102" t="s">
        <v>2322</v>
      </c>
      <c r="E1472" s="102" t="b">
        <v>0</v>
      </c>
      <c r="F1472" s="102" t="b">
        <v>0</v>
      </c>
      <c r="G1472" s="102" t="b">
        <v>0</v>
      </c>
    </row>
    <row r="1473" spans="1:7" ht="15">
      <c r="A1473" s="104" t="s">
        <v>2560</v>
      </c>
      <c r="B1473" s="102">
        <v>2</v>
      </c>
      <c r="C1473" s="106">
        <v>0.0028970961491945526</v>
      </c>
      <c r="D1473" s="102" t="s">
        <v>2322</v>
      </c>
      <c r="E1473" s="102" t="b">
        <v>0</v>
      </c>
      <c r="F1473" s="102" t="b">
        <v>0</v>
      </c>
      <c r="G1473" s="102" t="b">
        <v>0</v>
      </c>
    </row>
    <row r="1474" spans="1:7" ht="15">
      <c r="A1474" s="104" t="s">
        <v>3293</v>
      </c>
      <c r="B1474" s="102">
        <v>2</v>
      </c>
      <c r="C1474" s="106">
        <v>0.0028970961491945526</v>
      </c>
      <c r="D1474" s="102" t="s">
        <v>2322</v>
      </c>
      <c r="E1474" s="102" t="b">
        <v>0</v>
      </c>
      <c r="F1474" s="102" t="b">
        <v>0</v>
      </c>
      <c r="G1474" s="102" t="b">
        <v>0</v>
      </c>
    </row>
    <row r="1475" spans="1:7" ht="15">
      <c r="A1475" s="104" t="s">
        <v>3304</v>
      </c>
      <c r="B1475" s="102">
        <v>2</v>
      </c>
      <c r="C1475" s="106">
        <v>0.0035171373349082106</v>
      </c>
      <c r="D1475" s="102" t="s">
        <v>2322</v>
      </c>
      <c r="E1475" s="102" t="b">
        <v>0</v>
      </c>
      <c r="F1475" s="102" t="b">
        <v>0</v>
      </c>
      <c r="G1475" s="102" t="b">
        <v>0</v>
      </c>
    </row>
    <row r="1476" spans="1:7" ht="15">
      <c r="A1476" s="104" t="s">
        <v>2588</v>
      </c>
      <c r="B1476" s="102">
        <v>2</v>
      </c>
      <c r="C1476" s="106">
        <v>0.0035171373349082106</v>
      </c>
      <c r="D1476" s="102" t="s">
        <v>2322</v>
      </c>
      <c r="E1476" s="102" t="b">
        <v>0</v>
      </c>
      <c r="F1476" s="102" t="b">
        <v>0</v>
      </c>
      <c r="G1476" s="102" t="b">
        <v>0</v>
      </c>
    </row>
    <row r="1477" spans="1:7" ht="15">
      <c r="A1477" s="104" t="s">
        <v>2742</v>
      </c>
      <c r="B1477" s="102">
        <v>2</v>
      </c>
      <c r="C1477" s="106">
        <v>0.0028970961491945526</v>
      </c>
      <c r="D1477" s="102" t="s">
        <v>2322</v>
      </c>
      <c r="E1477" s="102" t="b">
        <v>0</v>
      </c>
      <c r="F1477" s="102" t="b">
        <v>0</v>
      </c>
      <c r="G1477" s="102" t="b">
        <v>0</v>
      </c>
    </row>
    <row r="1478" spans="1:7" ht="15">
      <c r="A1478" s="104" t="s">
        <v>2728</v>
      </c>
      <c r="B1478" s="102">
        <v>2</v>
      </c>
      <c r="C1478" s="106">
        <v>0.0028970961491945526</v>
      </c>
      <c r="D1478" s="102" t="s">
        <v>2322</v>
      </c>
      <c r="E1478" s="102" t="b">
        <v>0</v>
      </c>
      <c r="F1478" s="102" t="b">
        <v>0</v>
      </c>
      <c r="G1478" s="102" t="b">
        <v>0</v>
      </c>
    </row>
    <row r="1479" spans="1:7" ht="15">
      <c r="A1479" s="104" t="s">
        <v>2681</v>
      </c>
      <c r="B1479" s="102">
        <v>2</v>
      </c>
      <c r="C1479" s="106">
        <v>0.0028970961491945526</v>
      </c>
      <c r="D1479" s="102" t="s">
        <v>2322</v>
      </c>
      <c r="E1479" s="102" t="b">
        <v>0</v>
      </c>
      <c r="F1479" s="102" t="b">
        <v>0</v>
      </c>
      <c r="G1479" s="102" t="b">
        <v>0</v>
      </c>
    </row>
    <row r="1480" spans="1:7" ht="15">
      <c r="A1480" s="104" t="s">
        <v>3305</v>
      </c>
      <c r="B1480" s="102">
        <v>2</v>
      </c>
      <c r="C1480" s="106">
        <v>0.0035171373349082106</v>
      </c>
      <c r="D1480" s="102" t="s">
        <v>2322</v>
      </c>
      <c r="E1480" s="102" t="b">
        <v>0</v>
      </c>
      <c r="F1480" s="102" t="b">
        <v>0</v>
      </c>
      <c r="G1480" s="102" t="b">
        <v>0</v>
      </c>
    </row>
    <row r="1481" spans="1:7" ht="15">
      <c r="A1481" s="104" t="s">
        <v>3298</v>
      </c>
      <c r="B1481" s="102">
        <v>2</v>
      </c>
      <c r="C1481" s="106">
        <v>0.0028970961491945526</v>
      </c>
      <c r="D1481" s="102" t="s">
        <v>2322</v>
      </c>
      <c r="E1481" s="102" t="b">
        <v>0</v>
      </c>
      <c r="F1481" s="102" t="b">
        <v>0</v>
      </c>
      <c r="G1481" s="102" t="b">
        <v>0</v>
      </c>
    </row>
    <row r="1482" spans="1:7" ht="15">
      <c r="A1482" s="104" t="s">
        <v>3302</v>
      </c>
      <c r="B1482" s="102">
        <v>2</v>
      </c>
      <c r="C1482" s="106">
        <v>0.0035171373349082106</v>
      </c>
      <c r="D1482" s="102" t="s">
        <v>2322</v>
      </c>
      <c r="E1482" s="102" t="b">
        <v>0</v>
      </c>
      <c r="F1482" s="102" t="b">
        <v>0</v>
      </c>
      <c r="G1482" s="102" t="b">
        <v>0</v>
      </c>
    </row>
    <row r="1483" spans="1:7" ht="15">
      <c r="A1483" s="104" t="s">
        <v>2453</v>
      </c>
      <c r="B1483" s="102">
        <v>2</v>
      </c>
      <c r="C1483" s="106">
        <v>0.0028970961491945526</v>
      </c>
      <c r="D1483" s="102" t="s">
        <v>2322</v>
      </c>
      <c r="E1483" s="102" t="b">
        <v>0</v>
      </c>
      <c r="F1483" s="102" t="b">
        <v>0</v>
      </c>
      <c r="G1483" s="102" t="b">
        <v>0</v>
      </c>
    </row>
    <row r="1484" spans="1:7" ht="15">
      <c r="A1484" s="104" t="s">
        <v>3303</v>
      </c>
      <c r="B1484" s="102">
        <v>2</v>
      </c>
      <c r="C1484" s="106">
        <v>0.0035171373349082106</v>
      </c>
      <c r="D1484" s="102" t="s">
        <v>2322</v>
      </c>
      <c r="E1484" s="102" t="b">
        <v>0</v>
      </c>
      <c r="F1484" s="102" t="b">
        <v>0</v>
      </c>
      <c r="G1484" s="102" t="b">
        <v>0</v>
      </c>
    </row>
    <row r="1485" spans="1:7" ht="15">
      <c r="A1485" s="104" t="s">
        <v>3301</v>
      </c>
      <c r="B1485" s="102">
        <v>2</v>
      </c>
      <c r="C1485" s="106">
        <v>0.0035171373349082106</v>
      </c>
      <c r="D1485" s="102" t="s">
        <v>2322</v>
      </c>
      <c r="E1485" s="102" t="b">
        <v>0</v>
      </c>
      <c r="F1485" s="102" t="b">
        <v>0</v>
      </c>
      <c r="G1485" s="102" t="b">
        <v>0</v>
      </c>
    </row>
    <row r="1486" spans="1:7" ht="15">
      <c r="A1486" s="104" t="s">
        <v>2670</v>
      </c>
      <c r="B1486" s="102">
        <v>2</v>
      </c>
      <c r="C1486" s="106">
        <v>0.0028970961491945526</v>
      </c>
      <c r="D1486" s="102" t="s">
        <v>2322</v>
      </c>
      <c r="E1486" s="102" t="b">
        <v>0</v>
      </c>
      <c r="F1486" s="102" t="b">
        <v>0</v>
      </c>
      <c r="G1486" s="102" t="b">
        <v>0</v>
      </c>
    </row>
    <row r="1487" spans="1:7" ht="15">
      <c r="A1487" s="104" t="s">
        <v>2467</v>
      </c>
      <c r="B1487" s="102">
        <v>2</v>
      </c>
      <c r="C1487" s="106">
        <v>0.0028970961491945526</v>
      </c>
      <c r="D1487" s="102" t="s">
        <v>2322</v>
      </c>
      <c r="E1487" s="102" t="b">
        <v>0</v>
      </c>
      <c r="F1487" s="102" t="b">
        <v>0</v>
      </c>
      <c r="G1487" s="102" t="b">
        <v>0</v>
      </c>
    </row>
    <row r="1488" spans="1:7" ht="15">
      <c r="A1488" s="104" t="s">
        <v>2415</v>
      </c>
      <c r="B1488" s="102">
        <v>2</v>
      </c>
      <c r="C1488" s="106">
        <v>0.0028970961491945526</v>
      </c>
      <c r="D1488" s="102" t="s">
        <v>2322</v>
      </c>
      <c r="E1488" s="102" t="b">
        <v>0</v>
      </c>
      <c r="F1488" s="102" t="b">
        <v>0</v>
      </c>
      <c r="G1488" s="102" t="b">
        <v>0</v>
      </c>
    </row>
    <row r="1489" spans="1:7" ht="15">
      <c r="A1489" s="104" t="s">
        <v>3300</v>
      </c>
      <c r="B1489" s="102">
        <v>2</v>
      </c>
      <c r="C1489" s="106">
        <v>0.0035171373349082106</v>
      </c>
      <c r="D1489" s="102" t="s">
        <v>2322</v>
      </c>
      <c r="E1489" s="102" t="b">
        <v>0</v>
      </c>
      <c r="F1489" s="102" t="b">
        <v>0</v>
      </c>
      <c r="G1489" s="102" t="b">
        <v>0</v>
      </c>
    </row>
    <row r="1490" spans="1:7" ht="15">
      <c r="A1490" s="104" t="s">
        <v>3299</v>
      </c>
      <c r="B1490" s="102">
        <v>2</v>
      </c>
      <c r="C1490" s="106">
        <v>0.0035171373349082106</v>
      </c>
      <c r="D1490" s="102" t="s">
        <v>2322</v>
      </c>
      <c r="E1490" s="102" t="b">
        <v>0</v>
      </c>
      <c r="F1490" s="102" t="b">
        <v>0</v>
      </c>
      <c r="G1490" s="102" t="b">
        <v>0</v>
      </c>
    </row>
    <row r="1491" spans="1:7" ht="15">
      <c r="A1491" s="104" t="s">
        <v>2529</v>
      </c>
      <c r="B1491" s="102">
        <v>2</v>
      </c>
      <c r="C1491" s="106">
        <v>0.0035171373349082106</v>
      </c>
      <c r="D1491" s="102" t="s">
        <v>2322</v>
      </c>
      <c r="E1491" s="102" t="b">
        <v>0</v>
      </c>
      <c r="F1491" s="102" t="b">
        <v>0</v>
      </c>
      <c r="G1491" s="102" t="b">
        <v>0</v>
      </c>
    </row>
    <row r="1492" spans="1:7" ht="15">
      <c r="A1492" s="104" t="s">
        <v>2617</v>
      </c>
      <c r="B1492" s="102">
        <v>2</v>
      </c>
      <c r="C1492" s="106">
        <v>0.0028970961491945526</v>
      </c>
      <c r="D1492" s="102" t="s">
        <v>2322</v>
      </c>
      <c r="E1492" s="102" t="b">
        <v>0</v>
      </c>
      <c r="F1492" s="102" t="b">
        <v>0</v>
      </c>
      <c r="G1492" s="102" t="b">
        <v>0</v>
      </c>
    </row>
    <row r="1493" spans="1:7" ht="15">
      <c r="A1493" s="104" t="s">
        <v>2892</v>
      </c>
      <c r="B1493" s="102">
        <v>2</v>
      </c>
      <c r="C1493" s="106">
        <v>0.0028970961491945526</v>
      </c>
      <c r="D1493" s="102" t="s">
        <v>2322</v>
      </c>
      <c r="E1493" s="102" t="b">
        <v>0</v>
      </c>
      <c r="F1493" s="102" t="b">
        <v>1</v>
      </c>
      <c r="G1493" s="102" t="b">
        <v>0</v>
      </c>
    </row>
    <row r="1494" spans="1:7" ht="15">
      <c r="A1494" s="104" t="s">
        <v>2538</v>
      </c>
      <c r="B1494" s="102">
        <v>2</v>
      </c>
      <c r="C1494" s="106">
        <v>0.0035171373349082106</v>
      </c>
      <c r="D1494" s="102" t="s">
        <v>2322</v>
      </c>
      <c r="E1494" s="102" t="b">
        <v>0</v>
      </c>
      <c r="F1494" s="102" t="b">
        <v>0</v>
      </c>
      <c r="G1494" s="102" t="b">
        <v>0</v>
      </c>
    </row>
    <row r="1495" spans="1:7" ht="15">
      <c r="A1495" s="104" t="s">
        <v>2922</v>
      </c>
      <c r="B1495" s="102">
        <v>2</v>
      </c>
      <c r="C1495" s="106">
        <v>0.0035171373349082106</v>
      </c>
      <c r="D1495" s="102" t="s">
        <v>2322</v>
      </c>
      <c r="E1495" s="102" t="b">
        <v>0</v>
      </c>
      <c r="F1495" s="102" t="b">
        <v>0</v>
      </c>
      <c r="G1495" s="102" t="b">
        <v>0</v>
      </c>
    </row>
    <row r="1496" spans="1:7" ht="15">
      <c r="A1496" s="104" t="s">
        <v>3287</v>
      </c>
      <c r="B1496" s="102">
        <v>2</v>
      </c>
      <c r="C1496" s="106">
        <v>0.0028970961491945526</v>
      </c>
      <c r="D1496" s="102" t="s">
        <v>2322</v>
      </c>
      <c r="E1496" s="102" t="b">
        <v>0</v>
      </c>
      <c r="F1496" s="102" t="b">
        <v>0</v>
      </c>
      <c r="G1496" s="102" t="b">
        <v>0</v>
      </c>
    </row>
    <row r="1497" spans="1:7" ht="15">
      <c r="A1497" s="104" t="s">
        <v>2904</v>
      </c>
      <c r="B1497" s="102">
        <v>2</v>
      </c>
      <c r="C1497" s="106">
        <v>0.0028970961491945526</v>
      </c>
      <c r="D1497" s="102" t="s">
        <v>2322</v>
      </c>
      <c r="E1497" s="102" t="b">
        <v>0</v>
      </c>
      <c r="F1497" s="102" t="b">
        <v>0</v>
      </c>
      <c r="G1497" s="102" t="b">
        <v>0</v>
      </c>
    </row>
    <row r="1498" spans="1:7" ht="15">
      <c r="A1498" s="104" t="s">
        <v>2592</v>
      </c>
      <c r="B1498" s="102">
        <v>2</v>
      </c>
      <c r="C1498" s="106">
        <v>0.0035171373349082106</v>
      </c>
      <c r="D1498" s="102" t="s">
        <v>2322</v>
      </c>
      <c r="E1498" s="102" t="b">
        <v>0</v>
      </c>
      <c r="F1498" s="102" t="b">
        <v>0</v>
      </c>
      <c r="G1498" s="102" t="b">
        <v>0</v>
      </c>
    </row>
    <row r="1499" spans="1:7" ht="15">
      <c r="A1499" s="104" t="s">
        <v>2785</v>
      </c>
      <c r="B1499" s="102">
        <v>2</v>
      </c>
      <c r="C1499" s="106">
        <v>0.0035171373349082106</v>
      </c>
      <c r="D1499" s="102" t="s">
        <v>2322</v>
      </c>
      <c r="E1499" s="102" t="b">
        <v>0</v>
      </c>
      <c r="F1499" s="102" t="b">
        <v>0</v>
      </c>
      <c r="G1499" s="102" t="b">
        <v>0</v>
      </c>
    </row>
    <row r="1500" spans="1:7" ht="15">
      <c r="A1500" s="104" t="s">
        <v>3294</v>
      </c>
      <c r="B1500" s="102">
        <v>2</v>
      </c>
      <c r="C1500" s="106">
        <v>0.0035171373349082106</v>
      </c>
      <c r="D1500" s="102" t="s">
        <v>2322</v>
      </c>
      <c r="E1500" s="102" t="b">
        <v>0</v>
      </c>
      <c r="F1500" s="102" t="b">
        <v>0</v>
      </c>
      <c r="G1500" s="102" t="b">
        <v>0</v>
      </c>
    </row>
    <row r="1501" spans="1:7" ht="15">
      <c r="A1501" s="104" t="s">
        <v>3296</v>
      </c>
      <c r="B1501" s="102">
        <v>2</v>
      </c>
      <c r="C1501" s="106">
        <v>0.0035171373349082106</v>
      </c>
      <c r="D1501" s="102" t="s">
        <v>2322</v>
      </c>
      <c r="E1501" s="102" t="b">
        <v>0</v>
      </c>
      <c r="F1501" s="102" t="b">
        <v>0</v>
      </c>
      <c r="G1501" s="102" t="b">
        <v>0</v>
      </c>
    </row>
    <row r="1502" spans="1:7" ht="15">
      <c r="A1502" s="104" t="s">
        <v>3290</v>
      </c>
      <c r="B1502" s="102">
        <v>2</v>
      </c>
      <c r="C1502" s="106">
        <v>0.0035171373349082106</v>
      </c>
      <c r="D1502" s="102" t="s">
        <v>2322</v>
      </c>
      <c r="E1502" s="102" t="b">
        <v>0</v>
      </c>
      <c r="F1502" s="102" t="b">
        <v>0</v>
      </c>
      <c r="G1502" s="102" t="b">
        <v>0</v>
      </c>
    </row>
    <row r="1503" spans="1:7" ht="15">
      <c r="A1503" s="104" t="s">
        <v>3291</v>
      </c>
      <c r="B1503" s="102">
        <v>2</v>
      </c>
      <c r="C1503" s="106">
        <v>0.0035171373349082106</v>
      </c>
      <c r="D1503" s="102" t="s">
        <v>2322</v>
      </c>
      <c r="E1503" s="102" t="b">
        <v>0</v>
      </c>
      <c r="F1503" s="102" t="b">
        <v>0</v>
      </c>
      <c r="G1503" s="102" t="b">
        <v>0</v>
      </c>
    </row>
    <row r="1504" spans="1:7" ht="15">
      <c r="A1504" s="104" t="s">
        <v>2509</v>
      </c>
      <c r="B1504" s="102">
        <v>2</v>
      </c>
      <c r="C1504" s="106">
        <v>0.0035171373349082106</v>
      </c>
      <c r="D1504" s="102" t="s">
        <v>2322</v>
      </c>
      <c r="E1504" s="102" t="b">
        <v>0</v>
      </c>
      <c r="F1504" s="102" t="b">
        <v>0</v>
      </c>
      <c r="G1504" s="102" t="b">
        <v>0</v>
      </c>
    </row>
    <row r="1505" spans="1:7" ht="15">
      <c r="A1505" s="104" t="s">
        <v>2394</v>
      </c>
      <c r="B1505" s="102">
        <v>2</v>
      </c>
      <c r="C1505" s="106">
        <v>0.0035171373349082106</v>
      </c>
      <c r="D1505" s="102" t="s">
        <v>2322</v>
      </c>
      <c r="E1505" s="102" t="b">
        <v>0</v>
      </c>
      <c r="F1505" s="102" t="b">
        <v>0</v>
      </c>
      <c r="G1505" s="102" t="b">
        <v>0</v>
      </c>
    </row>
    <row r="1506" spans="1:7" ht="15">
      <c r="A1506" s="104" t="s">
        <v>2390</v>
      </c>
      <c r="B1506" s="102">
        <v>2</v>
      </c>
      <c r="C1506" s="106">
        <v>0.0035171373349082106</v>
      </c>
      <c r="D1506" s="102" t="s">
        <v>2322</v>
      </c>
      <c r="E1506" s="102" t="b">
        <v>0</v>
      </c>
      <c r="F1506" s="102" t="b">
        <v>0</v>
      </c>
      <c r="G1506" s="102" t="b">
        <v>0</v>
      </c>
    </row>
    <row r="1507" spans="1:7" ht="15">
      <c r="A1507" s="104" t="s">
        <v>2610</v>
      </c>
      <c r="B1507" s="102">
        <v>2</v>
      </c>
      <c r="C1507" s="106">
        <v>0.0035171373349082106</v>
      </c>
      <c r="D1507" s="102" t="s">
        <v>2322</v>
      </c>
      <c r="E1507" s="102" t="b">
        <v>0</v>
      </c>
      <c r="F1507" s="102" t="b">
        <v>0</v>
      </c>
      <c r="G1507" s="102" t="b">
        <v>0</v>
      </c>
    </row>
    <row r="1508" spans="1:7" ht="15">
      <c r="A1508" s="104" t="s">
        <v>2352</v>
      </c>
      <c r="B1508" s="102">
        <v>2</v>
      </c>
      <c r="C1508" s="106">
        <v>0.0035171373349082106</v>
      </c>
      <c r="D1508" s="102" t="s">
        <v>2322</v>
      </c>
      <c r="E1508" s="102" t="b">
        <v>0</v>
      </c>
      <c r="F1508" s="102" t="b">
        <v>0</v>
      </c>
      <c r="G1508" s="102" t="b">
        <v>0</v>
      </c>
    </row>
    <row r="1509" spans="1:7" ht="15">
      <c r="A1509" s="104" t="s">
        <v>3288</v>
      </c>
      <c r="B1509" s="102">
        <v>2</v>
      </c>
      <c r="C1509" s="106">
        <v>0.0035171373349082106</v>
      </c>
      <c r="D1509" s="102" t="s">
        <v>2322</v>
      </c>
      <c r="E1509" s="102" t="b">
        <v>0</v>
      </c>
      <c r="F1509" s="102" t="b">
        <v>0</v>
      </c>
      <c r="G1509" s="102" t="b">
        <v>0</v>
      </c>
    </row>
    <row r="1510" spans="1:7" ht="15">
      <c r="A1510" s="104" t="s">
        <v>3283</v>
      </c>
      <c r="B1510" s="102">
        <v>2</v>
      </c>
      <c r="C1510" s="106">
        <v>0.0035171373349082106</v>
      </c>
      <c r="D1510" s="102" t="s">
        <v>2322</v>
      </c>
      <c r="E1510" s="102" t="b">
        <v>0</v>
      </c>
      <c r="F1510" s="102" t="b">
        <v>0</v>
      </c>
      <c r="G1510" s="102" t="b">
        <v>0</v>
      </c>
    </row>
    <row r="1511" spans="1:7" ht="15">
      <c r="A1511" s="104" t="s">
        <v>3284</v>
      </c>
      <c r="B1511" s="102">
        <v>2</v>
      </c>
      <c r="C1511" s="106">
        <v>0.0035171373349082106</v>
      </c>
      <c r="D1511" s="102" t="s">
        <v>2322</v>
      </c>
      <c r="E1511" s="102" t="b">
        <v>0</v>
      </c>
      <c r="F1511" s="102" t="b">
        <v>0</v>
      </c>
      <c r="G1511" s="102" t="b">
        <v>0</v>
      </c>
    </row>
    <row r="1512" spans="1:7" ht="15">
      <c r="A1512" s="104" t="s">
        <v>3285</v>
      </c>
      <c r="B1512" s="102">
        <v>2</v>
      </c>
      <c r="C1512" s="106">
        <v>0.0035171373349082106</v>
      </c>
      <c r="D1512" s="102" t="s">
        <v>2322</v>
      </c>
      <c r="E1512" s="102" t="b">
        <v>0</v>
      </c>
      <c r="F1512" s="102" t="b">
        <v>1</v>
      </c>
      <c r="G1512" s="102" t="b">
        <v>0</v>
      </c>
    </row>
    <row r="1513" spans="1:7" ht="15">
      <c r="A1513" s="104" t="s">
        <v>3286</v>
      </c>
      <c r="B1513" s="102">
        <v>2</v>
      </c>
      <c r="C1513" s="106">
        <v>0.0035171373349082106</v>
      </c>
      <c r="D1513" s="102" t="s">
        <v>2322</v>
      </c>
      <c r="E1513" s="102" t="b">
        <v>0</v>
      </c>
      <c r="F1513" s="102" t="b">
        <v>0</v>
      </c>
      <c r="G1513" s="102" t="b">
        <v>0</v>
      </c>
    </row>
    <row r="1514" spans="1:7" ht="15">
      <c r="A1514" s="104" t="s">
        <v>2853</v>
      </c>
      <c r="B1514" s="102">
        <v>2</v>
      </c>
      <c r="C1514" s="106">
        <v>0.0035171373349082106</v>
      </c>
      <c r="D1514" s="102" t="s">
        <v>2322</v>
      </c>
      <c r="E1514" s="102" t="b">
        <v>0</v>
      </c>
      <c r="F1514" s="102" t="b">
        <v>0</v>
      </c>
      <c r="G1514" s="102" t="b">
        <v>0</v>
      </c>
    </row>
    <row r="1515" spans="1:7" ht="15">
      <c r="A1515" s="104" t="s">
        <v>2826</v>
      </c>
      <c r="B1515" s="102">
        <v>2</v>
      </c>
      <c r="C1515" s="106">
        <v>0.0035171373349082106</v>
      </c>
      <c r="D1515" s="102" t="s">
        <v>2322</v>
      </c>
      <c r="E1515" s="102" t="b">
        <v>0</v>
      </c>
      <c r="F1515" s="102" t="b">
        <v>0</v>
      </c>
      <c r="G1515" s="102" t="b">
        <v>0</v>
      </c>
    </row>
    <row r="1516" spans="1:7" ht="15">
      <c r="A1516" s="104" t="s">
        <v>3279</v>
      </c>
      <c r="B1516" s="102">
        <v>2</v>
      </c>
      <c r="C1516" s="106">
        <v>0.0035171373349082106</v>
      </c>
      <c r="D1516" s="102" t="s">
        <v>2322</v>
      </c>
      <c r="E1516" s="102" t="b">
        <v>0</v>
      </c>
      <c r="F1516" s="102" t="b">
        <v>0</v>
      </c>
      <c r="G1516" s="102" t="b">
        <v>0</v>
      </c>
    </row>
    <row r="1517" spans="1:7" ht="15">
      <c r="A1517" s="104" t="s">
        <v>2606</v>
      </c>
      <c r="B1517" s="102">
        <v>2</v>
      </c>
      <c r="C1517" s="106">
        <v>0.0035171373349082106</v>
      </c>
      <c r="D1517" s="102" t="s">
        <v>2322</v>
      </c>
      <c r="E1517" s="102" t="b">
        <v>0</v>
      </c>
      <c r="F1517" s="102" t="b">
        <v>1</v>
      </c>
      <c r="G1517" s="102" t="b">
        <v>0</v>
      </c>
    </row>
    <row r="1518" spans="1:7" ht="15">
      <c r="A1518" s="104" t="s">
        <v>3280</v>
      </c>
      <c r="B1518" s="102">
        <v>2</v>
      </c>
      <c r="C1518" s="106">
        <v>0.0035171373349082106</v>
      </c>
      <c r="D1518" s="102" t="s">
        <v>2322</v>
      </c>
      <c r="E1518" s="102" t="b">
        <v>0</v>
      </c>
      <c r="F1518" s="102" t="b">
        <v>0</v>
      </c>
      <c r="G1518" s="102" t="b">
        <v>0</v>
      </c>
    </row>
    <row r="1519" spans="1:7" ht="15">
      <c r="A1519" s="104" t="s">
        <v>3281</v>
      </c>
      <c r="B1519" s="102">
        <v>2</v>
      </c>
      <c r="C1519" s="106">
        <v>0.0035171373349082106</v>
      </c>
      <c r="D1519" s="102" t="s">
        <v>2322</v>
      </c>
      <c r="E1519" s="102" t="b">
        <v>0</v>
      </c>
      <c r="F1519" s="102" t="b">
        <v>0</v>
      </c>
      <c r="G1519" s="102" t="b">
        <v>0</v>
      </c>
    </row>
    <row r="1520" spans="1:7" ht="15">
      <c r="A1520" s="104" t="s">
        <v>2401</v>
      </c>
      <c r="B1520" s="102">
        <v>2</v>
      </c>
      <c r="C1520" s="106">
        <v>0.0028970961491945526</v>
      </c>
      <c r="D1520" s="102" t="s">
        <v>2322</v>
      </c>
      <c r="E1520" s="102" t="b">
        <v>0</v>
      </c>
      <c r="F1520" s="102" t="b">
        <v>0</v>
      </c>
      <c r="G1520" s="102" t="b">
        <v>0</v>
      </c>
    </row>
    <row r="1521" spans="1:7" ht="15">
      <c r="A1521" s="104" t="s">
        <v>2615</v>
      </c>
      <c r="B1521" s="102">
        <v>2</v>
      </c>
      <c r="C1521" s="106">
        <v>0.0028970961491945526</v>
      </c>
      <c r="D1521" s="102" t="s">
        <v>2322</v>
      </c>
      <c r="E1521" s="102" t="b">
        <v>0</v>
      </c>
      <c r="F1521" s="102" t="b">
        <v>0</v>
      </c>
      <c r="G1521" s="102" t="b">
        <v>0</v>
      </c>
    </row>
    <row r="1522" spans="1:7" ht="15">
      <c r="A1522" s="104" t="s">
        <v>2919</v>
      </c>
      <c r="B1522" s="102">
        <v>2</v>
      </c>
      <c r="C1522" s="106">
        <v>0.0035171373349082106</v>
      </c>
      <c r="D1522" s="102" t="s">
        <v>2322</v>
      </c>
      <c r="E1522" s="102" t="b">
        <v>0</v>
      </c>
      <c r="F1522" s="102" t="b">
        <v>0</v>
      </c>
      <c r="G1522" s="102" t="b">
        <v>0</v>
      </c>
    </row>
    <row r="1523" spans="1:7" ht="15">
      <c r="A1523" s="104" t="s">
        <v>3276</v>
      </c>
      <c r="B1523" s="102">
        <v>2</v>
      </c>
      <c r="C1523" s="106">
        <v>0.0035171373349082106</v>
      </c>
      <c r="D1523" s="102" t="s">
        <v>2322</v>
      </c>
      <c r="E1523" s="102" t="b">
        <v>0</v>
      </c>
      <c r="F1523" s="102" t="b">
        <v>0</v>
      </c>
      <c r="G1523" s="102" t="b">
        <v>0</v>
      </c>
    </row>
    <row r="1524" spans="1:7" ht="15">
      <c r="A1524" s="104" t="s">
        <v>3277</v>
      </c>
      <c r="B1524" s="102">
        <v>2</v>
      </c>
      <c r="C1524" s="106">
        <v>0.0035171373349082106</v>
      </c>
      <c r="D1524" s="102" t="s">
        <v>2322</v>
      </c>
      <c r="E1524" s="102" t="b">
        <v>0</v>
      </c>
      <c r="F1524" s="102" t="b">
        <v>1</v>
      </c>
      <c r="G1524" s="102" t="b">
        <v>0</v>
      </c>
    </row>
    <row r="1525" spans="1:7" ht="15">
      <c r="A1525" s="104" t="s">
        <v>3272</v>
      </c>
      <c r="B1525" s="102">
        <v>2</v>
      </c>
      <c r="C1525" s="106">
        <v>0.0035171373349082106</v>
      </c>
      <c r="D1525" s="102" t="s">
        <v>2322</v>
      </c>
      <c r="E1525" s="102" t="b">
        <v>0</v>
      </c>
      <c r="F1525" s="102" t="b">
        <v>0</v>
      </c>
      <c r="G1525" s="102" t="b">
        <v>0</v>
      </c>
    </row>
    <row r="1526" spans="1:7" ht="15">
      <c r="A1526" s="104" t="s">
        <v>3273</v>
      </c>
      <c r="B1526" s="102">
        <v>2</v>
      </c>
      <c r="C1526" s="106">
        <v>0.0035171373349082106</v>
      </c>
      <c r="D1526" s="102" t="s">
        <v>2322</v>
      </c>
      <c r="E1526" s="102" t="b">
        <v>0</v>
      </c>
      <c r="F1526" s="102" t="b">
        <v>0</v>
      </c>
      <c r="G1526" s="102" t="b">
        <v>0</v>
      </c>
    </row>
    <row r="1527" spans="1:7" ht="15">
      <c r="A1527" s="104" t="s">
        <v>3274</v>
      </c>
      <c r="B1527" s="102">
        <v>2</v>
      </c>
      <c r="C1527" s="106">
        <v>0.0035171373349082106</v>
      </c>
      <c r="D1527" s="102" t="s">
        <v>2322</v>
      </c>
      <c r="E1527" s="102" t="b">
        <v>0</v>
      </c>
      <c r="F1527" s="102" t="b">
        <v>0</v>
      </c>
      <c r="G1527" s="102" t="b">
        <v>0</v>
      </c>
    </row>
    <row r="1528" spans="1:7" ht="15">
      <c r="A1528" s="104" t="s">
        <v>2929</v>
      </c>
      <c r="B1528" s="102">
        <v>2</v>
      </c>
      <c r="C1528" s="106">
        <v>0.0035171373349082106</v>
      </c>
      <c r="D1528" s="102" t="s">
        <v>2322</v>
      </c>
      <c r="E1528" s="102" t="b">
        <v>0</v>
      </c>
      <c r="F1528" s="102" t="b">
        <v>0</v>
      </c>
      <c r="G1528" s="102" t="b">
        <v>0</v>
      </c>
    </row>
    <row r="1529" spans="1:7" ht="15">
      <c r="A1529" s="104" t="s">
        <v>3275</v>
      </c>
      <c r="B1529" s="102">
        <v>2</v>
      </c>
      <c r="C1529" s="106">
        <v>0.0035171373349082106</v>
      </c>
      <c r="D1529" s="102" t="s">
        <v>2322</v>
      </c>
      <c r="E1529" s="102" t="b">
        <v>0</v>
      </c>
      <c r="F1529" s="102" t="b">
        <v>0</v>
      </c>
      <c r="G1529" s="102" t="b">
        <v>0</v>
      </c>
    </row>
    <row r="1530" spans="1:7" ht="15">
      <c r="A1530" s="104" t="s">
        <v>2348</v>
      </c>
      <c r="B1530" s="102">
        <v>42</v>
      </c>
      <c r="C1530" s="106">
        <v>0.03478781665987287</v>
      </c>
      <c r="D1530" s="102" t="s">
        <v>2323</v>
      </c>
      <c r="E1530" s="102" t="b">
        <v>0</v>
      </c>
      <c r="F1530" s="102" t="b">
        <v>0</v>
      </c>
      <c r="G1530" s="102" t="b">
        <v>0</v>
      </c>
    </row>
    <row r="1531" spans="1:7" ht="15">
      <c r="A1531" s="104" t="s">
        <v>2353</v>
      </c>
      <c r="B1531" s="102">
        <v>30</v>
      </c>
      <c r="C1531" s="106">
        <v>0.02711270618601465</v>
      </c>
      <c r="D1531" s="102" t="s">
        <v>2323</v>
      </c>
      <c r="E1531" s="102" t="b">
        <v>0</v>
      </c>
      <c r="F1531" s="102" t="b">
        <v>0</v>
      </c>
      <c r="G1531" s="102" t="b">
        <v>0</v>
      </c>
    </row>
    <row r="1532" spans="1:7" ht="15">
      <c r="A1532" s="104" t="s">
        <v>2350</v>
      </c>
      <c r="B1532" s="102">
        <v>23</v>
      </c>
      <c r="C1532" s="106">
        <v>0.015033847488372753</v>
      </c>
      <c r="D1532" s="102" t="s">
        <v>2323</v>
      </c>
      <c r="E1532" s="102" t="b">
        <v>0</v>
      </c>
      <c r="F1532" s="102" t="b">
        <v>0</v>
      </c>
      <c r="G1532" s="102" t="b">
        <v>0</v>
      </c>
    </row>
    <row r="1533" spans="1:7" ht="15">
      <c r="A1533" s="104" t="s">
        <v>2349</v>
      </c>
      <c r="B1533" s="102">
        <v>21</v>
      </c>
      <c r="C1533" s="106">
        <v>0.014809879177820957</v>
      </c>
      <c r="D1533" s="102" t="s">
        <v>2323</v>
      </c>
      <c r="E1533" s="102" t="b">
        <v>0</v>
      </c>
      <c r="F1533" s="102" t="b">
        <v>0</v>
      </c>
      <c r="G1533" s="102" t="b">
        <v>0</v>
      </c>
    </row>
    <row r="1534" spans="1:7" ht="15">
      <c r="A1534" s="104" t="s">
        <v>2351</v>
      </c>
      <c r="B1534" s="102">
        <v>21</v>
      </c>
      <c r="C1534" s="106">
        <v>0.016020931005774744</v>
      </c>
      <c r="D1534" s="102" t="s">
        <v>2323</v>
      </c>
      <c r="E1534" s="102" t="b">
        <v>0</v>
      </c>
      <c r="F1534" s="102" t="b">
        <v>0</v>
      </c>
      <c r="G1534" s="102" t="b">
        <v>0</v>
      </c>
    </row>
    <row r="1535" spans="1:7" ht="15">
      <c r="A1535" s="104" t="s">
        <v>2377</v>
      </c>
      <c r="B1535" s="102">
        <v>17</v>
      </c>
      <c r="C1535" s="106">
        <v>0.015363866838741634</v>
      </c>
      <c r="D1535" s="102" t="s">
        <v>2323</v>
      </c>
      <c r="E1535" s="102" t="b">
        <v>0</v>
      </c>
      <c r="F1535" s="102" t="b">
        <v>0</v>
      </c>
      <c r="G1535" s="102" t="b">
        <v>0</v>
      </c>
    </row>
    <row r="1536" spans="1:7" ht="15">
      <c r="A1536" s="104" t="s">
        <v>2384</v>
      </c>
      <c r="B1536" s="102">
        <v>16</v>
      </c>
      <c r="C1536" s="106">
        <v>0.01446010996587448</v>
      </c>
      <c r="D1536" s="102" t="s">
        <v>2323</v>
      </c>
      <c r="E1536" s="102" t="b">
        <v>0</v>
      </c>
      <c r="F1536" s="102" t="b">
        <v>0</v>
      </c>
      <c r="G1536" s="102" t="b">
        <v>0</v>
      </c>
    </row>
    <row r="1537" spans="1:7" ht="15">
      <c r="A1537" s="104" t="s">
        <v>2388</v>
      </c>
      <c r="B1537" s="102">
        <v>14</v>
      </c>
      <c r="C1537" s="106">
        <v>0.012652596220140169</v>
      </c>
      <c r="D1537" s="102" t="s">
        <v>2323</v>
      </c>
      <c r="E1537" s="102" t="b">
        <v>0</v>
      </c>
      <c r="F1537" s="102" t="b">
        <v>0</v>
      </c>
      <c r="G1537" s="102" t="b">
        <v>0</v>
      </c>
    </row>
    <row r="1538" spans="1:7" ht="15">
      <c r="A1538" s="104" t="s">
        <v>2449</v>
      </c>
      <c r="B1538" s="102">
        <v>14</v>
      </c>
      <c r="C1538" s="106">
        <v>0.02493457762416611</v>
      </c>
      <c r="D1538" s="102" t="s">
        <v>2323</v>
      </c>
      <c r="E1538" s="102" t="b">
        <v>0</v>
      </c>
      <c r="F1538" s="102" t="b">
        <v>0</v>
      </c>
      <c r="G1538" s="102" t="b">
        <v>0</v>
      </c>
    </row>
    <row r="1539" spans="1:7" ht="15">
      <c r="A1539" s="104" t="s">
        <v>2361</v>
      </c>
      <c r="B1539" s="102">
        <v>12</v>
      </c>
      <c r="C1539" s="106">
        <v>0.009939376188535106</v>
      </c>
      <c r="D1539" s="102" t="s">
        <v>2323</v>
      </c>
      <c r="E1539" s="102" t="b">
        <v>0</v>
      </c>
      <c r="F1539" s="102" t="b">
        <v>0</v>
      </c>
      <c r="G1539" s="102" t="b">
        <v>0</v>
      </c>
    </row>
    <row r="1540" spans="1:7" ht="15">
      <c r="A1540" s="104" t="s">
        <v>2355</v>
      </c>
      <c r="B1540" s="102">
        <v>12</v>
      </c>
      <c r="C1540" s="106">
        <v>0.021372495106428094</v>
      </c>
      <c r="D1540" s="102" t="s">
        <v>2323</v>
      </c>
      <c r="E1540" s="102" t="b">
        <v>0</v>
      </c>
      <c r="F1540" s="102" t="b">
        <v>0</v>
      </c>
      <c r="G1540" s="102" t="b">
        <v>0</v>
      </c>
    </row>
    <row r="1541" spans="1:7" ht="15">
      <c r="A1541" s="104" t="s">
        <v>2352</v>
      </c>
      <c r="B1541" s="102">
        <v>11</v>
      </c>
      <c r="C1541" s="106">
        <v>0.01585827464541276</v>
      </c>
      <c r="D1541" s="102" t="s">
        <v>2323</v>
      </c>
      <c r="E1541" s="102" t="b">
        <v>0</v>
      </c>
      <c r="F1541" s="102" t="b">
        <v>0</v>
      </c>
      <c r="G1541" s="102" t="b">
        <v>0</v>
      </c>
    </row>
    <row r="1542" spans="1:7" ht="15">
      <c r="A1542" s="104" t="s">
        <v>2354</v>
      </c>
      <c r="B1542" s="102">
        <v>11</v>
      </c>
      <c r="C1542" s="106">
        <v>0.009941325601538705</v>
      </c>
      <c r="D1542" s="102" t="s">
        <v>2323</v>
      </c>
      <c r="E1542" s="102" t="b">
        <v>0</v>
      </c>
      <c r="F1542" s="102" t="b">
        <v>0</v>
      </c>
      <c r="G1542" s="102" t="b">
        <v>0</v>
      </c>
    </row>
    <row r="1543" spans="1:7" ht="15">
      <c r="A1543" s="104" t="s">
        <v>2475</v>
      </c>
      <c r="B1543" s="102">
        <v>11</v>
      </c>
      <c r="C1543" s="106">
        <v>0.019591453847559087</v>
      </c>
      <c r="D1543" s="102" t="s">
        <v>2323</v>
      </c>
      <c r="E1543" s="102" t="b">
        <v>0</v>
      </c>
      <c r="F1543" s="102" t="b">
        <v>0</v>
      </c>
      <c r="G1543" s="102" t="b">
        <v>0</v>
      </c>
    </row>
    <row r="1544" spans="1:7" ht="15">
      <c r="A1544" s="104" t="s">
        <v>2416</v>
      </c>
      <c r="B1544" s="102">
        <v>9</v>
      </c>
      <c r="C1544" s="106">
        <v>0.011188231203015027</v>
      </c>
      <c r="D1544" s="102" t="s">
        <v>2323</v>
      </c>
      <c r="E1544" s="102" t="b">
        <v>0</v>
      </c>
      <c r="F1544" s="102" t="b">
        <v>0</v>
      </c>
      <c r="G1544" s="102" t="b">
        <v>0</v>
      </c>
    </row>
    <row r="1545" spans="1:7" ht="15">
      <c r="A1545" s="104" t="s">
        <v>2537</v>
      </c>
      <c r="B1545" s="102">
        <v>8</v>
      </c>
      <c r="C1545" s="106">
        <v>0.014248330070952064</v>
      </c>
      <c r="D1545" s="102" t="s">
        <v>2323</v>
      </c>
      <c r="E1545" s="102" t="b">
        <v>0</v>
      </c>
      <c r="F1545" s="102" t="b">
        <v>0</v>
      </c>
      <c r="G1545" s="102" t="b">
        <v>0</v>
      </c>
    </row>
    <row r="1546" spans="1:7" ht="15">
      <c r="A1546" s="104" t="s">
        <v>2535</v>
      </c>
      <c r="B1546" s="102">
        <v>7</v>
      </c>
      <c r="C1546" s="106">
        <v>0.010091629319808119</v>
      </c>
      <c r="D1546" s="102" t="s">
        <v>2323</v>
      </c>
      <c r="E1546" s="102" t="b">
        <v>0</v>
      </c>
      <c r="F1546" s="102" t="b">
        <v>0</v>
      </c>
      <c r="G1546" s="102" t="b">
        <v>0</v>
      </c>
    </row>
    <row r="1547" spans="1:7" ht="15">
      <c r="A1547" s="104" t="s">
        <v>2536</v>
      </c>
      <c r="B1547" s="102">
        <v>7</v>
      </c>
      <c r="C1547" s="106">
        <v>0.010091629319808119</v>
      </c>
      <c r="D1547" s="102" t="s">
        <v>2323</v>
      </c>
      <c r="E1547" s="102" t="b">
        <v>0</v>
      </c>
      <c r="F1547" s="102" t="b">
        <v>0</v>
      </c>
      <c r="G1547" s="102" t="b">
        <v>0</v>
      </c>
    </row>
    <row r="1548" spans="1:7" ht="15">
      <c r="A1548" s="104" t="s">
        <v>2431</v>
      </c>
      <c r="B1548" s="102">
        <v>6</v>
      </c>
      <c r="C1548" s="106">
        <v>0.005958152822643459</v>
      </c>
      <c r="D1548" s="102" t="s">
        <v>2323</v>
      </c>
      <c r="E1548" s="102" t="b">
        <v>1</v>
      </c>
      <c r="F1548" s="102" t="b">
        <v>0</v>
      </c>
      <c r="G1548" s="102" t="b">
        <v>0</v>
      </c>
    </row>
    <row r="1549" spans="1:7" ht="15">
      <c r="A1549" s="104" t="s">
        <v>2429</v>
      </c>
      <c r="B1549" s="102">
        <v>6</v>
      </c>
      <c r="C1549" s="106">
        <v>0.006613688423599872</v>
      </c>
      <c r="D1549" s="102" t="s">
        <v>2323</v>
      </c>
      <c r="E1549" s="102" t="b">
        <v>0</v>
      </c>
      <c r="F1549" s="102" t="b">
        <v>0</v>
      </c>
      <c r="G1549" s="102" t="b">
        <v>0</v>
      </c>
    </row>
    <row r="1550" spans="1:7" ht="15">
      <c r="A1550" s="104" t="s">
        <v>2364</v>
      </c>
      <c r="B1550" s="102">
        <v>6</v>
      </c>
      <c r="C1550" s="106">
        <v>0.006613688423599872</v>
      </c>
      <c r="D1550" s="102" t="s">
        <v>2323</v>
      </c>
      <c r="E1550" s="102" t="b">
        <v>0</v>
      </c>
      <c r="F1550" s="102" t="b">
        <v>0</v>
      </c>
      <c r="G1550" s="102" t="b">
        <v>0</v>
      </c>
    </row>
    <row r="1551" spans="1:7" ht="15">
      <c r="A1551" s="104" t="s">
        <v>2489</v>
      </c>
      <c r="B1551" s="102">
        <v>6</v>
      </c>
      <c r="C1551" s="106">
        <v>0.008649967988406958</v>
      </c>
      <c r="D1551" s="102" t="s">
        <v>2323</v>
      </c>
      <c r="E1551" s="102" t="b">
        <v>0</v>
      </c>
      <c r="F1551" s="102" t="b">
        <v>0</v>
      </c>
      <c r="G1551" s="102" t="b">
        <v>0</v>
      </c>
    </row>
    <row r="1552" spans="1:7" ht="15">
      <c r="A1552" s="104" t="s">
        <v>2367</v>
      </c>
      <c r="B1552" s="102">
        <v>5</v>
      </c>
      <c r="C1552" s="106">
        <v>0.0055114070196665595</v>
      </c>
      <c r="D1552" s="102" t="s">
        <v>2323</v>
      </c>
      <c r="E1552" s="102" t="b">
        <v>0</v>
      </c>
      <c r="F1552" s="102" t="b">
        <v>0</v>
      </c>
      <c r="G1552" s="102" t="b">
        <v>0</v>
      </c>
    </row>
    <row r="1553" spans="1:7" ht="15">
      <c r="A1553" s="104" t="s">
        <v>2383</v>
      </c>
      <c r="B1553" s="102">
        <v>5</v>
      </c>
      <c r="C1553" s="106">
        <v>0.0055114070196665595</v>
      </c>
      <c r="D1553" s="102" t="s">
        <v>2323</v>
      </c>
      <c r="E1553" s="102" t="b">
        <v>0</v>
      </c>
      <c r="F1553" s="102" t="b">
        <v>0</v>
      </c>
      <c r="G1553" s="102" t="b">
        <v>0</v>
      </c>
    </row>
    <row r="1554" spans="1:7" ht="15">
      <c r="A1554" s="104" t="s">
        <v>2491</v>
      </c>
      <c r="B1554" s="102">
        <v>5</v>
      </c>
      <c r="C1554" s="106">
        <v>0.006215684001675015</v>
      </c>
      <c r="D1554" s="102" t="s">
        <v>2323</v>
      </c>
      <c r="E1554" s="102" t="b">
        <v>0</v>
      </c>
      <c r="F1554" s="102" t="b">
        <v>0</v>
      </c>
      <c r="G1554" s="102" t="b">
        <v>0</v>
      </c>
    </row>
    <row r="1555" spans="1:7" ht="15">
      <c r="A1555" s="104" t="s">
        <v>2605</v>
      </c>
      <c r="B1555" s="102">
        <v>5</v>
      </c>
      <c r="C1555" s="106">
        <v>0.00890520629434504</v>
      </c>
      <c r="D1555" s="102" t="s">
        <v>2323</v>
      </c>
      <c r="E1555" s="102" t="b">
        <v>0</v>
      </c>
      <c r="F1555" s="102" t="b">
        <v>0</v>
      </c>
      <c r="G1555" s="102" t="b">
        <v>0</v>
      </c>
    </row>
    <row r="1556" spans="1:7" ht="15">
      <c r="A1556" s="104" t="s">
        <v>2603</v>
      </c>
      <c r="B1556" s="102">
        <v>5</v>
      </c>
      <c r="C1556" s="106">
        <v>0.007208306657005799</v>
      </c>
      <c r="D1556" s="102" t="s">
        <v>2323</v>
      </c>
      <c r="E1556" s="102" t="b">
        <v>0</v>
      </c>
      <c r="F1556" s="102" t="b">
        <v>0</v>
      </c>
      <c r="G1556" s="102" t="b">
        <v>0</v>
      </c>
    </row>
    <row r="1557" spans="1:7" ht="15">
      <c r="A1557" s="104" t="s">
        <v>2667</v>
      </c>
      <c r="B1557" s="102">
        <v>5</v>
      </c>
      <c r="C1557" s="106">
        <v>0.00890520629434504</v>
      </c>
      <c r="D1557" s="102" t="s">
        <v>2323</v>
      </c>
      <c r="E1557" s="102" t="b">
        <v>0</v>
      </c>
      <c r="F1557" s="102" t="b">
        <v>0</v>
      </c>
      <c r="G1557" s="102" t="b">
        <v>0</v>
      </c>
    </row>
    <row r="1558" spans="1:7" ht="15">
      <c r="A1558" s="104" t="s">
        <v>2668</v>
      </c>
      <c r="B1558" s="102">
        <v>5</v>
      </c>
      <c r="C1558" s="106">
        <v>0.00890520629434504</v>
      </c>
      <c r="D1558" s="102" t="s">
        <v>2323</v>
      </c>
      <c r="E1558" s="102" t="b">
        <v>0</v>
      </c>
      <c r="F1558" s="102" t="b">
        <v>0</v>
      </c>
      <c r="G1558" s="102" t="b">
        <v>0</v>
      </c>
    </row>
    <row r="1559" spans="1:7" ht="15">
      <c r="A1559" s="104" t="s">
        <v>2662</v>
      </c>
      <c r="B1559" s="102">
        <v>5</v>
      </c>
      <c r="C1559" s="106">
        <v>0.00890520629434504</v>
      </c>
      <c r="D1559" s="102" t="s">
        <v>2323</v>
      </c>
      <c r="E1559" s="102" t="b">
        <v>0</v>
      </c>
      <c r="F1559" s="102" t="b">
        <v>0</v>
      </c>
      <c r="G1559" s="102" t="b">
        <v>0</v>
      </c>
    </row>
    <row r="1560" spans="1:7" ht="15">
      <c r="A1560" s="104" t="s">
        <v>2391</v>
      </c>
      <c r="B1560" s="102">
        <v>5</v>
      </c>
      <c r="C1560" s="106">
        <v>0.00890520629434504</v>
      </c>
      <c r="D1560" s="102" t="s">
        <v>2323</v>
      </c>
      <c r="E1560" s="102" t="b">
        <v>0</v>
      </c>
      <c r="F1560" s="102" t="b">
        <v>0</v>
      </c>
      <c r="G1560" s="102" t="b">
        <v>0</v>
      </c>
    </row>
    <row r="1561" spans="1:7" ht="15">
      <c r="A1561" s="104" t="s">
        <v>2659</v>
      </c>
      <c r="B1561" s="102">
        <v>5</v>
      </c>
      <c r="C1561" s="106">
        <v>0.00890520629434504</v>
      </c>
      <c r="D1561" s="102" t="s">
        <v>2323</v>
      </c>
      <c r="E1561" s="102" t="b">
        <v>0</v>
      </c>
      <c r="F1561" s="102" t="b">
        <v>0</v>
      </c>
      <c r="G1561" s="102" t="b">
        <v>0</v>
      </c>
    </row>
    <row r="1562" spans="1:7" ht="15">
      <c r="A1562" s="104" t="s">
        <v>2660</v>
      </c>
      <c r="B1562" s="102">
        <v>5</v>
      </c>
      <c r="C1562" s="106">
        <v>0.00890520629434504</v>
      </c>
      <c r="D1562" s="102" t="s">
        <v>2323</v>
      </c>
      <c r="E1562" s="102" t="b">
        <v>0</v>
      </c>
      <c r="F1562" s="102" t="b">
        <v>0</v>
      </c>
      <c r="G1562" s="102" t="b">
        <v>0</v>
      </c>
    </row>
    <row r="1563" spans="1:7" ht="15">
      <c r="A1563" s="104" t="s">
        <v>2661</v>
      </c>
      <c r="B1563" s="102">
        <v>5</v>
      </c>
      <c r="C1563" s="106">
        <v>0.00890520629434504</v>
      </c>
      <c r="D1563" s="102" t="s">
        <v>2323</v>
      </c>
      <c r="E1563" s="102" t="b">
        <v>0</v>
      </c>
      <c r="F1563" s="102" t="b">
        <v>0</v>
      </c>
      <c r="G1563" s="102" t="b">
        <v>0</v>
      </c>
    </row>
    <row r="1564" spans="1:7" ht="15">
      <c r="A1564" s="104" t="s">
        <v>2655</v>
      </c>
      <c r="B1564" s="102">
        <v>5</v>
      </c>
      <c r="C1564" s="106">
        <v>0.00890520629434504</v>
      </c>
      <c r="D1564" s="102" t="s">
        <v>2323</v>
      </c>
      <c r="E1564" s="102" t="b">
        <v>0</v>
      </c>
      <c r="F1564" s="102" t="b">
        <v>0</v>
      </c>
      <c r="G1564" s="102" t="b">
        <v>0</v>
      </c>
    </row>
    <row r="1565" spans="1:7" ht="15">
      <c r="A1565" s="104" t="s">
        <v>2420</v>
      </c>
      <c r="B1565" s="102">
        <v>4</v>
      </c>
      <c r="C1565" s="106">
        <v>0.004409125615733248</v>
      </c>
      <c r="D1565" s="102" t="s">
        <v>2323</v>
      </c>
      <c r="E1565" s="102" t="b">
        <v>0</v>
      </c>
      <c r="F1565" s="102" t="b">
        <v>0</v>
      </c>
      <c r="G1565" s="102" t="b">
        <v>0</v>
      </c>
    </row>
    <row r="1566" spans="1:7" ht="15">
      <c r="A1566" s="104" t="s">
        <v>2427</v>
      </c>
      <c r="B1566" s="102">
        <v>4</v>
      </c>
      <c r="C1566" s="106">
        <v>0.004409125615733248</v>
      </c>
      <c r="D1566" s="102" t="s">
        <v>2323</v>
      </c>
      <c r="E1566" s="102" t="b">
        <v>0</v>
      </c>
      <c r="F1566" s="102" t="b">
        <v>0</v>
      </c>
      <c r="G1566" s="102" t="b">
        <v>0</v>
      </c>
    </row>
    <row r="1567" spans="1:7" ht="15">
      <c r="A1567" s="104" t="s">
        <v>2411</v>
      </c>
      <c r="B1567" s="102">
        <v>4</v>
      </c>
      <c r="C1567" s="106">
        <v>0.0057666453256046395</v>
      </c>
      <c r="D1567" s="102" t="s">
        <v>2323</v>
      </c>
      <c r="E1567" s="102" t="b">
        <v>0</v>
      </c>
      <c r="F1567" s="102" t="b">
        <v>0</v>
      </c>
      <c r="G1567" s="102" t="b">
        <v>0</v>
      </c>
    </row>
    <row r="1568" spans="1:7" ht="15">
      <c r="A1568" s="104" t="s">
        <v>2356</v>
      </c>
      <c r="B1568" s="102">
        <v>4</v>
      </c>
      <c r="C1568" s="106">
        <v>0.004972547201340012</v>
      </c>
      <c r="D1568" s="102" t="s">
        <v>2323</v>
      </c>
      <c r="E1568" s="102" t="b">
        <v>0</v>
      </c>
      <c r="F1568" s="102" t="b">
        <v>0</v>
      </c>
      <c r="G1568" s="102" t="b">
        <v>0</v>
      </c>
    </row>
    <row r="1569" spans="1:7" ht="15">
      <c r="A1569" s="104" t="s">
        <v>2410</v>
      </c>
      <c r="B1569" s="102">
        <v>4</v>
      </c>
      <c r="C1569" s="106">
        <v>0.004972547201340012</v>
      </c>
      <c r="D1569" s="102" t="s">
        <v>2323</v>
      </c>
      <c r="E1569" s="102" t="b">
        <v>0</v>
      </c>
      <c r="F1569" s="102" t="b">
        <v>0</v>
      </c>
      <c r="G1569" s="102" t="b">
        <v>0</v>
      </c>
    </row>
    <row r="1570" spans="1:7" ht="15">
      <c r="A1570" s="104" t="s">
        <v>2369</v>
      </c>
      <c r="B1570" s="102">
        <v>4</v>
      </c>
      <c r="C1570" s="106">
        <v>0.004972547201340012</v>
      </c>
      <c r="D1570" s="102" t="s">
        <v>2323</v>
      </c>
      <c r="E1570" s="102" t="b">
        <v>0</v>
      </c>
      <c r="F1570" s="102" t="b">
        <v>0</v>
      </c>
      <c r="G1570" s="102" t="b">
        <v>0</v>
      </c>
    </row>
    <row r="1571" spans="1:7" ht="15">
      <c r="A1571" s="104" t="s">
        <v>2412</v>
      </c>
      <c r="B1571" s="102">
        <v>4</v>
      </c>
      <c r="C1571" s="106">
        <v>0.007124165035476032</v>
      </c>
      <c r="D1571" s="102" t="s">
        <v>2323</v>
      </c>
      <c r="E1571" s="102" t="b">
        <v>0</v>
      </c>
      <c r="F1571" s="102" t="b">
        <v>0</v>
      </c>
      <c r="G1571" s="102" t="b">
        <v>0</v>
      </c>
    </row>
    <row r="1572" spans="1:7" ht="15">
      <c r="A1572" s="104" t="s">
        <v>2604</v>
      </c>
      <c r="B1572" s="102">
        <v>4</v>
      </c>
      <c r="C1572" s="106">
        <v>0.007124165035476032</v>
      </c>
      <c r="D1572" s="102" t="s">
        <v>2323</v>
      </c>
      <c r="E1572" s="102" t="b">
        <v>0</v>
      </c>
      <c r="F1572" s="102" t="b">
        <v>0</v>
      </c>
      <c r="G1572" s="102" t="b">
        <v>0</v>
      </c>
    </row>
    <row r="1573" spans="1:7" ht="15">
      <c r="A1573" s="104" t="s">
        <v>2359</v>
      </c>
      <c r="B1573" s="102">
        <v>4</v>
      </c>
      <c r="C1573" s="106">
        <v>0.007124165035476032</v>
      </c>
      <c r="D1573" s="102" t="s">
        <v>2323</v>
      </c>
      <c r="E1573" s="102" t="b">
        <v>0</v>
      </c>
      <c r="F1573" s="102" t="b">
        <v>0</v>
      </c>
      <c r="G1573" s="102" t="b">
        <v>0</v>
      </c>
    </row>
    <row r="1574" spans="1:7" ht="15">
      <c r="A1574" s="104" t="s">
        <v>2736</v>
      </c>
      <c r="B1574" s="102">
        <v>4</v>
      </c>
      <c r="C1574" s="106">
        <v>0.007124165035476032</v>
      </c>
      <c r="D1574" s="102" t="s">
        <v>2323</v>
      </c>
      <c r="E1574" s="102" t="b">
        <v>0</v>
      </c>
      <c r="F1574" s="102" t="b">
        <v>0</v>
      </c>
      <c r="G1574" s="102" t="b">
        <v>0</v>
      </c>
    </row>
    <row r="1575" spans="1:7" ht="15">
      <c r="A1575" s="104" t="s">
        <v>2649</v>
      </c>
      <c r="B1575" s="102">
        <v>4</v>
      </c>
      <c r="C1575" s="106">
        <v>0.0057666453256046395</v>
      </c>
      <c r="D1575" s="102" t="s">
        <v>2323</v>
      </c>
      <c r="E1575" s="102" t="b">
        <v>0</v>
      </c>
      <c r="F1575" s="102" t="b">
        <v>0</v>
      </c>
      <c r="G1575" s="102" t="b">
        <v>0</v>
      </c>
    </row>
    <row r="1576" spans="1:7" ht="15">
      <c r="A1576" s="104" t="s">
        <v>2732</v>
      </c>
      <c r="B1576" s="102">
        <v>4</v>
      </c>
      <c r="C1576" s="106">
        <v>0.0057666453256046395</v>
      </c>
      <c r="D1576" s="102" t="s">
        <v>2323</v>
      </c>
      <c r="E1576" s="102" t="b">
        <v>0</v>
      </c>
      <c r="F1576" s="102" t="b">
        <v>0</v>
      </c>
      <c r="G1576" s="102" t="b">
        <v>0</v>
      </c>
    </row>
    <row r="1577" spans="1:7" ht="15">
      <c r="A1577" s="104" t="s">
        <v>2734</v>
      </c>
      <c r="B1577" s="102">
        <v>4</v>
      </c>
      <c r="C1577" s="106">
        <v>0.007124165035476032</v>
      </c>
      <c r="D1577" s="102" t="s">
        <v>2323</v>
      </c>
      <c r="E1577" s="102" t="b">
        <v>0</v>
      </c>
      <c r="F1577" s="102" t="b">
        <v>0</v>
      </c>
      <c r="G1577" s="102" t="b">
        <v>0</v>
      </c>
    </row>
    <row r="1578" spans="1:7" ht="15">
      <c r="A1578" s="104" t="s">
        <v>2731</v>
      </c>
      <c r="B1578" s="102">
        <v>4</v>
      </c>
      <c r="C1578" s="106">
        <v>0.007124165035476032</v>
      </c>
      <c r="D1578" s="102" t="s">
        <v>2323</v>
      </c>
      <c r="E1578" s="102" t="b">
        <v>0</v>
      </c>
      <c r="F1578" s="102" t="b">
        <v>0</v>
      </c>
      <c r="G1578" s="102" t="b">
        <v>0</v>
      </c>
    </row>
    <row r="1579" spans="1:7" ht="15">
      <c r="A1579" s="104" t="s">
        <v>2463</v>
      </c>
      <c r="B1579" s="102">
        <v>3</v>
      </c>
      <c r="C1579" s="106">
        <v>0.004324983994203479</v>
      </c>
      <c r="D1579" s="102" t="s">
        <v>2323</v>
      </c>
      <c r="E1579" s="102" t="b">
        <v>0</v>
      </c>
      <c r="F1579" s="102" t="b">
        <v>0</v>
      </c>
      <c r="G1579" s="102" t="b">
        <v>0</v>
      </c>
    </row>
    <row r="1580" spans="1:7" ht="15">
      <c r="A1580" s="104" t="s">
        <v>2385</v>
      </c>
      <c r="B1580" s="102">
        <v>3</v>
      </c>
      <c r="C1580" s="106">
        <v>0.003729410401005009</v>
      </c>
      <c r="D1580" s="102" t="s">
        <v>2323</v>
      </c>
      <c r="E1580" s="102" t="b">
        <v>0</v>
      </c>
      <c r="F1580" s="102" t="b">
        <v>0</v>
      </c>
      <c r="G1580" s="102" t="b">
        <v>0</v>
      </c>
    </row>
    <row r="1581" spans="1:7" ht="15">
      <c r="A1581" s="104" t="s">
        <v>2724</v>
      </c>
      <c r="B1581" s="102">
        <v>3</v>
      </c>
      <c r="C1581" s="106">
        <v>0.003729410401005009</v>
      </c>
      <c r="D1581" s="102" t="s">
        <v>2323</v>
      </c>
      <c r="E1581" s="102" t="b">
        <v>0</v>
      </c>
      <c r="F1581" s="102" t="b">
        <v>0</v>
      </c>
      <c r="G1581" s="102" t="b">
        <v>0</v>
      </c>
    </row>
    <row r="1582" spans="1:7" ht="15">
      <c r="A1582" s="104" t="s">
        <v>2365</v>
      </c>
      <c r="B1582" s="102">
        <v>3</v>
      </c>
      <c r="C1582" s="106">
        <v>0.004324983994203479</v>
      </c>
      <c r="D1582" s="102" t="s">
        <v>2323</v>
      </c>
      <c r="E1582" s="102" t="b">
        <v>0</v>
      </c>
      <c r="F1582" s="102" t="b">
        <v>0</v>
      </c>
      <c r="G1582" s="102" t="b">
        <v>0</v>
      </c>
    </row>
    <row r="1583" spans="1:7" ht="15">
      <c r="A1583" s="104" t="s">
        <v>2566</v>
      </c>
      <c r="B1583" s="102">
        <v>3</v>
      </c>
      <c r="C1583" s="106">
        <v>0.003729410401005009</v>
      </c>
      <c r="D1583" s="102" t="s">
        <v>2323</v>
      </c>
      <c r="E1583" s="102" t="b">
        <v>0</v>
      </c>
      <c r="F1583" s="102" t="b">
        <v>0</v>
      </c>
      <c r="G1583" s="102" t="b">
        <v>0</v>
      </c>
    </row>
    <row r="1584" spans="1:7" ht="15">
      <c r="A1584" s="104" t="s">
        <v>2666</v>
      </c>
      <c r="B1584" s="102">
        <v>3</v>
      </c>
      <c r="C1584" s="106">
        <v>0.003729410401005009</v>
      </c>
      <c r="D1584" s="102" t="s">
        <v>2323</v>
      </c>
      <c r="E1584" s="102" t="b">
        <v>0</v>
      </c>
      <c r="F1584" s="102" t="b">
        <v>0</v>
      </c>
      <c r="G1584" s="102" t="b">
        <v>0</v>
      </c>
    </row>
    <row r="1585" spans="1:7" ht="15">
      <c r="A1585" s="104" t="s">
        <v>2438</v>
      </c>
      <c r="B1585" s="102">
        <v>3</v>
      </c>
      <c r="C1585" s="106">
        <v>0.004324983994203479</v>
      </c>
      <c r="D1585" s="102" t="s">
        <v>2323</v>
      </c>
      <c r="E1585" s="102" t="b">
        <v>0</v>
      </c>
      <c r="F1585" s="102" t="b">
        <v>0</v>
      </c>
      <c r="G1585" s="102" t="b">
        <v>0</v>
      </c>
    </row>
    <row r="1586" spans="1:7" ht="15">
      <c r="A1586" s="104" t="s">
        <v>2455</v>
      </c>
      <c r="B1586" s="102">
        <v>3</v>
      </c>
      <c r="C1586" s="106">
        <v>0.003729410401005009</v>
      </c>
      <c r="D1586" s="102" t="s">
        <v>2323</v>
      </c>
      <c r="E1586" s="102" t="b">
        <v>0</v>
      </c>
      <c r="F1586" s="102" t="b">
        <v>0</v>
      </c>
      <c r="G1586" s="102" t="b">
        <v>0</v>
      </c>
    </row>
    <row r="1587" spans="1:7" ht="15">
      <c r="A1587" s="104" t="s">
        <v>2461</v>
      </c>
      <c r="B1587" s="102">
        <v>3</v>
      </c>
      <c r="C1587" s="106">
        <v>0.003729410401005009</v>
      </c>
      <c r="D1587" s="102" t="s">
        <v>2323</v>
      </c>
      <c r="E1587" s="102" t="b">
        <v>0</v>
      </c>
      <c r="F1587" s="102" t="b">
        <v>0</v>
      </c>
      <c r="G1587" s="102" t="b">
        <v>0</v>
      </c>
    </row>
    <row r="1588" spans="1:7" ht="15">
      <c r="A1588" s="104" t="s">
        <v>2454</v>
      </c>
      <c r="B1588" s="102">
        <v>3</v>
      </c>
      <c r="C1588" s="106">
        <v>0.004324983994203479</v>
      </c>
      <c r="D1588" s="102" t="s">
        <v>2323</v>
      </c>
      <c r="E1588" s="102" t="b">
        <v>0</v>
      </c>
      <c r="F1588" s="102" t="b">
        <v>0</v>
      </c>
      <c r="G1588" s="102" t="b">
        <v>0</v>
      </c>
    </row>
    <row r="1589" spans="1:7" ht="15">
      <c r="A1589" s="104" t="s">
        <v>2358</v>
      </c>
      <c r="B1589" s="102">
        <v>3</v>
      </c>
      <c r="C1589" s="106">
        <v>0.0053431237766070235</v>
      </c>
      <c r="D1589" s="102" t="s">
        <v>2323</v>
      </c>
      <c r="E1589" s="102" t="b">
        <v>0</v>
      </c>
      <c r="F1589" s="102" t="b">
        <v>0</v>
      </c>
      <c r="G1589" s="102" t="b">
        <v>0</v>
      </c>
    </row>
    <row r="1590" spans="1:7" ht="15">
      <c r="A1590" s="104" t="s">
        <v>2366</v>
      </c>
      <c r="B1590" s="102">
        <v>3</v>
      </c>
      <c r="C1590" s="106">
        <v>0.0053431237766070235</v>
      </c>
      <c r="D1590" s="102" t="s">
        <v>2323</v>
      </c>
      <c r="E1590" s="102" t="b">
        <v>0</v>
      </c>
      <c r="F1590" s="102" t="b">
        <v>0</v>
      </c>
      <c r="G1590" s="102" t="b">
        <v>0</v>
      </c>
    </row>
    <row r="1591" spans="1:7" ht="15">
      <c r="A1591" s="104" t="s">
        <v>2602</v>
      </c>
      <c r="B1591" s="102">
        <v>3</v>
      </c>
      <c r="C1591" s="106">
        <v>0.004324983994203479</v>
      </c>
      <c r="D1591" s="102" t="s">
        <v>2323</v>
      </c>
      <c r="E1591" s="102" t="b">
        <v>0</v>
      </c>
      <c r="F1591" s="102" t="b">
        <v>0</v>
      </c>
      <c r="G1591" s="102" t="b">
        <v>0</v>
      </c>
    </row>
    <row r="1592" spans="1:7" ht="15">
      <c r="A1592" s="104" t="s">
        <v>2843</v>
      </c>
      <c r="B1592" s="102">
        <v>3</v>
      </c>
      <c r="C1592" s="106">
        <v>0.0053431237766070235</v>
      </c>
      <c r="D1592" s="102" t="s">
        <v>2323</v>
      </c>
      <c r="E1592" s="102" t="b">
        <v>0</v>
      </c>
      <c r="F1592" s="102" t="b">
        <v>0</v>
      </c>
      <c r="G1592" s="102" t="b">
        <v>0</v>
      </c>
    </row>
    <row r="1593" spans="1:7" ht="15">
      <c r="A1593" s="104" t="s">
        <v>2415</v>
      </c>
      <c r="B1593" s="102">
        <v>3</v>
      </c>
      <c r="C1593" s="106">
        <v>0.004324983994203479</v>
      </c>
      <c r="D1593" s="102" t="s">
        <v>2323</v>
      </c>
      <c r="E1593" s="102" t="b">
        <v>0</v>
      </c>
      <c r="F1593" s="102" t="b">
        <v>0</v>
      </c>
      <c r="G1593" s="102" t="b">
        <v>0</v>
      </c>
    </row>
    <row r="1594" spans="1:7" ht="15">
      <c r="A1594" s="104" t="s">
        <v>2840</v>
      </c>
      <c r="B1594" s="102">
        <v>3</v>
      </c>
      <c r="C1594" s="106">
        <v>0.003729410401005009</v>
      </c>
      <c r="D1594" s="102" t="s">
        <v>2323</v>
      </c>
      <c r="E1594" s="102" t="b">
        <v>0</v>
      </c>
      <c r="F1594" s="102" t="b">
        <v>0</v>
      </c>
      <c r="G1594" s="102" t="b">
        <v>0</v>
      </c>
    </row>
    <row r="1595" spans="1:7" ht="15">
      <c r="A1595" s="104" t="s">
        <v>2837</v>
      </c>
      <c r="B1595" s="102">
        <v>3</v>
      </c>
      <c r="C1595" s="106">
        <v>0.0053431237766070235</v>
      </c>
      <c r="D1595" s="102" t="s">
        <v>2323</v>
      </c>
      <c r="E1595" s="102" t="b">
        <v>0</v>
      </c>
      <c r="F1595" s="102" t="b">
        <v>0</v>
      </c>
      <c r="G1595" s="102" t="b">
        <v>0</v>
      </c>
    </row>
    <row r="1596" spans="1:7" ht="15">
      <c r="A1596" s="104" t="s">
        <v>2838</v>
      </c>
      <c r="B1596" s="102">
        <v>3</v>
      </c>
      <c r="C1596" s="106">
        <v>0.0053431237766070235</v>
      </c>
      <c r="D1596" s="102" t="s">
        <v>2323</v>
      </c>
      <c r="E1596" s="102" t="b">
        <v>0</v>
      </c>
      <c r="F1596" s="102" t="b">
        <v>0</v>
      </c>
      <c r="G1596" s="102" t="b">
        <v>0</v>
      </c>
    </row>
    <row r="1597" spans="1:7" ht="15">
      <c r="A1597" s="104" t="s">
        <v>2839</v>
      </c>
      <c r="B1597" s="102">
        <v>3</v>
      </c>
      <c r="C1597" s="106">
        <v>0.0053431237766070235</v>
      </c>
      <c r="D1597" s="102" t="s">
        <v>2323</v>
      </c>
      <c r="E1597" s="102" t="b">
        <v>0</v>
      </c>
      <c r="F1597" s="102" t="b">
        <v>0</v>
      </c>
      <c r="G1597" s="102" t="b">
        <v>0</v>
      </c>
    </row>
    <row r="1598" spans="1:7" ht="15">
      <c r="A1598" s="104" t="s">
        <v>2735</v>
      </c>
      <c r="B1598" s="102">
        <v>3</v>
      </c>
      <c r="C1598" s="106">
        <v>0.0053431237766070235</v>
      </c>
      <c r="D1598" s="102" t="s">
        <v>2323</v>
      </c>
      <c r="E1598" s="102" t="b">
        <v>1</v>
      </c>
      <c r="F1598" s="102" t="b">
        <v>0</v>
      </c>
      <c r="G1598" s="102" t="b">
        <v>0</v>
      </c>
    </row>
    <row r="1599" spans="1:7" ht="15">
      <c r="A1599" s="104" t="s">
        <v>2834</v>
      </c>
      <c r="B1599" s="102">
        <v>3</v>
      </c>
      <c r="C1599" s="106">
        <v>0.004324983994203479</v>
      </c>
      <c r="D1599" s="102" t="s">
        <v>2323</v>
      </c>
      <c r="E1599" s="102" t="b">
        <v>0</v>
      </c>
      <c r="F1599" s="102" t="b">
        <v>0</v>
      </c>
      <c r="G1599" s="102" t="b">
        <v>0</v>
      </c>
    </row>
    <row r="1600" spans="1:7" ht="15">
      <c r="A1600" s="104" t="s">
        <v>2835</v>
      </c>
      <c r="B1600" s="102">
        <v>3</v>
      </c>
      <c r="C1600" s="106">
        <v>0.0053431237766070235</v>
      </c>
      <c r="D1600" s="102" t="s">
        <v>2323</v>
      </c>
      <c r="E1600" s="102" t="b">
        <v>0</v>
      </c>
      <c r="F1600" s="102" t="b">
        <v>0</v>
      </c>
      <c r="G1600" s="102" t="b">
        <v>0</v>
      </c>
    </row>
    <row r="1601" spans="1:7" ht="15">
      <c r="A1601" s="104" t="s">
        <v>2534</v>
      </c>
      <c r="B1601" s="102">
        <v>3</v>
      </c>
      <c r="C1601" s="106">
        <v>0.004324983994203479</v>
      </c>
      <c r="D1601" s="102" t="s">
        <v>2323</v>
      </c>
      <c r="E1601" s="102" t="b">
        <v>0</v>
      </c>
      <c r="F1601" s="102" t="b">
        <v>0</v>
      </c>
      <c r="G1601" s="102" t="b">
        <v>0</v>
      </c>
    </row>
    <row r="1602" spans="1:7" ht="15">
      <c r="A1602" s="104" t="s">
        <v>2833</v>
      </c>
      <c r="B1602" s="102">
        <v>3</v>
      </c>
      <c r="C1602" s="106">
        <v>0.004324983994203479</v>
      </c>
      <c r="D1602" s="102" t="s">
        <v>2323</v>
      </c>
      <c r="E1602" s="102" t="b">
        <v>0</v>
      </c>
      <c r="F1602" s="102" t="b">
        <v>0</v>
      </c>
      <c r="G1602" s="102" t="b">
        <v>0</v>
      </c>
    </row>
    <row r="1603" spans="1:7" ht="15">
      <c r="A1603" s="104" t="s">
        <v>2721</v>
      </c>
      <c r="B1603" s="102">
        <v>3</v>
      </c>
      <c r="C1603" s="106">
        <v>0.0053431237766070235</v>
      </c>
      <c r="D1603" s="102" t="s">
        <v>2323</v>
      </c>
      <c r="E1603" s="102" t="b">
        <v>0</v>
      </c>
      <c r="F1603" s="102" t="b">
        <v>0</v>
      </c>
      <c r="G1603" s="102" t="b">
        <v>0</v>
      </c>
    </row>
    <row r="1604" spans="1:7" ht="15">
      <c r="A1604" s="104" t="s">
        <v>2480</v>
      </c>
      <c r="B1604" s="102">
        <v>2</v>
      </c>
      <c r="C1604" s="106">
        <v>0.0028833226628023198</v>
      </c>
      <c r="D1604" s="102" t="s">
        <v>2323</v>
      </c>
      <c r="E1604" s="102" t="b">
        <v>0</v>
      </c>
      <c r="F1604" s="102" t="b">
        <v>0</v>
      </c>
      <c r="G1604" s="102" t="b">
        <v>0</v>
      </c>
    </row>
    <row r="1605" spans="1:7" ht="15">
      <c r="A1605" s="104" t="s">
        <v>3352</v>
      </c>
      <c r="B1605" s="102">
        <v>2</v>
      </c>
      <c r="C1605" s="106">
        <v>0.003562082517738016</v>
      </c>
      <c r="D1605" s="102" t="s">
        <v>2323</v>
      </c>
      <c r="E1605" s="102" t="b">
        <v>0</v>
      </c>
      <c r="F1605" s="102" t="b">
        <v>0</v>
      </c>
      <c r="G1605" s="102" t="b">
        <v>0</v>
      </c>
    </row>
    <row r="1606" spans="1:7" ht="15">
      <c r="A1606" s="104" t="s">
        <v>2768</v>
      </c>
      <c r="B1606" s="102">
        <v>2</v>
      </c>
      <c r="C1606" s="106">
        <v>0.003562082517738016</v>
      </c>
      <c r="D1606" s="102" t="s">
        <v>2323</v>
      </c>
      <c r="E1606" s="102" t="b">
        <v>0</v>
      </c>
      <c r="F1606" s="102" t="b">
        <v>1</v>
      </c>
      <c r="G1606" s="102" t="b">
        <v>0</v>
      </c>
    </row>
    <row r="1607" spans="1:7" ht="15">
      <c r="A1607" s="104" t="s">
        <v>2551</v>
      </c>
      <c r="B1607" s="102">
        <v>2</v>
      </c>
      <c r="C1607" s="106">
        <v>0.003562082517738016</v>
      </c>
      <c r="D1607" s="102" t="s">
        <v>2323</v>
      </c>
      <c r="E1607" s="102" t="b">
        <v>0</v>
      </c>
      <c r="F1607" s="102" t="b">
        <v>0</v>
      </c>
      <c r="G1607" s="102" t="b">
        <v>0</v>
      </c>
    </row>
    <row r="1608" spans="1:7" ht="15">
      <c r="A1608" s="104" t="s">
        <v>2686</v>
      </c>
      <c r="B1608" s="102">
        <v>2</v>
      </c>
      <c r="C1608" s="106">
        <v>0.0028833226628023198</v>
      </c>
      <c r="D1608" s="102" t="s">
        <v>2323</v>
      </c>
      <c r="E1608" s="102" t="b">
        <v>0</v>
      </c>
      <c r="F1608" s="102" t="b">
        <v>0</v>
      </c>
      <c r="G1608" s="102" t="b">
        <v>0</v>
      </c>
    </row>
    <row r="1609" spans="1:7" ht="15">
      <c r="A1609" s="104" t="s">
        <v>2467</v>
      </c>
      <c r="B1609" s="102">
        <v>2</v>
      </c>
      <c r="C1609" s="106">
        <v>0.0028833226628023198</v>
      </c>
      <c r="D1609" s="102" t="s">
        <v>2323</v>
      </c>
      <c r="E1609" s="102" t="b">
        <v>0</v>
      </c>
      <c r="F1609" s="102" t="b">
        <v>0</v>
      </c>
      <c r="G1609" s="102" t="b">
        <v>0</v>
      </c>
    </row>
    <row r="1610" spans="1:7" ht="15">
      <c r="A1610" s="104" t="s">
        <v>2360</v>
      </c>
      <c r="B1610" s="102">
        <v>2</v>
      </c>
      <c r="C1610" s="106">
        <v>0.0028833226628023198</v>
      </c>
      <c r="D1610" s="102" t="s">
        <v>2323</v>
      </c>
      <c r="E1610" s="102" t="b">
        <v>0</v>
      </c>
      <c r="F1610" s="102" t="b">
        <v>1</v>
      </c>
      <c r="G1610" s="102" t="b">
        <v>0</v>
      </c>
    </row>
    <row r="1611" spans="1:7" ht="15">
      <c r="A1611" s="104" t="s">
        <v>2451</v>
      </c>
      <c r="B1611" s="102">
        <v>2</v>
      </c>
      <c r="C1611" s="106">
        <v>0.0028833226628023198</v>
      </c>
      <c r="D1611" s="102" t="s">
        <v>2323</v>
      </c>
      <c r="E1611" s="102" t="b">
        <v>0</v>
      </c>
      <c r="F1611" s="102" t="b">
        <v>0</v>
      </c>
      <c r="G1611" s="102" t="b">
        <v>0</v>
      </c>
    </row>
    <row r="1612" spans="1:7" ht="15">
      <c r="A1612" s="104" t="s">
        <v>3040</v>
      </c>
      <c r="B1612" s="102">
        <v>2</v>
      </c>
      <c r="C1612" s="106">
        <v>0.0028833226628023198</v>
      </c>
      <c r="D1612" s="102" t="s">
        <v>2323</v>
      </c>
      <c r="E1612" s="102" t="b">
        <v>0</v>
      </c>
      <c r="F1612" s="102" t="b">
        <v>0</v>
      </c>
      <c r="G1612" s="102" t="b">
        <v>0</v>
      </c>
    </row>
    <row r="1613" spans="1:7" ht="15">
      <c r="A1613" s="104" t="s">
        <v>2541</v>
      </c>
      <c r="B1613" s="102">
        <v>2</v>
      </c>
      <c r="C1613" s="106">
        <v>0.003562082517738016</v>
      </c>
      <c r="D1613" s="102" t="s">
        <v>2323</v>
      </c>
      <c r="E1613" s="102" t="b">
        <v>0</v>
      </c>
      <c r="F1613" s="102" t="b">
        <v>0</v>
      </c>
      <c r="G1613" s="102" t="b">
        <v>0</v>
      </c>
    </row>
    <row r="1614" spans="1:7" ht="15">
      <c r="A1614" s="104" t="s">
        <v>2579</v>
      </c>
      <c r="B1614" s="102">
        <v>2</v>
      </c>
      <c r="C1614" s="106">
        <v>0.003562082517738016</v>
      </c>
      <c r="D1614" s="102" t="s">
        <v>2323</v>
      </c>
      <c r="E1614" s="102" t="b">
        <v>1</v>
      </c>
      <c r="F1614" s="102" t="b">
        <v>0</v>
      </c>
      <c r="G1614" s="102" t="b">
        <v>0</v>
      </c>
    </row>
    <row r="1615" spans="1:7" ht="15">
      <c r="A1615" s="104" t="s">
        <v>2580</v>
      </c>
      <c r="B1615" s="102">
        <v>2</v>
      </c>
      <c r="C1615" s="106">
        <v>0.003562082517738016</v>
      </c>
      <c r="D1615" s="102" t="s">
        <v>2323</v>
      </c>
      <c r="E1615" s="102" t="b">
        <v>0</v>
      </c>
      <c r="F1615" s="102" t="b">
        <v>0</v>
      </c>
      <c r="G1615" s="102" t="b">
        <v>0</v>
      </c>
    </row>
    <row r="1616" spans="1:7" ht="15">
      <c r="A1616" s="104" t="s">
        <v>3329</v>
      </c>
      <c r="B1616" s="102">
        <v>2</v>
      </c>
      <c r="C1616" s="106">
        <v>0.003562082517738016</v>
      </c>
      <c r="D1616" s="102" t="s">
        <v>2323</v>
      </c>
      <c r="E1616" s="102" t="b">
        <v>0</v>
      </c>
      <c r="F1616" s="102" t="b">
        <v>0</v>
      </c>
      <c r="G1616" s="102" t="b">
        <v>0</v>
      </c>
    </row>
    <row r="1617" spans="1:7" ht="15">
      <c r="A1617" s="104" t="s">
        <v>2683</v>
      </c>
      <c r="B1617" s="102">
        <v>2</v>
      </c>
      <c r="C1617" s="106">
        <v>0.0028833226628023198</v>
      </c>
      <c r="D1617" s="102" t="s">
        <v>2323</v>
      </c>
      <c r="E1617" s="102" t="b">
        <v>0</v>
      </c>
      <c r="F1617" s="102" t="b">
        <v>0</v>
      </c>
      <c r="G1617" s="102" t="b">
        <v>0</v>
      </c>
    </row>
    <row r="1618" spans="1:7" ht="15">
      <c r="A1618" s="104" t="s">
        <v>2743</v>
      </c>
      <c r="B1618" s="102">
        <v>2</v>
      </c>
      <c r="C1618" s="106">
        <v>0.0028833226628023198</v>
      </c>
      <c r="D1618" s="102" t="s">
        <v>2323</v>
      </c>
      <c r="E1618" s="102" t="b">
        <v>0</v>
      </c>
      <c r="F1618" s="102" t="b">
        <v>0</v>
      </c>
      <c r="G1618" s="102" t="b">
        <v>0</v>
      </c>
    </row>
    <row r="1619" spans="1:7" ht="15">
      <c r="A1619" s="104" t="s">
        <v>2688</v>
      </c>
      <c r="B1619" s="102">
        <v>2</v>
      </c>
      <c r="C1619" s="106">
        <v>0.003562082517738016</v>
      </c>
      <c r="D1619" s="102" t="s">
        <v>2323</v>
      </c>
      <c r="E1619" s="102" t="b">
        <v>0</v>
      </c>
      <c r="F1619" s="102" t="b">
        <v>0</v>
      </c>
      <c r="G1619" s="102" t="b">
        <v>0</v>
      </c>
    </row>
    <row r="1620" spans="1:7" ht="15">
      <c r="A1620" s="104" t="s">
        <v>2379</v>
      </c>
      <c r="B1620" s="102">
        <v>2</v>
      </c>
      <c r="C1620" s="106">
        <v>0.0028833226628023198</v>
      </c>
      <c r="D1620" s="102" t="s">
        <v>2323</v>
      </c>
      <c r="E1620" s="102" t="b">
        <v>0</v>
      </c>
      <c r="F1620" s="102" t="b">
        <v>0</v>
      </c>
      <c r="G1620" s="102" t="b">
        <v>0</v>
      </c>
    </row>
    <row r="1621" spans="1:7" ht="15">
      <c r="A1621" s="104" t="s">
        <v>2397</v>
      </c>
      <c r="B1621" s="102">
        <v>2</v>
      </c>
      <c r="C1621" s="106">
        <v>0.0028833226628023198</v>
      </c>
      <c r="D1621" s="102" t="s">
        <v>2323</v>
      </c>
      <c r="E1621" s="102" t="b">
        <v>0</v>
      </c>
      <c r="F1621" s="102" t="b">
        <v>0</v>
      </c>
      <c r="G1621" s="102" t="b">
        <v>0</v>
      </c>
    </row>
    <row r="1622" spans="1:7" ht="15">
      <c r="A1622" s="104" t="s">
        <v>2465</v>
      </c>
      <c r="B1622" s="102">
        <v>2</v>
      </c>
      <c r="C1622" s="106">
        <v>0.0028833226628023198</v>
      </c>
      <c r="D1622" s="102" t="s">
        <v>2323</v>
      </c>
      <c r="E1622" s="102" t="b">
        <v>0</v>
      </c>
      <c r="F1622" s="102" t="b">
        <v>1</v>
      </c>
      <c r="G1622" s="102" t="b">
        <v>0</v>
      </c>
    </row>
    <row r="1623" spans="1:7" ht="15">
      <c r="A1623" s="104" t="s">
        <v>2618</v>
      </c>
      <c r="B1623" s="102">
        <v>2</v>
      </c>
      <c r="C1623" s="106">
        <v>0.003562082517738016</v>
      </c>
      <c r="D1623" s="102" t="s">
        <v>2323</v>
      </c>
      <c r="E1623" s="102" t="b">
        <v>0</v>
      </c>
      <c r="F1623" s="102" t="b">
        <v>0</v>
      </c>
      <c r="G1623" s="102" t="b">
        <v>0</v>
      </c>
    </row>
    <row r="1624" spans="1:7" ht="15">
      <c r="A1624" s="104" t="s">
        <v>3164</v>
      </c>
      <c r="B1624" s="102">
        <v>2</v>
      </c>
      <c r="C1624" s="106">
        <v>0.003562082517738016</v>
      </c>
      <c r="D1624" s="102" t="s">
        <v>2323</v>
      </c>
      <c r="E1624" s="102" t="b">
        <v>0</v>
      </c>
      <c r="F1624" s="102" t="b">
        <v>0</v>
      </c>
      <c r="G1624" s="102" t="b">
        <v>0</v>
      </c>
    </row>
    <row r="1625" spans="1:7" ht="15">
      <c r="A1625" s="104" t="s">
        <v>2598</v>
      </c>
      <c r="B1625" s="102">
        <v>2</v>
      </c>
      <c r="C1625" s="106">
        <v>0.0028833226628023198</v>
      </c>
      <c r="D1625" s="102" t="s">
        <v>2323</v>
      </c>
      <c r="E1625" s="102" t="b">
        <v>0</v>
      </c>
      <c r="F1625" s="102" t="b">
        <v>0</v>
      </c>
      <c r="G1625" s="102" t="b">
        <v>0</v>
      </c>
    </row>
    <row r="1626" spans="1:7" ht="15">
      <c r="A1626" s="104" t="s">
        <v>2851</v>
      </c>
      <c r="B1626" s="102">
        <v>2</v>
      </c>
      <c r="C1626" s="106">
        <v>0.003562082517738016</v>
      </c>
      <c r="D1626" s="102" t="s">
        <v>2323</v>
      </c>
      <c r="E1626" s="102" t="b">
        <v>0</v>
      </c>
      <c r="F1626" s="102" t="b">
        <v>0</v>
      </c>
      <c r="G1626" s="102" t="b">
        <v>0</v>
      </c>
    </row>
    <row r="1627" spans="1:7" ht="15">
      <c r="A1627" s="104" t="s">
        <v>2852</v>
      </c>
      <c r="B1627" s="102">
        <v>2</v>
      </c>
      <c r="C1627" s="106">
        <v>0.003562082517738016</v>
      </c>
      <c r="D1627" s="102" t="s">
        <v>2323</v>
      </c>
      <c r="E1627" s="102" t="b">
        <v>0</v>
      </c>
      <c r="F1627" s="102" t="b">
        <v>0</v>
      </c>
      <c r="G1627" s="102" t="b">
        <v>0</v>
      </c>
    </row>
    <row r="1628" spans="1:7" ht="15">
      <c r="A1628" s="104" t="s">
        <v>3062</v>
      </c>
      <c r="B1628" s="102">
        <v>2</v>
      </c>
      <c r="C1628" s="106">
        <v>0.003562082517738016</v>
      </c>
      <c r="D1628" s="102" t="s">
        <v>2323</v>
      </c>
      <c r="E1628" s="102" t="b">
        <v>0</v>
      </c>
      <c r="F1628" s="102" t="b">
        <v>0</v>
      </c>
      <c r="G1628" s="102" t="b">
        <v>0</v>
      </c>
    </row>
    <row r="1629" spans="1:7" ht="15">
      <c r="A1629" s="104" t="s">
        <v>3063</v>
      </c>
      <c r="B1629" s="102">
        <v>2</v>
      </c>
      <c r="C1629" s="106">
        <v>0.003562082517738016</v>
      </c>
      <c r="D1629" s="102" t="s">
        <v>2323</v>
      </c>
      <c r="E1629" s="102" t="b">
        <v>0</v>
      </c>
      <c r="F1629" s="102" t="b">
        <v>0</v>
      </c>
      <c r="G1629" s="102" t="b">
        <v>0</v>
      </c>
    </row>
    <row r="1630" spans="1:7" ht="15">
      <c r="A1630" s="104" t="s">
        <v>2744</v>
      </c>
      <c r="B1630" s="102">
        <v>2</v>
      </c>
      <c r="C1630" s="106">
        <v>0.003562082517738016</v>
      </c>
      <c r="D1630" s="102" t="s">
        <v>2323</v>
      </c>
      <c r="E1630" s="102" t="b">
        <v>0</v>
      </c>
      <c r="F1630" s="102" t="b">
        <v>0</v>
      </c>
      <c r="G1630" s="102" t="b">
        <v>0</v>
      </c>
    </row>
    <row r="1631" spans="1:7" ht="15">
      <c r="A1631" s="104" t="s">
        <v>2850</v>
      </c>
      <c r="B1631" s="102">
        <v>2</v>
      </c>
      <c r="C1631" s="106">
        <v>0.003562082517738016</v>
      </c>
      <c r="D1631" s="102" t="s">
        <v>2323</v>
      </c>
      <c r="E1631" s="102" t="b">
        <v>0</v>
      </c>
      <c r="F1631" s="102" t="b">
        <v>0</v>
      </c>
      <c r="G1631" s="102" t="b">
        <v>0</v>
      </c>
    </row>
    <row r="1632" spans="1:7" ht="15">
      <c r="A1632" s="104" t="s">
        <v>2526</v>
      </c>
      <c r="B1632" s="102">
        <v>2</v>
      </c>
      <c r="C1632" s="106">
        <v>0.0028833226628023198</v>
      </c>
      <c r="D1632" s="102" t="s">
        <v>2323</v>
      </c>
      <c r="E1632" s="102" t="b">
        <v>0</v>
      </c>
      <c r="F1632" s="102" t="b">
        <v>0</v>
      </c>
      <c r="G1632" s="102" t="b">
        <v>0</v>
      </c>
    </row>
    <row r="1633" spans="1:7" ht="15">
      <c r="A1633" s="104" t="s">
        <v>3060</v>
      </c>
      <c r="B1633" s="102">
        <v>2</v>
      </c>
      <c r="C1633" s="106">
        <v>0.003562082517738016</v>
      </c>
      <c r="D1633" s="102" t="s">
        <v>2323</v>
      </c>
      <c r="E1633" s="102" t="b">
        <v>0</v>
      </c>
      <c r="F1633" s="102" t="b">
        <v>0</v>
      </c>
      <c r="G1633" s="102" t="b">
        <v>0</v>
      </c>
    </row>
    <row r="1634" spans="1:7" ht="15">
      <c r="A1634" s="104" t="s">
        <v>3056</v>
      </c>
      <c r="B1634" s="102">
        <v>2</v>
      </c>
      <c r="C1634" s="106">
        <v>0.003562082517738016</v>
      </c>
      <c r="D1634" s="102" t="s">
        <v>2323</v>
      </c>
      <c r="E1634" s="102" t="b">
        <v>0</v>
      </c>
      <c r="F1634" s="102" t="b">
        <v>0</v>
      </c>
      <c r="G1634" s="102" t="b">
        <v>0</v>
      </c>
    </row>
    <row r="1635" spans="1:7" ht="15">
      <c r="A1635" s="104" t="s">
        <v>2741</v>
      </c>
      <c r="B1635" s="102">
        <v>2</v>
      </c>
      <c r="C1635" s="106">
        <v>0.003562082517738016</v>
      </c>
      <c r="D1635" s="102" t="s">
        <v>2323</v>
      </c>
      <c r="E1635" s="102" t="b">
        <v>0</v>
      </c>
      <c r="F1635" s="102" t="b">
        <v>0</v>
      </c>
      <c r="G1635" s="102" t="b">
        <v>0</v>
      </c>
    </row>
    <row r="1636" spans="1:7" ht="15">
      <c r="A1636" s="104" t="s">
        <v>3057</v>
      </c>
      <c r="B1636" s="102">
        <v>2</v>
      </c>
      <c r="C1636" s="106">
        <v>0.003562082517738016</v>
      </c>
      <c r="D1636" s="102" t="s">
        <v>2323</v>
      </c>
      <c r="E1636" s="102" t="b">
        <v>0</v>
      </c>
      <c r="F1636" s="102" t="b">
        <v>0</v>
      </c>
      <c r="G1636" s="102" t="b">
        <v>0</v>
      </c>
    </row>
    <row r="1637" spans="1:7" ht="15">
      <c r="A1637" s="104" t="s">
        <v>3058</v>
      </c>
      <c r="B1637" s="102">
        <v>2</v>
      </c>
      <c r="C1637" s="106">
        <v>0.003562082517738016</v>
      </c>
      <c r="D1637" s="102" t="s">
        <v>2323</v>
      </c>
      <c r="E1637" s="102" t="b">
        <v>0</v>
      </c>
      <c r="F1637" s="102" t="b">
        <v>0</v>
      </c>
      <c r="G1637" s="102" t="b">
        <v>0</v>
      </c>
    </row>
    <row r="1638" spans="1:7" ht="15">
      <c r="A1638" s="104" t="s">
        <v>2389</v>
      </c>
      <c r="B1638" s="102">
        <v>2</v>
      </c>
      <c r="C1638" s="106">
        <v>0.0028833226628023198</v>
      </c>
      <c r="D1638" s="102" t="s">
        <v>2323</v>
      </c>
      <c r="E1638" s="102" t="b">
        <v>0</v>
      </c>
      <c r="F1638" s="102" t="b">
        <v>0</v>
      </c>
      <c r="G1638" s="102" t="b">
        <v>0</v>
      </c>
    </row>
    <row r="1639" spans="1:7" ht="15">
      <c r="A1639" s="104" t="s">
        <v>2376</v>
      </c>
      <c r="B1639" s="102">
        <v>2</v>
      </c>
      <c r="C1639" s="106">
        <v>0.0028833226628023198</v>
      </c>
      <c r="D1639" s="102" t="s">
        <v>2323</v>
      </c>
      <c r="E1639" s="102" t="b">
        <v>0</v>
      </c>
      <c r="F1639" s="102" t="b">
        <v>0</v>
      </c>
      <c r="G1639" s="102" t="b">
        <v>0</v>
      </c>
    </row>
    <row r="1640" spans="1:7" ht="15">
      <c r="A1640" s="104" t="s">
        <v>3051</v>
      </c>
      <c r="B1640" s="102">
        <v>2</v>
      </c>
      <c r="C1640" s="106">
        <v>0.003562082517738016</v>
      </c>
      <c r="D1640" s="102" t="s">
        <v>2323</v>
      </c>
      <c r="E1640" s="102" t="b">
        <v>0</v>
      </c>
      <c r="F1640" s="102" t="b">
        <v>0</v>
      </c>
      <c r="G1640" s="102" t="b">
        <v>0</v>
      </c>
    </row>
    <row r="1641" spans="1:7" ht="15">
      <c r="A1641" s="104" t="s">
        <v>3052</v>
      </c>
      <c r="B1641" s="102">
        <v>2</v>
      </c>
      <c r="C1641" s="106">
        <v>0.003562082517738016</v>
      </c>
      <c r="D1641" s="102" t="s">
        <v>2323</v>
      </c>
      <c r="E1641" s="102" t="b">
        <v>0</v>
      </c>
      <c r="F1641" s="102" t="b">
        <v>0</v>
      </c>
      <c r="G1641" s="102" t="b">
        <v>0</v>
      </c>
    </row>
    <row r="1642" spans="1:7" ht="15">
      <c r="A1642" s="104" t="s">
        <v>3053</v>
      </c>
      <c r="B1642" s="102">
        <v>2</v>
      </c>
      <c r="C1642" s="106">
        <v>0.003562082517738016</v>
      </c>
      <c r="D1642" s="102" t="s">
        <v>2323</v>
      </c>
      <c r="E1642" s="102" t="b">
        <v>1</v>
      </c>
      <c r="F1642" s="102" t="b">
        <v>0</v>
      </c>
      <c r="G1642" s="102" t="b">
        <v>0</v>
      </c>
    </row>
    <row r="1643" spans="1:7" ht="15">
      <c r="A1643" s="104" t="s">
        <v>2737</v>
      </c>
      <c r="B1643" s="102">
        <v>2</v>
      </c>
      <c r="C1643" s="106">
        <v>0.003562082517738016</v>
      </c>
      <c r="D1643" s="102" t="s">
        <v>2323</v>
      </c>
      <c r="E1643" s="102" t="b">
        <v>0</v>
      </c>
      <c r="F1643" s="102" t="b">
        <v>0</v>
      </c>
      <c r="G1643" s="102" t="b">
        <v>0</v>
      </c>
    </row>
    <row r="1644" spans="1:7" ht="15">
      <c r="A1644" s="104" t="s">
        <v>2567</v>
      </c>
      <c r="B1644" s="102">
        <v>2</v>
      </c>
      <c r="C1644" s="106">
        <v>0.0028833226628023198</v>
      </c>
      <c r="D1644" s="102" t="s">
        <v>2323</v>
      </c>
      <c r="E1644" s="102" t="b">
        <v>0</v>
      </c>
      <c r="F1644" s="102" t="b">
        <v>0</v>
      </c>
      <c r="G1644" s="102" t="b">
        <v>0</v>
      </c>
    </row>
    <row r="1645" spans="1:7" ht="15">
      <c r="A1645" s="104" t="s">
        <v>2490</v>
      </c>
      <c r="B1645" s="102">
        <v>2</v>
      </c>
      <c r="C1645" s="106">
        <v>0.0028833226628023198</v>
      </c>
      <c r="D1645" s="102" t="s">
        <v>2323</v>
      </c>
      <c r="E1645" s="102" t="b">
        <v>0</v>
      </c>
      <c r="F1645" s="102" t="b">
        <v>0</v>
      </c>
      <c r="G1645" s="102" t="b">
        <v>0</v>
      </c>
    </row>
    <row r="1646" spans="1:7" ht="15">
      <c r="A1646" s="104" t="s">
        <v>3050</v>
      </c>
      <c r="B1646" s="102">
        <v>2</v>
      </c>
      <c r="C1646" s="106">
        <v>0.003562082517738016</v>
      </c>
      <c r="D1646" s="102" t="s">
        <v>2323</v>
      </c>
      <c r="E1646" s="102" t="b">
        <v>0</v>
      </c>
      <c r="F1646" s="102" t="b">
        <v>0</v>
      </c>
      <c r="G1646" s="102" t="b">
        <v>0</v>
      </c>
    </row>
    <row r="1647" spans="1:7" ht="15">
      <c r="A1647" s="104" t="s">
        <v>2474</v>
      </c>
      <c r="B1647" s="102">
        <v>2</v>
      </c>
      <c r="C1647" s="106">
        <v>0.003562082517738016</v>
      </c>
      <c r="D1647" s="102" t="s">
        <v>2323</v>
      </c>
      <c r="E1647" s="102" t="b">
        <v>0</v>
      </c>
      <c r="F1647" s="102" t="b">
        <v>0</v>
      </c>
      <c r="G1647" s="102" t="b">
        <v>0</v>
      </c>
    </row>
    <row r="1648" spans="1:7" ht="15">
      <c r="A1648" s="104" t="s">
        <v>3048</v>
      </c>
      <c r="B1648" s="102">
        <v>2</v>
      </c>
      <c r="C1648" s="106">
        <v>0.003562082517738016</v>
      </c>
      <c r="D1648" s="102" t="s">
        <v>2323</v>
      </c>
      <c r="E1648" s="102" t="b">
        <v>0</v>
      </c>
      <c r="F1648" s="102" t="b">
        <v>0</v>
      </c>
      <c r="G1648" s="102" t="b">
        <v>0</v>
      </c>
    </row>
    <row r="1649" spans="1:7" ht="15">
      <c r="A1649" s="104" t="s">
        <v>3042</v>
      </c>
      <c r="B1649" s="102">
        <v>2</v>
      </c>
      <c r="C1649" s="106">
        <v>0.003562082517738016</v>
      </c>
      <c r="D1649" s="102" t="s">
        <v>2323</v>
      </c>
      <c r="E1649" s="102" t="b">
        <v>0</v>
      </c>
      <c r="F1649" s="102" t="b">
        <v>0</v>
      </c>
      <c r="G1649" s="102" t="b">
        <v>0</v>
      </c>
    </row>
    <row r="1650" spans="1:7" ht="15">
      <c r="A1650" s="104" t="s">
        <v>3036</v>
      </c>
      <c r="B1650" s="102">
        <v>2</v>
      </c>
      <c r="C1650" s="106">
        <v>0.0028833226628023198</v>
      </c>
      <c r="D1650" s="102" t="s">
        <v>2323</v>
      </c>
      <c r="E1650" s="102" t="b">
        <v>0</v>
      </c>
      <c r="F1650" s="102" t="b">
        <v>0</v>
      </c>
      <c r="G1650" s="102" t="b">
        <v>0</v>
      </c>
    </row>
    <row r="1651" spans="1:7" ht="15">
      <c r="A1651" s="104" t="s">
        <v>3043</v>
      </c>
      <c r="B1651" s="102">
        <v>2</v>
      </c>
      <c r="C1651" s="106">
        <v>0.003562082517738016</v>
      </c>
      <c r="D1651" s="102" t="s">
        <v>2323</v>
      </c>
      <c r="E1651" s="102" t="b">
        <v>0</v>
      </c>
      <c r="F1651" s="102" t="b">
        <v>0</v>
      </c>
      <c r="G1651" s="102" t="b">
        <v>0</v>
      </c>
    </row>
    <row r="1652" spans="1:7" ht="15">
      <c r="A1652" s="104" t="s">
        <v>3044</v>
      </c>
      <c r="B1652" s="102">
        <v>2</v>
      </c>
      <c r="C1652" s="106">
        <v>0.003562082517738016</v>
      </c>
      <c r="D1652" s="102" t="s">
        <v>2323</v>
      </c>
      <c r="E1652" s="102" t="b">
        <v>1</v>
      </c>
      <c r="F1652" s="102" t="b">
        <v>0</v>
      </c>
      <c r="G1652" s="102" t="b">
        <v>0</v>
      </c>
    </row>
    <row r="1653" spans="1:7" ht="15">
      <c r="A1653" s="104" t="s">
        <v>3045</v>
      </c>
      <c r="B1653" s="102">
        <v>2</v>
      </c>
      <c r="C1653" s="106">
        <v>0.003562082517738016</v>
      </c>
      <c r="D1653" s="102" t="s">
        <v>2323</v>
      </c>
      <c r="E1653" s="102" t="b">
        <v>0</v>
      </c>
      <c r="F1653" s="102" t="b">
        <v>0</v>
      </c>
      <c r="G1653" s="102" t="b">
        <v>0</v>
      </c>
    </row>
    <row r="1654" spans="1:7" ht="15">
      <c r="A1654" s="104" t="s">
        <v>2401</v>
      </c>
      <c r="B1654" s="102">
        <v>2</v>
      </c>
      <c r="C1654" s="106">
        <v>0.003562082517738016</v>
      </c>
      <c r="D1654" s="102" t="s">
        <v>2323</v>
      </c>
      <c r="E1654" s="102" t="b">
        <v>0</v>
      </c>
      <c r="F1654" s="102" t="b">
        <v>0</v>
      </c>
      <c r="G1654" s="102" t="b">
        <v>0</v>
      </c>
    </row>
    <row r="1655" spans="1:7" ht="15">
      <c r="A1655" s="104" t="s">
        <v>2503</v>
      </c>
      <c r="B1655" s="102">
        <v>2</v>
      </c>
      <c r="C1655" s="106">
        <v>0.003562082517738016</v>
      </c>
      <c r="D1655" s="102" t="s">
        <v>2323</v>
      </c>
      <c r="E1655" s="102" t="b">
        <v>0</v>
      </c>
      <c r="F1655" s="102" t="b">
        <v>0</v>
      </c>
      <c r="G1655" s="102" t="b">
        <v>0</v>
      </c>
    </row>
    <row r="1656" spans="1:7" ht="15">
      <c r="A1656" s="104" t="s">
        <v>3038</v>
      </c>
      <c r="B1656" s="102">
        <v>2</v>
      </c>
      <c r="C1656" s="106">
        <v>0.003562082517738016</v>
      </c>
      <c r="D1656" s="102" t="s">
        <v>2323</v>
      </c>
      <c r="E1656" s="102" t="b">
        <v>0</v>
      </c>
      <c r="F1656" s="102" t="b">
        <v>0</v>
      </c>
      <c r="G1656" s="102" t="b">
        <v>0</v>
      </c>
    </row>
    <row r="1657" spans="1:7" ht="15">
      <c r="A1657" s="104" t="s">
        <v>3037</v>
      </c>
      <c r="B1657" s="102">
        <v>2</v>
      </c>
      <c r="C1657" s="106">
        <v>0.003562082517738016</v>
      </c>
      <c r="D1657" s="102" t="s">
        <v>2323</v>
      </c>
      <c r="E1657" s="102" t="b">
        <v>0</v>
      </c>
      <c r="F1657" s="102" t="b">
        <v>0</v>
      </c>
      <c r="G1657" s="102" t="b">
        <v>0</v>
      </c>
    </row>
    <row r="1658" spans="1:7" ht="15">
      <c r="A1658" s="104" t="s">
        <v>2349</v>
      </c>
      <c r="B1658" s="102">
        <v>36</v>
      </c>
      <c r="C1658" s="106">
        <v>0.013236734196282322</v>
      </c>
      <c r="D1658" s="102" t="s">
        <v>2324</v>
      </c>
      <c r="E1658" s="102" t="b">
        <v>0</v>
      </c>
      <c r="F1658" s="102" t="b">
        <v>0</v>
      </c>
      <c r="G1658" s="102" t="b">
        <v>0</v>
      </c>
    </row>
    <row r="1659" spans="1:7" ht="15">
      <c r="A1659" s="104" t="s">
        <v>2375</v>
      </c>
      <c r="B1659" s="102">
        <v>31</v>
      </c>
      <c r="C1659" s="106">
        <v>0.0281234684152075</v>
      </c>
      <c r="D1659" s="102" t="s">
        <v>2324</v>
      </c>
      <c r="E1659" s="102" t="b">
        <v>0</v>
      </c>
      <c r="F1659" s="102" t="b">
        <v>0</v>
      </c>
      <c r="G1659" s="102" t="b">
        <v>0</v>
      </c>
    </row>
    <row r="1660" spans="1:7" ht="15">
      <c r="A1660" s="104" t="s">
        <v>2351</v>
      </c>
      <c r="B1660" s="102">
        <v>27</v>
      </c>
      <c r="C1660" s="106">
        <v>0.01793994839152952</v>
      </c>
      <c r="D1660" s="102" t="s">
        <v>2324</v>
      </c>
      <c r="E1660" s="102" t="b">
        <v>0</v>
      </c>
      <c r="F1660" s="102" t="b">
        <v>0</v>
      </c>
      <c r="G1660" s="102" t="b">
        <v>0</v>
      </c>
    </row>
    <row r="1661" spans="1:7" ht="15">
      <c r="A1661" s="104" t="s">
        <v>2350</v>
      </c>
      <c r="B1661" s="102">
        <v>24</v>
      </c>
      <c r="C1661" s="106">
        <v>0.009447418819763721</v>
      </c>
      <c r="D1661" s="102" t="s">
        <v>2324</v>
      </c>
      <c r="E1661" s="102" t="b">
        <v>0</v>
      </c>
      <c r="F1661" s="102" t="b">
        <v>0</v>
      </c>
      <c r="G1661" s="102" t="b">
        <v>0</v>
      </c>
    </row>
    <row r="1662" spans="1:7" ht="15">
      <c r="A1662" s="104" t="s">
        <v>2358</v>
      </c>
      <c r="B1662" s="102">
        <v>24</v>
      </c>
      <c r="C1662" s="106">
        <v>0.01935483870967742</v>
      </c>
      <c r="D1662" s="102" t="s">
        <v>2324</v>
      </c>
      <c r="E1662" s="102" t="b">
        <v>0</v>
      </c>
      <c r="F1662" s="102" t="b">
        <v>0</v>
      </c>
      <c r="G1662" s="102" t="b">
        <v>0</v>
      </c>
    </row>
    <row r="1663" spans="1:7" ht="15">
      <c r="A1663" s="104" t="s">
        <v>2363</v>
      </c>
      <c r="B1663" s="102">
        <v>21</v>
      </c>
      <c r="C1663" s="106">
        <v>0.02203357250721259</v>
      </c>
      <c r="D1663" s="102" t="s">
        <v>2324</v>
      </c>
      <c r="E1663" s="102" t="b">
        <v>0</v>
      </c>
      <c r="F1663" s="102" t="b">
        <v>0</v>
      </c>
      <c r="G1663" s="102" t="b">
        <v>0</v>
      </c>
    </row>
    <row r="1664" spans="1:7" ht="15">
      <c r="A1664" s="104" t="s">
        <v>2399</v>
      </c>
      <c r="B1664" s="102">
        <v>18</v>
      </c>
      <c r="C1664" s="106">
        <v>0.016329755853991452</v>
      </c>
      <c r="D1664" s="102" t="s">
        <v>2324</v>
      </c>
      <c r="E1664" s="102" t="b">
        <v>0</v>
      </c>
      <c r="F1664" s="102" t="b">
        <v>0</v>
      </c>
      <c r="G1664" s="102" t="b">
        <v>0</v>
      </c>
    </row>
    <row r="1665" spans="1:7" ht="15">
      <c r="A1665" s="104" t="s">
        <v>2348</v>
      </c>
      <c r="B1665" s="102">
        <v>17</v>
      </c>
      <c r="C1665" s="106">
        <v>0.007686567907165754</v>
      </c>
      <c r="D1665" s="102" t="s">
        <v>2324</v>
      </c>
      <c r="E1665" s="102" t="b">
        <v>0</v>
      </c>
      <c r="F1665" s="102" t="b">
        <v>0</v>
      </c>
      <c r="G1665" s="102" t="b">
        <v>0</v>
      </c>
    </row>
    <row r="1666" spans="1:7" ht="15">
      <c r="A1666" s="104" t="s">
        <v>2354</v>
      </c>
      <c r="B1666" s="102">
        <v>15</v>
      </c>
      <c r="C1666" s="106">
        <v>0.00783650179703997</v>
      </c>
      <c r="D1666" s="102" t="s">
        <v>2324</v>
      </c>
      <c r="E1666" s="102" t="b">
        <v>0</v>
      </c>
      <c r="F1666" s="102" t="b">
        <v>0</v>
      </c>
      <c r="G1666" s="102" t="b">
        <v>0</v>
      </c>
    </row>
    <row r="1667" spans="1:7" ht="15">
      <c r="A1667" s="104" t="s">
        <v>2378</v>
      </c>
      <c r="B1667" s="102">
        <v>15</v>
      </c>
      <c r="C1667" s="106">
        <v>0.019379757959612446</v>
      </c>
      <c r="D1667" s="102" t="s">
        <v>2324</v>
      </c>
      <c r="E1667" s="102" t="b">
        <v>0</v>
      </c>
      <c r="F1667" s="102" t="b">
        <v>0</v>
      </c>
      <c r="G1667" s="102" t="b">
        <v>0</v>
      </c>
    </row>
    <row r="1668" spans="1:7" ht="15">
      <c r="A1668" s="104" t="s">
        <v>2371</v>
      </c>
      <c r="B1668" s="102">
        <v>15</v>
      </c>
      <c r="C1668" s="106">
        <v>0.015738266076580416</v>
      </c>
      <c r="D1668" s="102" t="s">
        <v>2324</v>
      </c>
      <c r="E1668" s="102" t="b">
        <v>0</v>
      </c>
      <c r="F1668" s="102" t="b">
        <v>0</v>
      </c>
      <c r="G1668" s="102" t="b">
        <v>0</v>
      </c>
    </row>
    <row r="1669" spans="1:7" ht="15">
      <c r="A1669" s="104" t="s">
        <v>2460</v>
      </c>
      <c r="B1669" s="102">
        <v>13</v>
      </c>
      <c r="C1669" s="106">
        <v>0.016795790231664123</v>
      </c>
      <c r="D1669" s="102" t="s">
        <v>2324</v>
      </c>
      <c r="E1669" s="102" t="b">
        <v>0</v>
      </c>
      <c r="F1669" s="102" t="b">
        <v>0</v>
      </c>
      <c r="G1669" s="102" t="b">
        <v>0</v>
      </c>
    </row>
    <row r="1670" spans="1:7" ht="15">
      <c r="A1670" s="104" t="s">
        <v>2370</v>
      </c>
      <c r="B1670" s="102">
        <v>13</v>
      </c>
      <c r="C1670" s="106">
        <v>0.016795790231664123</v>
      </c>
      <c r="D1670" s="102" t="s">
        <v>2324</v>
      </c>
      <c r="E1670" s="102" t="b">
        <v>0</v>
      </c>
      <c r="F1670" s="102" t="b">
        <v>0</v>
      </c>
      <c r="G1670" s="102" t="b">
        <v>0</v>
      </c>
    </row>
    <row r="1671" spans="1:7" ht="15">
      <c r="A1671" s="104" t="s">
        <v>2357</v>
      </c>
      <c r="B1671" s="102">
        <v>11</v>
      </c>
      <c r="C1671" s="106">
        <v>0.006200540361045328</v>
      </c>
      <c r="D1671" s="102" t="s">
        <v>2324</v>
      </c>
      <c r="E1671" s="102" t="b">
        <v>0</v>
      </c>
      <c r="F1671" s="102" t="b">
        <v>0</v>
      </c>
      <c r="G1671" s="102" t="b">
        <v>0</v>
      </c>
    </row>
    <row r="1672" spans="1:7" ht="15">
      <c r="A1672" s="104" t="s">
        <v>2403</v>
      </c>
      <c r="B1672" s="102">
        <v>11</v>
      </c>
      <c r="C1672" s="106">
        <v>0.009979295244105886</v>
      </c>
      <c r="D1672" s="102" t="s">
        <v>2324</v>
      </c>
      <c r="E1672" s="102" t="b">
        <v>0</v>
      </c>
      <c r="F1672" s="102" t="b">
        <v>0</v>
      </c>
      <c r="G1672" s="102" t="b">
        <v>0</v>
      </c>
    </row>
    <row r="1673" spans="1:7" ht="15">
      <c r="A1673" s="104" t="s">
        <v>2391</v>
      </c>
      <c r="B1673" s="102">
        <v>11</v>
      </c>
      <c r="C1673" s="106">
        <v>0.014211822503715795</v>
      </c>
      <c r="D1673" s="102" t="s">
        <v>2324</v>
      </c>
      <c r="E1673" s="102" t="b">
        <v>0</v>
      </c>
      <c r="F1673" s="102" t="b">
        <v>0</v>
      </c>
      <c r="G1673" s="102" t="b">
        <v>0</v>
      </c>
    </row>
    <row r="1674" spans="1:7" ht="15">
      <c r="A1674" s="104" t="s">
        <v>2502</v>
      </c>
      <c r="B1674" s="102">
        <v>10</v>
      </c>
      <c r="C1674" s="106">
        <v>0.008064516129032258</v>
      </c>
      <c r="D1674" s="102" t="s">
        <v>2324</v>
      </c>
      <c r="E1674" s="102" t="b">
        <v>0</v>
      </c>
      <c r="F1674" s="102" t="b">
        <v>0</v>
      </c>
      <c r="G1674" s="102" t="b">
        <v>0</v>
      </c>
    </row>
    <row r="1675" spans="1:7" ht="15">
      <c r="A1675" s="104" t="s">
        <v>2409</v>
      </c>
      <c r="B1675" s="102">
        <v>9</v>
      </c>
      <c r="C1675" s="106">
        <v>0.008164877926995726</v>
      </c>
      <c r="D1675" s="102" t="s">
        <v>2324</v>
      </c>
      <c r="E1675" s="102" t="b">
        <v>0</v>
      </c>
      <c r="F1675" s="102" t="b">
        <v>0</v>
      </c>
      <c r="G1675" s="102" t="b">
        <v>0</v>
      </c>
    </row>
    <row r="1676" spans="1:7" ht="15">
      <c r="A1676" s="104" t="s">
        <v>2381</v>
      </c>
      <c r="B1676" s="102">
        <v>9</v>
      </c>
      <c r="C1676" s="106">
        <v>0.008164877926995726</v>
      </c>
      <c r="D1676" s="102" t="s">
        <v>2324</v>
      </c>
      <c r="E1676" s="102" t="b">
        <v>0</v>
      </c>
      <c r="F1676" s="102" t="b">
        <v>0</v>
      </c>
      <c r="G1676" s="102" t="b">
        <v>0</v>
      </c>
    </row>
    <row r="1677" spans="1:7" ht="15">
      <c r="A1677" s="104" t="s">
        <v>2522</v>
      </c>
      <c r="B1677" s="102">
        <v>9</v>
      </c>
      <c r="C1677" s="106">
        <v>0.01162785477576747</v>
      </c>
      <c r="D1677" s="102" t="s">
        <v>2324</v>
      </c>
      <c r="E1677" s="102" t="b">
        <v>0</v>
      </c>
      <c r="F1677" s="102" t="b">
        <v>0</v>
      </c>
      <c r="G1677" s="102" t="b">
        <v>0</v>
      </c>
    </row>
    <row r="1678" spans="1:7" ht="15">
      <c r="A1678" s="104" t="s">
        <v>2362</v>
      </c>
      <c r="B1678" s="102">
        <v>8</v>
      </c>
      <c r="C1678" s="106">
        <v>0.007257669268440644</v>
      </c>
      <c r="D1678" s="102" t="s">
        <v>2324</v>
      </c>
      <c r="E1678" s="102" t="b">
        <v>0</v>
      </c>
      <c r="F1678" s="102" t="b">
        <v>0</v>
      </c>
      <c r="G1678" s="102" t="b">
        <v>0</v>
      </c>
    </row>
    <row r="1679" spans="1:7" ht="15">
      <c r="A1679" s="104" t="s">
        <v>2383</v>
      </c>
      <c r="B1679" s="102">
        <v>8</v>
      </c>
      <c r="C1679" s="106">
        <v>0.004883625492346487</v>
      </c>
      <c r="D1679" s="102" t="s">
        <v>2324</v>
      </c>
      <c r="E1679" s="102" t="b">
        <v>0</v>
      </c>
      <c r="F1679" s="102" t="b">
        <v>0</v>
      </c>
      <c r="G1679" s="102" t="b">
        <v>0</v>
      </c>
    </row>
    <row r="1680" spans="1:7" ht="15">
      <c r="A1680" s="104" t="s">
        <v>2356</v>
      </c>
      <c r="B1680" s="102">
        <v>8</v>
      </c>
      <c r="C1680" s="106">
        <v>0.0064516129032258064</v>
      </c>
      <c r="D1680" s="102" t="s">
        <v>2324</v>
      </c>
      <c r="E1680" s="102" t="b">
        <v>0</v>
      </c>
      <c r="F1680" s="102" t="b">
        <v>0</v>
      </c>
      <c r="G1680" s="102" t="b">
        <v>0</v>
      </c>
    </row>
    <row r="1681" spans="1:7" ht="15">
      <c r="A1681" s="104" t="s">
        <v>2352</v>
      </c>
      <c r="B1681" s="102">
        <v>8</v>
      </c>
      <c r="C1681" s="106">
        <v>0.0064516129032258064</v>
      </c>
      <c r="D1681" s="102" t="s">
        <v>2324</v>
      </c>
      <c r="E1681" s="102" t="b">
        <v>0</v>
      </c>
      <c r="F1681" s="102" t="b">
        <v>0</v>
      </c>
      <c r="G1681" s="102" t="b">
        <v>0</v>
      </c>
    </row>
    <row r="1682" spans="1:7" ht="15">
      <c r="A1682" s="104" t="s">
        <v>2365</v>
      </c>
      <c r="B1682" s="102">
        <v>8</v>
      </c>
      <c r="C1682" s="106">
        <v>0.0064516129032258064</v>
      </c>
      <c r="D1682" s="102" t="s">
        <v>2324</v>
      </c>
      <c r="E1682" s="102" t="b">
        <v>0</v>
      </c>
      <c r="F1682" s="102" t="b">
        <v>0</v>
      </c>
      <c r="G1682" s="102" t="b">
        <v>0</v>
      </c>
    </row>
    <row r="1683" spans="1:7" ht="15">
      <c r="A1683" s="104" t="s">
        <v>2412</v>
      </c>
      <c r="B1683" s="102">
        <v>7</v>
      </c>
      <c r="C1683" s="106">
        <v>0.007344524169070861</v>
      </c>
      <c r="D1683" s="102" t="s">
        <v>2324</v>
      </c>
      <c r="E1683" s="102" t="b">
        <v>0</v>
      </c>
      <c r="F1683" s="102" t="b">
        <v>0</v>
      </c>
      <c r="G1683" s="102" t="b">
        <v>0</v>
      </c>
    </row>
    <row r="1684" spans="1:7" ht="15">
      <c r="A1684" s="104" t="s">
        <v>2440</v>
      </c>
      <c r="B1684" s="102">
        <v>7</v>
      </c>
      <c r="C1684" s="106">
        <v>0.0063504606098855635</v>
      </c>
      <c r="D1684" s="102" t="s">
        <v>2324</v>
      </c>
      <c r="E1684" s="102" t="b">
        <v>0</v>
      </c>
      <c r="F1684" s="102" t="b">
        <v>0</v>
      </c>
      <c r="G1684" s="102" t="b">
        <v>0</v>
      </c>
    </row>
    <row r="1685" spans="1:7" ht="15">
      <c r="A1685" s="104" t="s">
        <v>2585</v>
      </c>
      <c r="B1685" s="102">
        <v>7</v>
      </c>
      <c r="C1685" s="106">
        <v>0.009043887047819141</v>
      </c>
      <c r="D1685" s="102" t="s">
        <v>2324</v>
      </c>
      <c r="E1685" s="102" t="b">
        <v>0</v>
      </c>
      <c r="F1685" s="102" t="b">
        <v>0</v>
      </c>
      <c r="G1685" s="102" t="b">
        <v>0</v>
      </c>
    </row>
    <row r="1686" spans="1:7" ht="15">
      <c r="A1686" s="104" t="s">
        <v>2401</v>
      </c>
      <c r="B1686" s="102">
        <v>6</v>
      </c>
      <c r="C1686" s="106">
        <v>0.004369790259638437</v>
      </c>
      <c r="D1686" s="102" t="s">
        <v>2324</v>
      </c>
      <c r="E1686" s="102" t="b">
        <v>0</v>
      </c>
      <c r="F1686" s="102" t="b">
        <v>0</v>
      </c>
      <c r="G1686" s="102" t="b">
        <v>0</v>
      </c>
    </row>
    <row r="1687" spans="1:7" ht="15">
      <c r="A1687" s="104" t="s">
        <v>2470</v>
      </c>
      <c r="B1687" s="102">
        <v>6</v>
      </c>
      <c r="C1687" s="106">
        <v>0.006295306430632168</v>
      </c>
      <c r="D1687" s="102" t="s">
        <v>2324</v>
      </c>
      <c r="E1687" s="102" t="b">
        <v>0</v>
      </c>
      <c r="F1687" s="102" t="b">
        <v>0</v>
      </c>
      <c r="G1687" s="102" t="b">
        <v>0</v>
      </c>
    </row>
    <row r="1688" spans="1:7" ht="15">
      <c r="A1688" s="104" t="s">
        <v>2454</v>
      </c>
      <c r="B1688" s="102">
        <v>6</v>
      </c>
      <c r="C1688" s="106">
        <v>0.006295306430632168</v>
      </c>
      <c r="D1688" s="102" t="s">
        <v>2324</v>
      </c>
      <c r="E1688" s="102" t="b">
        <v>0</v>
      </c>
      <c r="F1688" s="102" t="b">
        <v>0</v>
      </c>
      <c r="G1688" s="102" t="b">
        <v>0</v>
      </c>
    </row>
    <row r="1689" spans="1:7" ht="15">
      <c r="A1689" s="104" t="s">
        <v>2582</v>
      </c>
      <c r="B1689" s="102">
        <v>6</v>
      </c>
      <c r="C1689" s="106">
        <v>0.007751903183844979</v>
      </c>
      <c r="D1689" s="102" t="s">
        <v>2324</v>
      </c>
      <c r="E1689" s="102" t="b">
        <v>0</v>
      </c>
      <c r="F1689" s="102" t="b">
        <v>0</v>
      </c>
      <c r="G1689" s="102" t="b">
        <v>0</v>
      </c>
    </row>
    <row r="1690" spans="1:7" ht="15">
      <c r="A1690" s="104" t="s">
        <v>1884</v>
      </c>
      <c r="B1690" s="102">
        <v>6</v>
      </c>
      <c r="C1690" s="106">
        <v>0.007751903183844979</v>
      </c>
      <c r="D1690" s="102" t="s">
        <v>2324</v>
      </c>
      <c r="E1690" s="102" t="b">
        <v>0</v>
      </c>
      <c r="F1690" s="102" t="b">
        <v>0</v>
      </c>
      <c r="G1690" s="102" t="b">
        <v>0</v>
      </c>
    </row>
    <row r="1691" spans="1:7" ht="15">
      <c r="A1691" s="104" t="s">
        <v>2474</v>
      </c>
      <c r="B1691" s="102">
        <v>5</v>
      </c>
      <c r="C1691" s="106">
        <v>0.004032258064516129</v>
      </c>
      <c r="D1691" s="102" t="s">
        <v>2324</v>
      </c>
      <c r="E1691" s="102" t="b">
        <v>0</v>
      </c>
      <c r="F1691" s="102" t="b">
        <v>0</v>
      </c>
      <c r="G1691" s="102" t="b">
        <v>0</v>
      </c>
    </row>
    <row r="1692" spans="1:7" ht="15">
      <c r="A1692" s="104" t="s">
        <v>2369</v>
      </c>
      <c r="B1692" s="102">
        <v>5</v>
      </c>
      <c r="C1692" s="106">
        <v>0.004032258064516129</v>
      </c>
      <c r="D1692" s="102" t="s">
        <v>2324</v>
      </c>
      <c r="E1692" s="102" t="b">
        <v>0</v>
      </c>
      <c r="F1692" s="102" t="b">
        <v>0</v>
      </c>
      <c r="G1692" s="102" t="b">
        <v>0</v>
      </c>
    </row>
    <row r="1693" spans="1:7" ht="15">
      <c r="A1693" s="104" t="s">
        <v>2386</v>
      </c>
      <c r="B1693" s="102">
        <v>5</v>
      </c>
      <c r="C1693" s="106">
        <v>0.005246088692193473</v>
      </c>
      <c r="D1693" s="102" t="s">
        <v>2324</v>
      </c>
      <c r="E1693" s="102" t="b">
        <v>0</v>
      </c>
      <c r="F1693" s="102" t="b">
        <v>0</v>
      </c>
      <c r="G1693" s="102" t="b">
        <v>0</v>
      </c>
    </row>
    <row r="1694" spans="1:7" ht="15">
      <c r="A1694" s="104" t="s">
        <v>2392</v>
      </c>
      <c r="B1694" s="102">
        <v>5</v>
      </c>
      <c r="C1694" s="106">
        <v>0.004536043292775403</v>
      </c>
      <c r="D1694" s="102" t="s">
        <v>2324</v>
      </c>
      <c r="E1694" s="102" t="b">
        <v>0</v>
      </c>
      <c r="F1694" s="102" t="b">
        <v>0</v>
      </c>
      <c r="G1694" s="102" t="b">
        <v>0</v>
      </c>
    </row>
    <row r="1695" spans="1:7" ht="15">
      <c r="A1695" s="104" t="s">
        <v>2367</v>
      </c>
      <c r="B1695" s="102">
        <v>5</v>
      </c>
      <c r="C1695" s="106">
        <v>0.004536043292775403</v>
      </c>
      <c r="D1695" s="102" t="s">
        <v>2324</v>
      </c>
      <c r="E1695" s="102" t="b">
        <v>0</v>
      </c>
      <c r="F1695" s="102" t="b">
        <v>0</v>
      </c>
      <c r="G1695" s="102" t="b">
        <v>0</v>
      </c>
    </row>
    <row r="1696" spans="1:7" ht="15">
      <c r="A1696" s="104" t="s">
        <v>2361</v>
      </c>
      <c r="B1696" s="102">
        <v>5</v>
      </c>
      <c r="C1696" s="106">
        <v>0.004032258064516129</v>
      </c>
      <c r="D1696" s="102" t="s">
        <v>2324</v>
      </c>
      <c r="E1696" s="102" t="b">
        <v>0</v>
      </c>
      <c r="F1696" s="102" t="b">
        <v>0</v>
      </c>
      <c r="G1696" s="102" t="b">
        <v>0</v>
      </c>
    </row>
    <row r="1697" spans="1:7" ht="15">
      <c r="A1697" s="104" t="s">
        <v>2406</v>
      </c>
      <c r="B1697" s="102">
        <v>5</v>
      </c>
      <c r="C1697" s="106">
        <v>0.006459919319870815</v>
      </c>
      <c r="D1697" s="102" t="s">
        <v>2324</v>
      </c>
      <c r="E1697" s="102" t="b">
        <v>0</v>
      </c>
      <c r="F1697" s="102" t="b">
        <v>1</v>
      </c>
      <c r="G1697" s="102" t="b">
        <v>0</v>
      </c>
    </row>
    <row r="1698" spans="1:7" ht="15">
      <c r="A1698" s="104" t="s">
        <v>2389</v>
      </c>
      <c r="B1698" s="102">
        <v>5</v>
      </c>
      <c r="C1698" s="106">
        <v>0.004536043292775403</v>
      </c>
      <c r="D1698" s="102" t="s">
        <v>2324</v>
      </c>
      <c r="E1698" s="102" t="b">
        <v>0</v>
      </c>
      <c r="F1698" s="102" t="b">
        <v>0</v>
      </c>
      <c r="G1698" s="102" t="b">
        <v>0</v>
      </c>
    </row>
    <row r="1699" spans="1:7" ht="15">
      <c r="A1699" s="104" t="s">
        <v>2376</v>
      </c>
      <c r="B1699" s="102">
        <v>5</v>
      </c>
      <c r="C1699" s="106">
        <v>0.004536043292775403</v>
      </c>
      <c r="D1699" s="102" t="s">
        <v>2324</v>
      </c>
      <c r="E1699" s="102" t="b">
        <v>0</v>
      </c>
      <c r="F1699" s="102" t="b">
        <v>0</v>
      </c>
      <c r="G1699" s="102" t="b">
        <v>0</v>
      </c>
    </row>
    <row r="1700" spans="1:7" ht="15">
      <c r="A1700" s="104" t="s">
        <v>2415</v>
      </c>
      <c r="B1700" s="102">
        <v>4</v>
      </c>
      <c r="C1700" s="106">
        <v>0.004196870953754778</v>
      </c>
      <c r="D1700" s="102" t="s">
        <v>2324</v>
      </c>
      <c r="E1700" s="102" t="b">
        <v>0</v>
      </c>
      <c r="F1700" s="102" t="b">
        <v>0</v>
      </c>
      <c r="G1700" s="102" t="b">
        <v>0</v>
      </c>
    </row>
    <row r="1701" spans="1:7" ht="15">
      <c r="A1701" s="104" t="s">
        <v>2515</v>
      </c>
      <c r="B1701" s="102">
        <v>4</v>
      </c>
      <c r="C1701" s="106">
        <v>0.003628834634220322</v>
      </c>
      <c r="D1701" s="102" t="s">
        <v>2324</v>
      </c>
      <c r="E1701" s="102" t="b">
        <v>0</v>
      </c>
      <c r="F1701" s="102" t="b">
        <v>0</v>
      </c>
      <c r="G1701" s="102" t="b">
        <v>0</v>
      </c>
    </row>
    <row r="1702" spans="1:7" ht="15">
      <c r="A1702" s="104" t="s">
        <v>2531</v>
      </c>
      <c r="B1702" s="102">
        <v>4</v>
      </c>
      <c r="C1702" s="106">
        <v>0.003628834634220322</v>
      </c>
      <c r="D1702" s="102" t="s">
        <v>2324</v>
      </c>
      <c r="E1702" s="102" t="b">
        <v>0</v>
      </c>
      <c r="F1702" s="102" t="b">
        <v>0</v>
      </c>
      <c r="G1702" s="102" t="b">
        <v>0</v>
      </c>
    </row>
    <row r="1703" spans="1:7" ht="15">
      <c r="A1703" s="104" t="s">
        <v>2793</v>
      </c>
      <c r="B1703" s="102">
        <v>4</v>
      </c>
      <c r="C1703" s="106">
        <v>0.005167935455896652</v>
      </c>
      <c r="D1703" s="102" t="s">
        <v>2324</v>
      </c>
      <c r="E1703" s="102" t="b">
        <v>0</v>
      </c>
      <c r="F1703" s="102" t="b">
        <v>0</v>
      </c>
      <c r="G1703" s="102" t="b">
        <v>0</v>
      </c>
    </row>
    <row r="1704" spans="1:7" ht="15">
      <c r="A1704" s="104" t="s">
        <v>2463</v>
      </c>
      <c r="B1704" s="102">
        <v>4</v>
      </c>
      <c r="C1704" s="106">
        <v>0.004196870953754778</v>
      </c>
      <c r="D1704" s="102" t="s">
        <v>2324</v>
      </c>
      <c r="E1704" s="102" t="b">
        <v>0</v>
      </c>
      <c r="F1704" s="102" t="b">
        <v>0</v>
      </c>
      <c r="G1704" s="102" t="b">
        <v>0</v>
      </c>
    </row>
    <row r="1705" spans="1:7" ht="15">
      <c r="A1705" s="104" t="s">
        <v>2690</v>
      </c>
      <c r="B1705" s="102">
        <v>4</v>
      </c>
      <c r="C1705" s="106">
        <v>0.005167935455896652</v>
      </c>
      <c r="D1705" s="102" t="s">
        <v>2324</v>
      </c>
      <c r="E1705" s="102" t="b">
        <v>0</v>
      </c>
      <c r="F1705" s="102" t="b">
        <v>0</v>
      </c>
      <c r="G1705" s="102" t="b">
        <v>0</v>
      </c>
    </row>
    <row r="1706" spans="1:7" ht="15">
      <c r="A1706" s="104" t="s">
        <v>2549</v>
      </c>
      <c r="B1706" s="102">
        <v>4</v>
      </c>
      <c r="C1706" s="106">
        <v>0.005167935455896652</v>
      </c>
      <c r="D1706" s="102" t="s">
        <v>2324</v>
      </c>
      <c r="E1706" s="102" t="b">
        <v>0</v>
      </c>
      <c r="F1706" s="102" t="b">
        <v>0</v>
      </c>
      <c r="G1706" s="102" t="b">
        <v>0</v>
      </c>
    </row>
    <row r="1707" spans="1:7" ht="15">
      <c r="A1707" s="104" t="s">
        <v>2516</v>
      </c>
      <c r="B1707" s="102">
        <v>4</v>
      </c>
      <c r="C1707" s="106">
        <v>0.005167935455896652</v>
      </c>
      <c r="D1707" s="102" t="s">
        <v>2324</v>
      </c>
      <c r="E1707" s="102" t="b">
        <v>0</v>
      </c>
      <c r="F1707" s="102" t="b">
        <v>0</v>
      </c>
      <c r="G1707" s="102" t="b">
        <v>0</v>
      </c>
    </row>
    <row r="1708" spans="1:7" ht="15">
      <c r="A1708" s="104" t="s">
        <v>2373</v>
      </c>
      <c r="B1708" s="102">
        <v>4</v>
      </c>
      <c r="C1708" s="106">
        <v>0.003628834634220322</v>
      </c>
      <c r="D1708" s="102" t="s">
        <v>2324</v>
      </c>
      <c r="E1708" s="102" t="b">
        <v>0</v>
      </c>
      <c r="F1708" s="102" t="b">
        <v>0</v>
      </c>
      <c r="G1708" s="102" t="b">
        <v>0</v>
      </c>
    </row>
    <row r="1709" spans="1:7" ht="15">
      <c r="A1709" s="104" t="s">
        <v>2431</v>
      </c>
      <c r="B1709" s="102">
        <v>4</v>
      </c>
      <c r="C1709" s="106">
        <v>0.005167935455896652</v>
      </c>
      <c r="D1709" s="102" t="s">
        <v>2324</v>
      </c>
      <c r="E1709" s="102" t="b">
        <v>1</v>
      </c>
      <c r="F1709" s="102" t="b">
        <v>0</v>
      </c>
      <c r="G1709" s="102" t="b">
        <v>0</v>
      </c>
    </row>
    <row r="1710" spans="1:7" ht="15">
      <c r="A1710" s="104" t="s">
        <v>2501</v>
      </c>
      <c r="B1710" s="102">
        <v>4</v>
      </c>
      <c r="C1710" s="106">
        <v>0.005167935455896652</v>
      </c>
      <c r="D1710" s="102" t="s">
        <v>2324</v>
      </c>
      <c r="E1710" s="102" t="b">
        <v>0</v>
      </c>
      <c r="F1710" s="102" t="b">
        <v>0</v>
      </c>
      <c r="G1710" s="102" t="b">
        <v>0</v>
      </c>
    </row>
    <row r="1711" spans="1:7" ht="15">
      <c r="A1711" s="104" t="s">
        <v>2792</v>
      </c>
      <c r="B1711" s="102">
        <v>4</v>
      </c>
      <c r="C1711" s="106">
        <v>0.005167935455896652</v>
      </c>
      <c r="D1711" s="102" t="s">
        <v>2324</v>
      </c>
      <c r="E1711" s="102" t="b">
        <v>0</v>
      </c>
      <c r="F1711" s="102" t="b">
        <v>0</v>
      </c>
      <c r="G1711" s="102" t="b">
        <v>0</v>
      </c>
    </row>
    <row r="1712" spans="1:7" ht="15">
      <c r="A1712" s="104" t="s">
        <v>2364</v>
      </c>
      <c r="B1712" s="102">
        <v>4</v>
      </c>
      <c r="C1712" s="106">
        <v>0.003628834634220322</v>
      </c>
      <c r="D1712" s="102" t="s">
        <v>2324</v>
      </c>
      <c r="E1712" s="102" t="b">
        <v>0</v>
      </c>
      <c r="F1712" s="102" t="b">
        <v>0</v>
      </c>
      <c r="G1712" s="102" t="b">
        <v>0</v>
      </c>
    </row>
    <row r="1713" spans="1:7" ht="15">
      <c r="A1713" s="104" t="s">
        <v>2442</v>
      </c>
      <c r="B1713" s="102">
        <v>4</v>
      </c>
      <c r="C1713" s="106">
        <v>0.005167935455896652</v>
      </c>
      <c r="D1713" s="102" t="s">
        <v>2324</v>
      </c>
      <c r="E1713" s="102" t="b">
        <v>0</v>
      </c>
      <c r="F1713" s="102" t="b">
        <v>0</v>
      </c>
      <c r="G1713" s="102" t="b">
        <v>0</v>
      </c>
    </row>
    <row r="1714" spans="1:7" ht="15">
      <c r="A1714" s="104" t="s">
        <v>2464</v>
      </c>
      <c r="B1714" s="102">
        <v>4</v>
      </c>
      <c r="C1714" s="106">
        <v>0.004196870953754778</v>
      </c>
      <c r="D1714" s="102" t="s">
        <v>2324</v>
      </c>
      <c r="E1714" s="102" t="b">
        <v>0</v>
      </c>
      <c r="F1714" s="102" t="b">
        <v>0</v>
      </c>
      <c r="G1714" s="102" t="b">
        <v>0</v>
      </c>
    </row>
    <row r="1715" spans="1:7" ht="15">
      <c r="A1715" s="104" t="s">
        <v>2485</v>
      </c>
      <c r="B1715" s="102">
        <v>4</v>
      </c>
      <c r="C1715" s="106">
        <v>0.004196870953754778</v>
      </c>
      <c r="D1715" s="102" t="s">
        <v>2324</v>
      </c>
      <c r="E1715" s="102" t="b">
        <v>0</v>
      </c>
      <c r="F1715" s="102" t="b">
        <v>0</v>
      </c>
      <c r="G1715" s="102" t="b">
        <v>0</v>
      </c>
    </row>
    <row r="1716" spans="1:7" ht="15">
      <c r="A1716" s="104" t="s">
        <v>2366</v>
      </c>
      <c r="B1716" s="102">
        <v>4</v>
      </c>
      <c r="C1716" s="106">
        <v>0.004196870953754778</v>
      </c>
      <c r="D1716" s="102" t="s">
        <v>2324</v>
      </c>
      <c r="E1716" s="102" t="b">
        <v>0</v>
      </c>
      <c r="F1716" s="102" t="b">
        <v>0</v>
      </c>
      <c r="G1716" s="102" t="b">
        <v>0</v>
      </c>
    </row>
    <row r="1717" spans="1:7" ht="15">
      <c r="A1717" s="104" t="s">
        <v>2394</v>
      </c>
      <c r="B1717" s="102">
        <v>4</v>
      </c>
      <c r="C1717" s="106">
        <v>0.004196870953754778</v>
      </c>
      <c r="D1717" s="102" t="s">
        <v>2324</v>
      </c>
      <c r="E1717" s="102" t="b">
        <v>0</v>
      </c>
      <c r="F1717" s="102" t="b">
        <v>0</v>
      </c>
      <c r="G1717" s="102" t="b">
        <v>0</v>
      </c>
    </row>
    <row r="1718" spans="1:7" ht="15">
      <c r="A1718" s="104" t="s">
        <v>2390</v>
      </c>
      <c r="B1718" s="102">
        <v>4</v>
      </c>
      <c r="C1718" s="106">
        <v>0.004196870953754778</v>
      </c>
      <c r="D1718" s="102" t="s">
        <v>2324</v>
      </c>
      <c r="E1718" s="102" t="b">
        <v>0</v>
      </c>
      <c r="F1718" s="102" t="b">
        <v>0</v>
      </c>
      <c r="G1718" s="102" t="b">
        <v>0</v>
      </c>
    </row>
    <row r="1719" spans="1:7" ht="15">
      <c r="A1719" s="104" t="s">
        <v>2789</v>
      </c>
      <c r="B1719" s="102">
        <v>4</v>
      </c>
      <c r="C1719" s="106">
        <v>0.004196870953754778</v>
      </c>
      <c r="D1719" s="102" t="s">
        <v>2324</v>
      </c>
      <c r="E1719" s="102" t="b">
        <v>0</v>
      </c>
      <c r="F1719" s="102" t="b">
        <v>0</v>
      </c>
      <c r="G1719" s="102" t="b">
        <v>0</v>
      </c>
    </row>
    <row r="1720" spans="1:7" ht="15">
      <c r="A1720" s="104" t="s">
        <v>2791</v>
      </c>
      <c r="B1720" s="102">
        <v>4</v>
      </c>
      <c r="C1720" s="106">
        <v>0.004196870953754778</v>
      </c>
      <c r="D1720" s="102" t="s">
        <v>2324</v>
      </c>
      <c r="E1720" s="102" t="b">
        <v>0</v>
      </c>
      <c r="F1720" s="102" t="b">
        <v>0</v>
      </c>
      <c r="G1720" s="102" t="b">
        <v>0</v>
      </c>
    </row>
    <row r="1721" spans="1:7" ht="15">
      <c r="A1721" s="104" t="s">
        <v>2541</v>
      </c>
      <c r="B1721" s="102">
        <v>4</v>
      </c>
      <c r="C1721" s="106">
        <v>0.004196870953754778</v>
      </c>
      <c r="D1721" s="102" t="s">
        <v>2324</v>
      </c>
      <c r="E1721" s="102" t="b">
        <v>0</v>
      </c>
      <c r="F1721" s="102" t="b">
        <v>0</v>
      </c>
      <c r="G1721" s="102" t="b">
        <v>0</v>
      </c>
    </row>
    <row r="1722" spans="1:7" ht="15">
      <c r="A1722" s="104" t="s">
        <v>2579</v>
      </c>
      <c r="B1722" s="102">
        <v>4</v>
      </c>
      <c r="C1722" s="106">
        <v>0.004196870953754778</v>
      </c>
      <c r="D1722" s="102" t="s">
        <v>2324</v>
      </c>
      <c r="E1722" s="102" t="b">
        <v>1</v>
      </c>
      <c r="F1722" s="102" t="b">
        <v>0</v>
      </c>
      <c r="G1722" s="102" t="b">
        <v>0</v>
      </c>
    </row>
    <row r="1723" spans="1:7" ht="15">
      <c r="A1723" s="104" t="s">
        <v>2580</v>
      </c>
      <c r="B1723" s="102">
        <v>4</v>
      </c>
      <c r="C1723" s="106">
        <v>0.004196870953754778</v>
      </c>
      <c r="D1723" s="102" t="s">
        <v>2324</v>
      </c>
      <c r="E1723" s="102" t="b">
        <v>0</v>
      </c>
      <c r="F1723" s="102" t="b">
        <v>0</v>
      </c>
      <c r="G1723" s="102" t="b">
        <v>0</v>
      </c>
    </row>
    <row r="1724" spans="1:7" ht="15">
      <c r="A1724" s="104" t="s">
        <v>2790</v>
      </c>
      <c r="B1724" s="102">
        <v>4</v>
      </c>
      <c r="C1724" s="106">
        <v>0.005167935455896652</v>
      </c>
      <c r="D1724" s="102" t="s">
        <v>2324</v>
      </c>
      <c r="E1724" s="102" t="b">
        <v>0</v>
      </c>
      <c r="F1724" s="102" t="b">
        <v>0</v>
      </c>
      <c r="G1724" s="102" t="b">
        <v>0</v>
      </c>
    </row>
    <row r="1725" spans="1:7" ht="15">
      <c r="A1725" s="104" t="s">
        <v>2423</v>
      </c>
      <c r="B1725" s="102">
        <v>3</v>
      </c>
      <c r="C1725" s="106">
        <v>0.002721625975665242</v>
      </c>
      <c r="D1725" s="102" t="s">
        <v>2324</v>
      </c>
      <c r="E1725" s="102" t="b">
        <v>0</v>
      </c>
      <c r="F1725" s="102" t="b">
        <v>0</v>
      </c>
      <c r="G1725" s="102" t="b">
        <v>0</v>
      </c>
    </row>
    <row r="1726" spans="1:7" ht="15">
      <c r="A1726" s="104" t="s">
        <v>2510</v>
      </c>
      <c r="B1726" s="102">
        <v>3</v>
      </c>
      <c r="C1726" s="106">
        <v>0.002721625975665242</v>
      </c>
      <c r="D1726" s="102" t="s">
        <v>2324</v>
      </c>
      <c r="E1726" s="102" t="b">
        <v>0</v>
      </c>
      <c r="F1726" s="102" t="b">
        <v>0</v>
      </c>
      <c r="G1726" s="102" t="b">
        <v>0</v>
      </c>
    </row>
    <row r="1727" spans="1:7" ht="15">
      <c r="A1727" s="104" t="s">
        <v>2573</v>
      </c>
      <c r="B1727" s="102">
        <v>3</v>
      </c>
      <c r="C1727" s="106">
        <v>0.0038759515919224896</v>
      </c>
      <c r="D1727" s="102" t="s">
        <v>2324</v>
      </c>
      <c r="E1727" s="102" t="b">
        <v>0</v>
      </c>
      <c r="F1727" s="102" t="b">
        <v>0</v>
      </c>
      <c r="G1727" s="102" t="b">
        <v>0</v>
      </c>
    </row>
    <row r="1728" spans="1:7" ht="15">
      <c r="A1728" s="104" t="s">
        <v>2591</v>
      </c>
      <c r="B1728" s="102">
        <v>3</v>
      </c>
      <c r="C1728" s="106">
        <v>0.003147653215316084</v>
      </c>
      <c r="D1728" s="102" t="s">
        <v>2324</v>
      </c>
      <c r="E1728" s="102" t="b">
        <v>0</v>
      </c>
      <c r="F1728" s="102" t="b">
        <v>0</v>
      </c>
      <c r="G1728" s="102" t="b">
        <v>0</v>
      </c>
    </row>
    <row r="1729" spans="1:7" ht="15">
      <c r="A1729" s="104" t="s">
        <v>2669</v>
      </c>
      <c r="B1729" s="102">
        <v>3</v>
      </c>
      <c r="C1729" s="106">
        <v>0.0038759515919224896</v>
      </c>
      <c r="D1729" s="102" t="s">
        <v>2324</v>
      </c>
      <c r="E1729" s="102" t="b">
        <v>1</v>
      </c>
      <c r="F1729" s="102" t="b">
        <v>0</v>
      </c>
      <c r="G1729" s="102" t="b">
        <v>0</v>
      </c>
    </row>
    <row r="1730" spans="1:7" ht="15">
      <c r="A1730" s="104" t="s">
        <v>2733</v>
      </c>
      <c r="B1730" s="102">
        <v>3</v>
      </c>
      <c r="C1730" s="106">
        <v>0.0038759515919224896</v>
      </c>
      <c r="D1730" s="102" t="s">
        <v>2324</v>
      </c>
      <c r="E1730" s="102" t="b">
        <v>1</v>
      </c>
      <c r="F1730" s="102" t="b">
        <v>0</v>
      </c>
      <c r="G1730" s="102" t="b">
        <v>0</v>
      </c>
    </row>
    <row r="1731" spans="1:7" ht="15">
      <c r="A1731" s="104" t="s">
        <v>2587</v>
      </c>
      <c r="B1731" s="102">
        <v>3</v>
      </c>
      <c r="C1731" s="106">
        <v>0.0038759515919224896</v>
      </c>
      <c r="D1731" s="102" t="s">
        <v>2324</v>
      </c>
      <c r="E1731" s="102" t="b">
        <v>0</v>
      </c>
      <c r="F1731" s="102" t="b">
        <v>0</v>
      </c>
      <c r="G1731" s="102" t="b">
        <v>0</v>
      </c>
    </row>
    <row r="1732" spans="1:7" ht="15">
      <c r="A1732" s="104" t="s">
        <v>2957</v>
      </c>
      <c r="B1732" s="102">
        <v>3</v>
      </c>
      <c r="C1732" s="106">
        <v>0.003147653215316084</v>
      </c>
      <c r="D1732" s="102" t="s">
        <v>2324</v>
      </c>
      <c r="E1732" s="102" t="b">
        <v>0</v>
      </c>
      <c r="F1732" s="102" t="b">
        <v>0</v>
      </c>
      <c r="G1732" s="102" t="b">
        <v>0</v>
      </c>
    </row>
    <row r="1733" spans="1:7" ht="15">
      <c r="A1733" s="104" t="s">
        <v>2434</v>
      </c>
      <c r="B1733" s="102">
        <v>3</v>
      </c>
      <c r="C1733" s="106">
        <v>0.003147653215316084</v>
      </c>
      <c r="D1733" s="102" t="s">
        <v>2324</v>
      </c>
      <c r="E1733" s="102" t="b">
        <v>0</v>
      </c>
      <c r="F1733" s="102" t="b">
        <v>0</v>
      </c>
      <c r="G1733" s="102" t="b">
        <v>0</v>
      </c>
    </row>
    <row r="1734" spans="1:7" ht="15">
      <c r="A1734" s="104" t="s">
        <v>2533</v>
      </c>
      <c r="B1734" s="102">
        <v>3</v>
      </c>
      <c r="C1734" s="106">
        <v>0.003147653215316084</v>
      </c>
      <c r="D1734" s="102" t="s">
        <v>2324</v>
      </c>
      <c r="E1734" s="102" t="b">
        <v>0</v>
      </c>
      <c r="F1734" s="102" t="b">
        <v>0</v>
      </c>
      <c r="G1734" s="102" t="b">
        <v>0</v>
      </c>
    </row>
    <row r="1735" spans="1:7" ht="15">
      <c r="A1735" s="104" t="s">
        <v>2685</v>
      </c>
      <c r="B1735" s="102">
        <v>3</v>
      </c>
      <c r="C1735" s="106">
        <v>0.002721625975665242</v>
      </c>
      <c r="D1735" s="102" t="s">
        <v>2324</v>
      </c>
      <c r="E1735" s="102" t="b">
        <v>0</v>
      </c>
      <c r="F1735" s="102" t="b">
        <v>0</v>
      </c>
      <c r="G1735" s="102" t="b">
        <v>0</v>
      </c>
    </row>
    <row r="1736" spans="1:7" ht="15">
      <c r="A1736" s="104" t="s">
        <v>2428</v>
      </c>
      <c r="B1736" s="102">
        <v>3</v>
      </c>
      <c r="C1736" s="106">
        <v>0.002721625975665242</v>
      </c>
      <c r="D1736" s="102" t="s">
        <v>2324</v>
      </c>
      <c r="E1736" s="102" t="b">
        <v>0</v>
      </c>
      <c r="F1736" s="102" t="b">
        <v>0</v>
      </c>
      <c r="G1736" s="102" t="b">
        <v>0</v>
      </c>
    </row>
    <row r="1737" spans="1:7" ht="15">
      <c r="A1737" s="104" t="s">
        <v>2427</v>
      </c>
      <c r="B1737" s="102">
        <v>3</v>
      </c>
      <c r="C1737" s="106">
        <v>0.002721625975665242</v>
      </c>
      <c r="D1737" s="102" t="s">
        <v>2324</v>
      </c>
      <c r="E1737" s="102" t="b">
        <v>0</v>
      </c>
      <c r="F1737" s="102" t="b">
        <v>0</v>
      </c>
      <c r="G1737" s="102" t="b">
        <v>0</v>
      </c>
    </row>
    <row r="1738" spans="1:7" ht="15">
      <c r="A1738" s="104" t="s">
        <v>2950</v>
      </c>
      <c r="B1738" s="102">
        <v>3</v>
      </c>
      <c r="C1738" s="106">
        <v>0.003147653215316084</v>
      </c>
      <c r="D1738" s="102" t="s">
        <v>2324</v>
      </c>
      <c r="E1738" s="102" t="b">
        <v>0</v>
      </c>
      <c r="F1738" s="102" t="b">
        <v>0</v>
      </c>
      <c r="G1738" s="102" t="b">
        <v>0</v>
      </c>
    </row>
    <row r="1739" spans="1:7" ht="15">
      <c r="A1739" s="104" t="s">
        <v>2949</v>
      </c>
      <c r="B1739" s="102">
        <v>3</v>
      </c>
      <c r="C1739" s="106">
        <v>0.003147653215316084</v>
      </c>
      <c r="D1739" s="102" t="s">
        <v>2324</v>
      </c>
      <c r="E1739" s="102" t="b">
        <v>0</v>
      </c>
      <c r="F1739" s="102" t="b">
        <v>0</v>
      </c>
      <c r="G1739" s="102" t="b">
        <v>0</v>
      </c>
    </row>
    <row r="1740" spans="1:7" ht="15">
      <c r="A1740" s="104" t="s">
        <v>2616</v>
      </c>
      <c r="B1740" s="102">
        <v>3</v>
      </c>
      <c r="C1740" s="106">
        <v>0.002721625975665242</v>
      </c>
      <c r="D1740" s="102" t="s">
        <v>2324</v>
      </c>
      <c r="E1740" s="102" t="b">
        <v>0</v>
      </c>
      <c r="F1740" s="102" t="b">
        <v>0</v>
      </c>
      <c r="G1740" s="102" t="b">
        <v>0</v>
      </c>
    </row>
    <row r="1741" spans="1:7" ht="15">
      <c r="A1741" s="104" t="s">
        <v>2418</v>
      </c>
      <c r="B1741" s="102">
        <v>3</v>
      </c>
      <c r="C1741" s="106">
        <v>0.003147653215316084</v>
      </c>
      <c r="D1741" s="102" t="s">
        <v>2324</v>
      </c>
      <c r="E1741" s="102" t="b">
        <v>0</v>
      </c>
      <c r="F1741" s="102" t="b">
        <v>0</v>
      </c>
      <c r="G1741" s="102" t="b">
        <v>0</v>
      </c>
    </row>
    <row r="1742" spans="1:7" ht="15">
      <c r="A1742" s="104" t="s">
        <v>2441</v>
      </c>
      <c r="B1742" s="102">
        <v>3</v>
      </c>
      <c r="C1742" s="106">
        <v>0.0038759515919224896</v>
      </c>
      <c r="D1742" s="102" t="s">
        <v>2324</v>
      </c>
      <c r="E1742" s="102" t="b">
        <v>0</v>
      </c>
      <c r="F1742" s="102" t="b">
        <v>1</v>
      </c>
      <c r="G1742" s="102" t="b">
        <v>0</v>
      </c>
    </row>
    <row r="1743" spans="1:7" ht="15">
      <c r="A1743" s="104" t="s">
        <v>2559</v>
      </c>
      <c r="B1743" s="102">
        <v>3</v>
      </c>
      <c r="C1743" s="106">
        <v>0.0038759515919224896</v>
      </c>
      <c r="D1743" s="102" t="s">
        <v>2324</v>
      </c>
      <c r="E1743" s="102" t="b">
        <v>0</v>
      </c>
      <c r="F1743" s="102" t="b">
        <v>0</v>
      </c>
      <c r="G1743" s="102" t="b">
        <v>0</v>
      </c>
    </row>
    <row r="1744" spans="1:7" ht="15">
      <c r="A1744" s="104" t="s">
        <v>2476</v>
      </c>
      <c r="B1744" s="102">
        <v>3</v>
      </c>
      <c r="C1744" s="106">
        <v>0.0038759515919224896</v>
      </c>
      <c r="D1744" s="102" t="s">
        <v>2324</v>
      </c>
      <c r="E1744" s="102" t="b">
        <v>0</v>
      </c>
      <c r="F1744" s="102" t="b">
        <v>1</v>
      </c>
      <c r="G1744" s="102" t="b">
        <v>0</v>
      </c>
    </row>
    <row r="1745" spans="1:7" ht="15">
      <c r="A1745" s="104" t="s">
        <v>2779</v>
      </c>
      <c r="B1745" s="102">
        <v>3</v>
      </c>
      <c r="C1745" s="106">
        <v>0.003147653215316084</v>
      </c>
      <c r="D1745" s="102" t="s">
        <v>2324</v>
      </c>
      <c r="E1745" s="102" t="b">
        <v>0</v>
      </c>
      <c r="F1745" s="102" t="b">
        <v>0</v>
      </c>
      <c r="G1745" s="102" t="b">
        <v>0</v>
      </c>
    </row>
    <row r="1746" spans="1:7" ht="15">
      <c r="A1746" s="104" t="s">
        <v>2566</v>
      </c>
      <c r="B1746" s="102">
        <v>3</v>
      </c>
      <c r="C1746" s="106">
        <v>0.002721625975665242</v>
      </c>
      <c r="D1746" s="102" t="s">
        <v>2324</v>
      </c>
      <c r="E1746" s="102" t="b">
        <v>0</v>
      </c>
      <c r="F1746" s="102" t="b">
        <v>0</v>
      </c>
      <c r="G1746" s="102" t="b">
        <v>0</v>
      </c>
    </row>
    <row r="1747" spans="1:7" ht="15">
      <c r="A1747" s="104" t="s">
        <v>2955</v>
      </c>
      <c r="B1747" s="102">
        <v>3</v>
      </c>
      <c r="C1747" s="106">
        <v>0.0038759515919224896</v>
      </c>
      <c r="D1747" s="102" t="s">
        <v>2324</v>
      </c>
      <c r="E1747" s="102" t="b">
        <v>0</v>
      </c>
      <c r="F1747" s="102" t="b">
        <v>0</v>
      </c>
      <c r="G1747" s="102" t="b">
        <v>0</v>
      </c>
    </row>
    <row r="1748" spans="1:7" ht="15">
      <c r="A1748" s="104" t="s">
        <v>2956</v>
      </c>
      <c r="B1748" s="102">
        <v>3</v>
      </c>
      <c r="C1748" s="106">
        <v>0.0038759515919224896</v>
      </c>
      <c r="D1748" s="102" t="s">
        <v>2324</v>
      </c>
      <c r="E1748" s="102" t="b">
        <v>0</v>
      </c>
      <c r="F1748" s="102" t="b">
        <v>0</v>
      </c>
      <c r="G1748" s="102" t="b">
        <v>0</v>
      </c>
    </row>
    <row r="1749" spans="1:7" ht="15">
      <c r="A1749" s="104" t="s">
        <v>2762</v>
      </c>
      <c r="B1749" s="102">
        <v>3</v>
      </c>
      <c r="C1749" s="106">
        <v>0.003147653215316084</v>
      </c>
      <c r="D1749" s="102" t="s">
        <v>2324</v>
      </c>
      <c r="E1749" s="102" t="b">
        <v>0</v>
      </c>
      <c r="F1749" s="102" t="b">
        <v>0</v>
      </c>
      <c r="G1749" s="102" t="b">
        <v>0</v>
      </c>
    </row>
    <row r="1750" spans="1:7" ht="15">
      <c r="A1750" s="104" t="s">
        <v>2953</v>
      </c>
      <c r="B1750" s="102">
        <v>3</v>
      </c>
      <c r="C1750" s="106">
        <v>0.0038759515919224896</v>
      </c>
      <c r="D1750" s="102" t="s">
        <v>2324</v>
      </c>
      <c r="E1750" s="102" t="b">
        <v>0</v>
      </c>
      <c r="F1750" s="102" t="b">
        <v>0</v>
      </c>
      <c r="G1750" s="102" t="b">
        <v>0</v>
      </c>
    </row>
    <row r="1751" spans="1:7" ht="15">
      <c r="A1751" s="104" t="s">
        <v>2952</v>
      </c>
      <c r="B1751" s="102">
        <v>3</v>
      </c>
      <c r="C1751" s="106">
        <v>0.0038759515919224896</v>
      </c>
      <c r="D1751" s="102" t="s">
        <v>2324</v>
      </c>
      <c r="E1751" s="102" t="b">
        <v>0</v>
      </c>
      <c r="F1751" s="102" t="b">
        <v>0</v>
      </c>
      <c r="G1751" s="102" t="b">
        <v>0</v>
      </c>
    </row>
    <row r="1752" spans="1:7" ht="15">
      <c r="A1752" s="104" t="s">
        <v>2951</v>
      </c>
      <c r="B1752" s="102">
        <v>3</v>
      </c>
      <c r="C1752" s="106">
        <v>0.0038759515919224896</v>
      </c>
      <c r="D1752" s="102" t="s">
        <v>2324</v>
      </c>
      <c r="E1752" s="102" t="b">
        <v>0</v>
      </c>
      <c r="F1752" s="102" t="b">
        <v>0</v>
      </c>
      <c r="G1752" s="102" t="b">
        <v>0</v>
      </c>
    </row>
    <row r="1753" spans="1:7" ht="15">
      <c r="A1753" s="104" t="s">
        <v>2631</v>
      </c>
      <c r="B1753" s="102">
        <v>3</v>
      </c>
      <c r="C1753" s="106">
        <v>0.0038759515919224896</v>
      </c>
      <c r="D1753" s="102" t="s">
        <v>2324</v>
      </c>
      <c r="E1753" s="102" t="b">
        <v>0</v>
      </c>
      <c r="F1753" s="102" t="b">
        <v>0</v>
      </c>
      <c r="G1753" s="102" t="b">
        <v>0</v>
      </c>
    </row>
    <row r="1754" spans="1:7" ht="15">
      <c r="A1754" s="104" t="s">
        <v>2698</v>
      </c>
      <c r="B1754" s="102">
        <v>3</v>
      </c>
      <c r="C1754" s="106">
        <v>0.003147653215316084</v>
      </c>
      <c r="D1754" s="102" t="s">
        <v>2324</v>
      </c>
      <c r="E1754" s="102" t="b">
        <v>0</v>
      </c>
      <c r="F1754" s="102" t="b">
        <v>0</v>
      </c>
      <c r="G1754" s="102" t="b">
        <v>0</v>
      </c>
    </row>
    <row r="1755" spans="1:7" ht="15">
      <c r="A1755" s="104" t="s">
        <v>2943</v>
      </c>
      <c r="B1755" s="102">
        <v>3</v>
      </c>
      <c r="C1755" s="106">
        <v>0.002721625975665242</v>
      </c>
      <c r="D1755" s="102" t="s">
        <v>2324</v>
      </c>
      <c r="E1755" s="102" t="b">
        <v>0</v>
      </c>
      <c r="F1755" s="102" t="b">
        <v>0</v>
      </c>
      <c r="G1755" s="102" t="b">
        <v>0</v>
      </c>
    </row>
    <row r="1756" spans="1:7" ht="15">
      <c r="A1756" s="104" t="s">
        <v>2944</v>
      </c>
      <c r="B1756" s="102">
        <v>3</v>
      </c>
      <c r="C1756" s="106">
        <v>0.002721625975665242</v>
      </c>
      <c r="D1756" s="102" t="s">
        <v>2324</v>
      </c>
      <c r="E1756" s="102" t="b">
        <v>0</v>
      </c>
      <c r="F1756" s="102" t="b">
        <v>0</v>
      </c>
      <c r="G1756" s="102" t="b">
        <v>0</v>
      </c>
    </row>
    <row r="1757" spans="1:7" ht="15">
      <c r="A1757" s="104" t="s">
        <v>2945</v>
      </c>
      <c r="B1757" s="102">
        <v>3</v>
      </c>
      <c r="C1757" s="106">
        <v>0.002721625975665242</v>
      </c>
      <c r="D1757" s="102" t="s">
        <v>2324</v>
      </c>
      <c r="E1757" s="102" t="b">
        <v>0</v>
      </c>
      <c r="F1757" s="102" t="b">
        <v>0</v>
      </c>
      <c r="G1757" s="102" t="b">
        <v>0</v>
      </c>
    </row>
    <row r="1758" spans="1:7" ht="15">
      <c r="A1758" s="104" t="s">
        <v>2942</v>
      </c>
      <c r="B1758" s="102">
        <v>3</v>
      </c>
      <c r="C1758" s="106">
        <v>0.002721625975665242</v>
      </c>
      <c r="D1758" s="102" t="s">
        <v>2324</v>
      </c>
      <c r="E1758" s="102" t="b">
        <v>0</v>
      </c>
      <c r="F1758" s="102" t="b">
        <v>0</v>
      </c>
      <c r="G1758" s="102" t="b">
        <v>0</v>
      </c>
    </row>
    <row r="1759" spans="1:7" ht="15">
      <c r="A1759" s="104" t="s">
        <v>2947</v>
      </c>
      <c r="B1759" s="102">
        <v>3</v>
      </c>
      <c r="C1759" s="106">
        <v>0.0038759515919224896</v>
      </c>
      <c r="D1759" s="102" t="s">
        <v>2324</v>
      </c>
      <c r="E1759" s="102" t="b">
        <v>0</v>
      </c>
      <c r="F1759" s="102" t="b">
        <v>0</v>
      </c>
      <c r="G1759" s="102" t="b">
        <v>0</v>
      </c>
    </row>
    <row r="1760" spans="1:7" ht="15">
      <c r="A1760" s="104" t="s">
        <v>2948</v>
      </c>
      <c r="B1760" s="102">
        <v>3</v>
      </c>
      <c r="C1760" s="106">
        <v>0.0038759515919224896</v>
      </c>
      <c r="D1760" s="102" t="s">
        <v>2324</v>
      </c>
      <c r="E1760" s="102" t="b">
        <v>0</v>
      </c>
      <c r="F1760" s="102" t="b">
        <v>0</v>
      </c>
      <c r="G1760" s="102" t="b">
        <v>0</v>
      </c>
    </row>
    <row r="1761" spans="1:7" ht="15">
      <c r="A1761" s="104" t="s">
        <v>3342</v>
      </c>
      <c r="B1761" s="102">
        <v>2</v>
      </c>
      <c r="C1761" s="106">
        <v>0.002098435476877389</v>
      </c>
      <c r="D1761" s="102" t="s">
        <v>2324</v>
      </c>
      <c r="E1761" s="102" t="b">
        <v>0</v>
      </c>
      <c r="F1761" s="102" t="b">
        <v>0</v>
      </c>
      <c r="G1761" s="102" t="b">
        <v>0</v>
      </c>
    </row>
    <row r="1762" spans="1:7" ht="15">
      <c r="A1762" s="104" t="s">
        <v>2601</v>
      </c>
      <c r="B1762" s="102">
        <v>2</v>
      </c>
      <c r="C1762" s="106">
        <v>0.002098435476877389</v>
      </c>
      <c r="D1762" s="102" t="s">
        <v>2324</v>
      </c>
      <c r="E1762" s="102" t="b">
        <v>0</v>
      </c>
      <c r="F1762" s="102" t="b">
        <v>0</v>
      </c>
      <c r="G1762" s="102" t="b">
        <v>0</v>
      </c>
    </row>
    <row r="1763" spans="1:7" ht="15">
      <c r="A1763" s="104" t="s">
        <v>2773</v>
      </c>
      <c r="B1763" s="102">
        <v>2</v>
      </c>
      <c r="C1763" s="106">
        <v>0.002583967727948326</v>
      </c>
      <c r="D1763" s="102" t="s">
        <v>2324</v>
      </c>
      <c r="E1763" s="102" t="b">
        <v>0</v>
      </c>
      <c r="F1763" s="102" t="b">
        <v>0</v>
      </c>
      <c r="G1763" s="102" t="b">
        <v>0</v>
      </c>
    </row>
    <row r="1764" spans="1:7" ht="15">
      <c r="A1764" s="104" t="s">
        <v>2393</v>
      </c>
      <c r="B1764" s="102">
        <v>2</v>
      </c>
      <c r="C1764" s="106">
        <v>0.002098435476877389</v>
      </c>
      <c r="D1764" s="102" t="s">
        <v>2324</v>
      </c>
      <c r="E1764" s="102" t="b">
        <v>0</v>
      </c>
      <c r="F1764" s="102" t="b">
        <v>0</v>
      </c>
      <c r="G1764" s="102" t="b">
        <v>0</v>
      </c>
    </row>
    <row r="1765" spans="1:7" ht="15">
      <c r="A1765" s="104" t="s">
        <v>3355</v>
      </c>
      <c r="B1765" s="102">
        <v>2</v>
      </c>
      <c r="C1765" s="106">
        <v>0.002583967727948326</v>
      </c>
      <c r="D1765" s="102" t="s">
        <v>2324</v>
      </c>
      <c r="E1765" s="102" t="b">
        <v>0</v>
      </c>
      <c r="F1765" s="102" t="b">
        <v>0</v>
      </c>
      <c r="G1765" s="102" t="b">
        <v>0</v>
      </c>
    </row>
    <row r="1766" spans="1:7" ht="15">
      <c r="A1766" s="104" t="s">
        <v>2496</v>
      </c>
      <c r="B1766" s="102">
        <v>2</v>
      </c>
      <c r="C1766" s="106">
        <v>0.002098435476877389</v>
      </c>
      <c r="D1766" s="102" t="s">
        <v>2324</v>
      </c>
      <c r="E1766" s="102" t="b">
        <v>0</v>
      </c>
      <c r="F1766" s="102" t="b">
        <v>1</v>
      </c>
      <c r="G1766" s="102" t="b">
        <v>0</v>
      </c>
    </row>
    <row r="1767" spans="1:7" ht="15">
      <c r="A1767" s="104" t="s">
        <v>2443</v>
      </c>
      <c r="B1767" s="102">
        <v>2</v>
      </c>
      <c r="C1767" s="106">
        <v>0.002583967727948326</v>
      </c>
      <c r="D1767" s="102" t="s">
        <v>2324</v>
      </c>
      <c r="E1767" s="102" t="b">
        <v>0</v>
      </c>
      <c r="F1767" s="102" t="b">
        <v>0</v>
      </c>
      <c r="G1767" s="102" t="b">
        <v>0</v>
      </c>
    </row>
    <row r="1768" spans="1:7" ht="15">
      <c r="A1768" s="104" t="s">
        <v>2588</v>
      </c>
      <c r="B1768" s="102">
        <v>2</v>
      </c>
      <c r="C1768" s="106">
        <v>0.002098435476877389</v>
      </c>
      <c r="D1768" s="102" t="s">
        <v>2324</v>
      </c>
      <c r="E1768" s="102" t="b">
        <v>0</v>
      </c>
      <c r="F1768" s="102" t="b">
        <v>0</v>
      </c>
      <c r="G1768" s="102" t="b">
        <v>0</v>
      </c>
    </row>
    <row r="1769" spans="1:7" ht="15">
      <c r="A1769" s="104" t="s">
        <v>2607</v>
      </c>
      <c r="B1769" s="102">
        <v>2</v>
      </c>
      <c r="C1769" s="106">
        <v>0.002583967727948326</v>
      </c>
      <c r="D1769" s="102" t="s">
        <v>2324</v>
      </c>
      <c r="E1769" s="102" t="b">
        <v>0</v>
      </c>
      <c r="F1769" s="102" t="b">
        <v>0</v>
      </c>
      <c r="G1769" s="102" t="b">
        <v>0</v>
      </c>
    </row>
    <row r="1770" spans="1:7" ht="15">
      <c r="A1770" s="104" t="s">
        <v>3353</v>
      </c>
      <c r="B1770" s="102">
        <v>2</v>
      </c>
      <c r="C1770" s="106">
        <v>0.002583967727948326</v>
      </c>
      <c r="D1770" s="102" t="s">
        <v>2324</v>
      </c>
      <c r="E1770" s="102" t="b">
        <v>0</v>
      </c>
      <c r="F1770" s="102" t="b">
        <v>0</v>
      </c>
      <c r="G1770" s="102" t="b">
        <v>0</v>
      </c>
    </row>
    <row r="1771" spans="1:7" ht="15">
      <c r="A1771" s="104" t="s">
        <v>3354</v>
      </c>
      <c r="B1771" s="102">
        <v>2</v>
      </c>
      <c r="C1771" s="106">
        <v>0.002583967727948326</v>
      </c>
      <c r="D1771" s="102" t="s">
        <v>2324</v>
      </c>
      <c r="E1771" s="102" t="b">
        <v>0</v>
      </c>
      <c r="F1771" s="102" t="b">
        <v>0</v>
      </c>
      <c r="G1771" s="102" t="b">
        <v>0</v>
      </c>
    </row>
    <row r="1772" spans="1:7" ht="15">
      <c r="A1772" s="104" t="s">
        <v>2759</v>
      </c>
      <c r="B1772" s="102">
        <v>2</v>
      </c>
      <c r="C1772" s="106">
        <v>0.002098435476877389</v>
      </c>
      <c r="D1772" s="102" t="s">
        <v>2324</v>
      </c>
      <c r="E1772" s="102" t="b">
        <v>0</v>
      </c>
      <c r="F1772" s="102" t="b">
        <v>0</v>
      </c>
      <c r="G1772" s="102" t="b">
        <v>0</v>
      </c>
    </row>
    <row r="1773" spans="1:7" ht="15">
      <c r="A1773" s="104" t="s">
        <v>2598</v>
      </c>
      <c r="B1773" s="102">
        <v>2</v>
      </c>
      <c r="C1773" s="106">
        <v>0.002098435476877389</v>
      </c>
      <c r="D1773" s="102" t="s">
        <v>2324</v>
      </c>
      <c r="E1773" s="102" t="b">
        <v>0</v>
      </c>
      <c r="F1773" s="102" t="b">
        <v>0</v>
      </c>
      <c r="G1773" s="102" t="b">
        <v>0</v>
      </c>
    </row>
    <row r="1774" spans="1:7" ht="15">
      <c r="A1774" s="104" t="s">
        <v>2455</v>
      </c>
      <c r="B1774" s="102">
        <v>2</v>
      </c>
      <c r="C1774" s="106">
        <v>0.002098435476877389</v>
      </c>
      <c r="D1774" s="102" t="s">
        <v>2324</v>
      </c>
      <c r="E1774" s="102" t="b">
        <v>0</v>
      </c>
      <c r="F1774" s="102" t="b">
        <v>0</v>
      </c>
      <c r="G1774" s="102" t="b">
        <v>0</v>
      </c>
    </row>
    <row r="1775" spans="1:7" ht="15">
      <c r="A1775" s="104" t="s">
        <v>2562</v>
      </c>
      <c r="B1775" s="102">
        <v>2</v>
      </c>
      <c r="C1775" s="106">
        <v>0.002098435476877389</v>
      </c>
      <c r="D1775" s="102" t="s">
        <v>2324</v>
      </c>
      <c r="E1775" s="102" t="b">
        <v>0</v>
      </c>
      <c r="F1775" s="102" t="b">
        <v>0</v>
      </c>
      <c r="G1775" s="102" t="b">
        <v>0</v>
      </c>
    </row>
    <row r="1776" spans="1:7" ht="15">
      <c r="A1776" s="104" t="s">
        <v>2532</v>
      </c>
      <c r="B1776" s="102">
        <v>2</v>
      </c>
      <c r="C1776" s="106">
        <v>0.002098435476877389</v>
      </c>
      <c r="D1776" s="102" t="s">
        <v>2324</v>
      </c>
      <c r="E1776" s="102" t="b">
        <v>0</v>
      </c>
      <c r="F1776" s="102" t="b">
        <v>1</v>
      </c>
      <c r="G1776" s="102" t="b">
        <v>0</v>
      </c>
    </row>
    <row r="1777" spans="1:7" ht="15">
      <c r="A1777" s="104" t="s">
        <v>2581</v>
      </c>
      <c r="B1777" s="102">
        <v>2</v>
      </c>
      <c r="C1777" s="106">
        <v>0.002098435476877389</v>
      </c>
      <c r="D1777" s="102" t="s">
        <v>2324</v>
      </c>
      <c r="E1777" s="102" t="b">
        <v>0</v>
      </c>
      <c r="F1777" s="102" t="b">
        <v>0</v>
      </c>
      <c r="G1777" s="102" t="b">
        <v>0</v>
      </c>
    </row>
    <row r="1778" spans="1:7" ht="15">
      <c r="A1778" s="104" t="s">
        <v>2867</v>
      </c>
      <c r="B1778" s="102">
        <v>2</v>
      </c>
      <c r="C1778" s="106">
        <v>0.002098435476877389</v>
      </c>
      <c r="D1778" s="102" t="s">
        <v>2324</v>
      </c>
      <c r="E1778" s="102" t="b">
        <v>0</v>
      </c>
      <c r="F1778" s="102" t="b">
        <v>0</v>
      </c>
      <c r="G1778" s="102" t="b">
        <v>0</v>
      </c>
    </row>
    <row r="1779" spans="1:7" ht="15">
      <c r="A1779" s="104" t="s">
        <v>2896</v>
      </c>
      <c r="B1779" s="102">
        <v>2</v>
      </c>
      <c r="C1779" s="106">
        <v>0.002583967727948326</v>
      </c>
      <c r="D1779" s="102" t="s">
        <v>2324</v>
      </c>
      <c r="E1779" s="102" t="b">
        <v>0</v>
      </c>
      <c r="F1779" s="102" t="b">
        <v>0</v>
      </c>
      <c r="G1779" s="102" t="b">
        <v>0</v>
      </c>
    </row>
    <row r="1780" spans="1:7" ht="15">
      <c r="A1780" s="104" t="s">
        <v>3344</v>
      </c>
      <c r="B1780" s="102">
        <v>2</v>
      </c>
      <c r="C1780" s="106">
        <v>0.002098435476877389</v>
      </c>
      <c r="D1780" s="102" t="s">
        <v>2324</v>
      </c>
      <c r="E1780" s="102" t="b">
        <v>0</v>
      </c>
      <c r="F1780" s="102" t="b">
        <v>0</v>
      </c>
      <c r="G1780" s="102" t="b">
        <v>0</v>
      </c>
    </row>
    <row r="1781" spans="1:7" ht="15">
      <c r="A1781" s="104" t="s">
        <v>1907</v>
      </c>
      <c r="B1781" s="102">
        <v>2</v>
      </c>
      <c r="C1781" s="106">
        <v>0.002098435476877389</v>
      </c>
      <c r="D1781" s="102" t="s">
        <v>2324</v>
      </c>
      <c r="E1781" s="102" t="b">
        <v>0</v>
      </c>
      <c r="F1781" s="102" t="b">
        <v>0</v>
      </c>
      <c r="G1781" s="102" t="b">
        <v>0</v>
      </c>
    </row>
    <row r="1782" spans="1:7" ht="15">
      <c r="A1782" s="104" t="s">
        <v>2761</v>
      </c>
      <c r="B1782" s="102">
        <v>2</v>
      </c>
      <c r="C1782" s="106">
        <v>0.002098435476877389</v>
      </c>
      <c r="D1782" s="102" t="s">
        <v>2324</v>
      </c>
      <c r="E1782" s="102" t="b">
        <v>0</v>
      </c>
      <c r="F1782" s="102" t="b">
        <v>1</v>
      </c>
      <c r="G1782" s="102" t="b">
        <v>0</v>
      </c>
    </row>
    <row r="1783" spans="1:7" ht="15">
      <c r="A1783" s="104" t="s">
        <v>3343</v>
      </c>
      <c r="B1783" s="102">
        <v>2</v>
      </c>
      <c r="C1783" s="106">
        <v>0.002098435476877389</v>
      </c>
      <c r="D1783" s="102" t="s">
        <v>2324</v>
      </c>
      <c r="E1783" s="102" t="b">
        <v>0</v>
      </c>
      <c r="F1783" s="102" t="b">
        <v>0</v>
      </c>
      <c r="G1783" s="102" t="b">
        <v>0</v>
      </c>
    </row>
    <row r="1784" spans="1:7" ht="15">
      <c r="A1784" s="104" t="s">
        <v>3336</v>
      </c>
      <c r="B1784" s="102">
        <v>2</v>
      </c>
      <c r="C1784" s="106">
        <v>0.002098435476877389</v>
      </c>
      <c r="D1784" s="102" t="s">
        <v>2324</v>
      </c>
      <c r="E1784" s="102" t="b">
        <v>0</v>
      </c>
      <c r="F1784" s="102" t="b">
        <v>0</v>
      </c>
      <c r="G1784" s="102" t="b">
        <v>0</v>
      </c>
    </row>
    <row r="1785" spans="1:7" ht="15">
      <c r="A1785" s="104" t="s">
        <v>3337</v>
      </c>
      <c r="B1785" s="102">
        <v>2</v>
      </c>
      <c r="C1785" s="106">
        <v>0.002098435476877389</v>
      </c>
      <c r="D1785" s="102" t="s">
        <v>2324</v>
      </c>
      <c r="E1785" s="102" t="b">
        <v>0</v>
      </c>
      <c r="F1785" s="102" t="b">
        <v>0</v>
      </c>
      <c r="G1785" s="102" t="b">
        <v>0</v>
      </c>
    </row>
    <row r="1786" spans="1:7" ht="15">
      <c r="A1786" s="104" t="s">
        <v>3338</v>
      </c>
      <c r="B1786" s="102">
        <v>2</v>
      </c>
      <c r="C1786" s="106">
        <v>0.002098435476877389</v>
      </c>
      <c r="D1786" s="102" t="s">
        <v>2324</v>
      </c>
      <c r="E1786" s="102" t="b">
        <v>0</v>
      </c>
      <c r="F1786" s="102" t="b">
        <v>0</v>
      </c>
      <c r="G1786" s="102" t="b">
        <v>0</v>
      </c>
    </row>
    <row r="1787" spans="1:7" ht="15">
      <c r="A1787" s="104" t="s">
        <v>2674</v>
      </c>
      <c r="B1787" s="102">
        <v>2</v>
      </c>
      <c r="C1787" s="106">
        <v>0.002583967727948326</v>
      </c>
      <c r="D1787" s="102" t="s">
        <v>2324</v>
      </c>
      <c r="E1787" s="102" t="b">
        <v>0</v>
      </c>
      <c r="F1787" s="102" t="b">
        <v>0</v>
      </c>
      <c r="G1787" s="102" t="b">
        <v>0</v>
      </c>
    </row>
    <row r="1788" spans="1:7" ht="15">
      <c r="A1788" s="104" t="s">
        <v>2514</v>
      </c>
      <c r="B1788" s="102">
        <v>2</v>
      </c>
      <c r="C1788" s="106">
        <v>0.002098435476877389</v>
      </c>
      <c r="D1788" s="102" t="s">
        <v>2324</v>
      </c>
      <c r="E1788" s="102" t="b">
        <v>0</v>
      </c>
      <c r="F1788" s="102" t="b">
        <v>0</v>
      </c>
      <c r="G1788" s="102" t="b">
        <v>0</v>
      </c>
    </row>
    <row r="1789" spans="1:7" ht="15">
      <c r="A1789" s="104" t="s">
        <v>1655</v>
      </c>
      <c r="B1789" s="102">
        <v>2</v>
      </c>
      <c r="C1789" s="106">
        <v>0.002098435476877389</v>
      </c>
      <c r="D1789" s="102" t="s">
        <v>2324</v>
      </c>
      <c r="E1789" s="102" t="b">
        <v>0</v>
      </c>
      <c r="F1789" s="102" t="b">
        <v>0</v>
      </c>
      <c r="G1789" s="102" t="b">
        <v>0</v>
      </c>
    </row>
    <row r="1790" spans="1:7" ht="15">
      <c r="A1790" s="104" t="s">
        <v>3349</v>
      </c>
      <c r="B1790" s="102">
        <v>2</v>
      </c>
      <c r="C1790" s="106">
        <v>0.002583967727948326</v>
      </c>
      <c r="D1790" s="102" t="s">
        <v>2324</v>
      </c>
      <c r="E1790" s="102" t="b">
        <v>0</v>
      </c>
      <c r="F1790" s="102" t="b">
        <v>0</v>
      </c>
      <c r="G1790" s="102" t="b">
        <v>0</v>
      </c>
    </row>
    <row r="1791" spans="1:7" ht="15">
      <c r="A1791" s="104" t="s">
        <v>3350</v>
      </c>
      <c r="B1791" s="102">
        <v>2</v>
      </c>
      <c r="C1791" s="106">
        <v>0.002583967727948326</v>
      </c>
      <c r="D1791" s="102" t="s">
        <v>2324</v>
      </c>
      <c r="E1791" s="102" t="b">
        <v>0</v>
      </c>
      <c r="F1791" s="102" t="b">
        <v>0</v>
      </c>
      <c r="G1791" s="102" t="b">
        <v>0</v>
      </c>
    </row>
    <row r="1792" spans="1:7" ht="15">
      <c r="A1792" s="104" t="s">
        <v>3351</v>
      </c>
      <c r="B1792" s="102">
        <v>2</v>
      </c>
      <c r="C1792" s="106">
        <v>0.002583967727948326</v>
      </c>
      <c r="D1792" s="102" t="s">
        <v>2324</v>
      </c>
      <c r="E1792" s="102" t="b">
        <v>0</v>
      </c>
      <c r="F1792" s="102" t="b">
        <v>0</v>
      </c>
      <c r="G1792" s="102" t="b">
        <v>0</v>
      </c>
    </row>
    <row r="1793" spans="1:7" ht="15">
      <c r="A1793" s="104" t="s">
        <v>3332</v>
      </c>
      <c r="B1793" s="102">
        <v>2</v>
      </c>
      <c r="C1793" s="106">
        <v>0.002098435476877389</v>
      </c>
      <c r="D1793" s="102" t="s">
        <v>2324</v>
      </c>
      <c r="E1793" s="102" t="b">
        <v>0</v>
      </c>
      <c r="F1793" s="102" t="b">
        <v>0</v>
      </c>
      <c r="G1793" s="102" t="b">
        <v>0</v>
      </c>
    </row>
    <row r="1794" spans="1:7" ht="15">
      <c r="A1794" s="104" t="s">
        <v>3341</v>
      </c>
      <c r="B1794" s="102">
        <v>2</v>
      </c>
      <c r="C1794" s="106">
        <v>0.002098435476877389</v>
      </c>
      <c r="D1794" s="102" t="s">
        <v>2324</v>
      </c>
      <c r="E1794" s="102" t="b">
        <v>0</v>
      </c>
      <c r="F1794" s="102" t="b">
        <v>0</v>
      </c>
      <c r="G1794" s="102" t="b">
        <v>0</v>
      </c>
    </row>
    <row r="1795" spans="1:7" ht="15">
      <c r="A1795" s="104" t="s">
        <v>2818</v>
      </c>
      <c r="B1795" s="102">
        <v>2</v>
      </c>
      <c r="C1795" s="106">
        <v>0.002583967727948326</v>
      </c>
      <c r="D1795" s="102" t="s">
        <v>2324</v>
      </c>
      <c r="E1795" s="102" t="b">
        <v>0</v>
      </c>
      <c r="F1795" s="102" t="b">
        <v>0</v>
      </c>
      <c r="G1795" s="102" t="b">
        <v>0</v>
      </c>
    </row>
    <row r="1796" spans="1:7" ht="15">
      <c r="A1796" s="104" t="s">
        <v>2927</v>
      </c>
      <c r="B1796" s="102">
        <v>2</v>
      </c>
      <c r="C1796" s="106">
        <v>0.002583967727948326</v>
      </c>
      <c r="D1796" s="102" t="s">
        <v>2324</v>
      </c>
      <c r="E1796" s="102" t="b">
        <v>0</v>
      </c>
      <c r="F1796" s="102" t="b">
        <v>0</v>
      </c>
      <c r="G1796" s="102" t="b">
        <v>0</v>
      </c>
    </row>
    <row r="1797" spans="1:7" ht="15">
      <c r="A1797" s="104" t="s">
        <v>3346</v>
      </c>
      <c r="B1797" s="102">
        <v>2</v>
      </c>
      <c r="C1797" s="106">
        <v>0.002583967727948326</v>
      </c>
      <c r="D1797" s="102" t="s">
        <v>2324</v>
      </c>
      <c r="E1797" s="102" t="b">
        <v>0</v>
      </c>
      <c r="F1797" s="102" t="b">
        <v>0</v>
      </c>
      <c r="G1797" s="102" t="b">
        <v>0</v>
      </c>
    </row>
    <row r="1798" spans="1:7" ht="15">
      <c r="A1798" s="104" t="s">
        <v>3347</v>
      </c>
      <c r="B1798" s="102">
        <v>2</v>
      </c>
      <c r="C1798" s="106">
        <v>0.002583967727948326</v>
      </c>
      <c r="D1798" s="102" t="s">
        <v>2324</v>
      </c>
      <c r="E1798" s="102" t="b">
        <v>0</v>
      </c>
      <c r="F1798" s="102" t="b">
        <v>0</v>
      </c>
      <c r="G1798" s="102" t="b">
        <v>0</v>
      </c>
    </row>
    <row r="1799" spans="1:7" ht="15">
      <c r="A1799" s="104" t="s">
        <v>2679</v>
      </c>
      <c r="B1799" s="102">
        <v>2</v>
      </c>
      <c r="C1799" s="106">
        <v>0.002098435476877389</v>
      </c>
      <c r="D1799" s="102" t="s">
        <v>2324</v>
      </c>
      <c r="E1799" s="102" t="b">
        <v>0</v>
      </c>
      <c r="F1799" s="102" t="b">
        <v>0</v>
      </c>
      <c r="G1799" s="102" t="b">
        <v>0</v>
      </c>
    </row>
    <row r="1800" spans="1:7" ht="15">
      <c r="A1800" s="104" t="s">
        <v>3348</v>
      </c>
      <c r="B1800" s="102">
        <v>2</v>
      </c>
      <c r="C1800" s="106">
        <v>0.002583967727948326</v>
      </c>
      <c r="D1800" s="102" t="s">
        <v>2324</v>
      </c>
      <c r="E1800" s="102" t="b">
        <v>0</v>
      </c>
      <c r="F1800" s="102" t="b">
        <v>0</v>
      </c>
      <c r="G1800" s="102" t="b">
        <v>0</v>
      </c>
    </row>
    <row r="1801" spans="1:7" ht="15">
      <c r="A1801" s="104" t="s">
        <v>3331</v>
      </c>
      <c r="B1801" s="102">
        <v>2</v>
      </c>
      <c r="C1801" s="106">
        <v>0.002098435476877389</v>
      </c>
      <c r="D1801" s="102" t="s">
        <v>2324</v>
      </c>
      <c r="E1801" s="102" t="b">
        <v>0</v>
      </c>
      <c r="F1801" s="102" t="b">
        <v>0</v>
      </c>
      <c r="G1801" s="102" t="b">
        <v>0</v>
      </c>
    </row>
    <row r="1802" spans="1:7" ht="15">
      <c r="A1802" s="104" t="s">
        <v>2410</v>
      </c>
      <c r="B1802" s="102">
        <v>2</v>
      </c>
      <c r="C1802" s="106">
        <v>0.002583967727948326</v>
      </c>
      <c r="D1802" s="102" t="s">
        <v>2324</v>
      </c>
      <c r="E1802" s="102" t="b">
        <v>0</v>
      </c>
      <c r="F1802" s="102" t="b">
        <v>0</v>
      </c>
      <c r="G1802" s="102" t="b">
        <v>0</v>
      </c>
    </row>
    <row r="1803" spans="1:7" ht="15">
      <c r="A1803" s="104" t="s">
        <v>3345</v>
      </c>
      <c r="B1803" s="102">
        <v>2</v>
      </c>
      <c r="C1803" s="106">
        <v>0.002583967727948326</v>
      </c>
      <c r="D1803" s="102" t="s">
        <v>2324</v>
      </c>
      <c r="E1803" s="102" t="b">
        <v>0</v>
      </c>
      <c r="F1803" s="102" t="b">
        <v>0</v>
      </c>
      <c r="G1803" s="102" t="b">
        <v>0</v>
      </c>
    </row>
    <row r="1804" spans="1:7" ht="15">
      <c r="A1804" s="104" t="s">
        <v>2781</v>
      </c>
      <c r="B1804" s="102">
        <v>2</v>
      </c>
      <c r="C1804" s="106">
        <v>0.002098435476877389</v>
      </c>
      <c r="D1804" s="102" t="s">
        <v>2324</v>
      </c>
      <c r="E1804" s="102" t="b">
        <v>0</v>
      </c>
      <c r="F1804" s="102" t="b">
        <v>0</v>
      </c>
      <c r="G1804" s="102" t="b">
        <v>0</v>
      </c>
    </row>
    <row r="1805" spans="1:7" ht="15">
      <c r="A1805" s="104" t="s">
        <v>3339</v>
      </c>
      <c r="B1805" s="102">
        <v>2</v>
      </c>
      <c r="C1805" s="106">
        <v>0.002583967727948326</v>
      </c>
      <c r="D1805" s="102" t="s">
        <v>2324</v>
      </c>
      <c r="E1805" s="102" t="b">
        <v>0</v>
      </c>
      <c r="F1805" s="102" t="b">
        <v>0</v>
      </c>
      <c r="G1805" s="102" t="b">
        <v>0</v>
      </c>
    </row>
    <row r="1806" spans="1:7" ht="15">
      <c r="A1806" s="104" t="s">
        <v>3340</v>
      </c>
      <c r="B1806" s="102">
        <v>2</v>
      </c>
      <c r="C1806" s="106">
        <v>0.002583967727948326</v>
      </c>
      <c r="D1806" s="102" t="s">
        <v>2324</v>
      </c>
      <c r="E1806" s="102" t="b">
        <v>0</v>
      </c>
      <c r="F1806" s="102" t="b">
        <v>1</v>
      </c>
      <c r="G1806" s="102" t="b">
        <v>0</v>
      </c>
    </row>
    <row r="1807" spans="1:7" ht="15">
      <c r="A1807" s="104" t="s">
        <v>2477</v>
      </c>
      <c r="B1807" s="102">
        <v>2</v>
      </c>
      <c r="C1807" s="106">
        <v>0.002098435476877389</v>
      </c>
      <c r="D1807" s="102" t="s">
        <v>2324</v>
      </c>
      <c r="E1807" s="102" t="b">
        <v>0</v>
      </c>
      <c r="F1807" s="102" t="b">
        <v>0</v>
      </c>
      <c r="G1807" s="102" t="b">
        <v>0</v>
      </c>
    </row>
    <row r="1808" spans="1:7" ht="15">
      <c r="A1808" s="104" t="s">
        <v>3335</v>
      </c>
      <c r="B1808" s="102">
        <v>2</v>
      </c>
      <c r="C1808" s="106">
        <v>0.002583967727948326</v>
      </c>
      <c r="D1808" s="102" t="s">
        <v>2324</v>
      </c>
      <c r="E1808" s="102" t="b">
        <v>0</v>
      </c>
      <c r="F1808" s="102" t="b">
        <v>0</v>
      </c>
      <c r="G1808" s="102" t="b">
        <v>0</v>
      </c>
    </row>
    <row r="1809" spans="1:7" ht="15">
      <c r="A1809" s="104" t="s">
        <v>2891</v>
      </c>
      <c r="B1809" s="102">
        <v>2</v>
      </c>
      <c r="C1809" s="106">
        <v>0.002098435476877389</v>
      </c>
      <c r="D1809" s="102" t="s">
        <v>2324</v>
      </c>
      <c r="E1809" s="102" t="b">
        <v>0</v>
      </c>
      <c r="F1809" s="102" t="b">
        <v>0</v>
      </c>
      <c r="G1809" s="102" t="b">
        <v>0</v>
      </c>
    </row>
    <row r="1810" spans="1:7" ht="15">
      <c r="A1810" s="104" t="s">
        <v>3314</v>
      </c>
      <c r="B1810" s="102">
        <v>2</v>
      </c>
      <c r="C1810" s="106">
        <v>0.002098435476877389</v>
      </c>
      <c r="D1810" s="102" t="s">
        <v>2324</v>
      </c>
      <c r="E1810" s="102" t="b">
        <v>0</v>
      </c>
      <c r="F1810" s="102" t="b">
        <v>0</v>
      </c>
      <c r="G1810" s="102" t="b">
        <v>0</v>
      </c>
    </row>
    <row r="1811" spans="1:7" ht="15">
      <c r="A1811" s="104" t="s">
        <v>2683</v>
      </c>
      <c r="B1811" s="102">
        <v>2</v>
      </c>
      <c r="C1811" s="106">
        <v>0.002583967727948326</v>
      </c>
      <c r="D1811" s="102" t="s">
        <v>2324</v>
      </c>
      <c r="E1811" s="102" t="b">
        <v>0</v>
      </c>
      <c r="F1811" s="102" t="b">
        <v>0</v>
      </c>
      <c r="G1811" s="102" t="b">
        <v>0</v>
      </c>
    </row>
    <row r="1812" spans="1:7" ht="15">
      <c r="A1812" s="104" t="s">
        <v>3330</v>
      </c>
      <c r="B1812" s="102">
        <v>2</v>
      </c>
      <c r="C1812" s="106">
        <v>0.002583967727948326</v>
      </c>
      <c r="D1812" s="102" t="s">
        <v>2324</v>
      </c>
      <c r="E1812" s="102" t="b">
        <v>0</v>
      </c>
      <c r="F1812" s="102" t="b">
        <v>0</v>
      </c>
      <c r="G1812" s="102" t="b">
        <v>0</v>
      </c>
    </row>
    <row r="1813" spans="1:7" ht="15">
      <c r="A1813" s="104" t="s">
        <v>3328</v>
      </c>
      <c r="B1813" s="102">
        <v>2</v>
      </c>
      <c r="C1813" s="106">
        <v>0.002583967727948326</v>
      </c>
      <c r="D1813" s="102" t="s">
        <v>2324</v>
      </c>
      <c r="E1813" s="102" t="b">
        <v>0</v>
      </c>
      <c r="F1813" s="102" t="b">
        <v>0</v>
      </c>
      <c r="G1813" s="102" t="b">
        <v>0</v>
      </c>
    </row>
    <row r="1814" spans="1:7" ht="15">
      <c r="A1814" s="104" t="s">
        <v>2767</v>
      </c>
      <c r="B1814" s="102">
        <v>2</v>
      </c>
      <c r="C1814" s="106">
        <v>0.002583967727948326</v>
      </c>
      <c r="D1814" s="102" t="s">
        <v>2324</v>
      </c>
      <c r="E1814" s="102" t="b">
        <v>0</v>
      </c>
      <c r="F1814" s="102" t="b">
        <v>0</v>
      </c>
      <c r="G1814" s="102" t="b">
        <v>0</v>
      </c>
    </row>
    <row r="1815" spans="1:7" ht="15">
      <c r="A1815" s="104" t="s">
        <v>2918</v>
      </c>
      <c r="B1815" s="102">
        <v>2</v>
      </c>
      <c r="C1815" s="106">
        <v>0.002098435476877389</v>
      </c>
      <c r="D1815" s="102" t="s">
        <v>2324</v>
      </c>
      <c r="E1815" s="102" t="b">
        <v>0</v>
      </c>
      <c r="F1815" s="102" t="b">
        <v>0</v>
      </c>
      <c r="G1815" s="102" t="b">
        <v>0</v>
      </c>
    </row>
    <row r="1816" spans="1:7" ht="15">
      <c r="A1816" s="104" t="s">
        <v>2529</v>
      </c>
      <c r="B1816" s="102">
        <v>2</v>
      </c>
      <c r="C1816" s="106">
        <v>0.002583967727948326</v>
      </c>
      <c r="D1816" s="102" t="s">
        <v>2324</v>
      </c>
      <c r="E1816" s="102" t="b">
        <v>0</v>
      </c>
      <c r="F1816" s="102" t="b">
        <v>0</v>
      </c>
      <c r="G1816" s="102" t="b">
        <v>0</v>
      </c>
    </row>
    <row r="1817" spans="1:7" ht="15">
      <c r="A1817" s="104" t="s">
        <v>2561</v>
      </c>
      <c r="B1817" s="102">
        <v>2</v>
      </c>
      <c r="C1817" s="106">
        <v>0.002098435476877389</v>
      </c>
      <c r="D1817" s="102" t="s">
        <v>2324</v>
      </c>
      <c r="E1817" s="102" t="b">
        <v>0</v>
      </c>
      <c r="F1817" s="102" t="b">
        <v>0</v>
      </c>
      <c r="G1817" s="102" t="b">
        <v>0</v>
      </c>
    </row>
    <row r="1818" spans="1:7" ht="15">
      <c r="A1818" s="104" t="s">
        <v>3327</v>
      </c>
      <c r="B1818" s="102">
        <v>2</v>
      </c>
      <c r="C1818" s="106">
        <v>0.002583967727948326</v>
      </c>
      <c r="D1818" s="102" t="s">
        <v>2324</v>
      </c>
      <c r="E1818" s="102" t="b">
        <v>0</v>
      </c>
      <c r="F1818" s="102" t="b">
        <v>0</v>
      </c>
      <c r="G1818" s="102" t="b">
        <v>0</v>
      </c>
    </row>
    <row r="1819" spans="1:7" ht="15">
      <c r="A1819" s="104" t="s">
        <v>2755</v>
      </c>
      <c r="B1819" s="102">
        <v>2</v>
      </c>
      <c r="C1819" s="106">
        <v>0.002583967727948326</v>
      </c>
      <c r="D1819" s="102" t="s">
        <v>2324</v>
      </c>
      <c r="E1819" s="102" t="b">
        <v>0</v>
      </c>
      <c r="F1819" s="102" t="b">
        <v>0</v>
      </c>
      <c r="G1819" s="102" t="b">
        <v>0</v>
      </c>
    </row>
    <row r="1820" spans="1:7" ht="15">
      <c r="A1820" s="104" t="s">
        <v>2387</v>
      </c>
      <c r="B1820" s="102">
        <v>2</v>
      </c>
      <c r="C1820" s="106">
        <v>0.002098435476877389</v>
      </c>
      <c r="D1820" s="102" t="s">
        <v>2324</v>
      </c>
      <c r="E1820" s="102" t="b">
        <v>0</v>
      </c>
      <c r="F1820" s="102" t="b">
        <v>0</v>
      </c>
      <c r="G1820" s="102" t="b">
        <v>0</v>
      </c>
    </row>
    <row r="1821" spans="1:7" ht="15">
      <c r="A1821" s="104" t="s">
        <v>2513</v>
      </c>
      <c r="B1821" s="102">
        <v>2</v>
      </c>
      <c r="C1821" s="106">
        <v>0.002098435476877389</v>
      </c>
      <c r="D1821" s="102" t="s">
        <v>2324</v>
      </c>
      <c r="E1821" s="102" t="b">
        <v>0</v>
      </c>
      <c r="F1821" s="102" t="b">
        <v>0</v>
      </c>
      <c r="G1821" s="102" t="b">
        <v>0</v>
      </c>
    </row>
    <row r="1822" spans="1:7" ht="15">
      <c r="A1822" s="104" t="s">
        <v>3323</v>
      </c>
      <c r="B1822" s="102">
        <v>2</v>
      </c>
      <c r="C1822" s="106">
        <v>0.002583967727948326</v>
      </c>
      <c r="D1822" s="102" t="s">
        <v>2324</v>
      </c>
      <c r="E1822" s="102" t="b">
        <v>0</v>
      </c>
      <c r="F1822" s="102" t="b">
        <v>0</v>
      </c>
      <c r="G1822" s="102" t="b">
        <v>0</v>
      </c>
    </row>
    <row r="1823" spans="1:7" ht="15">
      <c r="A1823" s="104" t="s">
        <v>2494</v>
      </c>
      <c r="B1823" s="102">
        <v>2</v>
      </c>
      <c r="C1823" s="106">
        <v>0.002583967727948326</v>
      </c>
      <c r="D1823" s="102" t="s">
        <v>2324</v>
      </c>
      <c r="E1823" s="102" t="b">
        <v>0</v>
      </c>
      <c r="F1823" s="102" t="b">
        <v>0</v>
      </c>
      <c r="G1823" s="102" t="b">
        <v>0</v>
      </c>
    </row>
    <row r="1824" spans="1:7" ht="15">
      <c r="A1824" s="104" t="s">
        <v>3324</v>
      </c>
      <c r="B1824" s="102">
        <v>2</v>
      </c>
      <c r="C1824" s="106">
        <v>0.002583967727948326</v>
      </c>
      <c r="D1824" s="102" t="s">
        <v>2324</v>
      </c>
      <c r="E1824" s="102" t="b">
        <v>0</v>
      </c>
      <c r="F1824" s="102" t="b">
        <v>0</v>
      </c>
      <c r="G1824" s="102" t="b">
        <v>0</v>
      </c>
    </row>
    <row r="1825" spans="1:7" ht="15">
      <c r="A1825" s="104" t="s">
        <v>3325</v>
      </c>
      <c r="B1825" s="102">
        <v>2</v>
      </c>
      <c r="C1825" s="106">
        <v>0.002583967727948326</v>
      </c>
      <c r="D1825" s="102" t="s">
        <v>2324</v>
      </c>
      <c r="E1825" s="102" t="b">
        <v>0</v>
      </c>
      <c r="F1825" s="102" t="b">
        <v>0</v>
      </c>
      <c r="G1825" s="102" t="b">
        <v>0</v>
      </c>
    </row>
    <row r="1826" spans="1:7" ht="15">
      <c r="A1826" s="104" t="s">
        <v>3326</v>
      </c>
      <c r="B1826" s="102">
        <v>2</v>
      </c>
      <c r="C1826" s="106">
        <v>0.002583967727948326</v>
      </c>
      <c r="D1826" s="102" t="s">
        <v>2324</v>
      </c>
      <c r="E1826" s="102" t="b">
        <v>0</v>
      </c>
      <c r="F1826" s="102" t="b">
        <v>0</v>
      </c>
      <c r="G1826" s="102" t="b">
        <v>0</v>
      </c>
    </row>
    <row r="1827" spans="1:7" ht="15">
      <c r="A1827" s="104" t="s">
        <v>2433</v>
      </c>
      <c r="B1827" s="102">
        <v>2</v>
      </c>
      <c r="C1827" s="106">
        <v>0.002583967727948326</v>
      </c>
      <c r="D1827" s="102" t="s">
        <v>2324</v>
      </c>
      <c r="E1827" s="102" t="b">
        <v>0</v>
      </c>
      <c r="F1827" s="102" t="b">
        <v>0</v>
      </c>
      <c r="G1827" s="102" t="b">
        <v>0</v>
      </c>
    </row>
    <row r="1828" spans="1:7" ht="15">
      <c r="A1828" s="104" t="s">
        <v>2711</v>
      </c>
      <c r="B1828" s="102">
        <v>2</v>
      </c>
      <c r="C1828" s="106">
        <v>0.002098435476877389</v>
      </c>
      <c r="D1828" s="102" t="s">
        <v>2324</v>
      </c>
      <c r="E1828" s="102" t="b">
        <v>0</v>
      </c>
      <c r="F1828" s="102" t="b">
        <v>0</v>
      </c>
      <c r="G1828" s="102" t="b">
        <v>0</v>
      </c>
    </row>
    <row r="1829" spans="1:7" ht="15">
      <c r="A1829" s="104" t="s">
        <v>2592</v>
      </c>
      <c r="B1829" s="102">
        <v>2</v>
      </c>
      <c r="C1829" s="106">
        <v>0.002098435476877389</v>
      </c>
      <c r="D1829" s="102" t="s">
        <v>2324</v>
      </c>
      <c r="E1829" s="102" t="b">
        <v>0</v>
      </c>
      <c r="F1829" s="102" t="b">
        <v>0</v>
      </c>
      <c r="G1829" s="102" t="b">
        <v>0</v>
      </c>
    </row>
    <row r="1830" spans="1:7" ht="15">
      <c r="A1830" s="104" t="s">
        <v>2643</v>
      </c>
      <c r="B1830" s="102">
        <v>2</v>
      </c>
      <c r="C1830" s="106">
        <v>0.002098435476877389</v>
      </c>
      <c r="D1830" s="102" t="s">
        <v>2324</v>
      </c>
      <c r="E1830" s="102" t="b">
        <v>0</v>
      </c>
      <c r="F1830" s="102" t="b">
        <v>0</v>
      </c>
      <c r="G1830" s="102" t="b">
        <v>0</v>
      </c>
    </row>
    <row r="1831" spans="1:7" ht="15">
      <c r="A1831" s="104" t="s">
        <v>2380</v>
      </c>
      <c r="B1831" s="102">
        <v>2</v>
      </c>
      <c r="C1831" s="106">
        <v>0.002098435476877389</v>
      </c>
      <c r="D1831" s="102" t="s">
        <v>2324</v>
      </c>
      <c r="E1831" s="102" t="b">
        <v>0</v>
      </c>
      <c r="F1831" s="102" t="b">
        <v>0</v>
      </c>
      <c r="G1831" s="102" t="b">
        <v>0</v>
      </c>
    </row>
    <row r="1832" spans="1:7" ht="15">
      <c r="A1832" s="104" t="s">
        <v>2555</v>
      </c>
      <c r="B1832" s="102">
        <v>2</v>
      </c>
      <c r="C1832" s="106">
        <v>0.002098435476877389</v>
      </c>
      <c r="D1832" s="102" t="s">
        <v>2324</v>
      </c>
      <c r="E1832" s="102" t="b">
        <v>0</v>
      </c>
      <c r="F1832" s="102" t="b">
        <v>0</v>
      </c>
      <c r="G1832" s="102" t="b">
        <v>0</v>
      </c>
    </row>
    <row r="1833" spans="1:7" ht="15">
      <c r="A1833" s="104" t="s">
        <v>2712</v>
      </c>
      <c r="B1833" s="102">
        <v>2</v>
      </c>
      <c r="C1833" s="106">
        <v>0.002098435476877389</v>
      </c>
      <c r="D1833" s="102" t="s">
        <v>2324</v>
      </c>
      <c r="E1833" s="102" t="b">
        <v>0</v>
      </c>
      <c r="F1833" s="102" t="b">
        <v>0</v>
      </c>
      <c r="G1833" s="102" t="b">
        <v>0</v>
      </c>
    </row>
    <row r="1834" spans="1:7" ht="15">
      <c r="A1834" s="104" t="s">
        <v>2644</v>
      </c>
      <c r="B1834" s="102">
        <v>2</v>
      </c>
      <c r="C1834" s="106">
        <v>0.002098435476877389</v>
      </c>
      <c r="D1834" s="102" t="s">
        <v>2324</v>
      </c>
      <c r="E1834" s="102" t="b">
        <v>0</v>
      </c>
      <c r="F1834" s="102" t="b">
        <v>0</v>
      </c>
      <c r="G1834" s="102" t="b">
        <v>0</v>
      </c>
    </row>
    <row r="1835" spans="1:7" ht="15">
      <c r="A1835" s="104" t="s">
        <v>2645</v>
      </c>
      <c r="B1835" s="102">
        <v>2</v>
      </c>
      <c r="C1835" s="106">
        <v>0.002098435476877389</v>
      </c>
      <c r="D1835" s="102" t="s">
        <v>2324</v>
      </c>
      <c r="E1835" s="102" t="b">
        <v>0</v>
      </c>
      <c r="F1835" s="102" t="b">
        <v>0</v>
      </c>
      <c r="G1835" s="102" t="b">
        <v>0</v>
      </c>
    </row>
    <row r="1836" spans="1:7" ht="15">
      <c r="A1836" s="104" t="s">
        <v>2646</v>
      </c>
      <c r="B1836" s="102">
        <v>2</v>
      </c>
      <c r="C1836" s="106">
        <v>0.002098435476877389</v>
      </c>
      <c r="D1836" s="102" t="s">
        <v>2324</v>
      </c>
      <c r="E1836" s="102" t="b">
        <v>0</v>
      </c>
      <c r="F1836" s="102" t="b">
        <v>0</v>
      </c>
      <c r="G1836" s="102" t="b">
        <v>0</v>
      </c>
    </row>
    <row r="1837" spans="1:7" ht="15">
      <c r="A1837" s="104" t="s">
        <v>2713</v>
      </c>
      <c r="B1837" s="102">
        <v>2</v>
      </c>
      <c r="C1837" s="106">
        <v>0.002098435476877389</v>
      </c>
      <c r="D1837" s="102" t="s">
        <v>2324</v>
      </c>
      <c r="E1837" s="102" t="b">
        <v>0</v>
      </c>
      <c r="F1837" s="102" t="b">
        <v>0</v>
      </c>
      <c r="G1837" s="102" t="b">
        <v>0</v>
      </c>
    </row>
    <row r="1838" spans="1:7" ht="15">
      <c r="A1838" s="104" t="s">
        <v>2435</v>
      </c>
      <c r="B1838" s="102">
        <v>2</v>
      </c>
      <c r="C1838" s="106">
        <v>0.002098435476877389</v>
      </c>
      <c r="D1838" s="102" t="s">
        <v>2324</v>
      </c>
      <c r="E1838" s="102" t="b">
        <v>0</v>
      </c>
      <c r="F1838" s="102" t="b">
        <v>0</v>
      </c>
      <c r="G1838" s="102" t="b">
        <v>0</v>
      </c>
    </row>
    <row r="1839" spans="1:7" ht="15">
      <c r="A1839" s="104" t="s">
        <v>3312</v>
      </c>
      <c r="B1839" s="102">
        <v>2</v>
      </c>
      <c r="C1839" s="106">
        <v>0.002098435476877389</v>
      </c>
      <c r="D1839" s="102" t="s">
        <v>2324</v>
      </c>
      <c r="E1839" s="102" t="b">
        <v>0</v>
      </c>
      <c r="F1839" s="102" t="b">
        <v>0</v>
      </c>
      <c r="G1839" s="102" t="b">
        <v>0</v>
      </c>
    </row>
    <row r="1840" spans="1:7" ht="15">
      <c r="A1840" s="104" t="s">
        <v>3318</v>
      </c>
      <c r="B1840" s="102">
        <v>2</v>
      </c>
      <c r="C1840" s="106">
        <v>0.002098435476877389</v>
      </c>
      <c r="D1840" s="102" t="s">
        <v>2324</v>
      </c>
      <c r="E1840" s="102" t="b">
        <v>0</v>
      </c>
      <c r="F1840" s="102" t="b">
        <v>0</v>
      </c>
      <c r="G1840" s="102" t="b">
        <v>0</v>
      </c>
    </row>
    <row r="1841" spans="1:7" ht="15">
      <c r="A1841" s="104" t="s">
        <v>3319</v>
      </c>
      <c r="B1841" s="102">
        <v>2</v>
      </c>
      <c r="C1841" s="106">
        <v>0.002583967727948326</v>
      </c>
      <c r="D1841" s="102" t="s">
        <v>2324</v>
      </c>
      <c r="E1841" s="102" t="b">
        <v>0</v>
      </c>
      <c r="F1841" s="102" t="b">
        <v>0</v>
      </c>
      <c r="G1841" s="102" t="b">
        <v>0</v>
      </c>
    </row>
    <row r="1842" spans="1:7" ht="15">
      <c r="A1842" s="104" t="s">
        <v>2946</v>
      </c>
      <c r="B1842" s="102">
        <v>2</v>
      </c>
      <c r="C1842" s="106">
        <v>0.002098435476877389</v>
      </c>
      <c r="D1842" s="102" t="s">
        <v>2324</v>
      </c>
      <c r="E1842" s="102" t="b">
        <v>0</v>
      </c>
      <c r="F1842" s="102" t="b">
        <v>0</v>
      </c>
      <c r="G1842" s="102" t="b">
        <v>0</v>
      </c>
    </row>
    <row r="1843" spans="1:7" ht="15">
      <c r="A1843" s="104" t="s">
        <v>2459</v>
      </c>
      <c r="B1843" s="102">
        <v>2</v>
      </c>
      <c r="C1843" s="106">
        <v>0.002583967727948326</v>
      </c>
      <c r="D1843" s="102" t="s">
        <v>2324</v>
      </c>
      <c r="E1843" s="102" t="b">
        <v>0</v>
      </c>
      <c r="F1843" s="102" t="b">
        <v>0</v>
      </c>
      <c r="G1843" s="102" t="b">
        <v>0</v>
      </c>
    </row>
    <row r="1844" spans="1:7" ht="15">
      <c r="A1844" s="104" t="s">
        <v>3313</v>
      </c>
      <c r="B1844" s="102">
        <v>2</v>
      </c>
      <c r="C1844" s="106">
        <v>0.002098435476877389</v>
      </c>
      <c r="D1844" s="102" t="s">
        <v>2324</v>
      </c>
      <c r="E1844" s="102" t="b">
        <v>0</v>
      </c>
      <c r="F1844" s="102" t="b">
        <v>0</v>
      </c>
      <c r="G1844" s="102" t="b">
        <v>0</v>
      </c>
    </row>
    <row r="1845" spans="1:7" ht="15">
      <c r="A1845" s="104" t="s">
        <v>2688</v>
      </c>
      <c r="B1845" s="102">
        <v>2</v>
      </c>
      <c r="C1845" s="106">
        <v>0.002583967727948326</v>
      </c>
      <c r="D1845" s="102" t="s">
        <v>2324</v>
      </c>
      <c r="E1845" s="102" t="b">
        <v>0</v>
      </c>
      <c r="F1845" s="102" t="b">
        <v>0</v>
      </c>
      <c r="G1845" s="102" t="b">
        <v>0</v>
      </c>
    </row>
    <row r="1846" spans="1:7" ht="15">
      <c r="A1846" s="104" t="s">
        <v>3317</v>
      </c>
      <c r="B1846" s="102">
        <v>2</v>
      </c>
      <c r="C1846" s="106">
        <v>0.002583967727948326</v>
      </c>
      <c r="D1846" s="102" t="s">
        <v>2324</v>
      </c>
      <c r="E1846" s="102" t="b">
        <v>0</v>
      </c>
      <c r="F1846" s="102" t="b">
        <v>0</v>
      </c>
      <c r="G1846" s="102" t="b">
        <v>0</v>
      </c>
    </row>
    <row r="1847" spans="1:7" ht="15">
      <c r="A1847" s="104" t="s">
        <v>2539</v>
      </c>
      <c r="B1847" s="102">
        <v>2</v>
      </c>
      <c r="C1847" s="106">
        <v>0.002098435476877389</v>
      </c>
      <c r="D1847" s="102" t="s">
        <v>2324</v>
      </c>
      <c r="E1847" s="102" t="b">
        <v>0</v>
      </c>
      <c r="F1847" s="102" t="b">
        <v>0</v>
      </c>
      <c r="G1847" s="102" t="b">
        <v>0</v>
      </c>
    </row>
    <row r="1848" spans="1:7" ht="15">
      <c r="A1848" s="104" t="s">
        <v>3311</v>
      </c>
      <c r="B1848" s="102">
        <v>2</v>
      </c>
      <c r="C1848" s="106">
        <v>0.002583967727948326</v>
      </c>
      <c r="D1848" s="102" t="s">
        <v>2324</v>
      </c>
      <c r="E1848" s="102" t="b">
        <v>0</v>
      </c>
      <c r="F1848" s="102" t="b">
        <v>0</v>
      </c>
      <c r="G1848" s="102" t="b">
        <v>0</v>
      </c>
    </row>
    <row r="1849" spans="1:7" ht="15">
      <c r="A1849" s="104" t="s">
        <v>2348</v>
      </c>
      <c r="B1849" s="102">
        <v>94</v>
      </c>
      <c r="C1849" s="106">
        <v>0.028153897663272007</v>
      </c>
      <c r="D1849" s="102" t="s">
        <v>2325</v>
      </c>
      <c r="E1849" s="102" t="b">
        <v>0</v>
      </c>
      <c r="F1849" s="102" t="b">
        <v>0</v>
      </c>
      <c r="G1849" s="102" t="b">
        <v>0</v>
      </c>
    </row>
    <row r="1850" spans="1:7" ht="15">
      <c r="A1850" s="104" t="s">
        <v>2352</v>
      </c>
      <c r="B1850" s="102">
        <v>74</v>
      </c>
      <c r="C1850" s="106">
        <v>0.035479194933941346</v>
      </c>
      <c r="D1850" s="102" t="s">
        <v>2325</v>
      </c>
      <c r="E1850" s="102" t="b">
        <v>0</v>
      </c>
      <c r="F1850" s="102" t="b">
        <v>0</v>
      </c>
      <c r="G1850" s="102" t="b">
        <v>0</v>
      </c>
    </row>
    <row r="1851" spans="1:7" ht="15">
      <c r="A1851" s="104" t="s">
        <v>2349</v>
      </c>
      <c r="B1851" s="102">
        <v>57</v>
      </c>
      <c r="C1851" s="106">
        <v>0.01527832006991142</v>
      </c>
      <c r="D1851" s="102" t="s">
        <v>2325</v>
      </c>
      <c r="E1851" s="102" t="b">
        <v>0</v>
      </c>
      <c r="F1851" s="102" t="b">
        <v>0</v>
      </c>
      <c r="G1851" s="102" t="b">
        <v>0</v>
      </c>
    </row>
    <row r="1852" spans="1:7" ht="15">
      <c r="A1852" s="104" t="s">
        <v>2351</v>
      </c>
      <c r="B1852" s="102">
        <v>49</v>
      </c>
      <c r="C1852" s="106">
        <v>0.017367644412484368</v>
      </c>
      <c r="D1852" s="102" t="s">
        <v>2325</v>
      </c>
      <c r="E1852" s="102" t="b">
        <v>0</v>
      </c>
      <c r="F1852" s="102" t="b">
        <v>0</v>
      </c>
      <c r="G1852" s="102" t="b">
        <v>0</v>
      </c>
    </row>
    <row r="1853" spans="1:7" ht="15">
      <c r="A1853" s="104" t="s">
        <v>2359</v>
      </c>
      <c r="B1853" s="102">
        <v>41</v>
      </c>
      <c r="C1853" s="106">
        <v>0.01965739178772426</v>
      </c>
      <c r="D1853" s="102" t="s">
        <v>2325</v>
      </c>
      <c r="E1853" s="102" t="b">
        <v>0</v>
      </c>
      <c r="F1853" s="102" t="b">
        <v>0</v>
      </c>
      <c r="G1853" s="102" t="b">
        <v>0</v>
      </c>
    </row>
    <row r="1854" spans="1:7" ht="15">
      <c r="A1854" s="104" t="s">
        <v>2353</v>
      </c>
      <c r="B1854" s="102">
        <v>38</v>
      </c>
      <c r="C1854" s="106">
        <v>0.022578308486322512</v>
      </c>
      <c r="D1854" s="102" t="s">
        <v>2325</v>
      </c>
      <c r="E1854" s="102" t="b">
        <v>0</v>
      </c>
      <c r="F1854" s="102" t="b">
        <v>0</v>
      </c>
      <c r="G1854" s="102" t="b">
        <v>0</v>
      </c>
    </row>
    <row r="1855" spans="1:7" ht="15">
      <c r="A1855" s="104" t="s">
        <v>2350</v>
      </c>
      <c r="B1855" s="102">
        <v>22</v>
      </c>
      <c r="C1855" s="106">
        <v>0.008258996749105466</v>
      </c>
      <c r="D1855" s="102" t="s">
        <v>2325</v>
      </c>
      <c r="E1855" s="102" t="b">
        <v>0</v>
      </c>
      <c r="F1855" s="102" t="b">
        <v>0</v>
      </c>
      <c r="G1855" s="102" t="b">
        <v>0</v>
      </c>
    </row>
    <row r="1856" spans="1:7" ht="15">
      <c r="A1856" s="104" t="s">
        <v>2364</v>
      </c>
      <c r="B1856" s="102">
        <v>20</v>
      </c>
      <c r="C1856" s="106">
        <v>0.008992782801674447</v>
      </c>
      <c r="D1856" s="102" t="s">
        <v>2325</v>
      </c>
      <c r="E1856" s="102" t="b">
        <v>0</v>
      </c>
      <c r="F1856" s="102" t="b">
        <v>0</v>
      </c>
      <c r="G1856" s="102" t="b">
        <v>0</v>
      </c>
    </row>
    <row r="1857" spans="1:7" ht="15">
      <c r="A1857" s="104" t="s">
        <v>2370</v>
      </c>
      <c r="B1857" s="102">
        <v>19</v>
      </c>
      <c r="C1857" s="106">
        <v>0.010460496912228586</v>
      </c>
      <c r="D1857" s="102" t="s">
        <v>2325</v>
      </c>
      <c r="E1857" s="102" t="b">
        <v>0</v>
      </c>
      <c r="F1857" s="102" t="b">
        <v>0</v>
      </c>
      <c r="G1857" s="102" t="b">
        <v>0</v>
      </c>
    </row>
    <row r="1858" spans="1:7" ht="15">
      <c r="A1858" s="104" t="s">
        <v>2361</v>
      </c>
      <c r="B1858" s="102">
        <v>19</v>
      </c>
      <c r="C1858" s="106">
        <v>0.011289154243161256</v>
      </c>
      <c r="D1858" s="102" t="s">
        <v>2325</v>
      </c>
      <c r="E1858" s="102" t="b">
        <v>0</v>
      </c>
      <c r="F1858" s="102" t="b">
        <v>0</v>
      </c>
      <c r="G1858" s="102" t="b">
        <v>0</v>
      </c>
    </row>
    <row r="1859" spans="1:7" ht="15">
      <c r="A1859" s="104" t="s">
        <v>2357</v>
      </c>
      <c r="B1859" s="102">
        <v>18</v>
      </c>
      <c r="C1859" s="106">
        <v>0.011623497956003197</v>
      </c>
      <c r="D1859" s="102" t="s">
        <v>2325</v>
      </c>
      <c r="E1859" s="102" t="b">
        <v>0</v>
      </c>
      <c r="F1859" s="102" t="b">
        <v>0</v>
      </c>
      <c r="G1859" s="102" t="b">
        <v>0</v>
      </c>
    </row>
    <row r="1860" spans="1:7" ht="15">
      <c r="A1860" s="104" t="s">
        <v>2355</v>
      </c>
      <c r="B1860" s="102">
        <v>17</v>
      </c>
      <c r="C1860" s="106">
        <v>0.01205101857192793</v>
      </c>
      <c r="D1860" s="102" t="s">
        <v>2325</v>
      </c>
      <c r="E1860" s="102" t="b">
        <v>0</v>
      </c>
      <c r="F1860" s="102" t="b">
        <v>0</v>
      </c>
      <c r="G1860" s="102" t="b">
        <v>0</v>
      </c>
    </row>
    <row r="1861" spans="1:7" ht="15">
      <c r="A1861" s="104" t="s">
        <v>2376</v>
      </c>
      <c r="B1861" s="102">
        <v>17</v>
      </c>
      <c r="C1861" s="106">
        <v>0.008717135883792634</v>
      </c>
      <c r="D1861" s="102" t="s">
        <v>2325</v>
      </c>
      <c r="E1861" s="102" t="b">
        <v>0</v>
      </c>
      <c r="F1861" s="102" t="b">
        <v>0</v>
      </c>
      <c r="G1861" s="102" t="b">
        <v>0</v>
      </c>
    </row>
    <row r="1862" spans="1:7" ht="15">
      <c r="A1862" s="104" t="s">
        <v>2378</v>
      </c>
      <c r="B1862" s="102">
        <v>15</v>
      </c>
      <c r="C1862" s="106">
        <v>0.01651657407193987</v>
      </c>
      <c r="D1862" s="102" t="s">
        <v>2325</v>
      </c>
      <c r="E1862" s="102" t="b">
        <v>0</v>
      </c>
      <c r="F1862" s="102" t="b">
        <v>0</v>
      </c>
      <c r="G1862" s="102" t="b">
        <v>0</v>
      </c>
    </row>
    <row r="1863" spans="1:7" ht="15">
      <c r="A1863" s="104" t="s">
        <v>2367</v>
      </c>
      <c r="B1863" s="102">
        <v>14</v>
      </c>
      <c r="C1863" s="106">
        <v>0.008318324179171452</v>
      </c>
      <c r="D1863" s="102" t="s">
        <v>2325</v>
      </c>
      <c r="E1863" s="102" t="b">
        <v>0</v>
      </c>
      <c r="F1863" s="102" t="b">
        <v>0</v>
      </c>
      <c r="G1863" s="102" t="b">
        <v>0</v>
      </c>
    </row>
    <row r="1864" spans="1:7" ht="15">
      <c r="A1864" s="104" t="s">
        <v>2447</v>
      </c>
      <c r="B1864" s="102">
        <v>14</v>
      </c>
      <c r="C1864" s="106">
        <v>0.015415469133810547</v>
      </c>
      <c r="D1864" s="102" t="s">
        <v>2325</v>
      </c>
      <c r="E1864" s="102" t="b">
        <v>0</v>
      </c>
      <c r="F1864" s="102" t="b">
        <v>0</v>
      </c>
      <c r="G1864" s="102" t="b">
        <v>0</v>
      </c>
    </row>
    <row r="1865" spans="1:7" ht="15">
      <c r="A1865" s="104" t="s">
        <v>2456</v>
      </c>
      <c r="B1865" s="102">
        <v>13</v>
      </c>
      <c r="C1865" s="106">
        <v>0.014314364195681223</v>
      </c>
      <c r="D1865" s="102" t="s">
        <v>2325</v>
      </c>
      <c r="E1865" s="102" t="b">
        <v>0</v>
      </c>
      <c r="F1865" s="102" t="b">
        <v>0</v>
      </c>
      <c r="G1865" s="102" t="b">
        <v>0</v>
      </c>
    </row>
    <row r="1866" spans="1:7" ht="15">
      <c r="A1866" s="104" t="s">
        <v>2418</v>
      </c>
      <c r="B1866" s="102">
        <v>12</v>
      </c>
      <c r="C1866" s="106">
        <v>0.0108599303012211</v>
      </c>
      <c r="D1866" s="102" t="s">
        <v>2325</v>
      </c>
      <c r="E1866" s="102" t="b">
        <v>0</v>
      </c>
      <c r="F1866" s="102" t="b">
        <v>0</v>
      </c>
      <c r="G1866" s="102" t="b">
        <v>0</v>
      </c>
    </row>
    <row r="1867" spans="1:7" ht="15">
      <c r="A1867" s="104" t="s">
        <v>2366</v>
      </c>
      <c r="B1867" s="102">
        <v>12</v>
      </c>
      <c r="C1867" s="106">
        <v>0.006606629628775949</v>
      </c>
      <c r="D1867" s="102" t="s">
        <v>2325</v>
      </c>
      <c r="E1867" s="102" t="b">
        <v>0</v>
      </c>
      <c r="F1867" s="102" t="b">
        <v>0</v>
      </c>
      <c r="G1867" s="102" t="b">
        <v>0</v>
      </c>
    </row>
    <row r="1868" spans="1:7" ht="15">
      <c r="A1868" s="104" t="s">
        <v>2358</v>
      </c>
      <c r="B1868" s="102">
        <v>11</v>
      </c>
      <c r="C1868" s="106">
        <v>0.007797717899482778</v>
      </c>
      <c r="D1868" s="102" t="s">
        <v>2325</v>
      </c>
      <c r="E1868" s="102" t="b">
        <v>0</v>
      </c>
      <c r="F1868" s="102" t="b">
        <v>0</v>
      </c>
      <c r="G1868" s="102" t="b">
        <v>0</v>
      </c>
    </row>
    <row r="1869" spans="1:7" ht="15">
      <c r="A1869" s="104" t="s">
        <v>2387</v>
      </c>
      <c r="B1869" s="102">
        <v>10</v>
      </c>
      <c r="C1869" s="106">
        <v>0.004794485801883966</v>
      </c>
      <c r="D1869" s="102" t="s">
        <v>2325</v>
      </c>
      <c r="E1869" s="102" t="b">
        <v>0</v>
      </c>
      <c r="F1869" s="102" t="b">
        <v>0</v>
      </c>
      <c r="G1869" s="102" t="b">
        <v>0</v>
      </c>
    </row>
    <row r="1870" spans="1:7" ht="15">
      <c r="A1870" s="104" t="s">
        <v>2380</v>
      </c>
      <c r="B1870" s="102">
        <v>10</v>
      </c>
      <c r="C1870" s="106">
        <v>0.005941660127979609</v>
      </c>
      <c r="D1870" s="102" t="s">
        <v>2325</v>
      </c>
      <c r="E1870" s="102" t="b">
        <v>0</v>
      </c>
      <c r="F1870" s="102" t="b">
        <v>0</v>
      </c>
      <c r="G1870" s="102" t="b">
        <v>0</v>
      </c>
    </row>
    <row r="1871" spans="1:7" ht="15">
      <c r="A1871" s="104" t="s">
        <v>2377</v>
      </c>
      <c r="B1871" s="102">
        <v>10</v>
      </c>
      <c r="C1871" s="106">
        <v>0.005941660127979609</v>
      </c>
      <c r="D1871" s="102" t="s">
        <v>2325</v>
      </c>
      <c r="E1871" s="102" t="b">
        <v>0</v>
      </c>
      <c r="F1871" s="102" t="b">
        <v>0</v>
      </c>
      <c r="G1871" s="102" t="b">
        <v>0</v>
      </c>
    </row>
    <row r="1872" spans="1:7" ht="15">
      <c r="A1872" s="104" t="s">
        <v>2411</v>
      </c>
      <c r="B1872" s="102">
        <v>10</v>
      </c>
      <c r="C1872" s="106">
        <v>0.005941660127979609</v>
      </c>
      <c r="D1872" s="102" t="s">
        <v>2325</v>
      </c>
      <c r="E1872" s="102" t="b">
        <v>0</v>
      </c>
      <c r="F1872" s="102" t="b">
        <v>0</v>
      </c>
      <c r="G1872" s="102" t="b">
        <v>0</v>
      </c>
    </row>
    <row r="1873" spans="1:7" ht="15">
      <c r="A1873" s="104" t="s">
        <v>2432</v>
      </c>
      <c r="B1873" s="102">
        <v>10</v>
      </c>
      <c r="C1873" s="106">
        <v>0.007902767591588608</v>
      </c>
      <c r="D1873" s="102" t="s">
        <v>2325</v>
      </c>
      <c r="E1873" s="102" t="b">
        <v>0</v>
      </c>
      <c r="F1873" s="102" t="b">
        <v>0</v>
      </c>
      <c r="G1873" s="102" t="b">
        <v>0</v>
      </c>
    </row>
    <row r="1874" spans="1:7" ht="15">
      <c r="A1874" s="104" t="s">
        <v>2443</v>
      </c>
      <c r="B1874" s="102">
        <v>10</v>
      </c>
      <c r="C1874" s="106">
        <v>0.011011049381293249</v>
      </c>
      <c r="D1874" s="102" t="s">
        <v>2325</v>
      </c>
      <c r="E1874" s="102" t="b">
        <v>0</v>
      </c>
      <c r="F1874" s="102" t="b">
        <v>0</v>
      </c>
      <c r="G1874" s="102" t="b">
        <v>0</v>
      </c>
    </row>
    <row r="1875" spans="1:7" ht="15">
      <c r="A1875" s="104" t="s">
        <v>2354</v>
      </c>
      <c r="B1875" s="102">
        <v>9</v>
      </c>
      <c r="C1875" s="106">
        <v>0.004614954291419629</v>
      </c>
      <c r="D1875" s="102" t="s">
        <v>2325</v>
      </c>
      <c r="E1875" s="102" t="b">
        <v>0</v>
      </c>
      <c r="F1875" s="102" t="b">
        <v>0</v>
      </c>
      <c r="G1875" s="102" t="b">
        <v>0</v>
      </c>
    </row>
    <row r="1876" spans="1:7" ht="15">
      <c r="A1876" s="104" t="s">
        <v>2403</v>
      </c>
      <c r="B1876" s="102">
        <v>9</v>
      </c>
      <c r="C1876" s="106">
        <v>0.009909944443163923</v>
      </c>
      <c r="D1876" s="102" t="s">
        <v>2325</v>
      </c>
      <c r="E1876" s="102" t="b">
        <v>0</v>
      </c>
      <c r="F1876" s="102" t="b">
        <v>0</v>
      </c>
      <c r="G1876" s="102" t="b">
        <v>0</v>
      </c>
    </row>
    <row r="1877" spans="1:7" ht="15">
      <c r="A1877" s="104" t="s">
        <v>2495</v>
      </c>
      <c r="B1877" s="102">
        <v>9</v>
      </c>
      <c r="C1877" s="106">
        <v>0.009909944443163923</v>
      </c>
      <c r="D1877" s="102" t="s">
        <v>2325</v>
      </c>
      <c r="E1877" s="102" t="b">
        <v>0</v>
      </c>
      <c r="F1877" s="102" t="b">
        <v>0</v>
      </c>
      <c r="G1877" s="102" t="b">
        <v>0</v>
      </c>
    </row>
    <row r="1878" spans="1:7" ht="15">
      <c r="A1878" s="104" t="s">
        <v>2384</v>
      </c>
      <c r="B1878" s="102">
        <v>9</v>
      </c>
      <c r="C1878" s="106">
        <v>0.005811748978001598</v>
      </c>
      <c r="D1878" s="102" t="s">
        <v>2325</v>
      </c>
      <c r="E1878" s="102" t="b">
        <v>0</v>
      </c>
      <c r="F1878" s="102" t="b">
        <v>0</v>
      </c>
      <c r="G1878" s="102" t="b">
        <v>0</v>
      </c>
    </row>
    <row r="1879" spans="1:7" ht="15">
      <c r="A1879" s="104" t="s">
        <v>2389</v>
      </c>
      <c r="B1879" s="102">
        <v>9</v>
      </c>
      <c r="C1879" s="106">
        <v>0.004954972221581961</v>
      </c>
      <c r="D1879" s="102" t="s">
        <v>2325</v>
      </c>
      <c r="E1879" s="102" t="b">
        <v>0</v>
      </c>
      <c r="F1879" s="102" t="b">
        <v>0</v>
      </c>
      <c r="G1879" s="102" t="b">
        <v>0</v>
      </c>
    </row>
    <row r="1880" spans="1:7" ht="15">
      <c r="A1880" s="104" t="s">
        <v>2417</v>
      </c>
      <c r="B1880" s="102">
        <v>9</v>
      </c>
      <c r="C1880" s="106">
        <v>0.007112490832429747</v>
      </c>
      <c r="D1880" s="102" t="s">
        <v>2325</v>
      </c>
      <c r="E1880" s="102" t="b">
        <v>0</v>
      </c>
      <c r="F1880" s="102" t="b">
        <v>0</v>
      </c>
      <c r="G1880" s="102" t="b">
        <v>0</v>
      </c>
    </row>
    <row r="1881" spans="1:7" ht="15">
      <c r="A1881" s="104" t="s">
        <v>2512</v>
      </c>
      <c r="B1881" s="102">
        <v>9</v>
      </c>
      <c r="C1881" s="106">
        <v>0.009909944443163923</v>
      </c>
      <c r="D1881" s="102" t="s">
        <v>2325</v>
      </c>
      <c r="E1881" s="102" t="b">
        <v>0</v>
      </c>
      <c r="F1881" s="102" t="b">
        <v>0</v>
      </c>
      <c r="G1881" s="102" t="b">
        <v>0</v>
      </c>
    </row>
    <row r="1882" spans="1:7" ht="15">
      <c r="A1882" s="104" t="s">
        <v>2356</v>
      </c>
      <c r="B1882" s="102">
        <v>8</v>
      </c>
      <c r="C1882" s="106">
        <v>0.004753328102383688</v>
      </c>
      <c r="D1882" s="102" t="s">
        <v>2325</v>
      </c>
      <c r="E1882" s="102" t="b">
        <v>0</v>
      </c>
      <c r="F1882" s="102" t="b">
        <v>0</v>
      </c>
      <c r="G1882" s="102" t="b">
        <v>0</v>
      </c>
    </row>
    <row r="1883" spans="1:7" ht="15">
      <c r="A1883" s="104" t="s">
        <v>2390</v>
      </c>
      <c r="B1883" s="102">
        <v>8</v>
      </c>
      <c r="C1883" s="106">
        <v>0.004753328102383688</v>
      </c>
      <c r="D1883" s="102" t="s">
        <v>2325</v>
      </c>
      <c r="E1883" s="102" t="b">
        <v>0</v>
      </c>
      <c r="F1883" s="102" t="b">
        <v>0</v>
      </c>
      <c r="G1883" s="102" t="b">
        <v>0</v>
      </c>
    </row>
    <row r="1884" spans="1:7" ht="15">
      <c r="A1884" s="104" t="s">
        <v>2388</v>
      </c>
      <c r="B1884" s="102">
        <v>8</v>
      </c>
      <c r="C1884" s="106">
        <v>0.004753328102383688</v>
      </c>
      <c r="D1884" s="102" t="s">
        <v>2325</v>
      </c>
      <c r="E1884" s="102" t="b">
        <v>0</v>
      </c>
      <c r="F1884" s="102" t="b">
        <v>0</v>
      </c>
      <c r="G1884" s="102" t="b">
        <v>0</v>
      </c>
    </row>
    <row r="1885" spans="1:7" ht="15">
      <c r="A1885" s="104" t="s">
        <v>2379</v>
      </c>
      <c r="B1885" s="102">
        <v>7</v>
      </c>
      <c r="C1885" s="106">
        <v>0.006334959342378974</v>
      </c>
      <c r="D1885" s="102" t="s">
        <v>2325</v>
      </c>
      <c r="E1885" s="102" t="b">
        <v>0</v>
      </c>
      <c r="F1885" s="102" t="b">
        <v>0</v>
      </c>
      <c r="G1885" s="102" t="b">
        <v>0</v>
      </c>
    </row>
    <row r="1886" spans="1:7" ht="15">
      <c r="A1886" s="104" t="s">
        <v>2442</v>
      </c>
      <c r="B1886" s="102">
        <v>7</v>
      </c>
      <c r="C1886" s="106">
        <v>0.004962184117852677</v>
      </c>
      <c r="D1886" s="102" t="s">
        <v>2325</v>
      </c>
      <c r="E1886" s="102" t="b">
        <v>0</v>
      </c>
      <c r="F1886" s="102" t="b">
        <v>0</v>
      </c>
      <c r="G1886" s="102" t="b">
        <v>0</v>
      </c>
    </row>
    <row r="1887" spans="1:7" ht="15">
      <c r="A1887" s="104" t="s">
        <v>2369</v>
      </c>
      <c r="B1887" s="102">
        <v>7</v>
      </c>
      <c r="C1887" s="106">
        <v>0.004962184117852677</v>
      </c>
      <c r="D1887" s="102" t="s">
        <v>2325</v>
      </c>
      <c r="E1887" s="102" t="b">
        <v>0</v>
      </c>
      <c r="F1887" s="102" t="b">
        <v>0</v>
      </c>
      <c r="G1887" s="102" t="b">
        <v>0</v>
      </c>
    </row>
    <row r="1888" spans="1:7" ht="15">
      <c r="A1888" s="104" t="s">
        <v>2513</v>
      </c>
      <c r="B1888" s="102">
        <v>7</v>
      </c>
      <c r="C1888" s="106">
        <v>0.005531937314112025</v>
      </c>
      <c r="D1888" s="102" t="s">
        <v>2325</v>
      </c>
      <c r="E1888" s="102" t="b">
        <v>0</v>
      </c>
      <c r="F1888" s="102" t="b">
        <v>0</v>
      </c>
      <c r="G1888" s="102" t="b">
        <v>0</v>
      </c>
    </row>
    <row r="1889" spans="1:7" ht="15">
      <c r="A1889" s="104" t="s">
        <v>2574</v>
      </c>
      <c r="B1889" s="102">
        <v>7</v>
      </c>
      <c r="C1889" s="106">
        <v>0.0077077345669052735</v>
      </c>
      <c r="D1889" s="102" t="s">
        <v>2325</v>
      </c>
      <c r="E1889" s="102" t="b">
        <v>0</v>
      </c>
      <c r="F1889" s="102" t="b">
        <v>0</v>
      </c>
      <c r="G1889" s="102" t="b">
        <v>0</v>
      </c>
    </row>
    <row r="1890" spans="1:7" ht="15">
      <c r="A1890" s="104" t="s">
        <v>2365</v>
      </c>
      <c r="B1890" s="102">
        <v>7</v>
      </c>
      <c r="C1890" s="106">
        <v>0.0038538672834526368</v>
      </c>
      <c r="D1890" s="102" t="s">
        <v>2325</v>
      </c>
      <c r="E1890" s="102" t="b">
        <v>0</v>
      </c>
      <c r="F1890" s="102" t="b">
        <v>0</v>
      </c>
      <c r="G1890" s="102" t="b">
        <v>0</v>
      </c>
    </row>
    <row r="1891" spans="1:7" ht="15">
      <c r="A1891" s="104" t="s">
        <v>2572</v>
      </c>
      <c r="B1891" s="102">
        <v>7</v>
      </c>
      <c r="C1891" s="106">
        <v>0.0077077345669052735</v>
      </c>
      <c r="D1891" s="102" t="s">
        <v>2325</v>
      </c>
      <c r="E1891" s="102" t="b">
        <v>0</v>
      </c>
      <c r="F1891" s="102" t="b">
        <v>0</v>
      </c>
      <c r="G1891" s="102" t="b">
        <v>0</v>
      </c>
    </row>
    <row r="1892" spans="1:7" ht="15">
      <c r="A1892" s="104" t="s">
        <v>2392</v>
      </c>
      <c r="B1892" s="102">
        <v>6</v>
      </c>
      <c r="C1892" s="106">
        <v>0.004253300672445152</v>
      </c>
      <c r="D1892" s="102" t="s">
        <v>2325</v>
      </c>
      <c r="E1892" s="102" t="b">
        <v>0</v>
      </c>
      <c r="F1892" s="102" t="b">
        <v>0</v>
      </c>
      <c r="G1892" s="102" t="b">
        <v>0</v>
      </c>
    </row>
    <row r="1893" spans="1:7" ht="15">
      <c r="A1893" s="104" t="s">
        <v>1884</v>
      </c>
      <c r="B1893" s="102">
        <v>6</v>
      </c>
      <c r="C1893" s="106">
        <v>0.006606629628775949</v>
      </c>
      <c r="D1893" s="102" t="s">
        <v>2325</v>
      </c>
      <c r="E1893" s="102" t="b">
        <v>0</v>
      </c>
      <c r="F1893" s="102" t="b">
        <v>0</v>
      </c>
      <c r="G1893" s="102" t="b">
        <v>0</v>
      </c>
    </row>
    <row r="1894" spans="1:7" ht="15">
      <c r="A1894" s="104" t="s">
        <v>2452</v>
      </c>
      <c r="B1894" s="102">
        <v>6</v>
      </c>
      <c r="C1894" s="106">
        <v>0.004741660554953165</v>
      </c>
      <c r="D1894" s="102" t="s">
        <v>2325</v>
      </c>
      <c r="E1894" s="102" t="b">
        <v>0</v>
      </c>
      <c r="F1894" s="102" t="b">
        <v>0</v>
      </c>
      <c r="G1894" s="102" t="b">
        <v>0</v>
      </c>
    </row>
    <row r="1895" spans="1:7" ht="15">
      <c r="A1895" s="104" t="s">
        <v>2614</v>
      </c>
      <c r="B1895" s="102">
        <v>6</v>
      </c>
      <c r="C1895" s="106">
        <v>0.006606629628775949</v>
      </c>
      <c r="D1895" s="102" t="s">
        <v>2325</v>
      </c>
      <c r="E1895" s="102" t="b">
        <v>0</v>
      </c>
      <c r="F1895" s="102" t="b">
        <v>0</v>
      </c>
      <c r="G1895" s="102" t="b">
        <v>0</v>
      </c>
    </row>
    <row r="1896" spans="1:7" ht="15">
      <c r="A1896" s="104" t="s">
        <v>2394</v>
      </c>
      <c r="B1896" s="102">
        <v>6</v>
      </c>
      <c r="C1896" s="106">
        <v>0.0035649960767877658</v>
      </c>
      <c r="D1896" s="102" t="s">
        <v>2325</v>
      </c>
      <c r="E1896" s="102" t="b">
        <v>0</v>
      </c>
      <c r="F1896" s="102" t="b">
        <v>0</v>
      </c>
      <c r="G1896" s="102" t="b">
        <v>0</v>
      </c>
    </row>
    <row r="1897" spans="1:7" ht="15">
      <c r="A1897" s="104" t="s">
        <v>2481</v>
      </c>
      <c r="B1897" s="102">
        <v>6</v>
      </c>
      <c r="C1897" s="106">
        <v>0.0038744993186677324</v>
      </c>
      <c r="D1897" s="102" t="s">
        <v>2325</v>
      </c>
      <c r="E1897" s="102" t="b">
        <v>0</v>
      </c>
      <c r="F1897" s="102" t="b">
        <v>0</v>
      </c>
      <c r="G1897" s="102" t="b">
        <v>0</v>
      </c>
    </row>
    <row r="1898" spans="1:7" ht="15">
      <c r="A1898" s="104" t="s">
        <v>2508</v>
      </c>
      <c r="B1898" s="102">
        <v>6</v>
      </c>
      <c r="C1898" s="106">
        <v>0.0035649960767877658</v>
      </c>
      <c r="D1898" s="102" t="s">
        <v>2325</v>
      </c>
      <c r="E1898" s="102" t="b">
        <v>0</v>
      </c>
      <c r="F1898" s="102" t="b">
        <v>0</v>
      </c>
      <c r="G1898" s="102" t="b">
        <v>0</v>
      </c>
    </row>
    <row r="1899" spans="1:7" ht="15">
      <c r="A1899" s="104" t="s">
        <v>2435</v>
      </c>
      <c r="B1899" s="102">
        <v>6</v>
      </c>
      <c r="C1899" s="106">
        <v>0.004741660554953165</v>
      </c>
      <c r="D1899" s="102" t="s">
        <v>2325</v>
      </c>
      <c r="E1899" s="102" t="b">
        <v>0</v>
      </c>
      <c r="F1899" s="102" t="b">
        <v>0</v>
      </c>
      <c r="G1899" s="102" t="b">
        <v>0</v>
      </c>
    </row>
    <row r="1900" spans="1:7" ht="15">
      <c r="A1900" s="104" t="s">
        <v>2511</v>
      </c>
      <c r="B1900" s="102">
        <v>5</v>
      </c>
      <c r="C1900" s="106">
        <v>0.004524970958842125</v>
      </c>
      <c r="D1900" s="102" t="s">
        <v>2325</v>
      </c>
      <c r="E1900" s="102" t="b">
        <v>0</v>
      </c>
      <c r="F1900" s="102" t="b">
        <v>0</v>
      </c>
      <c r="G1900" s="102" t="b">
        <v>0</v>
      </c>
    </row>
    <row r="1901" spans="1:7" ht="15">
      <c r="A1901" s="104" t="s">
        <v>2433</v>
      </c>
      <c r="B1901" s="102">
        <v>5</v>
      </c>
      <c r="C1901" s="106">
        <v>0.003951383795794304</v>
      </c>
      <c r="D1901" s="102" t="s">
        <v>2325</v>
      </c>
      <c r="E1901" s="102" t="b">
        <v>0</v>
      </c>
      <c r="F1901" s="102" t="b">
        <v>0</v>
      </c>
      <c r="G1901" s="102" t="b">
        <v>0</v>
      </c>
    </row>
    <row r="1902" spans="1:7" ht="15">
      <c r="A1902" s="104" t="s">
        <v>2491</v>
      </c>
      <c r="B1902" s="102">
        <v>5</v>
      </c>
      <c r="C1902" s="106">
        <v>0.0035444172270376268</v>
      </c>
      <c r="D1902" s="102" t="s">
        <v>2325</v>
      </c>
      <c r="E1902" s="102" t="b">
        <v>0</v>
      </c>
      <c r="F1902" s="102" t="b">
        <v>0</v>
      </c>
      <c r="G1902" s="102" t="b">
        <v>0</v>
      </c>
    </row>
    <row r="1903" spans="1:7" ht="15">
      <c r="A1903" s="104" t="s">
        <v>2677</v>
      </c>
      <c r="B1903" s="102">
        <v>5</v>
      </c>
      <c r="C1903" s="106">
        <v>0.0055055246906466244</v>
      </c>
      <c r="D1903" s="102" t="s">
        <v>2325</v>
      </c>
      <c r="E1903" s="102" t="b">
        <v>0</v>
      </c>
      <c r="F1903" s="102" t="b">
        <v>0</v>
      </c>
      <c r="G1903" s="102" t="b">
        <v>0</v>
      </c>
    </row>
    <row r="1904" spans="1:7" ht="15">
      <c r="A1904" s="104" t="s">
        <v>2509</v>
      </c>
      <c r="B1904" s="102">
        <v>5</v>
      </c>
      <c r="C1904" s="106">
        <v>0.0032287494322231105</v>
      </c>
      <c r="D1904" s="102" t="s">
        <v>2325</v>
      </c>
      <c r="E1904" s="102" t="b">
        <v>0</v>
      </c>
      <c r="F1904" s="102" t="b">
        <v>0</v>
      </c>
      <c r="G1904" s="102" t="b">
        <v>0</v>
      </c>
    </row>
    <row r="1905" spans="1:7" ht="15">
      <c r="A1905" s="104" t="s">
        <v>2570</v>
      </c>
      <c r="B1905" s="102">
        <v>5</v>
      </c>
      <c r="C1905" s="106">
        <v>0.0032287494322231105</v>
      </c>
      <c r="D1905" s="102" t="s">
        <v>2325</v>
      </c>
      <c r="E1905" s="102" t="b">
        <v>0</v>
      </c>
      <c r="F1905" s="102" t="b">
        <v>0</v>
      </c>
      <c r="G1905" s="102" t="b">
        <v>0</v>
      </c>
    </row>
    <row r="1906" spans="1:7" ht="15">
      <c r="A1906" s="104" t="s">
        <v>2571</v>
      </c>
      <c r="B1906" s="102">
        <v>5</v>
      </c>
      <c r="C1906" s="106">
        <v>0.0032287494322231105</v>
      </c>
      <c r="D1906" s="102" t="s">
        <v>2325</v>
      </c>
      <c r="E1906" s="102" t="b">
        <v>0</v>
      </c>
      <c r="F1906" s="102" t="b">
        <v>0</v>
      </c>
      <c r="G1906" s="102" t="b">
        <v>0</v>
      </c>
    </row>
    <row r="1907" spans="1:7" ht="15">
      <c r="A1907" s="104" t="s">
        <v>2608</v>
      </c>
      <c r="B1907" s="102">
        <v>5</v>
      </c>
      <c r="C1907" s="106">
        <v>0.0055055246906466244</v>
      </c>
      <c r="D1907" s="102" t="s">
        <v>2325</v>
      </c>
      <c r="E1907" s="102" t="b">
        <v>0</v>
      </c>
      <c r="F1907" s="102" t="b">
        <v>0</v>
      </c>
      <c r="G1907" s="102" t="b">
        <v>0</v>
      </c>
    </row>
    <row r="1908" spans="1:7" ht="15">
      <c r="A1908" s="104" t="s">
        <v>2630</v>
      </c>
      <c r="B1908" s="102">
        <v>4</v>
      </c>
      <c r="C1908" s="106">
        <v>0.0044044197525173</v>
      </c>
      <c r="D1908" s="102" t="s">
        <v>2325</v>
      </c>
      <c r="E1908" s="102" t="b">
        <v>0</v>
      </c>
      <c r="F1908" s="102" t="b">
        <v>0</v>
      </c>
      <c r="G1908" s="102" t="b">
        <v>0</v>
      </c>
    </row>
    <row r="1909" spans="1:7" ht="15">
      <c r="A1909" s="104" t="s">
        <v>2420</v>
      </c>
      <c r="B1909" s="102">
        <v>4</v>
      </c>
      <c r="C1909" s="106">
        <v>0.003161107036635443</v>
      </c>
      <c r="D1909" s="102" t="s">
        <v>2325</v>
      </c>
      <c r="E1909" s="102" t="b">
        <v>0</v>
      </c>
      <c r="F1909" s="102" t="b">
        <v>0</v>
      </c>
      <c r="G1909" s="102" t="b">
        <v>0</v>
      </c>
    </row>
    <row r="1910" spans="1:7" ht="15">
      <c r="A1910" s="104" t="s">
        <v>2406</v>
      </c>
      <c r="B1910" s="102">
        <v>4</v>
      </c>
      <c r="C1910" s="106">
        <v>0.0036199767670737</v>
      </c>
      <c r="D1910" s="102" t="s">
        <v>2325</v>
      </c>
      <c r="E1910" s="102" t="b">
        <v>0</v>
      </c>
      <c r="F1910" s="102" t="b">
        <v>1</v>
      </c>
      <c r="G1910" s="102" t="b">
        <v>0</v>
      </c>
    </row>
    <row r="1911" spans="1:7" ht="15">
      <c r="A1911" s="104" t="s">
        <v>2514</v>
      </c>
      <c r="B1911" s="102">
        <v>4</v>
      </c>
      <c r="C1911" s="106">
        <v>0.0036199767670737</v>
      </c>
      <c r="D1911" s="102" t="s">
        <v>2325</v>
      </c>
      <c r="E1911" s="102" t="b">
        <v>0</v>
      </c>
      <c r="F1911" s="102" t="b">
        <v>0</v>
      </c>
      <c r="G1911" s="102" t="b">
        <v>0</v>
      </c>
    </row>
    <row r="1912" spans="1:7" ht="15">
      <c r="A1912" s="104" t="s">
        <v>2609</v>
      </c>
      <c r="B1912" s="102">
        <v>4</v>
      </c>
      <c r="C1912" s="106">
        <v>0.003161107036635443</v>
      </c>
      <c r="D1912" s="102" t="s">
        <v>2325</v>
      </c>
      <c r="E1912" s="102" t="b">
        <v>0</v>
      </c>
      <c r="F1912" s="102" t="b">
        <v>0</v>
      </c>
      <c r="G1912" s="102" t="b">
        <v>0</v>
      </c>
    </row>
    <row r="1913" spans="1:7" ht="15">
      <c r="A1913" s="104" t="s">
        <v>2610</v>
      </c>
      <c r="B1913" s="102">
        <v>4</v>
      </c>
      <c r="C1913" s="106">
        <v>0.003161107036635443</v>
      </c>
      <c r="D1913" s="102" t="s">
        <v>2325</v>
      </c>
      <c r="E1913" s="102" t="b">
        <v>0</v>
      </c>
      <c r="F1913" s="102" t="b">
        <v>0</v>
      </c>
      <c r="G1913" s="102" t="b">
        <v>0</v>
      </c>
    </row>
    <row r="1914" spans="1:7" ht="15">
      <c r="A1914" s="104" t="s">
        <v>2486</v>
      </c>
      <c r="B1914" s="102">
        <v>4</v>
      </c>
      <c r="C1914" s="106">
        <v>0.0036199767670737</v>
      </c>
      <c r="D1914" s="102" t="s">
        <v>2325</v>
      </c>
      <c r="E1914" s="102" t="b">
        <v>0</v>
      </c>
      <c r="F1914" s="102" t="b">
        <v>0</v>
      </c>
      <c r="G1914" s="102" t="b">
        <v>0</v>
      </c>
    </row>
    <row r="1915" spans="1:7" ht="15">
      <c r="A1915" s="104" t="s">
        <v>2540</v>
      </c>
      <c r="B1915" s="102">
        <v>4</v>
      </c>
      <c r="C1915" s="106">
        <v>0.003161107036635443</v>
      </c>
      <c r="D1915" s="102" t="s">
        <v>2325</v>
      </c>
      <c r="E1915" s="102" t="b">
        <v>0</v>
      </c>
      <c r="F1915" s="102" t="b">
        <v>0</v>
      </c>
      <c r="G1915" s="102" t="b">
        <v>0</v>
      </c>
    </row>
    <row r="1916" spans="1:7" ht="15">
      <c r="A1916" s="104" t="s">
        <v>2468</v>
      </c>
      <c r="B1916" s="102">
        <v>4</v>
      </c>
      <c r="C1916" s="106">
        <v>0.003161107036635443</v>
      </c>
      <c r="D1916" s="102" t="s">
        <v>2325</v>
      </c>
      <c r="E1916" s="102" t="b">
        <v>0</v>
      </c>
      <c r="F1916" s="102" t="b">
        <v>0</v>
      </c>
      <c r="G1916" s="102" t="b">
        <v>0</v>
      </c>
    </row>
    <row r="1917" spans="1:7" ht="15">
      <c r="A1917" s="104" t="s">
        <v>2506</v>
      </c>
      <c r="B1917" s="102">
        <v>4</v>
      </c>
      <c r="C1917" s="106">
        <v>0.0036199767670737</v>
      </c>
      <c r="D1917" s="102" t="s">
        <v>2325</v>
      </c>
      <c r="E1917" s="102" t="b">
        <v>0</v>
      </c>
      <c r="F1917" s="102" t="b">
        <v>0</v>
      </c>
      <c r="G1917" s="102" t="b">
        <v>0</v>
      </c>
    </row>
    <row r="1918" spans="1:7" ht="15">
      <c r="A1918" s="104" t="s">
        <v>2663</v>
      </c>
      <c r="B1918" s="102">
        <v>4</v>
      </c>
      <c r="C1918" s="106">
        <v>0.0044044197525173</v>
      </c>
      <c r="D1918" s="102" t="s">
        <v>2325</v>
      </c>
      <c r="E1918" s="102" t="b">
        <v>0</v>
      </c>
      <c r="F1918" s="102" t="b">
        <v>0</v>
      </c>
      <c r="G1918" s="102" t="b">
        <v>0</v>
      </c>
    </row>
    <row r="1919" spans="1:7" ht="15">
      <c r="A1919" s="104" t="s">
        <v>2664</v>
      </c>
      <c r="B1919" s="102">
        <v>4</v>
      </c>
      <c r="C1919" s="106">
        <v>0.0036199767670737</v>
      </c>
      <c r="D1919" s="102" t="s">
        <v>2325</v>
      </c>
      <c r="E1919" s="102" t="b">
        <v>0</v>
      </c>
      <c r="F1919" s="102" t="b">
        <v>1</v>
      </c>
      <c r="G1919" s="102" t="b">
        <v>0</v>
      </c>
    </row>
    <row r="1920" spans="1:7" ht="15">
      <c r="A1920" s="104" t="s">
        <v>2671</v>
      </c>
      <c r="B1920" s="102">
        <v>4</v>
      </c>
      <c r="C1920" s="106">
        <v>0.0028355337816301012</v>
      </c>
      <c r="D1920" s="102" t="s">
        <v>2325</v>
      </c>
      <c r="E1920" s="102" t="b">
        <v>0</v>
      </c>
      <c r="F1920" s="102" t="b">
        <v>0</v>
      </c>
      <c r="G1920" s="102" t="b">
        <v>0</v>
      </c>
    </row>
    <row r="1921" spans="1:7" ht="15">
      <c r="A1921" s="104" t="s">
        <v>2569</v>
      </c>
      <c r="B1921" s="102">
        <v>4</v>
      </c>
      <c r="C1921" s="106">
        <v>0.003161107036635443</v>
      </c>
      <c r="D1921" s="102" t="s">
        <v>2325</v>
      </c>
      <c r="E1921" s="102" t="b">
        <v>0</v>
      </c>
      <c r="F1921" s="102" t="b">
        <v>1</v>
      </c>
      <c r="G1921" s="102" t="b">
        <v>0</v>
      </c>
    </row>
    <row r="1922" spans="1:7" ht="15">
      <c r="A1922" s="104" t="s">
        <v>2490</v>
      </c>
      <c r="B1922" s="102">
        <v>4</v>
      </c>
      <c r="C1922" s="106">
        <v>0.003161107036635443</v>
      </c>
      <c r="D1922" s="102" t="s">
        <v>2325</v>
      </c>
      <c r="E1922" s="102" t="b">
        <v>0</v>
      </c>
      <c r="F1922" s="102" t="b">
        <v>0</v>
      </c>
      <c r="G1922" s="102" t="b">
        <v>0</v>
      </c>
    </row>
    <row r="1923" spans="1:7" ht="15">
      <c r="A1923" s="104" t="s">
        <v>2632</v>
      </c>
      <c r="B1923" s="102">
        <v>4</v>
      </c>
      <c r="C1923" s="106">
        <v>0.0036199767670737</v>
      </c>
      <c r="D1923" s="102" t="s">
        <v>2325</v>
      </c>
      <c r="E1923" s="102" t="b">
        <v>0</v>
      </c>
      <c r="F1923" s="102" t="b">
        <v>0</v>
      </c>
      <c r="G1923" s="102" t="b">
        <v>0</v>
      </c>
    </row>
    <row r="1924" spans="1:7" ht="15">
      <c r="A1924" s="104" t="s">
        <v>2676</v>
      </c>
      <c r="B1924" s="102">
        <v>4</v>
      </c>
      <c r="C1924" s="106">
        <v>0.0044044197525173</v>
      </c>
      <c r="D1924" s="102" t="s">
        <v>2325</v>
      </c>
      <c r="E1924" s="102" t="b">
        <v>0</v>
      </c>
      <c r="F1924" s="102" t="b">
        <v>0</v>
      </c>
      <c r="G1924" s="102" t="b">
        <v>0</v>
      </c>
    </row>
    <row r="1925" spans="1:7" ht="15">
      <c r="A1925" s="104" t="s">
        <v>2749</v>
      </c>
      <c r="B1925" s="102">
        <v>4</v>
      </c>
      <c r="C1925" s="106">
        <v>0.0044044197525173</v>
      </c>
      <c r="D1925" s="102" t="s">
        <v>2325</v>
      </c>
      <c r="E1925" s="102" t="b">
        <v>0</v>
      </c>
      <c r="F1925" s="102" t="b">
        <v>0</v>
      </c>
      <c r="G1925" s="102" t="b">
        <v>0</v>
      </c>
    </row>
    <row r="1926" spans="1:7" ht="15">
      <c r="A1926" s="104" t="s">
        <v>2746</v>
      </c>
      <c r="B1926" s="102">
        <v>4</v>
      </c>
      <c r="C1926" s="106">
        <v>0.0044044197525173</v>
      </c>
      <c r="D1926" s="102" t="s">
        <v>2325</v>
      </c>
      <c r="E1926" s="102" t="b">
        <v>0</v>
      </c>
      <c r="F1926" s="102" t="b">
        <v>0</v>
      </c>
      <c r="G1926" s="102" t="b">
        <v>0</v>
      </c>
    </row>
    <row r="1927" spans="1:7" ht="15">
      <c r="A1927" s="104" t="s">
        <v>2656</v>
      </c>
      <c r="B1927" s="102">
        <v>4</v>
      </c>
      <c r="C1927" s="106">
        <v>0.0044044197525173</v>
      </c>
      <c r="D1927" s="102" t="s">
        <v>2325</v>
      </c>
      <c r="E1927" s="102" t="b">
        <v>0</v>
      </c>
      <c r="F1927" s="102" t="b">
        <v>0</v>
      </c>
      <c r="G1927" s="102" t="b">
        <v>0</v>
      </c>
    </row>
    <row r="1928" spans="1:7" ht="15">
      <c r="A1928" s="104" t="s">
        <v>2607</v>
      </c>
      <c r="B1928" s="102">
        <v>4</v>
      </c>
      <c r="C1928" s="106">
        <v>0.0044044197525173</v>
      </c>
      <c r="D1928" s="102" t="s">
        <v>2325</v>
      </c>
      <c r="E1928" s="102" t="b">
        <v>0</v>
      </c>
      <c r="F1928" s="102" t="b">
        <v>0</v>
      </c>
      <c r="G1928" s="102" t="b">
        <v>0</v>
      </c>
    </row>
    <row r="1929" spans="1:7" ht="15">
      <c r="A1929" s="104" t="s">
        <v>2463</v>
      </c>
      <c r="B1929" s="102">
        <v>3</v>
      </c>
      <c r="C1929" s="106">
        <v>0.0023708302774765825</v>
      </c>
      <c r="D1929" s="102" t="s">
        <v>2325</v>
      </c>
      <c r="E1929" s="102" t="b">
        <v>0</v>
      </c>
      <c r="F1929" s="102" t="b">
        <v>0</v>
      </c>
      <c r="G1929" s="102" t="b">
        <v>0</v>
      </c>
    </row>
    <row r="1930" spans="1:7" ht="15">
      <c r="A1930" s="104" t="s">
        <v>2631</v>
      </c>
      <c r="B1930" s="102">
        <v>3</v>
      </c>
      <c r="C1930" s="106">
        <v>0.0033033148143879745</v>
      </c>
      <c r="D1930" s="102" t="s">
        <v>2325</v>
      </c>
      <c r="E1930" s="102" t="b">
        <v>0</v>
      </c>
      <c r="F1930" s="102" t="b">
        <v>0</v>
      </c>
      <c r="G1930" s="102" t="b">
        <v>0</v>
      </c>
    </row>
    <row r="1931" spans="1:7" ht="15">
      <c r="A1931" s="104" t="s">
        <v>2373</v>
      </c>
      <c r="B1931" s="102">
        <v>3</v>
      </c>
      <c r="C1931" s="106">
        <v>0.002714982575305275</v>
      </c>
      <c r="D1931" s="102" t="s">
        <v>2325</v>
      </c>
      <c r="E1931" s="102" t="b">
        <v>0</v>
      </c>
      <c r="F1931" s="102" t="b">
        <v>0</v>
      </c>
      <c r="G1931" s="102" t="b">
        <v>0</v>
      </c>
    </row>
    <row r="1932" spans="1:7" ht="15">
      <c r="A1932" s="104" t="s">
        <v>2877</v>
      </c>
      <c r="B1932" s="102">
        <v>3</v>
      </c>
      <c r="C1932" s="106">
        <v>0.0033033148143879745</v>
      </c>
      <c r="D1932" s="102" t="s">
        <v>2325</v>
      </c>
      <c r="E1932" s="102" t="b">
        <v>0</v>
      </c>
      <c r="F1932" s="102" t="b">
        <v>0</v>
      </c>
      <c r="G1932" s="102" t="b">
        <v>0</v>
      </c>
    </row>
    <row r="1933" spans="1:7" ht="15">
      <c r="A1933" s="104" t="s">
        <v>2410</v>
      </c>
      <c r="B1933" s="102">
        <v>3</v>
      </c>
      <c r="C1933" s="106">
        <v>0.002714982575305275</v>
      </c>
      <c r="D1933" s="102" t="s">
        <v>2325</v>
      </c>
      <c r="E1933" s="102" t="b">
        <v>0</v>
      </c>
      <c r="F1933" s="102" t="b">
        <v>0</v>
      </c>
      <c r="G1933" s="102" t="b">
        <v>0</v>
      </c>
    </row>
    <row r="1934" spans="1:7" ht="15">
      <c r="A1934" s="104" t="s">
        <v>2397</v>
      </c>
      <c r="B1934" s="102">
        <v>3</v>
      </c>
      <c r="C1934" s="106">
        <v>0.002714982575305275</v>
      </c>
      <c r="D1934" s="102" t="s">
        <v>2325</v>
      </c>
      <c r="E1934" s="102" t="b">
        <v>0</v>
      </c>
      <c r="F1934" s="102" t="b">
        <v>0</v>
      </c>
      <c r="G1934" s="102" t="b">
        <v>0</v>
      </c>
    </row>
    <row r="1935" spans="1:7" ht="15">
      <c r="A1935" s="104" t="s">
        <v>2871</v>
      </c>
      <c r="B1935" s="102">
        <v>3</v>
      </c>
      <c r="C1935" s="106">
        <v>0.0033033148143879745</v>
      </c>
      <c r="D1935" s="102" t="s">
        <v>2325</v>
      </c>
      <c r="E1935" s="102" t="b">
        <v>0</v>
      </c>
      <c r="F1935" s="102" t="b">
        <v>0</v>
      </c>
      <c r="G1935" s="102" t="b">
        <v>0</v>
      </c>
    </row>
    <row r="1936" spans="1:7" ht="15">
      <c r="A1936" s="104" t="s">
        <v>2872</v>
      </c>
      <c r="B1936" s="102">
        <v>3</v>
      </c>
      <c r="C1936" s="106">
        <v>0.0033033148143879745</v>
      </c>
      <c r="D1936" s="102" t="s">
        <v>2325</v>
      </c>
      <c r="E1936" s="102" t="b">
        <v>0</v>
      </c>
      <c r="F1936" s="102" t="b">
        <v>0</v>
      </c>
      <c r="G1936" s="102" t="b">
        <v>0</v>
      </c>
    </row>
    <row r="1937" spans="1:7" ht="15">
      <c r="A1937" s="104" t="s">
        <v>2873</v>
      </c>
      <c r="B1937" s="102">
        <v>3</v>
      </c>
      <c r="C1937" s="106">
        <v>0.0033033148143879745</v>
      </c>
      <c r="D1937" s="102" t="s">
        <v>2325</v>
      </c>
      <c r="E1937" s="102" t="b">
        <v>1</v>
      </c>
      <c r="F1937" s="102" t="b">
        <v>0</v>
      </c>
      <c r="G1937" s="102" t="b">
        <v>0</v>
      </c>
    </row>
    <row r="1938" spans="1:7" ht="15">
      <c r="A1938" s="104" t="s">
        <v>2874</v>
      </c>
      <c r="B1938" s="102">
        <v>3</v>
      </c>
      <c r="C1938" s="106">
        <v>0.0033033148143879745</v>
      </c>
      <c r="D1938" s="102" t="s">
        <v>2325</v>
      </c>
      <c r="E1938" s="102" t="b">
        <v>0</v>
      </c>
      <c r="F1938" s="102" t="b">
        <v>0</v>
      </c>
      <c r="G1938" s="102" t="b">
        <v>0</v>
      </c>
    </row>
    <row r="1939" spans="1:7" ht="15">
      <c r="A1939" s="104" t="s">
        <v>2386</v>
      </c>
      <c r="B1939" s="102">
        <v>3</v>
      </c>
      <c r="C1939" s="106">
        <v>0.0033033148143879745</v>
      </c>
      <c r="D1939" s="102" t="s">
        <v>2325</v>
      </c>
      <c r="E1939" s="102" t="b">
        <v>0</v>
      </c>
      <c r="F1939" s="102" t="b">
        <v>0</v>
      </c>
      <c r="G1939" s="102" t="b">
        <v>0</v>
      </c>
    </row>
    <row r="1940" spans="1:7" ht="15">
      <c r="A1940" s="104" t="s">
        <v>2730</v>
      </c>
      <c r="B1940" s="102">
        <v>3</v>
      </c>
      <c r="C1940" s="106">
        <v>0.0033033148143879745</v>
      </c>
      <c r="D1940" s="102" t="s">
        <v>2325</v>
      </c>
      <c r="E1940" s="102" t="b">
        <v>0</v>
      </c>
      <c r="F1940" s="102" t="b">
        <v>0</v>
      </c>
      <c r="G1940" s="102" t="b">
        <v>0</v>
      </c>
    </row>
    <row r="1941" spans="1:7" ht="15">
      <c r="A1941" s="104" t="s">
        <v>2729</v>
      </c>
      <c r="B1941" s="102">
        <v>3</v>
      </c>
      <c r="C1941" s="106">
        <v>0.002714982575305275</v>
      </c>
      <c r="D1941" s="102" t="s">
        <v>2325</v>
      </c>
      <c r="E1941" s="102" t="b">
        <v>1</v>
      </c>
      <c r="F1941" s="102" t="b">
        <v>0</v>
      </c>
      <c r="G1941" s="102" t="b">
        <v>0</v>
      </c>
    </row>
    <row r="1942" spans="1:7" ht="15">
      <c r="A1942" s="104" t="s">
        <v>2567</v>
      </c>
      <c r="B1942" s="102">
        <v>3</v>
      </c>
      <c r="C1942" s="106">
        <v>0.002714982575305275</v>
      </c>
      <c r="D1942" s="102" t="s">
        <v>2325</v>
      </c>
      <c r="E1942" s="102" t="b">
        <v>0</v>
      </c>
      <c r="F1942" s="102" t="b">
        <v>0</v>
      </c>
      <c r="G1942" s="102" t="b">
        <v>0</v>
      </c>
    </row>
    <row r="1943" spans="1:7" ht="15">
      <c r="A1943" s="104" t="s">
        <v>2868</v>
      </c>
      <c r="B1943" s="102">
        <v>3</v>
      </c>
      <c r="C1943" s="106">
        <v>0.0033033148143879745</v>
      </c>
      <c r="D1943" s="102" t="s">
        <v>2325</v>
      </c>
      <c r="E1943" s="102" t="b">
        <v>1</v>
      </c>
      <c r="F1943" s="102" t="b">
        <v>0</v>
      </c>
      <c r="G1943" s="102" t="b">
        <v>0</v>
      </c>
    </row>
    <row r="1944" spans="1:7" ht="15">
      <c r="A1944" s="104" t="s">
        <v>2362</v>
      </c>
      <c r="B1944" s="102">
        <v>3</v>
      </c>
      <c r="C1944" s="106">
        <v>0.002714982575305275</v>
      </c>
      <c r="D1944" s="102" t="s">
        <v>2325</v>
      </c>
      <c r="E1944" s="102" t="b">
        <v>0</v>
      </c>
      <c r="F1944" s="102" t="b">
        <v>0</v>
      </c>
      <c r="G1944" s="102" t="b">
        <v>0</v>
      </c>
    </row>
    <row r="1945" spans="1:7" ht="15">
      <c r="A1945" s="104" t="s">
        <v>2754</v>
      </c>
      <c r="B1945" s="102">
        <v>3</v>
      </c>
      <c r="C1945" s="106">
        <v>0.002714982575305275</v>
      </c>
      <c r="D1945" s="102" t="s">
        <v>2325</v>
      </c>
      <c r="E1945" s="102" t="b">
        <v>0</v>
      </c>
      <c r="F1945" s="102" t="b">
        <v>0</v>
      </c>
      <c r="G1945" s="102" t="b">
        <v>0</v>
      </c>
    </row>
    <row r="1946" spans="1:7" ht="15">
      <c r="A1946" s="104" t="s">
        <v>2752</v>
      </c>
      <c r="B1946" s="102">
        <v>3</v>
      </c>
      <c r="C1946" s="106">
        <v>0.0023708302774765825</v>
      </c>
      <c r="D1946" s="102" t="s">
        <v>2325</v>
      </c>
      <c r="E1946" s="102" t="b">
        <v>0</v>
      </c>
      <c r="F1946" s="102" t="b">
        <v>0</v>
      </c>
      <c r="G1946" s="102" t="b">
        <v>0</v>
      </c>
    </row>
    <row r="1947" spans="1:7" ht="15">
      <c r="A1947" s="104" t="s">
        <v>2751</v>
      </c>
      <c r="B1947" s="102">
        <v>3</v>
      </c>
      <c r="C1947" s="106">
        <v>0.0023708302774765825</v>
      </c>
      <c r="D1947" s="102" t="s">
        <v>2325</v>
      </c>
      <c r="E1947" s="102" t="b">
        <v>0</v>
      </c>
      <c r="F1947" s="102" t="b">
        <v>0</v>
      </c>
      <c r="G1947" s="102" t="b">
        <v>0</v>
      </c>
    </row>
    <row r="1948" spans="1:7" ht="15">
      <c r="A1948" s="104" t="s">
        <v>2864</v>
      </c>
      <c r="B1948" s="102">
        <v>3</v>
      </c>
      <c r="C1948" s="106">
        <v>0.002714982575305275</v>
      </c>
      <c r="D1948" s="102" t="s">
        <v>2325</v>
      </c>
      <c r="E1948" s="102" t="b">
        <v>0</v>
      </c>
      <c r="F1948" s="102" t="b">
        <v>0</v>
      </c>
      <c r="G1948" s="102" t="b">
        <v>0</v>
      </c>
    </row>
    <row r="1949" spans="1:7" ht="15">
      <c r="A1949" s="104" t="s">
        <v>2658</v>
      </c>
      <c r="B1949" s="102">
        <v>3</v>
      </c>
      <c r="C1949" s="106">
        <v>0.002714982575305275</v>
      </c>
      <c r="D1949" s="102" t="s">
        <v>2325</v>
      </c>
      <c r="E1949" s="102" t="b">
        <v>0</v>
      </c>
      <c r="F1949" s="102" t="b">
        <v>0</v>
      </c>
      <c r="G1949" s="102" t="b">
        <v>0</v>
      </c>
    </row>
    <row r="1950" spans="1:7" ht="15">
      <c r="A1950" s="104" t="s">
        <v>2860</v>
      </c>
      <c r="B1950" s="102">
        <v>3</v>
      </c>
      <c r="C1950" s="106">
        <v>0.0033033148143879745</v>
      </c>
      <c r="D1950" s="102" t="s">
        <v>2325</v>
      </c>
      <c r="E1950" s="102" t="b">
        <v>0</v>
      </c>
      <c r="F1950" s="102" t="b">
        <v>0</v>
      </c>
      <c r="G1950" s="102" t="b">
        <v>0</v>
      </c>
    </row>
    <row r="1951" spans="1:7" ht="15">
      <c r="A1951" s="104" t="s">
        <v>2638</v>
      </c>
      <c r="B1951" s="102">
        <v>3</v>
      </c>
      <c r="C1951" s="106">
        <v>0.0033033148143879745</v>
      </c>
      <c r="D1951" s="102" t="s">
        <v>2325</v>
      </c>
      <c r="E1951" s="102" t="b">
        <v>0</v>
      </c>
      <c r="F1951" s="102" t="b">
        <v>0</v>
      </c>
      <c r="G1951" s="102" t="b">
        <v>0</v>
      </c>
    </row>
    <row r="1952" spans="1:7" ht="15">
      <c r="A1952" s="104" t="s">
        <v>2674</v>
      </c>
      <c r="B1952" s="102">
        <v>3</v>
      </c>
      <c r="C1952" s="106">
        <v>0.0033033148143879745</v>
      </c>
      <c r="D1952" s="102" t="s">
        <v>2325</v>
      </c>
      <c r="E1952" s="102" t="b">
        <v>0</v>
      </c>
      <c r="F1952" s="102" t="b">
        <v>0</v>
      </c>
      <c r="G1952" s="102" t="b">
        <v>0</v>
      </c>
    </row>
    <row r="1953" spans="1:7" ht="15">
      <c r="A1953" s="104" t="s">
        <v>2538</v>
      </c>
      <c r="B1953" s="102">
        <v>2</v>
      </c>
      <c r="C1953" s="106">
        <v>0.00180998838353685</v>
      </c>
      <c r="D1953" s="102" t="s">
        <v>2325</v>
      </c>
      <c r="E1953" s="102" t="b">
        <v>0</v>
      </c>
      <c r="F1953" s="102" t="b">
        <v>0</v>
      </c>
      <c r="G1953" s="102" t="b">
        <v>0</v>
      </c>
    </row>
    <row r="1954" spans="1:7" ht="15">
      <c r="A1954" s="104" t="s">
        <v>2606</v>
      </c>
      <c r="B1954" s="102">
        <v>2</v>
      </c>
      <c r="C1954" s="106">
        <v>0.00180998838353685</v>
      </c>
      <c r="D1954" s="102" t="s">
        <v>2325</v>
      </c>
      <c r="E1954" s="102" t="b">
        <v>0</v>
      </c>
      <c r="F1954" s="102" t="b">
        <v>1</v>
      </c>
      <c r="G1954" s="102" t="b">
        <v>0</v>
      </c>
    </row>
    <row r="1955" spans="1:7" ht="15">
      <c r="A1955" s="104" t="s">
        <v>2562</v>
      </c>
      <c r="B1955" s="102">
        <v>2</v>
      </c>
      <c r="C1955" s="106">
        <v>0.00180998838353685</v>
      </c>
      <c r="D1955" s="102" t="s">
        <v>2325</v>
      </c>
      <c r="E1955" s="102" t="b">
        <v>0</v>
      </c>
      <c r="F1955" s="102" t="b">
        <v>0</v>
      </c>
      <c r="G1955" s="102" t="b">
        <v>0</v>
      </c>
    </row>
    <row r="1956" spans="1:7" ht="15">
      <c r="A1956" s="104" t="s">
        <v>2527</v>
      </c>
      <c r="B1956" s="102">
        <v>2</v>
      </c>
      <c r="C1956" s="106">
        <v>0.00180998838353685</v>
      </c>
      <c r="D1956" s="102" t="s">
        <v>2325</v>
      </c>
      <c r="E1956" s="102" t="b">
        <v>0</v>
      </c>
      <c r="F1956" s="102" t="b">
        <v>0</v>
      </c>
      <c r="G1956" s="102" t="b">
        <v>0</v>
      </c>
    </row>
    <row r="1957" spans="1:7" ht="15">
      <c r="A1957" s="104" t="s">
        <v>2615</v>
      </c>
      <c r="B1957" s="102">
        <v>2</v>
      </c>
      <c r="C1957" s="106">
        <v>0.00180998838353685</v>
      </c>
      <c r="D1957" s="102" t="s">
        <v>2325</v>
      </c>
      <c r="E1957" s="102" t="b">
        <v>0</v>
      </c>
      <c r="F1957" s="102" t="b">
        <v>0</v>
      </c>
      <c r="G1957" s="102" t="b">
        <v>0</v>
      </c>
    </row>
    <row r="1958" spans="1:7" ht="15">
      <c r="A1958" s="104" t="s">
        <v>2745</v>
      </c>
      <c r="B1958" s="102">
        <v>2</v>
      </c>
      <c r="C1958" s="106">
        <v>0.00180998838353685</v>
      </c>
      <c r="D1958" s="102" t="s">
        <v>2325</v>
      </c>
      <c r="E1958" s="102" t="b">
        <v>0</v>
      </c>
      <c r="F1958" s="102" t="b">
        <v>0</v>
      </c>
      <c r="G1958" s="102" t="b">
        <v>0</v>
      </c>
    </row>
    <row r="1959" spans="1:7" ht="15">
      <c r="A1959" s="104" t="s">
        <v>2414</v>
      </c>
      <c r="B1959" s="102">
        <v>2</v>
      </c>
      <c r="C1959" s="106">
        <v>0.00220220987625865</v>
      </c>
      <c r="D1959" s="102" t="s">
        <v>2325</v>
      </c>
      <c r="E1959" s="102" t="b">
        <v>0</v>
      </c>
      <c r="F1959" s="102" t="b">
        <v>0</v>
      </c>
      <c r="G1959" s="102" t="b">
        <v>0</v>
      </c>
    </row>
    <row r="1960" spans="1:7" ht="15">
      <c r="A1960" s="104" t="s">
        <v>2698</v>
      </c>
      <c r="B1960" s="102">
        <v>2</v>
      </c>
      <c r="C1960" s="106">
        <v>0.00220220987625865</v>
      </c>
      <c r="D1960" s="102" t="s">
        <v>2325</v>
      </c>
      <c r="E1960" s="102" t="b">
        <v>0</v>
      </c>
      <c r="F1960" s="102" t="b">
        <v>0</v>
      </c>
      <c r="G1960" s="102" t="b">
        <v>0</v>
      </c>
    </row>
    <row r="1961" spans="1:7" ht="15">
      <c r="A1961" s="104" t="s">
        <v>2750</v>
      </c>
      <c r="B1961" s="102">
        <v>2</v>
      </c>
      <c r="C1961" s="106">
        <v>0.00180998838353685</v>
      </c>
      <c r="D1961" s="102" t="s">
        <v>2325</v>
      </c>
      <c r="E1961" s="102" t="b">
        <v>0</v>
      </c>
      <c r="F1961" s="102" t="b">
        <v>0</v>
      </c>
      <c r="G1961" s="102" t="b">
        <v>0</v>
      </c>
    </row>
    <row r="1962" spans="1:7" ht="15">
      <c r="A1962" s="104" t="s">
        <v>2889</v>
      </c>
      <c r="B1962" s="102">
        <v>2</v>
      </c>
      <c r="C1962" s="106">
        <v>0.00180998838353685</v>
      </c>
      <c r="D1962" s="102" t="s">
        <v>2325</v>
      </c>
      <c r="E1962" s="102" t="b">
        <v>0</v>
      </c>
      <c r="F1962" s="102" t="b">
        <v>0</v>
      </c>
      <c r="G1962" s="102" t="b">
        <v>0</v>
      </c>
    </row>
    <row r="1963" spans="1:7" ht="15">
      <c r="A1963" s="104" t="s">
        <v>3214</v>
      </c>
      <c r="B1963" s="102">
        <v>2</v>
      </c>
      <c r="C1963" s="106">
        <v>0.00220220987625865</v>
      </c>
      <c r="D1963" s="102" t="s">
        <v>2325</v>
      </c>
      <c r="E1963" s="102" t="b">
        <v>0</v>
      </c>
      <c r="F1963" s="102" t="b">
        <v>0</v>
      </c>
      <c r="G1963" s="102" t="b">
        <v>0</v>
      </c>
    </row>
    <row r="1964" spans="1:7" ht="15">
      <c r="A1964" s="104" t="s">
        <v>2685</v>
      </c>
      <c r="B1964" s="102">
        <v>2</v>
      </c>
      <c r="C1964" s="106">
        <v>0.00220220987625865</v>
      </c>
      <c r="D1964" s="102" t="s">
        <v>2325</v>
      </c>
      <c r="E1964" s="102" t="b">
        <v>0</v>
      </c>
      <c r="F1964" s="102" t="b">
        <v>0</v>
      </c>
      <c r="G1964" s="102" t="b">
        <v>0</v>
      </c>
    </row>
    <row r="1965" spans="1:7" ht="15">
      <c r="A1965" s="104" t="s">
        <v>2381</v>
      </c>
      <c r="B1965" s="102">
        <v>2</v>
      </c>
      <c r="C1965" s="106">
        <v>0.00180998838353685</v>
      </c>
      <c r="D1965" s="102" t="s">
        <v>2325</v>
      </c>
      <c r="E1965" s="102" t="b">
        <v>0</v>
      </c>
      <c r="F1965" s="102" t="b">
        <v>0</v>
      </c>
      <c r="G1965" s="102" t="b">
        <v>0</v>
      </c>
    </row>
    <row r="1966" spans="1:7" ht="15">
      <c r="A1966" s="104" t="s">
        <v>2398</v>
      </c>
      <c r="B1966" s="102">
        <v>2</v>
      </c>
      <c r="C1966" s="106">
        <v>0.00180998838353685</v>
      </c>
      <c r="D1966" s="102" t="s">
        <v>2325</v>
      </c>
      <c r="E1966" s="102" t="b">
        <v>0</v>
      </c>
      <c r="F1966" s="102" t="b">
        <v>0</v>
      </c>
      <c r="G1966" s="102" t="b">
        <v>0</v>
      </c>
    </row>
    <row r="1967" spans="1:7" ht="15">
      <c r="A1967" s="104" t="s">
        <v>2492</v>
      </c>
      <c r="B1967" s="102">
        <v>2</v>
      </c>
      <c r="C1967" s="106">
        <v>0.00180998838353685</v>
      </c>
      <c r="D1967" s="102" t="s">
        <v>2325</v>
      </c>
      <c r="E1967" s="102" t="b">
        <v>0</v>
      </c>
      <c r="F1967" s="102" t="b">
        <v>0</v>
      </c>
      <c r="G1967" s="102" t="b">
        <v>0</v>
      </c>
    </row>
    <row r="1968" spans="1:7" ht="15">
      <c r="A1968" s="104" t="s">
        <v>2401</v>
      </c>
      <c r="B1968" s="102">
        <v>2</v>
      </c>
      <c r="C1968" s="106">
        <v>0.00180998838353685</v>
      </c>
      <c r="D1968" s="102" t="s">
        <v>2325</v>
      </c>
      <c r="E1968" s="102" t="b">
        <v>0</v>
      </c>
      <c r="F1968" s="102" t="b">
        <v>0</v>
      </c>
      <c r="G1968" s="102" t="b">
        <v>0</v>
      </c>
    </row>
    <row r="1969" spans="1:7" ht="15">
      <c r="A1969" s="104" t="s">
        <v>2409</v>
      </c>
      <c r="B1969" s="102">
        <v>2</v>
      </c>
      <c r="C1969" s="106">
        <v>0.00180998838353685</v>
      </c>
      <c r="D1969" s="102" t="s">
        <v>2325</v>
      </c>
      <c r="E1969" s="102" t="b">
        <v>0</v>
      </c>
      <c r="F1969" s="102" t="b">
        <v>0</v>
      </c>
      <c r="G1969" s="102" t="b">
        <v>0</v>
      </c>
    </row>
    <row r="1970" spans="1:7" ht="15">
      <c r="A1970" s="104" t="s">
        <v>2616</v>
      </c>
      <c r="B1970" s="102">
        <v>2</v>
      </c>
      <c r="C1970" s="106">
        <v>0.00220220987625865</v>
      </c>
      <c r="D1970" s="102" t="s">
        <v>2325</v>
      </c>
      <c r="E1970" s="102" t="b">
        <v>0</v>
      </c>
      <c r="F1970" s="102" t="b">
        <v>0</v>
      </c>
      <c r="G1970" s="102" t="b">
        <v>0</v>
      </c>
    </row>
    <row r="1971" spans="1:7" ht="15">
      <c r="A1971" s="104" t="s">
        <v>2879</v>
      </c>
      <c r="B1971" s="102">
        <v>2</v>
      </c>
      <c r="C1971" s="106">
        <v>0.00220220987625865</v>
      </c>
      <c r="D1971" s="102" t="s">
        <v>2325</v>
      </c>
      <c r="E1971" s="102" t="b">
        <v>0</v>
      </c>
      <c r="F1971" s="102" t="b">
        <v>1</v>
      </c>
      <c r="G1971" s="102" t="b">
        <v>0</v>
      </c>
    </row>
    <row r="1972" spans="1:7" ht="15">
      <c r="A1972" s="104" t="s">
        <v>2599</v>
      </c>
      <c r="B1972" s="102">
        <v>2</v>
      </c>
      <c r="C1972" s="106">
        <v>0.00220220987625865</v>
      </c>
      <c r="D1972" s="102" t="s">
        <v>2325</v>
      </c>
      <c r="E1972" s="102" t="b">
        <v>0</v>
      </c>
      <c r="F1972" s="102" t="b">
        <v>1</v>
      </c>
      <c r="G1972" s="102" t="b">
        <v>0</v>
      </c>
    </row>
    <row r="1973" spans="1:7" ht="15">
      <c r="A1973" s="104" t="s">
        <v>2408</v>
      </c>
      <c r="B1973" s="102">
        <v>2</v>
      </c>
      <c r="C1973" s="106">
        <v>0.00180998838353685</v>
      </c>
      <c r="D1973" s="102" t="s">
        <v>2325</v>
      </c>
      <c r="E1973" s="102" t="b">
        <v>0</v>
      </c>
      <c r="F1973" s="102" t="b">
        <v>1</v>
      </c>
      <c r="G1973" s="102" t="b">
        <v>0</v>
      </c>
    </row>
    <row r="1974" spans="1:7" ht="15">
      <c r="A1974" s="104" t="s">
        <v>2402</v>
      </c>
      <c r="B1974" s="102">
        <v>2</v>
      </c>
      <c r="C1974" s="106">
        <v>0.00220220987625865</v>
      </c>
      <c r="D1974" s="102" t="s">
        <v>2325</v>
      </c>
      <c r="E1974" s="102" t="b">
        <v>0</v>
      </c>
      <c r="F1974" s="102" t="b">
        <v>0</v>
      </c>
      <c r="G1974" s="102" t="b">
        <v>0</v>
      </c>
    </row>
    <row r="1975" spans="1:7" ht="15">
      <c r="A1975" s="104" t="s">
        <v>2876</v>
      </c>
      <c r="B1975" s="102">
        <v>2</v>
      </c>
      <c r="C1975" s="106">
        <v>0.00220220987625865</v>
      </c>
      <c r="D1975" s="102" t="s">
        <v>2325</v>
      </c>
      <c r="E1975" s="102" t="b">
        <v>0</v>
      </c>
      <c r="F1975" s="102" t="b">
        <v>0</v>
      </c>
      <c r="G1975" s="102" t="b">
        <v>0</v>
      </c>
    </row>
    <row r="1976" spans="1:7" ht="15">
      <c r="A1976" s="104" t="s">
        <v>2679</v>
      </c>
      <c r="B1976" s="102">
        <v>2</v>
      </c>
      <c r="C1976" s="106">
        <v>0.00220220987625865</v>
      </c>
      <c r="D1976" s="102" t="s">
        <v>2325</v>
      </c>
      <c r="E1976" s="102" t="b">
        <v>0</v>
      </c>
      <c r="F1976" s="102" t="b">
        <v>0</v>
      </c>
      <c r="G1976" s="102" t="b">
        <v>0</v>
      </c>
    </row>
    <row r="1977" spans="1:7" ht="15">
      <c r="A1977" s="104" t="s">
        <v>2543</v>
      </c>
      <c r="B1977" s="102">
        <v>2</v>
      </c>
      <c r="C1977" s="106">
        <v>0.00180998838353685</v>
      </c>
      <c r="D1977" s="102" t="s">
        <v>2325</v>
      </c>
      <c r="E1977" s="102" t="b">
        <v>0</v>
      </c>
      <c r="F1977" s="102" t="b">
        <v>0</v>
      </c>
      <c r="G1977" s="102" t="b">
        <v>0</v>
      </c>
    </row>
    <row r="1978" spans="1:7" ht="15">
      <c r="A1978" s="104" t="s">
        <v>2747</v>
      </c>
      <c r="B1978" s="102">
        <v>2</v>
      </c>
      <c r="C1978" s="106">
        <v>0.00180998838353685</v>
      </c>
      <c r="D1978" s="102" t="s">
        <v>2325</v>
      </c>
      <c r="E1978" s="102" t="b">
        <v>0</v>
      </c>
      <c r="F1978" s="102" t="b">
        <v>1</v>
      </c>
      <c r="G1978" s="102" t="b">
        <v>0</v>
      </c>
    </row>
    <row r="1979" spans="1:7" ht="15">
      <c r="A1979" s="104" t="s">
        <v>2479</v>
      </c>
      <c r="B1979" s="102">
        <v>2</v>
      </c>
      <c r="C1979" s="106">
        <v>0.00180998838353685</v>
      </c>
      <c r="D1979" s="102" t="s">
        <v>2325</v>
      </c>
      <c r="E1979" s="102" t="b">
        <v>0</v>
      </c>
      <c r="F1979" s="102" t="b">
        <v>0</v>
      </c>
      <c r="G1979" s="102" t="b">
        <v>0</v>
      </c>
    </row>
    <row r="1980" spans="1:7" ht="15">
      <c r="A1980" s="104" t="s">
        <v>3121</v>
      </c>
      <c r="B1980" s="102">
        <v>2</v>
      </c>
      <c r="C1980" s="106">
        <v>0.00180998838353685</v>
      </c>
      <c r="D1980" s="102" t="s">
        <v>2325</v>
      </c>
      <c r="E1980" s="102" t="b">
        <v>0</v>
      </c>
      <c r="F1980" s="102" t="b">
        <v>0</v>
      </c>
      <c r="G1980" s="102" t="b">
        <v>0</v>
      </c>
    </row>
    <row r="1981" spans="1:7" ht="15">
      <c r="A1981" s="104" t="s">
        <v>3119</v>
      </c>
      <c r="B1981" s="102">
        <v>2</v>
      </c>
      <c r="C1981" s="106">
        <v>0.00180998838353685</v>
      </c>
      <c r="D1981" s="102" t="s">
        <v>2325</v>
      </c>
      <c r="E1981" s="102" t="b">
        <v>0</v>
      </c>
      <c r="F1981" s="102" t="b">
        <v>0</v>
      </c>
      <c r="G1981" s="102" t="b">
        <v>0</v>
      </c>
    </row>
    <row r="1982" spans="1:7" ht="15">
      <c r="A1982" s="104" t="s">
        <v>3120</v>
      </c>
      <c r="B1982" s="102">
        <v>2</v>
      </c>
      <c r="C1982" s="106">
        <v>0.00180998838353685</v>
      </c>
      <c r="D1982" s="102" t="s">
        <v>2325</v>
      </c>
      <c r="E1982" s="102" t="b">
        <v>0</v>
      </c>
      <c r="F1982" s="102" t="b">
        <v>0</v>
      </c>
      <c r="G1982" s="102" t="b">
        <v>0</v>
      </c>
    </row>
    <row r="1983" spans="1:7" ht="15">
      <c r="A1983" s="104" t="s">
        <v>2604</v>
      </c>
      <c r="B1983" s="102">
        <v>2</v>
      </c>
      <c r="C1983" s="106">
        <v>0.00220220987625865</v>
      </c>
      <c r="D1983" s="102" t="s">
        <v>2325</v>
      </c>
      <c r="E1983" s="102" t="b">
        <v>0</v>
      </c>
      <c r="F1983" s="102" t="b">
        <v>0</v>
      </c>
      <c r="G1983" s="102" t="b">
        <v>0</v>
      </c>
    </row>
    <row r="1984" spans="1:7" ht="15">
      <c r="A1984" s="104" t="s">
        <v>2743</v>
      </c>
      <c r="B1984" s="102">
        <v>2</v>
      </c>
      <c r="C1984" s="106">
        <v>0.00180998838353685</v>
      </c>
      <c r="D1984" s="102" t="s">
        <v>2325</v>
      </c>
      <c r="E1984" s="102" t="b">
        <v>0</v>
      </c>
      <c r="F1984" s="102" t="b">
        <v>0</v>
      </c>
      <c r="G1984" s="102" t="b">
        <v>0</v>
      </c>
    </row>
    <row r="1985" spans="1:7" ht="15">
      <c r="A1985" s="104" t="s">
        <v>2438</v>
      </c>
      <c r="B1985" s="102">
        <v>2</v>
      </c>
      <c r="C1985" s="106">
        <v>0.00180998838353685</v>
      </c>
      <c r="D1985" s="102" t="s">
        <v>2325</v>
      </c>
      <c r="E1985" s="102" t="b">
        <v>0</v>
      </c>
      <c r="F1985" s="102" t="b">
        <v>0</v>
      </c>
      <c r="G1985" s="102" t="b">
        <v>0</v>
      </c>
    </row>
    <row r="1986" spans="1:7" ht="15">
      <c r="A1986" s="104" t="s">
        <v>3078</v>
      </c>
      <c r="B1986" s="102">
        <v>2</v>
      </c>
      <c r="C1986" s="106">
        <v>0.00180998838353685</v>
      </c>
      <c r="D1986" s="102" t="s">
        <v>2325</v>
      </c>
      <c r="E1986" s="102" t="b">
        <v>0</v>
      </c>
      <c r="F1986" s="102" t="b">
        <v>0</v>
      </c>
      <c r="G1986" s="102" t="b">
        <v>0</v>
      </c>
    </row>
    <row r="1987" spans="1:7" ht="15">
      <c r="A1987" s="104" t="s">
        <v>3116</v>
      </c>
      <c r="B1987" s="102">
        <v>2</v>
      </c>
      <c r="C1987" s="106">
        <v>0.00220220987625865</v>
      </c>
      <c r="D1987" s="102" t="s">
        <v>2325</v>
      </c>
      <c r="E1987" s="102" t="b">
        <v>0</v>
      </c>
      <c r="F1987" s="102" t="b">
        <v>0</v>
      </c>
      <c r="G1987" s="102" t="b">
        <v>0</v>
      </c>
    </row>
    <row r="1988" spans="1:7" ht="15">
      <c r="A1988" s="104" t="s">
        <v>3117</v>
      </c>
      <c r="B1988" s="102">
        <v>2</v>
      </c>
      <c r="C1988" s="106">
        <v>0.00220220987625865</v>
      </c>
      <c r="D1988" s="102" t="s">
        <v>2325</v>
      </c>
      <c r="E1988" s="102" t="b">
        <v>0</v>
      </c>
      <c r="F1988" s="102" t="b">
        <v>0</v>
      </c>
      <c r="G1988" s="102" t="b">
        <v>0</v>
      </c>
    </row>
    <row r="1989" spans="1:7" ht="15">
      <c r="A1989" s="104" t="s">
        <v>2673</v>
      </c>
      <c r="B1989" s="102">
        <v>2</v>
      </c>
      <c r="C1989" s="106">
        <v>0.00220220987625865</v>
      </c>
      <c r="D1989" s="102" t="s">
        <v>2325</v>
      </c>
      <c r="E1989" s="102" t="b">
        <v>0</v>
      </c>
      <c r="F1989" s="102" t="b">
        <v>0</v>
      </c>
      <c r="G1989" s="102" t="b">
        <v>0</v>
      </c>
    </row>
    <row r="1990" spans="1:7" ht="15">
      <c r="A1990" s="104" t="s">
        <v>2368</v>
      </c>
      <c r="B1990" s="102">
        <v>2</v>
      </c>
      <c r="C1990" s="106">
        <v>0.00220220987625865</v>
      </c>
      <c r="D1990" s="102" t="s">
        <v>2325</v>
      </c>
      <c r="E1990" s="102" t="b">
        <v>0</v>
      </c>
      <c r="F1990" s="102" t="b">
        <v>0</v>
      </c>
      <c r="G1990" s="102" t="b">
        <v>0</v>
      </c>
    </row>
    <row r="1991" spans="1:7" ht="15">
      <c r="A1991" s="104" t="s">
        <v>3111</v>
      </c>
      <c r="B1991" s="102">
        <v>2</v>
      </c>
      <c r="C1991" s="106">
        <v>0.00220220987625865</v>
      </c>
      <c r="D1991" s="102" t="s">
        <v>2325</v>
      </c>
      <c r="E1991" s="102" t="b">
        <v>0</v>
      </c>
      <c r="F1991" s="102" t="b">
        <v>0</v>
      </c>
      <c r="G1991" s="102" t="b">
        <v>0</v>
      </c>
    </row>
    <row r="1992" spans="1:7" ht="15">
      <c r="A1992" s="104" t="s">
        <v>3112</v>
      </c>
      <c r="B1992" s="102">
        <v>2</v>
      </c>
      <c r="C1992" s="106">
        <v>0.00220220987625865</v>
      </c>
      <c r="D1992" s="102" t="s">
        <v>2325</v>
      </c>
      <c r="E1992" s="102" t="b">
        <v>0</v>
      </c>
      <c r="F1992" s="102" t="b">
        <v>0</v>
      </c>
      <c r="G1992" s="102" t="b">
        <v>0</v>
      </c>
    </row>
    <row r="1993" spans="1:7" ht="15">
      <c r="A1993" s="104" t="s">
        <v>3113</v>
      </c>
      <c r="B1993" s="102">
        <v>2</v>
      </c>
      <c r="C1993" s="106">
        <v>0.00220220987625865</v>
      </c>
      <c r="D1993" s="102" t="s">
        <v>2325</v>
      </c>
      <c r="E1993" s="102" t="b">
        <v>0</v>
      </c>
      <c r="F1993" s="102" t="b">
        <v>0</v>
      </c>
      <c r="G1993" s="102" t="b">
        <v>0</v>
      </c>
    </row>
    <row r="1994" spans="1:7" ht="15">
      <c r="A1994" s="104" t="s">
        <v>3114</v>
      </c>
      <c r="B1994" s="102">
        <v>2</v>
      </c>
      <c r="C1994" s="106">
        <v>0.00220220987625865</v>
      </c>
      <c r="D1994" s="102" t="s">
        <v>2325</v>
      </c>
      <c r="E1994" s="102" t="b">
        <v>0</v>
      </c>
      <c r="F1994" s="102" t="b">
        <v>0</v>
      </c>
      <c r="G1994" s="102" t="b">
        <v>0</v>
      </c>
    </row>
    <row r="1995" spans="1:7" ht="15">
      <c r="A1995" s="104" t="s">
        <v>2756</v>
      </c>
      <c r="B1995" s="102">
        <v>2</v>
      </c>
      <c r="C1995" s="106">
        <v>0.00180998838353685</v>
      </c>
      <c r="D1995" s="102" t="s">
        <v>2325</v>
      </c>
      <c r="E1995" s="102" t="b">
        <v>0</v>
      </c>
      <c r="F1995" s="102" t="b">
        <v>0</v>
      </c>
      <c r="G1995" s="102" t="b">
        <v>0</v>
      </c>
    </row>
    <row r="1996" spans="1:7" ht="15">
      <c r="A1996" s="104" t="s">
        <v>2613</v>
      </c>
      <c r="B1996" s="102">
        <v>2</v>
      </c>
      <c r="C1996" s="106">
        <v>0.00220220987625865</v>
      </c>
      <c r="D1996" s="102" t="s">
        <v>2325</v>
      </c>
      <c r="E1996" s="102" t="b">
        <v>1</v>
      </c>
      <c r="F1996" s="102" t="b">
        <v>0</v>
      </c>
      <c r="G1996" s="102" t="b">
        <v>0</v>
      </c>
    </row>
    <row r="1997" spans="1:7" ht="15">
      <c r="A1997" s="104" t="s">
        <v>2862</v>
      </c>
      <c r="B1997" s="102">
        <v>2</v>
      </c>
      <c r="C1997" s="106">
        <v>0.00180998838353685</v>
      </c>
      <c r="D1997" s="102" t="s">
        <v>2325</v>
      </c>
      <c r="E1997" s="102" t="b">
        <v>0</v>
      </c>
      <c r="F1997" s="102" t="b">
        <v>0</v>
      </c>
      <c r="G1997" s="102" t="b">
        <v>0</v>
      </c>
    </row>
    <row r="1998" spans="1:7" ht="15">
      <c r="A1998" s="104" t="s">
        <v>2701</v>
      </c>
      <c r="B1998" s="102">
        <v>2</v>
      </c>
      <c r="C1998" s="106">
        <v>0.00180998838353685</v>
      </c>
      <c r="D1998" s="102" t="s">
        <v>2325</v>
      </c>
      <c r="E1998" s="102" t="b">
        <v>0</v>
      </c>
      <c r="F1998" s="102" t="b">
        <v>0</v>
      </c>
      <c r="G1998" s="102" t="b">
        <v>0</v>
      </c>
    </row>
    <row r="1999" spans="1:7" ht="15">
      <c r="A1999" s="104" t="s">
        <v>2462</v>
      </c>
      <c r="B1999" s="102">
        <v>2</v>
      </c>
      <c r="C1999" s="106">
        <v>0.00180998838353685</v>
      </c>
      <c r="D1999" s="102" t="s">
        <v>2325</v>
      </c>
      <c r="E1999" s="102" t="b">
        <v>0</v>
      </c>
      <c r="F1999" s="102" t="b">
        <v>0</v>
      </c>
      <c r="G1999" s="102" t="b">
        <v>0</v>
      </c>
    </row>
    <row r="2000" spans="1:7" ht="15">
      <c r="A2000" s="104" t="s">
        <v>2844</v>
      </c>
      <c r="B2000" s="102">
        <v>2</v>
      </c>
      <c r="C2000" s="106">
        <v>0.00180998838353685</v>
      </c>
      <c r="D2000" s="102" t="s">
        <v>2325</v>
      </c>
      <c r="E2000" s="102" t="b">
        <v>0</v>
      </c>
      <c r="F2000" s="102" t="b">
        <v>0</v>
      </c>
      <c r="G2000" s="102" t="b">
        <v>0</v>
      </c>
    </row>
    <row r="2001" spans="1:7" ht="15">
      <c r="A2001" s="104" t="s">
        <v>2738</v>
      </c>
      <c r="B2001" s="102">
        <v>2</v>
      </c>
      <c r="C2001" s="106">
        <v>0.00180998838353685</v>
      </c>
      <c r="D2001" s="102" t="s">
        <v>2325</v>
      </c>
      <c r="E2001" s="102" t="b">
        <v>0</v>
      </c>
      <c r="F2001" s="102" t="b">
        <v>0</v>
      </c>
      <c r="G2001" s="102" t="b">
        <v>0</v>
      </c>
    </row>
    <row r="2002" spans="1:7" ht="15">
      <c r="A2002" s="104" t="s">
        <v>2739</v>
      </c>
      <c r="B2002" s="102">
        <v>2</v>
      </c>
      <c r="C2002" s="106">
        <v>0.00180998838353685</v>
      </c>
      <c r="D2002" s="102" t="s">
        <v>2325</v>
      </c>
      <c r="E2002" s="102" t="b">
        <v>0</v>
      </c>
      <c r="F2002" s="102" t="b">
        <v>0</v>
      </c>
      <c r="G2002" s="102" t="b">
        <v>0</v>
      </c>
    </row>
    <row r="2003" spans="1:7" ht="15">
      <c r="A2003" s="104" t="s">
        <v>2845</v>
      </c>
      <c r="B2003" s="102">
        <v>2</v>
      </c>
      <c r="C2003" s="106">
        <v>0.00180998838353685</v>
      </c>
      <c r="D2003" s="102" t="s">
        <v>2325</v>
      </c>
      <c r="E2003" s="102" t="b">
        <v>0</v>
      </c>
      <c r="F2003" s="102" t="b">
        <v>0</v>
      </c>
      <c r="G2003" s="102" t="b">
        <v>0</v>
      </c>
    </row>
    <row r="2004" spans="1:7" ht="15">
      <c r="A2004" s="104" t="s">
        <v>2602</v>
      </c>
      <c r="B2004" s="102">
        <v>2</v>
      </c>
      <c r="C2004" s="106">
        <v>0.00180998838353685</v>
      </c>
      <c r="D2004" s="102" t="s">
        <v>2325</v>
      </c>
      <c r="E2004" s="102" t="b">
        <v>0</v>
      </c>
      <c r="F2004" s="102" t="b">
        <v>0</v>
      </c>
      <c r="G2004" s="102" t="b">
        <v>0</v>
      </c>
    </row>
    <row r="2005" spans="1:7" ht="15">
      <c r="A2005" s="104" t="s">
        <v>2740</v>
      </c>
      <c r="B2005" s="102">
        <v>2</v>
      </c>
      <c r="C2005" s="106">
        <v>0.00180998838353685</v>
      </c>
      <c r="D2005" s="102" t="s">
        <v>2325</v>
      </c>
      <c r="E2005" s="102" t="b">
        <v>0</v>
      </c>
      <c r="F2005" s="102" t="b">
        <v>0</v>
      </c>
      <c r="G2005" s="102" t="b">
        <v>0</v>
      </c>
    </row>
    <row r="2006" spans="1:7" ht="15">
      <c r="A2006" s="104" t="s">
        <v>2555</v>
      </c>
      <c r="B2006" s="102">
        <v>2</v>
      </c>
      <c r="C2006" s="106">
        <v>0.00180998838353685</v>
      </c>
      <c r="D2006" s="102" t="s">
        <v>2325</v>
      </c>
      <c r="E2006" s="102" t="b">
        <v>0</v>
      </c>
      <c r="F2006" s="102" t="b">
        <v>0</v>
      </c>
      <c r="G2006" s="102" t="b">
        <v>0</v>
      </c>
    </row>
    <row r="2007" spans="1:7" ht="15">
      <c r="A2007" s="104" t="s">
        <v>2846</v>
      </c>
      <c r="B2007" s="102">
        <v>2</v>
      </c>
      <c r="C2007" s="106">
        <v>0.00180998838353685</v>
      </c>
      <c r="D2007" s="102" t="s">
        <v>2325</v>
      </c>
      <c r="E2007" s="102" t="b">
        <v>0</v>
      </c>
      <c r="F2007" s="102" t="b">
        <v>0</v>
      </c>
      <c r="G2007" s="102" t="b">
        <v>0</v>
      </c>
    </row>
    <row r="2008" spans="1:7" ht="15">
      <c r="A2008" s="104" t="s">
        <v>2847</v>
      </c>
      <c r="B2008" s="102">
        <v>2</v>
      </c>
      <c r="C2008" s="106">
        <v>0.00180998838353685</v>
      </c>
      <c r="D2008" s="102" t="s">
        <v>2325</v>
      </c>
      <c r="E2008" s="102" t="b">
        <v>0</v>
      </c>
      <c r="F2008" s="102" t="b">
        <v>0</v>
      </c>
      <c r="G2008" s="102" t="b">
        <v>0</v>
      </c>
    </row>
    <row r="2009" spans="1:7" ht="15">
      <c r="A2009" s="104" t="s">
        <v>2848</v>
      </c>
      <c r="B2009" s="102">
        <v>2</v>
      </c>
      <c r="C2009" s="106">
        <v>0.00180998838353685</v>
      </c>
      <c r="D2009" s="102" t="s">
        <v>2325</v>
      </c>
      <c r="E2009" s="102" t="b">
        <v>0</v>
      </c>
      <c r="F2009" s="102" t="b">
        <v>0</v>
      </c>
      <c r="G2009" s="102" t="b">
        <v>0</v>
      </c>
    </row>
    <row r="2010" spans="1:7" ht="15">
      <c r="A2010" s="104" t="s">
        <v>2593</v>
      </c>
      <c r="B2010" s="102">
        <v>2</v>
      </c>
      <c r="C2010" s="106">
        <v>0.00180998838353685</v>
      </c>
      <c r="D2010" s="102" t="s">
        <v>2325</v>
      </c>
      <c r="E2010" s="102" t="b">
        <v>0</v>
      </c>
      <c r="F2010" s="102" t="b">
        <v>0</v>
      </c>
      <c r="G2010" s="102" t="b">
        <v>0</v>
      </c>
    </row>
    <row r="2011" spans="1:7" ht="15">
      <c r="A2011" s="104" t="s">
        <v>3074</v>
      </c>
      <c r="B2011" s="102">
        <v>2</v>
      </c>
      <c r="C2011" s="106">
        <v>0.00180998838353685</v>
      </c>
      <c r="D2011" s="102" t="s">
        <v>2325</v>
      </c>
      <c r="E2011" s="102" t="b">
        <v>0</v>
      </c>
      <c r="F2011" s="102" t="b">
        <v>0</v>
      </c>
      <c r="G2011" s="102" t="b">
        <v>0</v>
      </c>
    </row>
    <row r="2012" spans="1:7" ht="15">
      <c r="A2012" s="104" t="s">
        <v>2755</v>
      </c>
      <c r="B2012" s="102">
        <v>2</v>
      </c>
      <c r="C2012" s="106">
        <v>0.00220220987625865</v>
      </c>
      <c r="D2012" s="102" t="s">
        <v>2325</v>
      </c>
      <c r="E2012" s="102" t="b">
        <v>0</v>
      </c>
      <c r="F2012" s="102" t="b">
        <v>0</v>
      </c>
      <c r="G2012" s="102" t="b">
        <v>0</v>
      </c>
    </row>
    <row r="2013" spans="1:7" ht="15">
      <c r="A2013" s="104" t="s">
        <v>2591</v>
      </c>
      <c r="B2013" s="102">
        <v>2</v>
      </c>
      <c r="C2013" s="106">
        <v>0.00220220987625865</v>
      </c>
      <c r="D2013" s="102" t="s">
        <v>2325</v>
      </c>
      <c r="E2013" s="102" t="b">
        <v>0</v>
      </c>
      <c r="F2013" s="102" t="b">
        <v>0</v>
      </c>
      <c r="G2013" s="102" t="b">
        <v>0</v>
      </c>
    </row>
    <row r="2014" spans="1:7" ht="15">
      <c r="A2014" s="104" t="s">
        <v>3098</v>
      </c>
      <c r="B2014" s="102">
        <v>2</v>
      </c>
      <c r="C2014" s="106">
        <v>0.00220220987625865</v>
      </c>
      <c r="D2014" s="102" t="s">
        <v>2325</v>
      </c>
      <c r="E2014" s="102" t="b">
        <v>0</v>
      </c>
      <c r="F2014" s="102" t="b">
        <v>0</v>
      </c>
      <c r="G2014" s="102" t="b">
        <v>0</v>
      </c>
    </row>
    <row r="2015" spans="1:7" ht="15">
      <c r="A2015" s="104" t="s">
        <v>3100</v>
      </c>
      <c r="B2015" s="102">
        <v>2</v>
      </c>
      <c r="C2015" s="106">
        <v>0.00220220987625865</v>
      </c>
      <c r="D2015" s="102" t="s">
        <v>2325</v>
      </c>
      <c r="E2015" s="102" t="b">
        <v>0</v>
      </c>
      <c r="F2015" s="102" t="b">
        <v>0</v>
      </c>
      <c r="G2015" s="102" t="b">
        <v>0</v>
      </c>
    </row>
    <row r="2016" spans="1:7" ht="15">
      <c r="A2016" s="104" t="s">
        <v>3089</v>
      </c>
      <c r="B2016" s="102">
        <v>2</v>
      </c>
      <c r="C2016" s="106">
        <v>0.00180998838353685</v>
      </c>
      <c r="D2016" s="102" t="s">
        <v>2325</v>
      </c>
      <c r="E2016" s="102" t="b">
        <v>0</v>
      </c>
      <c r="F2016" s="102" t="b">
        <v>0</v>
      </c>
      <c r="G2016" s="102" t="b">
        <v>0</v>
      </c>
    </row>
    <row r="2017" spans="1:7" ht="15">
      <c r="A2017" s="104" t="s">
        <v>3090</v>
      </c>
      <c r="B2017" s="102">
        <v>2</v>
      </c>
      <c r="C2017" s="106">
        <v>0.00180998838353685</v>
      </c>
      <c r="D2017" s="102" t="s">
        <v>2325</v>
      </c>
      <c r="E2017" s="102" t="b">
        <v>0</v>
      </c>
      <c r="F2017" s="102" t="b">
        <v>0</v>
      </c>
      <c r="G2017" s="102" t="b">
        <v>0</v>
      </c>
    </row>
    <row r="2018" spans="1:7" ht="15">
      <c r="A2018" s="104" t="s">
        <v>2798</v>
      </c>
      <c r="B2018" s="102">
        <v>2</v>
      </c>
      <c r="C2018" s="106">
        <v>0.00180998838353685</v>
      </c>
      <c r="D2018" s="102" t="s">
        <v>2325</v>
      </c>
      <c r="E2018" s="102" t="b">
        <v>0</v>
      </c>
      <c r="F2018" s="102" t="b">
        <v>0</v>
      </c>
      <c r="G2018" s="102" t="b">
        <v>0</v>
      </c>
    </row>
    <row r="2019" spans="1:7" ht="15">
      <c r="A2019" s="104" t="s">
        <v>2863</v>
      </c>
      <c r="B2019" s="102">
        <v>2</v>
      </c>
      <c r="C2019" s="106">
        <v>0.00180998838353685</v>
      </c>
      <c r="D2019" s="102" t="s">
        <v>2325</v>
      </c>
      <c r="E2019" s="102" t="b">
        <v>0</v>
      </c>
      <c r="F2019" s="102" t="b">
        <v>0</v>
      </c>
      <c r="G2019" s="102" t="b">
        <v>0</v>
      </c>
    </row>
    <row r="2020" spans="1:7" ht="15">
      <c r="A2020" s="104" t="s">
        <v>3091</v>
      </c>
      <c r="B2020" s="102">
        <v>2</v>
      </c>
      <c r="C2020" s="106">
        <v>0.00180998838353685</v>
      </c>
      <c r="D2020" s="102" t="s">
        <v>2325</v>
      </c>
      <c r="E2020" s="102" t="b">
        <v>0</v>
      </c>
      <c r="F2020" s="102" t="b">
        <v>0</v>
      </c>
      <c r="G2020" s="102" t="b">
        <v>0</v>
      </c>
    </row>
    <row r="2021" spans="1:7" ht="15">
      <c r="A2021" s="104" t="s">
        <v>3092</v>
      </c>
      <c r="B2021" s="102">
        <v>2</v>
      </c>
      <c r="C2021" s="106">
        <v>0.00180998838353685</v>
      </c>
      <c r="D2021" s="102" t="s">
        <v>2325</v>
      </c>
      <c r="E2021" s="102" t="b">
        <v>0</v>
      </c>
      <c r="F2021" s="102" t="b">
        <v>0</v>
      </c>
      <c r="G2021" s="102" t="b">
        <v>0</v>
      </c>
    </row>
    <row r="2022" spans="1:7" ht="15">
      <c r="A2022" s="104" t="s">
        <v>3093</v>
      </c>
      <c r="B2022" s="102">
        <v>2</v>
      </c>
      <c r="C2022" s="106">
        <v>0.00180998838353685</v>
      </c>
      <c r="D2022" s="102" t="s">
        <v>2325</v>
      </c>
      <c r="E2022" s="102" t="b">
        <v>0</v>
      </c>
      <c r="F2022" s="102" t="b">
        <v>0</v>
      </c>
      <c r="G2022" s="102" t="b">
        <v>0</v>
      </c>
    </row>
    <row r="2023" spans="1:7" ht="15">
      <c r="A2023" s="104" t="s">
        <v>3094</v>
      </c>
      <c r="B2023" s="102">
        <v>2</v>
      </c>
      <c r="C2023" s="106">
        <v>0.00180998838353685</v>
      </c>
      <c r="D2023" s="102" t="s">
        <v>2325</v>
      </c>
      <c r="E2023" s="102" t="b">
        <v>0</v>
      </c>
      <c r="F2023" s="102" t="b">
        <v>0</v>
      </c>
      <c r="G2023" s="102" t="b">
        <v>0</v>
      </c>
    </row>
    <row r="2024" spans="1:7" ht="15">
      <c r="A2024" s="104" t="s">
        <v>3095</v>
      </c>
      <c r="B2024" s="102">
        <v>2</v>
      </c>
      <c r="C2024" s="106">
        <v>0.00180998838353685</v>
      </c>
      <c r="D2024" s="102" t="s">
        <v>2325</v>
      </c>
      <c r="E2024" s="102" t="b">
        <v>0</v>
      </c>
      <c r="F2024" s="102" t="b">
        <v>0</v>
      </c>
      <c r="G2024" s="102" t="b">
        <v>0</v>
      </c>
    </row>
    <row r="2025" spans="1:7" ht="15">
      <c r="A2025" s="104" t="s">
        <v>3096</v>
      </c>
      <c r="B2025" s="102">
        <v>2</v>
      </c>
      <c r="C2025" s="106">
        <v>0.00180998838353685</v>
      </c>
      <c r="D2025" s="102" t="s">
        <v>2325</v>
      </c>
      <c r="E2025" s="102" t="b">
        <v>0</v>
      </c>
      <c r="F2025" s="102" t="b">
        <v>0</v>
      </c>
      <c r="G2025" s="102" t="b">
        <v>0</v>
      </c>
    </row>
    <row r="2026" spans="1:7" ht="15">
      <c r="A2026" s="104" t="s">
        <v>3097</v>
      </c>
      <c r="B2026" s="102">
        <v>2</v>
      </c>
      <c r="C2026" s="106">
        <v>0.00220220987625865</v>
      </c>
      <c r="D2026" s="102" t="s">
        <v>2325</v>
      </c>
      <c r="E2026" s="102" t="b">
        <v>0</v>
      </c>
      <c r="F2026" s="102" t="b">
        <v>0</v>
      </c>
      <c r="G2026" s="102" t="b">
        <v>0</v>
      </c>
    </row>
    <row r="2027" spans="1:7" ht="15">
      <c r="A2027" s="104" t="s">
        <v>2866</v>
      </c>
      <c r="B2027" s="102">
        <v>2</v>
      </c>
      <c r="C2027" s="106">
        <v>0.00220220987625865</v>
      </c>
      <c r="D2027" s="102" t="s">
        <v>2325</v>
      </c>
      <c r="E2027" s="102" t="b">
        <v>0</v>
      </c>
      <c r="F2027" s="102" t="b">
        <v>0</v>
      </c>
      <c r="G2027" s="102" t="b">
        <v>0</v>
      </c>
    </row>
    <row r="2028" spans="1:7" ht="15">
      <c r="A2028" s="104" t="s">
        <v>2865</v>
      </c>
      <c r="B2028" s="102">
        <v>2</v>
      </c>
      <c r="C2028" s="106">
        <v>0.00220220987625865</v>
      </c>
      <c r="D2028" s="102" t="s">
        <v>2325</v>
      </c>
      <c r="E2028" s="102" t="b">
        <v>0</v>
      </c>
      <c r="F2028" s="102" t="b">
        <v>0</v>
      </c>
      <c r="G2028" s="102" t="b">
        <v>0</v>
      </c>
    </row>
    <row r="2029" spans="1:7" ht="15">
      <c r="A2029" s="104" t="s">
        <v>2611</v>
      </c>
      <c r="B2029" s="102">
        <v>2</v>
      </c>
      <c r="C2029" s="106">
        <v>0.00220220987625865</v>
      </c>
      <c r="D2029" s="102" t="s">
        <v>2325</v>
      </c>
      <c r="E2029" s="102" t="b">
        <v>0</v>
      </c>
      <c r="F2029" s="102" t="b">
        <v>1</v>
      </c>
      <c r="G2029" s="102" t="b">
        <v>0</v>
      </c>
    </row>
    <row r="2030" spans="1:7" ht="15">
      <c r="A2030" s="104" t="s">
        <v>2666</v>
      </c>
      <c r="B2030" s="102">
        <v>2</v>
      </c>
      <c r="C2030" s="106">
        <v>0.00180998838353685</v>
      </c>
      <c r="D2030" s="102" t="s">
        <v>2325</v>
      </c>
      <c r="E2030" s="102" t="b">
        <v>0</v>
      </c>
      <c r="F2030" s="102" t="b">
        <v>0</v>
      </c>
      <c r="G2030" s="102" t="b">
        <v>0</v>
      </c>
    </row>
    <row r="2031" spans="1:7" ht="15">
      <c r="A2031" s="104" t="s">
        <v>3085</v>
      </c>
      <c r="B2031" s="102">
        <v>2</v>
      </c>
      <c r="C2031" s="106">
        <v>0.00220220987625865</v>
      </c>
      <c r="D2031" s="102" t="s">
        <v>2325</v>
      </c>
      <c r="E2031" s="102" t="b">
        <v>0</v>
      </c>
      <c r="F2031" s="102" t="b">
        <v>0</v>
      </c>
      <c r="G2031" s="102" t="b">
        <v>0</v>
      </c>
    </row>
    <row r="2032" spans="1:7" ht="15">
      <c r="A2032" s="104" t="s">
        <v>3086</v>
      </c>
      <c r="B2032" s="102">
        <v>2</v>
      </c>
      <c r="C2032" s="106">
        <v>0.00220220987625865</v>
      </c>
      <c r="D2032" s="102" t="s">
        <v>2325</v>
      </c>
      <c r="E2032" s="102" t="b">
        <v>0</v>
      </c>
      <c r="F2032" s="102" t="b">
        <v>0</v>
      </c>
      <c r="G2032" s="102" t="b">
        <v>0</v>
      </c>
    </row>
    <row r="2033" spans="1:7" ht="15">
      <c r="A2033" s="104" t="s">
        <v>3084</v>
      </c>
      <c r="B2033" s="102">
        <v>2</v>
      </c>
      <c r="C2033" s="106">
        <v>0.00220220987625865</v>
      </c>
      <c r="D2033" s="102" t="s">
        <v>2325</v>
      </c>
      <c r="E2033" s="102" t="b">
        <v>0</v>
      </c>
      <c r="F2033" s="102" t="b">
        <v>0</v>
      </c>
      <c r="G2033" s="102" t="b">
        <v>0</v>
      </c>
    </row>
    <row r="2034" spans="1:7" ht="15">
      <c r="A2034" s="104" t="s">
        <v>2510</v>
      </c>
      <c r="B2034" s="102">
        <v>2</v>
      </c>
      <c r="C2034" s="106">
        <v>0.00220220987625865</v>
      </c>
      <c r="D2034" s="102" t="s">
        <v>2325</v>
      </c>
      <c r="E2034" s="102" t="b">
        <v>0</v>
      </c>
      <c r="F2034" s="102" t="b">
        <v>0</v>
      </c>
      <c r="G2034" s="102" t="b">
        <v>0</v>
      </c>
    </row>
    <row r="2035" spans="1:7" ht="15">
      <c r="A2035" s="104" t="s">
        <v>2859</v>
      </c>
      <c r="B2035" s="102">
        <v>2</v>
      </c>
      <c r="C2035" s="106">
        <v>0.00220220987625865</v>
      </c>
      <c r="D2035" s="102" t="s">
        <v>2325</v>
      </c>
      <c r="E2035" s="102" t="b">
        <v>0</v>
      </c>
      <c r="F2035" s="102" t="b">
        <v>1</v>
      </c>
      <c r="G2035" s="102" t="b">
        <v>0</v>
      </c>
    </row>
    <row r="2036" spans="1:7" ht="15">
      <c r="A2036" s="104" t="s">
        <v>2675</v>
      </c>
      <c r="B2036" s="102">
        <v>2</v>
      </c>
      <c r="C2036" s="106">
        <v>0.00220220987625865</v>
      </c>
      <c r="D2036" s="102" t="s">
        <v>2325</v>
      </c>
      <c r="E2036" s="102" t="b">
        <v>1</v>
      </c>
      <c r="F2036" s="102" t="b">
        <v>0</v>
      </c>
      <c r="G2036" s="102" t="b">
        <v>0</v>
      </c>
    </row>
    <row r="2037" spans="1:7" ht="15">
      <c r="A2037" s="104" t="s">
        <v>2360</v>
      </c>
      <c r="B2037" s="102">
        <v>2</v>
      </c>
      <c r="C2037" s="106">
        <v>0.00220220987625865</v>
      </c>
      <c r="D2037" s="102" t="s">
        <v>2325</v>
      </c>
      <c r="E2037" s="102" t="b">
        <v>0</v>
      </c>
      <c r="F2037" s="102" t="b">
        <v>1</v>
      </c>
      <c r="G2037" s="102" t="b">
        <v>0</v>
      </c>
    </row>
    <row r="2038" spans="1:7" ht="15">
      <c r="A2038" s="104" t="s">
        <v>3070</v>
      </c>
      <c r="B2038" s="102">
        <v>2</v>
      </c>
      <c r="C2038" s="106">
        <v>0.00220220987625865</v>
      </c>
      <c r="D2038" s="102" t="s">
        <v>2325</v>
      </c>
      <c r="E2038" s="102" t="b">
        <v>1</v>
      </c>
      <c r="F2038" s="102" t="b">
        <v>0</v>
      </c>
      <c r="G2038" s="102" t="b">
        <v>0</v>
      </c>
    </row>
    <row r="2039" spans="1:7" ht="15">
      <c r="A2039" s="104" t="s">
        <v>3071</v>
      </c>
      <c r="B2039" s="102">
        <v>2</v>
      </c>
      <c r="C2039" s="106">
        <v>0.00220220987625865</v>
      </c>
      <c r="D2039" s="102" t="s">
        <v>2325</v>
      </c>
      <c r="E2039" s="102" t="b">
        <v>1</v>
      </c>
      <c r="F2039" s="102" t="b">
        <v>0</v>
      </c>
      <c r="G2039" s="102" t="b">
        <v>0</v>
      </c>
    </row>
    <row r="2040" spans="1:7" ht="15">
      <c r="A2040" s="104" t="s">
        <v>3072</v>
      </c>
      <c r="B2040" s="102">
        <v>2</v>
      </c>
      <c r="C2040" s="106">
        <v>0.00220220987625865</v>
      </c>
      <c r="D2040" s="102" t="s">
        <v>2325</v>
      </c>
      <c r="E2040" s="102" t="b">
        <v>0</v>
      </c>
      <c r="F2040" s="102" t="b">
        <v>0</v>
      </c>
      <c r="G2040" s="102" t="b">
        <v>0</v>
      </c>
    </row>
    <row r="2041" spans="1:7" ht="15">
      <c r="A2041" s="104" t="s">
        <v>3073</v>
      </c>
      <c r="B2041" s="102">
        <v>2</v>
      </c>
      <c r="C2041" s="106">
        <v>0.00220220987625865</v>
      </c>
      <c r="D2041" s="102" t="s">
        <v>2325</v>
      </c>
      <c r="E2041" s="102" t="b">
        <v>0</v>
      </c>
      <c r="F2041" s="102" t="b">
        <v>1</v>
      </c>
      <c r="G2041" s="102" t="b">
        <v>0</v>
      </c>
    </row>
    <row r="2042" spans="1:7" ht="15">
      <c r="A2042" s="104" t="s">
        <v>2737</v>
      </c>
      <c r="B2042" s="102">
        <v>2</v>
      </c>
      <c r="C2042" s="106">
        <v>0.00220220987625865</v>
      </c>
      <c r="D2042" s="102" t="s">
        <v>2325</v>
      </c>
      <c r="E2042" s="102" t="b">
        <v>0</v>
      </c>
      <c r="F2042" s="102" t="b">
        <v>0</v>
      </c>
      <c r="G2042" s="102" t="b">
        <v>0</v>
      </c>
    </row>
    <row r="2043" spans="1:7" ht="15">
      <c r="A2043" s="104" t="s">
        <v>3068</v>
      </c>
      <c r="B2043" s="102">
        <v>2</v>
      </c>
      <c r="C2043" s="106">
        <v>0.00220220987625865</v>
      </c>
      <c r="D2043" s="102" t="s">
        <v>2325</v>
      </c>
      <c r="E2043" s="102" t="b">
        <v>0</v>
      </c>
      <c r="F2043" s="102" t="b">
        <v>0</v>
      </c>
      <c r="G2043" s="102" t="b">
        <v>0</v>
      </c>
    </row>
    <row r="2044" spans="1:7" ht="15">
      <c r="A2044" s="104" t="s">
        <v>3069</v>
      </c>
      <c r="B2044" s="102">
        <v>2</v>
      </c>
      <c r="C2044" s="106">
        <v>0.00220220987625865</v>
      </c>
      <c r="D2044" s="102" t="s">
        <v>2325</v>
      </c>
      <c r="E2044" s="102" t="b">
        <v>0</v>
      </c>
      <c r="F2044" s="102" t="b">
        <v>0</v>
      </c>
      <c r="G2044" s="102" t="b">
        <v>0</v>
      </c>
    </row>
    <row r="2045" spans="1:7" ht="15">
      <c r="A2045" s="104" t="s">
        <v>2741</v>
      </c>
      <c r="B2045" s="102">
        <v>2</v>
      </c>
      <c r="C2045" s="106">
        <v>0.00180998838353685</v>
      </c>
      <c r="D2045" s="102" t="s">
        <v>2325</v>
      </c>
      <c r="E2045" s="102" t="b">
        <v>0</v>
      </c>
      <c r="F2045" s="102" t="b">
        <v>0</v>
      </c>
      <c r="G2045" s="102" t="b">
        <v>0</v>
      </c>
    </row>
    <row r="2046" spans="1:7" ht="15">
      <c r="A2046" s="104" t="s">
        <v>3067</v>
      </c>
      <c r="B2046" s="102">
        <v>2</v>
      </c>
      <c r="C2046" s="106">
        <v>0.00220220987625865</v>
      </c>
      <c r="D2046" s="102" t="s">
        <v>2325</v>
      </c>
      <c r="E2046" s="102" t="b">
        <v>0</v>
      </c>
      <c r="F2046" s="102" t="b">
        <v>0</v>
      </c>
      <c r="G2046" s="102" t="b">
        <v>0</v>
      </c>
    </row>
    <row r="2047" spans="1:7" ht="15">
      <c r="A2047" s="104" t="s">
        <v>2351</v>
      </c>
      <c r="B2047" s="102">
        <v>29</v>
      </c>
      <c r="C2047" s="106">
        <v>0.01125536202045277</v>
      </c>
      <c r="D2047" s="102" t="s">
        <v>2326</v>
      </c>
      <c r="E2047" s="102" t="b">
        <v>0</v>
      </c>
      <c r="F2047" s="102" t="b">
        <v>0</v>
      </c>
      <c r="G2047" s="102" t="b">
        <v>0</v>
      </c>
    </row>
    <row r="2048" spans="1:7" ht="15">
      <c r="A2048" s="104" t="s">
        <v>2350</v>
      </c>
      <c r="B2048" s="102">
        <v>27</v>
      </c>
      <c r="C2048" s="106">
        <v>0.00837771587262587</v>
      </c>
      <c r="D2048" s="102" t="s">
        <v>2326</v>
      </c>
      <c r="E2048" s="102" t="b">
        <v>0</v>
      </c>
      <c r="F2048" s="102" t="b">
        <v>0</v>
      </c>
      <c r="G2048" s="102" t="b">
        <v>0</v>
      </c>
    </row>
    <row r="2049" spans="1:7" ht="15">
      <c r="A2049" s="104" t="s">
        <v>2348</v>
      </c>
      <c r="B2049" s="102">
        <v>24</v>
      </c>
      <c r="C2049" s="106">
        <v>0.008636213752602786</v>
      </c>
      <c r="D2049" s="102" t="s">
        <v>2326</v>
      </c>
      <c r="E2049" s="102" t="b">
        <v>0</v>
      </c>
      <c r="F2049" s="102" t="b">
        <v>0</v>
      </c>
      <c r="G2049" s="102" t="b">
        <v>0</v>
      </c>
    </row>
    <row r="2050" spans="1:7" ht="15">
      <c r="A2050" s="104" t="s">
        <v>2352</v>
      </c>
      <c r="B2050" s="102">
        <v>22</v>
      </c>
      <c r="C2050" s="106">
        <v>0.011872343183766208</v>
      </c>
      <c r="D2050" s="102" t="s">
        <v>2326</v>
      </c>
      <c r="E2050" s="102" t="b">
        <v>0</v>
      </c>
      <c r="F2050" s="102" t="b">
        <v>0</v>
      </c>
      <c r="G2050" s="102" t="b">
        <v>0</v>
      </c>
    </row>
    <row r="2051" spans="1:7" ht="15">
      <c r="A2051" s="104" t="s">
        <v>2366</v>
      </c>
      <c r="B2051" s="102">
        <v>22</v>
      </c>
      <c r="C2051" s="106">
        <v>0.011872343183766208</v>
      </c>
      <c r="D2051" s="102" t="s">
        <v>2326</v>
      </c>
      <c r="E2051" s="102" t="b">
        <v>0</v>
      </c>
      <c r="F2051" s="102" t="b">
        <v>0</v>
      </c>
      <c r="G2051" s="102" t="b">
        <v>0</v>
      </c>
    </row>
    <row r="2052" spans="1:7" ht="15">
      <c r="A2052" s="104" t="s">
        <v>2363</v>
      </c>
      <c r="B2052" s="102">
        <v>22</v>
      </c>
      <c r="C2052" s="106">
        <v>0.01904219810441687</v>
      </c>
      <c r="D2052" s="102" t="s">
        <v>2326</v>
      </c>
      <c r="E2052" s="102" t="b">
        <v>0</v>
      </c>
      <c r="F2052" s="102" t="b">
        <v>0</v>
      </c>
      <c r="G2052" s="102" t="b">
        <v>0</v>
      </c>
    </row>
    <row r="2053" spans="1:7" ht="15">
      <c r="A2053" s="104" t="s">
        <v>2368</v>
      </c>
      <c r="B2053" s="102">
        <v>21</v>
      </c>
      <c r="C2053" s="106">
        <v>0.013858590428633664</v>
      </c>
      <c r="D2053" s="102" t="s">
        <v>2326</v>
      </c>
      <c r="E2053" s="102" t="b">
        <v>0</v>
      </c>
      <c r="F2053" s="102" t="b">
        <v>0</v>
      </c>
      <c r="G2053" s="102" t="b">
        <v>0</v>
      </c>
    </row>
    <row r="2054" spans="1:7" ht="15">
      <c r="A2054" s="104" t="s">
        <v>2358</v>
      </c>
      <c r="B2054" s="102">
        <v>20</v>
      </c>
      <c r="C2054" s="106">
        <v>0.01731108918583352</v>
      </c>
      <c r="D2054" s="102" t="s">
        <v>2326</v>
      </c>
      <c r="E2054" s="102" t="b">
        <v>0</v>
      </c>
      <c r="F2054" s="102" t="b">
        <v>0</v>
      </c>
      <c r="G2054" s="102" t="b">
        <v>0</v>
      </c>
    </row>
    <row r="2055" spans="1:7" ht="15">
      <c r="A2055" s="104" t="s">
        <v>2355</v>
      </c>
      <c r="B2055" s="102">
        <v>20</v>
      </c>
      <c r="C2055" s="106">
        <v>0.014905470892723123</v>
      </c>
      <c r="D2055" s="102" t="s">
        <v>2326</v>
      </c>
      <c r="E2055" s="102" t="b">
        <v>0</v>
      </c>
      <c r="F2055" s="102" t="b">
        <v>0</v>
      </c>
      <c r="G2055" s="102" t="b">
        <v>0</v>
      </c>
    </row>
    <row r="2056" spans="1:7" ht="15">
      <c r="A2056" s="104" t="s">
        <v>2356</v>
      </c>
      <c r="B2056" s="102">
        <v>17</v>
      </c>
      <c r="C2056" s="106">
        <v>0.006117318074760307</v>
      </c>
      <c r="D2056" s="102" t="s">
        <v>2326</v>
      </c>
      <c r="E2056" s="102" t="b">
        <v>0</v>
      </c>
      <c r="F2056" s="102" t="b">
        <v>0</v>
      </c>
      <c r="G2056" s="102" t="b">
        <v>0</v>
      </c>
    </row>
    <row r="2057" spans="1:7" ht="15">
      <c r="A2057" s="104" t="s">
        <v>2371</v>
      </c>
      <c r="B2057" s="102">
        <v>16</v>
      </c>
      <c r="C2057" s="106">
        <v>0.013848871348666816</v>
      </c>
      <c r="D2057" s="102" t="s">
        <v>2326</v>
      </c>
      <c r="E2057" s="102" t="b">
        <v>0</v>
      </c>
      <c r="F2057" s="102" t="b">
        <v>0</v>
      </c>
      <c r="G2057" s="102" t="b">
        <v>0</v>
      </c>
    </row>
    <row r="2058" spans="1:7" ht="15">
      <c r="A2058" s="104" t="s">
        <v>2426</v>
      </c>
      <c r="B2058" s="102">
        <v>15</v>
      </c>
      <c r="C2058" s="106">
        <v>0.016067640615440523</v>
      </c>
      <c r="D2058" s="102" t="s">
        <v>2326</v>
      </c>
      <c r="E2058" s="102" t="b">
        <v>0</v>
      </c>
      <c r="F2058" s="102" t="b">
        <v>0</v>
      </c>
      <c r="G2058" s="102" t="b">
        <v>0</v>
      </c>
    </row>
    <row r="2059" spans="1:7" ht="15">
      <c r="A2059" s="104" t="s">
        <v>2349</v>
      </c>
      <c r="B2059" s="102">
        <v>14</v>
      </c>
      <c r="C2059" s="106">
        <v>0.005871194675401217</v>
      </c>
      <c r="D2059" s="102" t="s">
        <v>2326</v>
      </c>
      <c r="E2059" s="102" t="b">
        <v>0</v>
      </c>
      <c r="F2059" s="102" t="b">
        <v>0</v>
      </c>
      <c r="G2059" s="102" t="b">
        <v>0</v>
      </c>
    </row>
    <row r="2060" spans="1:7" ht="15">
      <c r="A2060" s="104" t="s">
        <v>2360</v>
      </c>
      <c r="B2060" s="102">
        <v>14</v>
      </c>
      <c r="C2060" s="106">
        <v>0.009239060285755777</v>
      </c>
      <c r="D2060" s="102" t="s">
        <v>2326</v>
      </c>
      <c r="E2060" s="102" t="b">
        <v>0</v>
      </c>
      <c r="F2060" s="102" t="b">
        <v>1</v>
      </c>
      <c r="G2060" s="102" t="b">
        <v>0</v>
      </c>
    </row>
    <row r="2061" spans="1:7" ht="15">
      <c r="A2061" s="104" t="s">
        <v>2437</v>
      </c>
      <c r="B2061" s="102">
        <v>14</v>
      </c>
      <c r="C2061" s="106">
        <v>0.014996464574411155</v>
      </c>
      <c r="D2061" s="102" t="s">
        <v>2326</v>
      </c>
      <c r="E2061" s="102" t="b">
        <v>0</v>
      </c>
      <c r="F2061" s="102" t="b">
        <v>0</v>
      </c>
      <c r="G2061" s="102" t="b">
        <v>0</v>
      </c>
    </row>
    <row r="2062" spans="1:7" ht="15">
      <c r="A2062" s="104" t="s">
        <v>2381</v>
      </c>
      <c r="B2062" s="102">
        <v>12</v>
      </c>
      <c r="C2062" s="106">
        <v>0.007124850161729313</v>
      </c>
      <c r="D2062" s="102" t="s">
        <v>2326</v>
      </c>
      <c r="E2062" s="102" t="b">
        <v>0</v>
      </c>
      <c r="F2062" s="102" t="b">
        <v>0</v>
      </c>
      <c r="G2062" s="102" t="b">
        <v>0</v>
      </c>
    </row>
    <row r="2063" spans="1:7" ht="15">
      <c r="A2063" s="104" t="s">
        <v>2439</v>
      </c>
      <c r="B2063" s="102">
        <v>12</v>
      </c>
      <c r="C2063" s="106">
        <v>0.012854112492352418</v>
      </c>
      <c r="D2063" s="102" t="s">
        <v>2326</v>
      </c>
      <c r="E2063" s="102" t="b">
        <v>0</v>
      </c>
      <c r="F2063" s="102" t="b">
        <v>0</v>
      </c>
      <c r="G2063" s="102" t="b">
        <v>0</v>
      </c>
    </row>
    <row r="2064" spans="1:7" ht="15">
      <c r="A2064" s="104" t="s">
        <v>2380</v>
      </c>
      <c r="B2064" s="102">
        <v>11</v>
      </c>
      <c r="C2064" s="106">
        <v>0.007259261653093824</v>
      </c>
      <c r="D2064" s="102" t="s">
        <v>2326</v>
      </c>
      <c r="E2064" s="102" t="b">
        <v>0</v>
      </c>
      <c r="F2064" s="102" t="b">
        <v>0</v>
      </c>
      <c r="G2064" s="102" t="b">
        <v>0</v>
      </c>
    </row>
    <row r="2065" spans="1:7" ht="15">
      <c r="A2065" s="104" t="s">
        <v>2362</v>
      </c>
      <c r="B2065" s="102">
        <v>10</v>
      </c>
      <c r="C2065" s="106">
        <v>0.00659932877553984</v>
      </c>
      <c r="D2065" s="102" t="s">
        <v>2326</v>
      </c>
      <c r="E2065" s="102" t="b">
        <v>0</v>
      </c>
      <c r="F2065" s="102" t="b">
        <v>0</v>
      </c>
      <c r="G2065" s="102" t="b">
        <v>0</v>
      </c>
    </row>
    <row r="2066" spans="1:7" ht="15">
      <c r="A2066" s="104" t="s">
        <v>2369</v>
      </c>
      <c r="B2066" s="102">
        <v>10</v>
      </c>
      <c r="C2066" s="106">
        <v>0.00539651962898464</v>
      </c>
      <c r="D2066" s="102" t="s">
        <v>2326</v>
      </c>
      <c r="E2066" s="102" t="b">
        <v>0</v>
      </c>
      <c r="F2066" s="102" t="b">
        <v>0</v>
      </c>
      <c r="G2066" s="102" t="b">
        <v>0</v>
      </c>
    </row>
    <row r="2067" spans="1:7" ht="15">
      <c r="A2067" s="104" t="s">
        <v>2488</v>
      </c>
      <c r="B2067" s="102">
        <v>10</v>
      </c>
      <c r="C2067" s="106">
        <v>0.010711760410293682</v>
      </c>
      <c r="D2067" s="102" t="s">
        <v>2326</v>
      </c>
      <c r="E2067" s="102" t="b">
        <v>0</v>
      </c>
      <c r="F2067" s="102" t="b">
        <v>0</v>
      </c>
      <c r="G2067" s="102" t="b">
        <v>0</v>
      </c>
    </row>
    <row r="2068" spans="1:7" ht="15">
      <c r="A2068" s="104" t="s">
        <v>2395</v>
      </c>
      <c r="B2068" s="102">
        <v>10</v>
      </c>
      <c r="C2068" s="106">
        <v>0.005937375134774428</v>
      </c>
      <c r="D2068" s="102" t="s">
        <v>2326</v>
      </c>
      <c r="E2068" s="102" t="b">
        <v>0</v>
      </c>
      <c r="F2068" s="102" t="b">
        <v>0</v>
      </c>
      <c r="G2068" s="102" t="b">
        <v>0</v>
      </c>
    </row>
    <row r="2069" spans="1:7" ht="15">
      <c r="A2069" s="104" t="s">
        <v>2483</v>
      </c>
      <c r="B2069" s="102">
        <v>10</v>
      </c>
      <c r="C2069" s="106">
        <v>0.010711760410293682</v>
      </c>
      <c r="D2069" s="102" t="s">
        <v>2326</v>
      </c>
      <c r="E2069" s="102" t="b">
        <v>0</v>
      </c>
      <c r="F2069" s="102" t="b">
        <v>0</v>
      </c>
      <c r="G2069" s="102" t="b">
        <v>0</v>
      </c>
    </row>
    <row r="2070" spans="1:7" ht="15">
      <c r="A2070" s="104" t="s">
        <v>2482</v>
      </c>
      <c r="B2070" s="102">
        <v>10</v>
      </c>
      <c r="C2070" s="106">
        <v>0.010711760410293682</v>
      </c>
      <c r="D2070" s="102" t="s">
        <v>2326</v>
      </c>
      <c r="E2070" s="102" t="b">
        <v>0</v>
      </c>
      <c r="F2070" s="102" t="b">
        <v>1</v>
      </c>
      <c r="G2070" s="102" t="b">
        <v>0</v>
      </c>
    </row>
    <row r="2071" spans="1:7" ht="15">
      <c r="A2071" s="104" t="s">
        <v>2422</v>
      </c>
      <c r="B2071" s="102">
        <v>9</v>
      </c>
      <c r="C2071" s="106">
        <v>0.005939395897985856</v>
      </c>
      <c r="D2071" s="102" t="s">
        <v>2326</v>
      </c>
      <c r="E2071" s="102" t="b">
        <v>0</v>
      </c>
      <c r="F2071" s="102" t="b">
        <v>0</v>
      </c>
      <c r="G2071" s="102" t="b">
        <v>0</v>
      </c>
    </row>
    <row r="2072" spans="1:7" ht="15">
      <c r="A2072" s="104" t="s">
        <v>2462</v>
      </c>
      <c r="B2072" s="102">
        <v>9</v>
      </c>
      <c r="C2072" s="106">
        <v>0.005343637621296985</v>
      </c>
      <c r="D2072" s="102" t="s">
        <v>2326</v>
      </c>
      <c r="E2072" s="102" t="b">
        <v>0</v>
      </c>
      <c r="F2072" s="102" t="b">
        <v>0</v>
      </c>
      <c r="G2072" s="102" t="b">
        <v>0</v>
      </c>
    </row>
    <row r="2073" spans="1:7" ht="15">
      <c r="A2073" s="104" t="s">
        <v>2507</v>
      </c>
      <c r="B2073" s="102">
        <v>9</v>
      </c>
      <c r="C2073" s="106">
        <v>0.009640584369264312</v>
      </c>
      <c r="D2073" s="102" t="s">
        <v>2326</v>
      </c>
      <c r="E2073" s="102" t="b">
        <v>0</v>
      </c>
      <c r="F2073" s="102" t="b">
        <v>0</v>
      </c>
      <c r="G2073" s="102" t="b">
        <v>0</v>
      </c>
    </row>
    <row r="2074" spans="1:7" ht="15">
      <c r="A2074" s="104" t="s">
        <v>2505</v>
      </c>
      <c r="B2074" s="102">
        <v>9</v>
      </c>
      <c r="C2074" s="106">
        <v>0.009640584369264312</v>
      </c>
      <c r="D2074" s="102" t="s">
        <v>2326</v>
      </c>
      <c r="E2074" s="102" t="b">
        <v>0</v>
      </c>
      <c r="F2074" s="102" t="b">
        <v>0</v>
      </c>
      <c r="G2074" s="102" t="b">
        <v>0</v>
      </c>
    </row>
    <row r="2075" spans="1:7" ht="15">
      <c r="A2075" s="104" t="s">
        <v>2504</v>
      </c>
      <c r="B2075" s="102">
        <v>9</v>
      </c>
      <c r="C2075" s="106">
        <v>0.009640584369264312</v>
      </c>
      <c r="D2075" s="102" t="s">
        <v>2326</v>
      </c>
      <c r="E2075" s="102" t="b">
        <v>0</v>
      </c>
      <c r="F2075" s="102" t="b">
        <v>0</v>
      </c>
      <c r="G2075" s="102" t="b">
        <v>0</v>
      </c>
    </row>
    <row r="2076" spans="1:7" ht="15">
      <c r="A2076" s="104" t="s">
        <v>2419</v>
      </c>
      <c r="B2076" s="102">
        <v>9</v>
      </c>
      <c r="C2076" s="106">
        <v>0.007789990133625084</v>
      </c>
      <c r="D2076" s="102" t="s">
        <v>2326</v>
      </c>
      <c r="E2076" s="102" t="b">
        <v>0</v>
      </c>
      <c r="F2076" s="102" t="b">
        <v>0</v>
      </c>
      <c r="G2076" s="102" t="b">
        <v>0</v>
      </c>
    </row>
    <row r="2077" spans="1:7" ht="15">
      <c r="A2077" s="104" t="s">
        <v>2367</v>
      </c>
      <c r="B2077" s="102">
        <v>8</v>
      </c>
      <c r="C2077" s="106">
        <v>0.005279463020431872</v>
      </c>
      <c r="D2077" s="102" t="s">
        <v>2326</v>
      </c>
      <c r="E2077" s="102" t="b">
        <v>0</v>
      </c>
      <c r="F2077" s="102" t="b">
        <v>0</v>
      </c>
      <c r="G2077" s="102" t="b">
        <v>0</v>
      </c>
    </row>
    <row r="2078" spans="1:7" ht="15">
      <c r="A2078" s="104" t="s">
        <v>2525</v>
      </c>
      <c r="B2078" s="102">
        <v>8</v>
      </c>
      <c r="C2078" s="106">
        <v>0.008569408328234945</v>
      </c>
      <c r="D2078" s="102" t="s">
        <v>2326</v>
      </c>
      <c r="E2078" s="102" t="b">
        <v>0</v>
      </c>
      <c r="F2078" s="102" t="b">
        <v>0</v>
      </c>
      <c r="G2078" s="102" t="b">
        <v>0</v>
      </c>
    </row>
    <row r="2079" spans="1:7" ht="15">
      <c r="A2079" s="104" t="s">
        <v>2479</v>
      </c>
      <c r="B2079" s="102">
        <v>7</v>
      </c>
      <c r="C2079" s="106">
        <v>0.003457462970197519</v>
      </c>
      <c r="D2079" s="102" t="s">
        <v>2326</v>
      </c>
      <c r="E2079" s="102" t="b">
        <v>0</v>
      </c>
      <c r="F2079" s="102" t="b">
        <v>0</v>
      </c>
      <c r="G2079" s="102" t="b">
        <v>0</v>
      </c>
    </row>
    <row r="2080" spans="1:7" ht="15">
      <c r="A2080" s="104" t="s">
        <v>2523</v>
      </c>
      <c r="B2080" s="102">
        <v>7</v>
      </c>
      <c r="C2080" s="106">
        <v>0.003457462970197519</v>
      </c>
      <c r="D2080" s="102" t="s">
        <v>2326</v>
      </c>
      <c r="E2080" s="102" t="b">
        <v>0</v>
      </c>
      <c r="F2080" s="102" t="b">
        <v>0</v>
      </c>
      <c r="G2080" s="102" t="b">
        <v>0</v>
      </c>
    </row>
    <row r="2081" spans="1:7" ht="15">
      <c r="A2081" s="104" t="s">
        <v>2354</v>
      </c>
      <c r="B2081" s="102">
        <v>7</v>
      </c>
      <c r="C2081" s="106">
        <v>0.003457462970197519</v>
      </c>
      <c r="D2081" s="102" t="s">
        <v>2326</v>
      </c>
      <c r="E2081" s="102" t="b">
        <v>0</v>
      </c>
      <c r="F2081" s="102" t="b">
        <v>0</v>
      </c>
      <c r="G2081" s="102" t="b">
        <v>0</v>
      </c>
    </row>
    <row r="2082" spans="1:7" ht="15">
      <c r="A2082" s="104" t="s">
        <v>2441</v>
      </c>
      <c r="B2082" s="102">
        <v>7</v>
      </c>
      <c r="C2082" s="106">
        <v>0.005216914812453093</v>
      </c>
      <c r="D2082" s="102" t="s">
        <v>2326</v>
      </c>
      <c r="E2082" s="102" t="b">
        <v>0</v>
      </c>
      <c r="F2082" s="102" t="b">
        <v>1</v>
      </c>
      <c r="G2082" s="102" t="b">
        <v>0</v>
      </c>
    </row>
    <row r="2083" spans="1:7" ht="15">
      <c r="A2083" s="104" t="s">
        <v>2394</v>
      </c>
      <c r="B2083" s="102">
        <v>7</v>
      </c>
      <c r="C2083" s="106">
        <v>0.0041561625943420995</v>
      </c>
      <c r="D2083" s="102" t="s">
        <v>2326</v>
      </c>
      <c r="E2083" s="102" t="b">
        <v>0</v>
      </c>
      <c r="F2083" s="102" t="b">
        <v>0</v>
      </c>
      <c r="G2083" s="102" t="b">
        <v>0</v>
      </c>
    </row>
    <row r="2084" spans="1:7" ht="15">
      <c r="A2084" s="104" t="s">
        <v>2390</v>
      </c>
      <c r="B2084" s="102">
        <v>7</v>
      </c>
      <c r="C2084" s="106">
        <v>0.0041561625943420995</v>
      </c>
      <c r="D2084" s="102" t="s">
        <v>2326</v>
      </c>
      <c r="E2084" s="102" t="b">
        <v>0</v>
      </c>
      <c r="F2084" s="102" t="b">
        <v>0</v>
      </c>
      <c r="G2084" s="102" t="b">
        <v>0</v>
      </c>
    </row>
    <row r="2085" spans="1:7" ht="15">
      <c r="A2085" s="104" t="s">
        <v>2357</v>
      </c>
      <c r="B2085" s="102">
        <v>7</v>
      </c>
      <c r="C2085" s="106">
        <v>0.005216914812453093</v>
      </c>
      <c r="D2085" s="102" t="s">
        <v>2326</v>
      </c>
      <c r="E2085" s="102" t="b">
        <v>0</v>
      </c>
      <c r="F2085" s="102" t="b">
        <v>0</v>
      </c>
      <c r="G2085" s="102" t="b">
        <v>0</v>
      </c>
    </row>
    <row r="2086" spans="1:7" ht="15">
      <c r="A2086" s="104" t="s">
        <v>2556</v>
      </c>
      <c r="B2086" s="102">
        <v>7</v>
      </c>
      <c r="C2086" s="106">
        <v>0.0074982322872055775</v>
      </c>
      <c r="D2086" s="102" t="s">
        <v>2326</v>
      </c>
      <c r="E2086" s="102" t="b">
        <v>0</v>
      </c>
      <c r="F2086" s="102" t="b">
        <v>0</v>
      </c>
      <c r="G2086" s="102" t="b">
        <v>0</v>
      </c>
    </row>
    <row r="2087" spans="1:7" ht="15">
      <c r="A2087" s="104" t="s">
        <v>2554</v>
      </c>
      <c r="B2087" s="102">
        <v>7</v>
      </c>
      <c r="C2087" s="106">
        <v>0.0074982322872055775</v>
      </c>
      <c r="D2087" s="102" t="s">
        <v>2326</v>
      </c>
      <c r="E2087" s="102" t="b">
        <v>0</v>
      </c>
      <c r="F2087" s="102" t="b">
        <v>0</v>
      </c>
      <c r="G2087" s="102" t="b">
        <v>0</v>
      </c>
    </row>
    <row r="2088" spans="1:7" ht="15">
      <c r="A2088" s="104" t="s">
        <v>2427</v>
      </c>
      <c r="B2088" s="102">
        <v>7</v>
      </c>
      <c r="C2088" s="106">
        <v>0.006058881215041732</v>
      </c>
      <c r="D2088" s="102" t="s">
        <v>2326</v>
      </c>
      <c r="E2088" s="102" t="b">
        <v>0</v>
      </c>
      <c r="F2088" s="102" t="b">
        <v>0</v>
      </c>
      <c r="G2088" s="102" t="b">
        <v>0</v>
      </c>
    </row>
    <row r="2089" spans="1:7" ht="15">
      <c r="A2089" s="104" t="s">
        <v>2379</v>
      </c>
      <c r="B2089" s="102">
        <v>6</v>
      </c>
      <c r="C2089" s="106">
        <v>0.004471641267816937</v>
      </c>
      <c r="D2089" s="102" t="s">
        <v>2326</v>
      </c>
      <c r="E2089" s="102" t="b">
        <v>0</v>
      </c>
      <c r="F2089" s="102" t="b">
        <v>0</v>
      </c>
      <c r="G2089" s="102" t="b">
        <v>0</v>
      </c>
    </row>
    <row r="2090" spans="1:7" ht="15">
      <c r="A2090" s="104" t="s">
        <v>2492</v>
      </c>
      <c r="B2090" s="102">
        <v>6</v>
      </c>
      <c r="C2090" s="106">
        <v>0.004471641267816937</v>
      </c>
      <c r="D2090" s="102" t="s">
        <v>2326</v>
      </c>
      <c r="E2090" s="102" t="b">
        <v>0</v>
      </c>
      <c r="F2090" s="102" t="b">
        <v>0</v>
      </c>
      <c r="G2090" s="102" t="b">
        <v>0</v>
      </c>
    </row>
    <row r="2091" spans="1:7" ht="15">
      <c r="A2091" s="104" t="s">
        <v>2398</v>
      </c>
      <c r="B2091" s="102">
        <v>6</v>
      </c>
      <c r="C2091" s="106">
        <v>0.004471641267816937</v>
      </c>
      <c r="D2091" s="102" t="s">
        <v>2326</v>
      </c>
      <c r="E2091" s="102" t="b">
        <v>0</v>
      </c>
      <c r="F2091" s="102" t="b">
        <v>0</v>
      </c>
      <c r="G2091" s="102" t="b">
        <v>0</v>
      </c>
    </row>
    <row r="2092" spans="1:7" ht="15">
      <c r="A2092" s="104" t="s">
        <v>2389</v>
      </c>
      <c r="B2092" s="102">
        <v>6</v>
      </c>
      <c r="C2092" s="106">
        <v>0.003959597265323904</v>
      </c>
      <c r="D2092" s="102" t="s">
        <v>2326</v>
      </c>
      <c r="E2092" s="102" t="b">
        <v>0</v>
      </c>
      <c r="F2092" s="102" t="b">
        <v>0</v>
      </c>
      <c r="G2092" s="102" t="b">
        <v>0</v>
      </c>
    </row>
    <row r="2093" spans="1:7" ht="15">
      <c r="A2093" s="104" t="s">
        <v>2376</v>
      </c>
      <c r="B2093" s="102">
        <v>6</v>
      </c>
      <c r="C2093" s="106">
        <v>0.003959597265323904</v>
      </c>
      <c r="D2093" s="102" t="s">
        <v>2326</v>
      </c>
      <c r="E2093" s="102" t="b">
        <v>0</v>
      </c>
      <c r="F2093" s="102" t="b">
        <v>0</v>
      </c>
      <c r="G2093" s="102" t="b">
        <v>0</v>
      </c>
    </row>
    <row r="2094" spans="1:7" ht="15">
      <c r="A2094" s="104" t="s">
        <v>2435</v>
      </c>
      <c r="B2094" s="102">
        <v>6</v>
      </c>
      <c r="C2094" s="106">
        <v>0.003959597265323904</v>
      </c>
      <c r="D2094" s="102" t="s">
        <v>2326</v>
      </c>
      <c r="E2094" s="102" t="b">
        <v>0</v>
      </c>
      <c r="F2094" s="102" t="b">
        <v>0</v>
      </c>
      <c r="G2094" s="102" t="b">
        <v>0</v>
      </c>
    </row>
    <row r="2095" spans="1:7" ht="15">
      <c r="A2095" s="104" t="s">
        <v>2553</v>
      </c>
      <c r="B2095" s="102">
        <v>6</v>
      </c>
      <c r="C2095" s="106">
        <v>0.003959597265323904</v>
      </c>
      <c r="D2095" s="102" t="s">
        <v>2326</v>
      </c>
      <c r="E2095" s="102" t="b">
        <v>0</v>
      </c>
      <c r="F2095" s="102" t="b">
        <v>0</v>
      </c>
      <c r="G2095" s="102" t="b">
        <v>0</v>
      </c>
    </row>
    <row r="2096" spans="1:7" ht="15">
      <c r="A2096" s="104" t="s">
        <v>2552</v>
      </c>
      <c r="B2096" s="102">
        <v>6</v>
      </c>
      <c r="C2096" s="106">
        <v>0.004471641267816937</v>
      </c>
      <c r="D2096" s="102" t="s">
        <v>2326</v>
      </c>
      <c r="E2096" s="102" t="b">
        <v>0</v>
      </c>
      <c r="F2096" s="102" t="b">
        <v>0</v>
      </c>
      <c r="G2096" s="102" t="b">
        <v>0</v>
      </c>
    </row>
    <row r="2097" spans="1:7" ht="15">
      <c r="A2097" s="104" t="s">
        <v>2589</v>
      </c>
      <c r="B2097" s="102">
        <v>6</v>
      </c>
      <c r="C2097" s="106">
        <v>0.006427056246176209</v>
      </c>
      <c r="D2097" s="102" t="s">
        <v>2326</v>
      </c>
      <c r="E2097" s="102" t="b">
        <v>0</v>
      </c>
      <c r="F2097" s="102" t="b">
        <v>0</v>
      </c>
      <c r="G2097" s="102" t="b">
        <v>0</v>
      </c>
    </row>
    <row r="2098" spans="1:7" ht="15">
      <c r="A2098" s="104" t="s">
        <v>2461</v>
      </c>
      <c r="B2098" s="102">
        <v>5</v>
      </c>
      <c r="C2098" s="106">
        <v>0.002968687567387214</v>
      </c>
      <c r="D2098" s="102" t="s">
        <v>2326</v>
      </c>
      <c r="E2098" s="102" t="b">
        <v>0</v>
      </c>
      <c r="F2098" s="102" t="b">
        <v>0</v>
      </c>
      <c r="G2098" s="102" t="b">
        <v>0</v>
      </c>
    </row>
    <row r="2099" spans="1:7" ht="15">
      <c r="A2099" s="104" t="s">
        <v>2409</v>
      </c>
      <c r="B2099" s="102">
        <v>5</v>
      </c>
      <c r="C2099" s="106">
        <v>0.003726367723180781</v>
      </c>
      <c r="D2099" s="102" t="s">
        <v>2326</v>
      </c>
      <c r="E2099" s="102" t="b">
        <v>0</v>
      </c>
      <c r="F2099" s="102" t="b">
        <v>0</v>
      </c>
      <c r="G2099" s="102" t="b">
        <v>0</v>
      </c>
    </row>
    <row r="2100" spans="1:7" ht="15">
      <c r="A2100" s="104" t="s">
        <v>2410</v>
      </c>
      <c r="B2100" s="102">
        <v>5</v>
      </c>
      <c r="C2100" s="106">
        <v>0.003726367723180781</v>
      </c>
      <c r="D2100" s="102" t="s">
        <v>2326</v>
      </c>
      <c r="E2100" s="102" t="b">
        <v>0</v>
      </c>
      <c r="F2100" s="102" t="b">
        <v>0</v>
      </c>
      <c r="G2100" s="102" t="b">
        <v>0</v>
      </c>
    </row>
    <row r="2101" spans="1:7" ht="15">
      <c r="A2101" s="104" t="s">
        <v>2382</v>
      </c>
      <c r="B2101" s="102">
        <v>5</v>
      </c>
      <c r="C2101" s="106">
        <v>0.00432777229645838</v>
      </c>
      <c r="D2101" s="102" t="s">
        <v>2326</v>
      </c>
      <c r="E2101" s="102" t="b">
        <v>0</v>
      </c>
      <c r="F2101" s="102" t="b">
        <v>0</v>
      </c>
      <c r="G2101" s="102" t="b">
        <v>0</v>
      </c>
    </row>
    <row r="2102" spans="1:7" ht="15">
      <c r="A2102" s="104" t="s">
        <v>2436</v>
      </c>
      <c r="B2102" s="102">
        <v>5</v>
      </c>
      <c r="C2102" s="106">
        <v>0.003726367723180781</v>
      </c>
      <c r="D2102" s="102" t="s">
        <v>2326</v>
      </c>
      <c r="E2102" s="102" t="b">
        <v>0</v>
      </c>
      <c r="F2102" s="102" t="b">
        <v>0</v>
      </c>
      <c r="G2102" s="102" t="b">
        <v>0</v>
      </c>
    </row>
    <row r="2103" spans="1:7" ht="15">
      <c r="A2103" s="104" t="s">
        <v>2464</v>
      </c>
      <c r="B2103" s="102">
        <v>5</v>
      </c>
      <c r="C2103" s="106">
        <v>0.003726367723180781</v>
      </c>
      <c r="D2103" s="102" t="s">
        <v>2326</v>
      </c>
      <c r="E2103" s="102" t="b">
        <v>0</v>
      </c>
      <c r="F2103" s="102" t="b">
        <v>0</v>
      </c>
      <c r="G2103" s="102" t="b">
        <v>0</v>
      </c>
    </row>
    <row r="2104" spans="1:7" ht="15">
      <c r="A2104" s="104" t="s">
        <v>2600</v>
      </c>
      <c r="B2104" s="102">
        <v>5</v>
      </c>
      <c r="C2104" s="106">
        <v>0.005355880205146841</v>
      </c>
      <c r="D2104" s="102" t="s">
        <v>2326</v>
      </c>
      <c r="E2104" s="102" t="b">
        <v>0</v>
      </c>
      <c r="F2104" s="102" t="b">
        <v>0</v>
      </c>
      <c r="G2104" s="102" t="b">
        <v>0</v>
      </c>
    </row>
    <row r="2105" spans="1:7" ht="15">
      <c r="A2105" s="104" t="s">
        <v>2653</v>
      </c>
      <c r="B2105" s="102">
        <v>5</v>
      </c>
      <c r="C2105" s="106">
        <v>0.005355880205146841</v>
      </c>
      <c r="D2105" s="102" t="s">
        <v>2326</v>
      </c>
      <c r="E2105" s="102" t="b">
        <v>0</v>
      </c>
      <c r="F2105" s="102" t="b">
        <v>0</v>
      </c>
      <c r="G2105" s="102" t="b">
        <v>0</v>
      </c>
    </row>
    <row r="2106" spans="1:7" ht="15">
      <c r="A2106" s="104" t="s">
        <v>2647</v>
      </c>
      <c r="B2106" s="102">
        <v>5</v>
      </c>
      <c r="C2106" s="106">
        <v>0.00329966438776992</v>
      </c>
      <c r="D2106" s="102" t="s">
        <v>2326</v>
      </c>
      <c r="E2106" s="102" t="b">
        <v>0</v>
      </c>
      <c r="F2106" s="102" t="b">
        <v>0</v>
      </c>
      <c r="G2106" s="102" t="b">
        <v>0</v>
      </c>
    </row>
    <row r="2107" spans="1:7" ht="15">
      <c r="A2107" s="104" t="s">
        <v>2391</v>
      </c>
      <c r="B2107" s="102">
        <v>5</v>
      </c>
      <c r="C2107" s="106">
        <v>0.002968687567387214</v>
      </c>
      <c r="D2107" s="102" t="s">
        <v>2326</v>
      </c>
      <c r="E2107" s="102" t="b">
        <v>0</v>
      </c>
      <c r="F2107" s="102" t="b">
        <v>0</v>
      </c>
      <c r="G2107" s="102" t="b">
        <v>0</v>
      </c>
    </row>
    <row r="2108" spans="1:7" ht="15">
      <c r="A2108" s="104" t="s">
        <v>2421</v>
      </c>
      <c r="B2108" s="102">
        <v>5</v>
      </c>
      <c r="C2108" s="106">
        <v>0.002968687567387214</v>
      </c>
      <c r="D2108" s="102" t="s">
        <v>2326</v>
      </c>
      <c r="E2108" s="102" t="b">
        <v>0</v>
      </c>
      <c r="F2108" s="102" t="b">
        <v>0</v>
      </c>
      <c r="G2108" s="102" t="b">
        <v>0</v>
      </c>
    </row>
    <row r="2109" spans="1:7" ht="15">
      <c r="A2109" s="104" t="s">
        <v>2415</v>
      </c>
      <c r="B2109" s="102">
        <v>5</v>
      </c>
      <c r="C2109" s="106">
        <v>0.003726367723180781</v>
      </c>
      <c r="D2109" s="102" t="s">
        <v>2326</v>
      </c>
      <c r="E2109" s="102" t="b">
        <v>0</v>
      </c>
      <c r="F2109" s="102" t="b">
        <v>0</v>
      </c>
      <c r="G2109" s="102" t="b">
        <v>0</v>
      </c>
    </row>
    <row r="2110" spans="1:7" ht="15">
      <c r="A2110" s="104" t="s">
        <v>2595</v>
      </c>
      <c r="B2110" s="102">
        <v>5</v>
      </c>
      <c r="C2110" s="106">
        <v>0.005355880205146841</v>
      </c>
      <c r="D2110" s="102" t="s">
        <v>2326</v>
      </c>
      <c r="E2110" s="102" t="b">
        <v>0</v>
      </c>
      <c r="F2110" s="102" t="b">
        <v>0</v>
      </c>
      <c r="G2110" s="102" t="b">
        <v>0</v>
      </c>
    </row>
    <row r="2111" spans="1:7" ht="15">
      <c r="A2111" s="104" t="s">
        <v>2642</v>
      </c>
      <c r="B2111" s="102">
        <v>5</v>
      </c>
      <c r="C2111" s="106">
        <v>0.005355880205146841</v>
      </c>
      <c r="D2111" s="102" t="s">
        <v>2326</v>
      </c>
      <c r="E2111" s="102" t="b">
        <v>0</v>
      </c>
      <c r="F2111" s="102" t="b">
        <v>0</v>
      </c>
      <c r="G2111" s="102" t="b">
        <v>0</v>
      </c>
    </row>
    <row r="2112" spans="1:7" ht="15">
      <c r="A2112" s="104" t="s">
        <v>2640</v>
      </c>
      <c r="B2112" s="102">
        <v>5</v>
      </c>
      <c r="C2112" s="106">
        <v>0.005355880205146841</v>
      </c>
      <c r="D2112" s="102" t="s">
        <v>2326</v>
      </c>
      <c r="E2112" s="102" t="b">
        <v>0</v>
      </c>
      <c r="F2112" s="102" t="b">
        <v>0</v>
      </c>
      <c r="G2112" s="102" t="b">
        <v>0</v>
      </c>
    </row>
    <row r="2113" spans="1:7" ht="15">
      <c r="A2113" s="104" t="s">
        <v>2641</v>
      </c>
      <c r="B2113" s="102">
        <v>5</v>
      </c>
      <c r="C2113" s="106">
        <v>0.005355880205146841</v>
      </c>
      <c r="D2113" s="102" t="s">
        <v>2326</v>
      </c>
      <c r="E2113" s="102" t="b">
        <v>0</v>
      </c>
      <c r="F2113" s="102" t="b">
        <v>0</v>
      </c>
      <c r="G2113" s="102" t="b">
        <v>0</v>
      </c>
    </row>
    <row r="2114" spans="1:7" ht="15">
      <c r="A2114" s="104" t="s">
        <v>2636</v>
      </c>
      <c r="B2114" s="102">
        <v>5</v>
      </c>
      <c r="C2114" s="106">
        <v>0.00432777229645838</v>
      </c>
      <c r="D2114" s="102" t="s">
        <v>2326</v>
      </c>
      <c r="E2114" s="102" t="b">
        <v>0</v>
      </c>
      <c r="F2114" s="102" t="b">
        <v>0</v>
      </c>
      <c r="G2114" s="102" t="b">
        <v>0</v>
      </c>
    </row>
    <row r="2115" spans="1:7" ht="15">
      <c r="A2115" s="104" t="s">
        <v>2453</v>
      </c>
      <c r="B2115" s="102">
        <v>5</v>
      </c>
      <c r="C2115" s="106">
        <v>0.005355880205146841</v>
      </c>
      <c r="D2115" s="102" t="s">
        <v>2326</v>
      </c>
      <c r="E2115" s="102" t="b">
        <v>0</v>
      </c>
      <c r="F2115" s="102" t="b">
        <v>0</v>
      </c>
      <c r="G2115" s="102" t="b">
        <v>0</v>
      </c>
    </row>
    <row r="2116" spans="1:7" ht="15">
      <c r="A2116" s="104" t="s">
        <v>2414</v>
      </c>
      <c r="B2116" s="102">
        <v>4</v>
      </c>
      <c r="C2116" s="106">
        <v>0.0029810941785446245</v>
      </c>
      <c r="D2116" s="102" t="s">
        <v>2326</v>
      </c>
      <c r="E2116" s="102" t="b">
        <v>0</v>
      </c>
      <c r="F2116" s="102" t="b">
        <v>0</v>
      </c>
      <c r="G2116" s="102" t="b">
        <v>0</v>
      </c>
    </row>
    <row r="2117" spans="1:7" ht="15">
      <c r="A2117" s="104" t="s">
        <v>2385</v>
      </c>
      <c r="B2117" s="102">
        <v>4</v>
      </c>
      <c r="C2117" s="106">
        <v>0.0029810941785446245</v>
      </c>
      <c r="D2117" s="102" t="s">
        <v>2326</v>
      </c>
      <c r="E2117" s="102" t="b">
        <v>0</v>
      </c>
      <c r="F2117" s="102" t="b">
        <v>0</v>
      </c>
      <c r="G2117" s="102" t="b">
        <v>0</v>
      </c>
    </row>
    <row r="2118" spans="1:7" ht="15">
      <c r="A2118" s="104" t="s">
        <v>2699</v>
      </c>
      <c r="B2118" s="102">
        <v>4</v>
      </c>
      <c r="C2118" s="106">
        <v>0.003462217837166704</v>
      </c>
      <c r="D2118" s="102" t="s">
        <v>2326</v>
      </c>
      <c r="E2118" s="102" t="b">
        <v>0</v>
      </c>
      <c r="F2118" s="102" t="b">
        <v>0</v>
      </c>
      <c r="G2118" s="102" t="b">
        <v>0</v>
      </c>
    </row>
    <row r="2119" spans="1:7" ht="15">
      <c r="A2119" s="104" t="s">
        <v>2466</v>
      </c>
      <c r="B2119" s="102">
        <v>4</v>
      </c>
      <c r="C2119" s="106">
        <v>0.0029810941785446245</v>
      </c>
      <c r="D2119" s="102" t="s">
        <v>2326</v>
      </c>
      <c r="E2119" s="102" t="b">
        <v>0</v>
      </c>
      <c r="F2119" s="102" t="b">
        <v>0</v>
      </c>
      <c r="G2119" s="102" t="b">
        <v>0</v>
      </c>
    </row>
    <row r="2120" spans="1:7" ht="15">
      <c r="A2120" s="104" t="s">
        <v>2440</v>
      </c>
      <c r="B2120" s="102">
        <v>4</v>
      </c>
      <c r="C2120" s="106">
        <v>0.003462217837166704</v>
      </c>
      <c r="D2120" s="102" t="s">
        <v>2326</v>
      </c>
      <c r="E2120" s="102" t="b">
        <v>0</v>
      </c>
      <c r="F2120" s="102" t="b">
        <v>0</v>
      </c>
      <c r="G2120" s="102" t="b">
        <v>0</v>
      </c>
    </row>
    <row r="2121" spans="1:7" ht="15">
      <c r="A2121" s="104" t="s">
        <v>2654</v>
      </c>
      <c r="B2121" s="102">
        <v>4</v>
      </c>
      <c r="C2121" s="106">
        <v>0.003462217837166704</v>
      </c>
      <c r="D2121" s="102" t="s">
        <v>2326</v>
      </c>
      <c r="E2121" s="102" t="b">
        <v>0</v>
      </c>
      <c r="F2121" s="102" t="b">
        <v>0</v>
      </c>
      <c r="G2121" s="102" t="b">
        <v>0</v>
      </c>
    </row>
    <row r="2122" spans="1:7" ht="15">
      <c r="A2122" s="104" t="s">
        <v>2364</v>
      </c>
      <c r="B2122" s="102">
        <v>4</v>
      </c>
      <c r="C2122" s="106">
        <v>0.002639731510215936</v>
      </c>
      <c r="D2122" s="102" t="s">
        <v>2326</v>
      </c>
      <c r="E2122" s="102" t="b">
        <v>0</v>
      </c>
      <c r="F2122" s="102" t="b">
        <v>0</v>
      </c>
      <c r="G2122" s="102" t="b">
        <v>0</v>
      </c>
    </row>
    <row r="2123" spans="1:7" ht="15">
      <c r="A2123" s="104" t="s">
        <v>2485</v>
      </c>
      <c r="B2123" s="102">
        <v>4</v>
      </c>
      <c r="C2123" s="106">
        <v>0.003462217837166704</v>
      </c>
      <c r="D2123" s="102" t="s">
        <v>2326</v>
      </c>
      <c r="E2123" s="102" t="b">
        <v>0</v>
      </c>
      <c r="F2123" s="102" t="b">
        <v>0</v>
      </c>
      <c r="G2123" s="102" t="b">
        <v>0</v>
      </c>
    </row>
    <row r="2124" spans="1:7" ht="15">
      <c r="A2124" s="104" t="s">
        <v>2716</v>
      </c>
      <c r="B2124" s="102">
        <v>4</v>
      </c>
      <c r="C2124" s="106">
        <v>0.002639731510215936</v>
      </c>
      <c r="D2124" s="102" t="s">
        <v>2326</v>
      </c>
      <c r="E2124" s="102" t="b">
        <v>0</v>
      </c>
      <c r="F2124" s="102" t="b">
        <v>0</v>
      </c>
      <c r="G2124" s="102" t="b">
        <v>0</v>
      </c>
    </row>
    <row r="2125" spans="1:7" ht="15">
      <c r="A2125" s="104" t="s">
        <v>2717</v>
      </c>
      <c r="B2125" s="102">
        <v>4</v>
      </c>
      <c r="C2125" s="106">
        <v>0.002639731510215936</v>
      </c>
      <c r="D2125" s="102" t="s">
        <v>2326</v>
      </c>
      <c r="E2125" s="102" t="b">
        <v>0</v>
      </c>
      <c r="F2125" s="102" t="b">
        <v>0</v>
      </c>
      <c r="G2125" s="102" t="b">
        <v>0</v>
      </c>
    </row>
    <row r="2126" spans="1:7" ht="15">
      <c r="A2126" s="104" t="s">
        <v>2718</v>
      </c>
      <c r="B2126" s="102">
        <v>4</v>
      </c>
      <c r="C2126" s="106">
        <v>0.002639731510215936</v>
      </c>
      <c r="D2126" s="102" t="s">
        <v>2326</v>
      </c>
      <c r="E2126" s="102" t="b">
        <v>1</v>
      </c>
      <c r="F2126" s="102" t="b">
        <v>0</v>
      </c>
      <c r="G2126" s="102" t="b">
        <v>0</v>
      </c>
    </row>
    <row r="2127" spans="1:7" ht="15">
      <c r="A2127" s="104" t="s">
        <v>2484</v>
      </c>
      <c r="B2127" s="102">
        <v>4</v>
      </c>
      <c r="C2127" s="106">
        <v>0.003462217837166704</v>
      </c>
      <c r="D2127" s="102" t="s">
        <v>2326</v>
      </c>
      <c r="E2127" s="102" t="b">
        <v>0</v>
      </c>
      <c r="F2127" s="102" t="b">
        <v>0</v>
      </c>
      <c r="G2127" s="102" t="b">
        <v>0</v>
      </c>
    </row>
    <row r="2128" spans="1:7" ht="15">
      <c r="A2128" s="104" t="s">
        <v>2406</v>
      </c>
      <c r="B2128" s="102">
        <v>4</v>
      </c>
      <c r="C2128" s="106">
        <v>0.002639731510215936</v>
      </c>
      <c r="D2128" s="102" t="s">
        <v>2326</v>
      </c>
      <c r="E2128" s="102" t="b">
        <v>0</v>
      </c>
      <c r="F2128" s="102" t="b">
        <v>1</v>
      </c>
      <c r="G2128" s="102" t="b">
        <v>0</v>
      </c>
    </row>
    <row r="2129" spans="1:7" ht="15">
      <c r="A2129" s="104" t="s">
        <v>2524</v>
      </c>
      <c r="B2129" s="102">
        <v>4</v>
      </c>
      <c r="C2129" s="106">
        <v>0.0029810941785446245</v>
      </c>
      <c r="D2129" s="102" t="s">
        <v>2326</v>
      </c>
      <c r="E2129" s="102" t="b">
        <v>0</v>
      </c>
      <c r="F2129" s="102" t="b">
        <v>0</v>
      </c>
      <c r="G2129" s="102" t="b">
        <v>0</v>
      </c>
    </row>
    <row r="2130" spans="1:7" ht="15">
      <c r="A2130" s="104" t="s">
        <v>2452</v>
      </c>
      <c r="B2130" s="102">
        <v>4</v>
      </c>
      <c r="C2130" s="106">
        <v>0.0029810941785446245</v>
      </c>
      <c r="D2130" s="102" t="s">
        <v>2326</v>
      </c>
      <c r="E2130" s="102" t="b">
        <v>0</v>
      </c>
      <c r="F2130" s="102" t="b">
        <v>0</v>
      </c>
      <c r="G2130" s="102" t="b">
        <v>0</v>
      </c>
    </row>
    <row r="2131" spans="1:7" ht="15">
      <c r="A2131" s="104" t="s">
        <v>2709</v>
      </c>
      <c r="B2131" s="102">
        <v>4</v>
      </c>
      <c r="C2131" s="106">
        <v>0.0042847041641174725</v>
      </c>
      <c r="D2131" s="102" t="s">
        <v>2326</v>
      </c>
      <c r="E2131" s="102" t="b">
        <v>0</v>
      </c>
      <c r="F2131" s="102" t="b">
        <v>0</v>
      </c>
      <c r="G2131" s="102" t="b">
        <v>0</v>
      </c>
    </row>
    <row r="2132" spans="1:7" ht="15">
      <c r="A2132" s="104" t="s">
        <v>2434</v>
      </c>
      <c r="B2132" s="102">
        <v>3</v>
      </c>
      <c r="C2132" s="106">
        <v>0.002596663377875028</v>
      </c>
      <c r="D2132" s="102" t="s">
        <v>2326</v>
      </c>
      <c r="E2132" s="102" t="b">
        <v>0</v>
      </c>
      <c r="F2132" s="102" t="b">
        <v>0</v>
      </c>
      <c r="G2132" s="102" t="b">
        <v>0</v>
      </c>
    </row>
    <row r="2133" spans="1:7" ht="15">
      <c r="A2133" s="104" t="s">
        <v>2480</v>
      </c>
      <c r="B2133" s="102">
        <v>3</v>
      </c>
      <c r="C2133" s="106">
        <v>0.002596663377875028</v>
      </c>
      <c r="D2133" s="102" t="s">
        <v>2326</v>
      </c>
      <c r="E2133" s="102" t="b">
        <v>0</v>
      </c>
      <c r="F2133" s="102" t="b">
        <v>0</v>
      </c>
      <c r="G2133" s="102" t="b">
        <v>0</v>
      </c>
    </row>
    <row r="2134" spans="1:7" ht="15">
      <c r="A2134" s="104" t="s">
        <v>2400</v>
      </c>
      <c r="B2134" s="102">
        <v>3</v>
      </c>
      <c r="C2134" s="106">
        <v>0.002596663377875028</v>
      </c>
      <c r="D2134" s="102" t="s">
        <v>2326</v>
      </c>
      <c r="E2134" s="102" t="b">
        <v>0</v>
      </c>
      <c r="F2134" s="102" t="b">
        <v>0</v>
      </c>
      <c r="G2134" s="102" t="b">
        <v>0</v>
      </c>
    </row>
    <row r="2135" spans="1:7" ht="15">
      <c r="A2135" s="104" t="s">
        <v>2559</v>
      </c>
      <c r="B2135" s="102">
        <v>3</v>
      </c>
      <c r="C2135" s="106">
        <v>0.002596663377875028</v>
      </c>
      <c r="D2135" s="102" t="s">
        <v>2326</v>
      </c>
      <c r="E2135" s="102" t="b">
        <v>0</v>
      </c>
      <c r="F2135" s="102" t="b">
        <v>0</v>
      </c>
      <c r="G2135" s="102" t="b">
        <v>0</v>
      </c>
    </row>
    <row r="2136" spans="1:7" ht="15">
      <c r="A2136" s="104" t="s">
        <v>2528</v>
      </c>
      <c r="B2136" s="102">
        <v>3</v>
      </c>
      <c r="C2136" s="106">
        <v>0.0022358206339084686</v>
      </c>
      <c r="D2136" s="102" t="s">
        <v>2326</v>
      </c>
      <c r="E2136" s="102" t="b">
        <v>0</v>
      </c>
      <c r="F2136" s="102" t="b">
        <v>0</v>
      </c>
      <c r="G2136" s="102" t="b">
        <v>0</v>
      </c>
    </row>
    <row r="2137" spans="1:7" ht="15">
      <c r="A2137" s="104" t="s">
        <v>2672</v>
      </c>
      <c r="B2137" s="102">
        <v>3</v>
      </c>
      <c r="C2137" s="106">
        <v>0.002596663377875028</v>
      </c>
      <c r="D2137" s="102" t="s">
        <v>2326</v>
      </c>
      <c r="E2137" s="102" t="b">
        <v>0</v>
      </c>
      <c r="F2137" s="102" t="b">
        <v>0</v>
      </c>
      <c r="G2137" s="102" t="b">
        <v>0</v>
      </c>
    </row>
    <row r="2138" spans="1:7" ht="15">
      <c r="A2138" s="104" t="s">
        <v>2359</v>
      </c>
      <c r="B2138" s="102">
        <v>3</v>
      </c>
      <c r="C2138" s="106">
        <v>0.0032135281230881046</v>
      </c>
      <c r="D2138" s="102" t="s">
        <v>2326</v>
      </c>
      <c r="E2138" s="102" t="b">
        <v>0</v>
      </c>
      <c r="F2138" s="102" t="b">
        <v>0</v>
      </c>
      <c r="G2138" s="102" t="b">
        <v>0</v>
      </c>
    </row>
    <row r="2139" spans="1:7" ht="15">
      <c r="A2139" s="104" t="s">
        <v>2361</v>
      </c>
      <c r="B2139" s="102">
        <v>3</v>
      </c>
      <c r="C2139" s="106">
        <v>0.002596663377875028</v>
      </c>
      <c r="D2139" s="102" t="s">
        <v>2326</v>
      </c>
      <c r="E2139" s="102" t="b">
        <v>0</v>
      </c>
      <c r="F2139" s="102" t="b">
        <v>0</v>
      </c>
      <c r="G2139" s="102" t="b">
        <v>0</v>
      </c>
    </row>
    <row r="2140" spans="1:7" ht="15">
      <c r="A2140" s="104" t="s">
        <v>2481</v>
      </c>
      <c r="B2140" s="102">
        <v>3</v>
      </c>
      <c r="C2140" s="106">
        <v>0.002596663377875028</v>
      </c>
      <c r="D2140" s="102" t="s">
        <v>2326</v>
      </c>
      <c r="E2140" s="102" t="b">
        <v>0</v>
      </c>
      <c r="F2140" s="102" t="b">
        <v>0</v>
      </c>
      <c r="G2140" s="102" t="b">
        <v>0</v>
      </c>
    </row>
    <row r="2141" spans="1:7" ht="15">
      <c r="A2141" s="104" t="s">
        <v>2651</v>
      </c>
      <c r="B2141" s="102">
        <v>3</v>
      </c>
      <c r="C2141" s="106">
        <v>0.002596663377875028</v>
      </c>
      <c r="D2141" s="102" t="s">
        <v>2326</v>
      </c>
      <c r="E2141" s="102" t="b">
        <v>0</v>
      </c>
      <c r="F2141" s="102" t="b">
        <v>0</v>
      </c>
      <c r="G2141" s="102" t="b">
        <v>0</v>
      </c>
    </row>
    <row r="2142" spans="1:7" ht="15">
      <c r="A2142" s="104" t="s">
        <v>2365</v>
      </c>
      <c r="B2142" s="102">
        <v>3</v>
      </c>
      <c r="C2142" s="106">
        <v>0.002596663377875028</v>
      </c>
      <c r="D2142" s="102" t="s">
        <v>2326</v>
      </c>
      <c r="E2142" s="102" t="b">
        <v>0</v>
      </c>
      <c r="F2142" s="102" t="b">
        <v>0</v>
      </c>
      <c r="G2142" s="102" t="b">
        <v>0</v>
      </c>
    </row>
    <row r="2143" spans="1:7" ht="15">
      <c r="A2143" s="104" t="s">
        <v>2387</v>
      </c>
      <c r="B2143" s="102">
        <v>3</v>
      </c>
      <c r="C2143" s="106">
        <v>0.002596663377875028</v>
      </c>
      <c r="D2143" s="102" t="s">
        <v>2326</v>
      </c>
      <c r="E2143" s="102" t="b">
        <v>0</v>
      </c>
      <c r="F2143" s="102" t="b">
        <v>0</v>
      </c>
      <c r="G2143" s="102" t="b">
        <v>0</v>
      </c>
    </row>
    <row r="2144" spans="1:7" ht="15">
      <c r="A2144" s="104" t="s">
        <v>2705</v>
      </c>
      <c r="B2144" s="102">
        <v>3</v>
      </c>
      <c r="C2144" s="106">
        <v>0.002596663377875028</v>
      </c>
      <c r="D2144" s="102" t="s">
        <v>2326</v>
      </c>
      <c r="E2144" s="102" t="b">
        <v>0</v>
      </c>
      <c r="F2144" s="102" t="b">
        <v>0</v>
      </c>
      <c r="G2144" s="102" t="b">
        <v>0</v>
      </c>
    </row>
    <row r="2145" spans="1:7" ht="15">
      <c r="A2145" s="104" t="s">
        <v>2503</v>
      </c>
      <c r="B2145" s="102">
        <v>3</v>
      </c>
      <c r="C2145" s="106">
        <v>0.0022358206339084686</v>
      </c>
      <c r="D2145" s="102" t="s">
        <v>2326</v>
      </c>
      <c r="E2145" s="102" t="b">
        <v>0</v>
      </c>
      <c r="F2145" s="102" t="b">
        <v>0</v>
      </c>
      <c r="G2145" s="102" t="b">
        <v>0</v>
      </c>
    </row>
    <row r="2146" spans="1:7" ht="15">
      <c r="A2146" s="104" t="s">
        <v>2831</v>
      </c>
      <c r="B2146" s="102">
        <v>3</v>
      </c>
      <c r="C2146" s="106">
        <v>0.002596663377875028</v>
      </c>
      <c r="D2146" s="102" t="s">
        <v>2326</v>
      </c>
      <c r="E2146" s="102" t="b">
        <v>1</v>
      </c>
      <c r="F2146" s="102" t="b">
        <v>0</v>
      </c>
      <c r="G2146" s="102" t="b">
        <v>0</v>
      </c>
    </row>
    <row r="2147" spans="1:7" ht="15">
      <c r="A2147" s="104" t="s">
        <v>2810</v>
      </c>
      <c r="B2147" s="102">
        <v>3</v>
      </c>
      <c r="C2147" s="106">
        <v>0.0022358206339084686</v>
      </c>
      <c r="D2147" s="102" t="s">
        <v>2326</v>
      </c>
      <c r="E2147" s="102" t="b">
        <v>0</v>
      </c>
      <c r="F2147" s="102" t="b">
        <v>0</v>
      </c>
      <c r="G2147" s="102" t="b">
        <v>0</v>
      </c>
    </row>
    <row r="2148" spans="1:7" ht="15">
      <c r="A2148" s="104" t="s">
        <v>2715</v>
      </c>
      <c r="B2148" s="102">
        <v>3</v>
      </c>
      <c r="C2148" s="106">
        <v>0.0022358206339084686</v>
      </c>
      <c r="D2148" s="102" t="s">
        <v>2326</v>
      </c>
      <c r="E2148" s="102" t="b">
        <v>0</v>
      </c>
      <c r="F2148" s="102" t="b">
        <v>0</v>
      </c>
      <c r="G2148" s="102" t="b">
        <v>0</v>
      </c>
    </row>
    <row r="2149" spans="1:7" ht="15">
      <c r="A2149" s="104" t="s">
        <v>2557</v>
      </c>
      <c r="B2149" s="102">
        <v>3</v>
      </c>
      <c r="C2149" s="106">
        <v>0.0022358206339084686</v>
      </c>
      <c r="D2149" s="102" t="s">
        <v>2326</v>
      </c>
      <c r="E2149" s="102" t="b">
        <v>0</v>
      </c>
      <c r="F2149" s="102" t="b">
        <v>0</v>
      </c>
      <c r="G2149" s="102" t="b">
        <v>0</v>
      </c>
    </row>
    <row r="2150" spans="1:7" ht="15">
      <c r="A2150" s="104" t="s">
        <v>2828</v>
      </c>
      <c r="B2150" s="102">
        <v>3</v>
      </c>
      <c r="C2150" s="106">
        <v>0.0022358206339084686</v>
      </c>
      <c r="D2150" s="102" t="s">
        <v>2326</v>
      </c>
      <c r="E2150" s="102" t="b">
        <v>0</v>
      </c>
      <c r="F2150" s="102" t="b">
        <v>0</v>
      </c>
      <c r="G2150" s="102" t="b">
        <v>0</v>
      </c>
    </row>
    <row r="2151" spans="1:7" ht="15">
      <c r="A2151" s="104" t="s">
        <v>2465</v>
      </c>
      <c r="B2151" s="102">
        <v>3</v>
      </c>
      <c r="C2151" s="106">
        <v>0.002596663377875028</v>
      </c>
      <c r="D2151" s="102" t="s">
        <v>2326</v>
      </c>
      <c r="E2151" s="102" t="b">
        <v>0</v>
      </c>
      <c r="F2151" s="102" t="b">
        <v>1</v>
      </c>
      <c r="G2151" s="102" t="b">
        <v>0</v>
      </c>
    </row>
    <row r="2152" spans="1:7" ht="15">
      <c r="A2152" s="104" t="s">
        <v>2467</v>
      </c>
      <c r="B2152" s="102">
        <v>3</v>
      </c>
      <c r="C2152" s="106">
        <v>0.002596663377875028</v>
      </c>
      <c r="D2152" s="102" t="s">
        <v>2326</v>
      </c>
      <c r="E2152" s="102" t="b">
        <v>0</v>
      </c>
      <c r="F2152" s="102" t="b">
        <v>0</v>
      </c>
      <c r="G2152" s="102" t="b">
        <v>0</v>
      </c>
    </row>
    <row r="2153" spans="1:7" ht="15">
      <c r="A2153" s="104" t="s">
        <v>2650</v>
      </c>
      <c r="B2153" s="102">
        <v>3</v>
      </c>
      <c r="C2153" s="106">
        <v>0.0032135281230881046</v>
      </c>
      <c r="D2153" s="102" t="s">
        <v>2326</v>
      </c>
      <c r="E2153" s="102" t="b">
        <v>0</v>
      </c>
      <c r="F2153" s="102" t="b">
        <v>0</v>
      </c>
      <c r="G2153" s="102" t="b">
        <v>0</v>
      </c>
    </row>
    <row r="2154" spans="1:7" ht="15">
      <c r="A2154" s="104" t="s">
        <v>2719</v>
      </c>
      <c r="B2154" s="102">
        <v>3</v>
      </c>
      <c r="C2154" s="106">
        <v>0.0022358206339084686</v>
      </c>
      <c r="D2154" s="102" t="s">
        <v>2326</v>
      </c>
      <c r="E2154" s="102" t="b">
        <v>0</v>
      </c>
      <c r="F2154" s="102" t="b">
        <v>0</v>
      </c>
      <c r="G2154" s="102" t="b">
        <v>0</v>
      </c>
    </row>
    <row r="2155" spans="1:7" ht="15">
      <c r="A2155" s="104" t="s">
        <v>2819</v>
      </c>
      <c r="B2155" s="102">
        <v>3</v>
      </c>
      <c r="C2155" s="106">
        <v>0.0022358206339084686</v>
      </c>
      <c r="D2155" s="102" t="s">
        <v>2326</v>
      </c>
      <c r="E2155" s="102" t="b">
        <v>0</v>
      </c>
      <c r="F2155" s="102" t="b">
        <v>0</v>
      </c>
      <c r="G2155" s="102" t="b">
        <v>0</v>
      </c>
    </row>
    <row r="2156" spans="1:7" ht="15">
      <c r="A2156" s="104" t="s">
        <v>2526</v>
      </c>
      <c r="B2156" s="102">
        <v>3</v>
      </c>
      <c r="C2156" s="106">
        <v>0.0022358206339084686</v>
      </c>
      <c r="D2156" s="102" t="s">
        <v>2326</v>
      </c>
      <c r="E2156" s="102" t="b">
        <v>0</v>
      </c>
      <c r="F2156" s="102" t="b">
        <v>0</v>
      </c>
      <c r="G2156" s="102" t="b">
        <v>0</v>
      </c>
    </row>
    <row r="2157" spans="1:7" ht="15">
      <c r="A2157" s="104" t="s">
        <v>2805</v>
      </c>
      <c r="B2157" s="102">
        <v>3</v>
      </c>
      <c r="C2157" s="106">
        <v>0.002596663377875028</v>
      </c>
      <c r="D2157" s="102" t="s">
        <v>2326</v>
      </c>
      <c r="E2157" s="102" t="b">
        <v>0</v>
      </c>
      <c r="F2157" s="102" t="b">
        <v>0</v>
      </c>
      <c r="G2157" s="102" t="b">
        <v>0</v>
      </c>
    </row>
    <row r="2158" spans="1:7" ht="15">
      <c r="A2158" s="104" t="s">
        <v>2708</v>
      </c>
      <c r="B2158" s="102">
        <v>3</v>
      </c>
      <c r="C2158" s="106">
        <v>0.002596663377875028</v>
      </c>
      <c r="D2158" s="102" t="s">
        <v>2326</v>
      </c>
      <c r="E2158" s="102" t="b">
        <v>0</v>
      </c>
      <c r="F2158" s="102" t="b">
        <v>0</v>
      </c>
      <c r="G2158" s="102" t="b">
        <v>0</v>
      </c>
    </row>
    <row r="2159" spans="1:7" ht="15">
      <c r="A2159" s="104" t="s">
        <v>2639</v>
      </c>
      <c r="B2159" s="102">
        <v>3</v>
      </c>
      <c r="C2159" s="106">
        <v>0.002596663377875028</v>
      </c>
      <c r="D2159" s="102" t="s">
        <v>2326</v>
      </c>
      <c r="E2159" s="102" t="b">
        <v>0</v>
      </c>
      <c r="F2159" s="102" t="b">
        <v>0</v>
      </c>
      <c r="G2159" s="102" t="b">
        <v>0</v>
      </c>
    </row>
    <row r="2160" spans="1:7" ht="15">
      <c r="A2160" s="104" t="s">
        <v>2373</v>
      </c>
      <c r="B2160" s="102">
        <v>3</v>
      </c>
      <c r="C2160" s="106">
        <v>0.0022358206339084686</v>
      </c>
      <c r="D2160" s="102" t="s">
        <v>2326</v>
      </c>
      <c r="E2160" s="102" t="b">
        <v>0</v>
      </c>
      <c r="F2160" s="102" t="b">
        <v>0</v>
      </c>
      <c r="G2160" s="102" t="b">
        <v>0</v>
      </c>
    </row>
    <row r="2161" spans="1:7" ht="15">
      <c r="A2161" s="104" t="s">
        <v>2817</v>
      </c>
      <c r="B2161" s="102">
        <v>3</v>
      </c>
      <c r="C2161" s="106">
        <v>0.0032135281230881046</v>
      </c>
      <c r="D2161" s="102" t="s">
        <v>2326</v>
      </c>
      <c r="E2161" s="102" t="b">
        <v>0</v>
      </c>
      <c r="F2161" s="102" t="b">
        <v>0</v>
      </c>
      <c r="G2161" s="102" t="b">
        <v>0</v>
      </c>
    </row>
    <row r="2162" spans="1:7" ht="15">
      <c r="A2162" s="104" t="s">
        <v>2472</v>
      </c>
      <c r="B2162" s="102">
        <v>3</v>
      </c>
      <c r="C2162" s="106">
        <v>0.0032135281230881046</v>
      </c>
      <c r="D2162" s="102" t="s">
        <v>2326</v>
      </c>
      <c r="E2162" s="102" t="b">
        <v>0</v>
      </c>
      <c r="F2162" s="102" t="b">
        <v>0</v>
      </c>
      <c r="G2162" s="102" t="b">
        <v>0</v>
      </c>
    </row>
    <row r="2163" spans="1:7" ht="15">
      <c r="A2163" s="104" t="s">
        <v>2814</v>
      </c>
      <c r="B2163" s="102">
        <v>3</v>
      </c>
      <c r="C2163" s="106">
        <v>0.0032135281230881046</v>
      </c>
      <c r="D2163" s="102" t="s">
        <v>2326</v>
      </c>
      <c r="E2163" s="102" t="b">
        <v>0</v>
      </c>
      <c r="F2163" s="102" t="b">
        <v>0</v>
      </c>
      <c r="G2163" s="102" t="b">
        <v>0</v>
      </c>
    </row>
    <row r="2164" spans="1:7" ht="15">
      <c r="A2164" s="104" t="s">
        <v>2428</v>
      </c>
      <c r="B2164" s="102">
        <v>3</v>
      </c>
      <c r="C2164" s="106">
        <v>0.0032135281230881046</v>
      </c>
      <c r="D2164" s="102" t="s">
        <v>2326</v>
      </c>
      <c r="E2164" s="102" t="b">
        <v>0</v>
      </c>
      <c r="F2164" s="102" t="b">
        <v>0</v>
      </c>
      <c r="G2164" s="102" t="b">
        <v>0</v>
      </c>
    </row>
    <row r="2165" spans="1:7" ht="15">
      <c r="A2165" s="104" t="s">
        <v>2710</v>
      </c>
      <c r="B2165" s="102">
        <v>3</v>
      </c>
      <c r="C2165" s="106">
        <v>0.0032135281230881046</v>
      </c>
      <c r="D2165" s="102" t="s">
        <v>2326</v>
      </c>
      <c r="E2165" s="102" t="b">
        <v>0</v>
      </c>
      <c r="F2165" s="102" t="b">
        <v>0</v>
      </c>
      <c r="G2165" s="102" t="b">
        <v>0</v>
      </c>
    </row>
    <row r="2166" spans="1:7" ht="15">
      <c r="A2166" s="104" t="s">
        <v>2811</v>
      </c>
      <c r="B2166" s="102">
        <v>3</v>
      </c>
      <c r="C2166" s="106">
        <v>0.0032135281230881046</v>
      </c>
      <c r="D2166" s="102" t="s">
        <v>2326</v>
      </c>
      <c r="E2166" s="102" t="b">
        <v>0</v>
      </c>
      <c r="F2166" s="102" t="b">
        <v>0</v>
      </c>
      <c r="G2166" s="102" t="b">
        <v>0</v>
      </c>
    </row>
    <row r="2167" spans="1:7" ht="15">
      <c r="A2167" s="104" t="s">
        <v>2702</v>
      </c>
      <c r="B2167" s="102">
        <v>3</v>
      </c>
      <c r="C2167" s="106">
        <v>0.002596663377875028</v>
      </c>
      <c r="D2167" s="102" t="s">
        <v>2326</v>
      </c>
      <c r="E2167" s="102" t="b">
        <v>0</v>
      </c>
      <c r="F2167" s="102" t="b">
        <v>0</v>
      </c>
      <c r="G2167" s="102" t="b">
        <v>0</v>
      </c>
    </row>
    <row r="2168" spans="1:7" ht="15">
      <c r="A2168" s="104" t="s">
        <v>2801</v>
      </c>
      <c r="B2168" s="102">
        <v>3</v>
      </c>
      <c r="C2168" s="106">
        <v>0.0032135281230881046</v>
      </c>
      <c r="D2168" s="102" t="s">
        <v>2326</v>
      </c>
      <c r="E2168" s="102" t="b">
        <v>0</v>
      </c>
      <c r="F2168" s="102" t="b">
        <v>0</v>
      </c>
      <c r="G2168" s="102" t="b">
        <v>0</v>
      </c>
    </row>
    <row r="2169" spans="1:7" ht="15">
      <c r="A2169" s="104" t="s">
        <v>2802</v>
      </c>
      <c r="B2169" s="102">
        <v>3</v>
      </c>
      <c r="C2169" s="106">
        <v>0.0032135281230881046</v>
      </c>
      <c r="D2169" s="102" t="s">
        <v>2326</v>
      </c>
      <c r="E2169" s="102" t="b">
        <v>0</v>
      </c>
      <c r="F2169" s="102" t="b">
        <v>0</v>
      </c>
      <c r="G2169" s="102" t="b">
        <v>0</v>
      </c>
    </row>
    <row r="2170" spans="1:7" ht="15">
      <c r="A2170" s="104" t="s">
        <v>2803</v>
      </c>
      <c r="B2170" s="102">
        <v>3</v>
      </c>
      <c r="C2170" s="106">
        <v>0.0032135281230881046</v>
      </c>
      <c r="D2170" s="102" t="s">
        <v>2326</v>
      </c>
      <c r="E2170" s="102" t="b">
        <v>0</v>
      </c>
      <c r="F2170" s="102" t="b">
        <v>0</v>
      </c>
      <c r="G2170" s="102" t="b">
        <v>0</v>
      </c>
    </row>
    <row r="2171" spans="1:7" ht="15">
      <c r="A2171" s="104" t="s">
        <v>2450</v>
      </c>
      <c r="B2171" s="102">
        <v>2</v>
      </c>
      <c r="C2171" s="106">
        <v>0.001731108918583352</v>
      </c>
      <c r="D2171" s="102" t="s">
        <v>2326</v>
      </c>
      <c r="E2171" s="102" t="b">
        <v>0</v>
      </c>
      <c r="F2171" s="102" t="b">
        <v>0</v>
      </c>
      <c r="G2171" s="102" t="b">
        <v>0</v>
      </c>
    </row>
    <row r="2172" spans="1:7" ht="15">
      <c r="A2172" s="104" t="s">
        <v>2451</v>
      </c>
      <c r="B2172" s="102">
        <v>2</v>
      </c>
      <c r="C2172" s="106">
        <v>0.001731108918583352</v>
      </c>
      <c r="D2172" s="102" t="s">
        <v>2326</v>
      </c>
      <c r="E2172" s="102" t="b">
        <v>0</v>
      </c>
      <c r="F2172" s="102" t="b">
        <v>0</v>
      </c>
      <c r="G2172" s="102" t="b">
        <v>0</v>
      </c>
    </row>
    <row r="2173" spans="1:7" ht="15">
      <c r="A2173" s="104" t="s">
        <v>2796</v>
      </c>
      <c r="B2173" s="102">
        <v>2</v>
      </c>
      <c r="C2173" s="106">
        <v>0.0021423520820587363</v>
      </c>
      <c r="D2173" s="102" t="s">
        <v>2326</v>
      </c>
      <c r="E2173" s="102" t="b">
        <v>0</v>
      </c>
      <c r="F2173" s="102" t="b">
        <v>0</v>
      </c>
      <c r="G2173" s="102" t="b">
        <v>0</v>
      </c>
    </row>
    <row r="2174" spans="1:7" ht="15">
      <c r="A2174" s="104" t="s">
        <v>2797</v>
      </c>
      <c r="B2174" s="102">
        <v>2</v>
      </c>
      <c r="C2174" s="106">
        <v>0.001731108918583352</v>
      </c>
      <c r="D2174" s="102" t="s">
        <v>2326</v>
      </c>
      <c r="E2174" s="102" t="b">
        <v>0</v>
      </c>
      <c r="F2174" s="102" t="b">
        <v>0</v>
      </c>
      <c r="G2174" s="102" t="b">
        <v>0</v>
      </c>
    </row>
    <row r="2175" spans="1:7" ht="15">
      <c r="A2175" s="104" t="s">
        <v>2407</v>
      </c>
      <c r="B2175" s="102">
        <v>2</v>
      </c>
      <c r="C2175" s="106">
        <v>0.001731108918583352</v>
      </c>
      <c r="D2175" s="102" t="s">
        <v>2326</v>
      </c>
      <c r="E2175" s="102" t="b">
        <v>0</v>
      </c>
      <c r="F2175" s="102" t="b">
        <v>0</v>
      </c>
      <c r="G2175" s="102" t="b">
        <v>0</v>
      </c>
    </row>
    <row r="2176" spans="1:7" ht="15">
      <c r="A2176" s="104" t="s">
        <v>2420</v>
      </c>
      <c r="B2176" s="102">
        <v>2</v>
      </c>
      <c r="C2176" s="106">
        <v>0.001731108918583352</v>
      </c>
      <c r="D2176" s="102" t="s">
        <v>2326</v>
      </c>
      <c r="E2176" s="102" t="b">
        <v>0</v>
      </c>
      <c r="F2176" s="102" t="b">
        <v>0</v>
      </c>
      <c r="G2176" s="102" t="b">
        <v>0</v>
      </c>
    </row>
    <row r="2177" spans="1:7" ht="15">
      <c r="A2177" s="104" t="s">
        <v>2542</v>
      </c>
      <c r="B2177" s="102">
        <v>2</v>
      </c>
      <c r="C2177" s="106">
        <v>0.001731108918583352</v>
      </c>
      <c r="D2177" s="102" t="s">
        <v>2326</v>
      </c>
      <c r="E2177" s="102" t="b">
        <v>0</v>
      </c>
      <c r="F2177" s="102" t="b">
        <v>0</v>
      </c>
      <c r="G2177" s="102" t="b">
        <v>0</v>
      </c>
    </row>
    <row r="2178" spans="1:7" ht="15">
      <c r="A2178" s="104" t="s">
        <v>2753</v>
      </c>
      <c r="B2178" s="102">
        <v>2</v>
      </c>
      <c r="C2178" s="106">
        <v>0.0021423520820587363</v>
      </c>
      <c r="D2178" s="102" t="s">
        <v>2326</v>
      </c>
      <c r="E2178" s="102" t="b">
        <v>0</v>
      </c>
      <c r="F2178" s="102" t="b">
        <v>1</v>
      </c>
      <c r="G2178" s="102" t="b">
        <v>0</v>
      </c>
    </row>
    <row r="2179" spans="1:7" ht="15">
      <c r="A2179" s="104" t="s">
        <v>2402</v>
      </c>
      <c r="B2179" s="102">
        <v>2</v>
      </c>
      <c r="C2179" s="106">
        <v>0.001731108918583352</v>
      </c>
      <c r="D2179" s="102" t="s">
        <v>2326</v>
      </c>
      <c r="E2179" s="102" t="b">
        <v>0</v>
      </c>
      <c r="F2179" s="102" t="b">
        <v>0</v>
      </c>
      <c r="G2179" s="102" t="b">
        <v>0</v>
      </c>
    </row>
    <row r="2180" spans="1:7" ht="15">
      <c r="A2180" s="104" t="s">
        <v>3153</v>
      </c>
      <c r="B2180" s="102">
        <v>2</v>
      </c>
      <c r="C2180" s="106">
        <v>0.0021423520820587363</v>
      </c>
      <c r="D2180" s="102" t="s">
        <v>2326</v>
      </c>
      <c r="E2180" s="102" t="b">
        <v>0</v>
      </c>
      <c r="F2180" s="102" t="b">
        <v>0</v>
      </c>
      <c r="G2180" s="102" t="b">
        <v>0</v>
      </c>
    </row>
    <row r="2181" spans="1:7" ht="15">
      <c r="A2181" s="104" t="s">
        <v>3154</v>
      </c>
      <c r="B2181" s="102">
        <v>2</v>
      </c>
      <c r="C2181" s="106">
        <v>0.0021423520820587363</v>
      </c>
      <c r="D2181" s="102" t="s">
        <v>2326</v>
      </c>
      <c r="E2181" s="102" t="b">
        <v>0</v>
      </c>
      <c r="F2181" s="102" t="b">
        <v>0</v>
      </c>
      <c r="G2181" s="102" t="b">
        <v>0</v>
      </c>
    </row>
    <row r="2182" spans="1:7" ht="15">
      <c r="A2182" s="104" t="s">
        <v>2883</v>
      </c>
      <c r="B2182" s="102">
        <v>2</v>
      </c>
      <c r="C2182" s="106">
        <v>0.001731108918583352</v>
      </c>
      <c r="D2182" s="102" t="s">
        <v>2326</v>
      </c>
      <c r="E2182" s="102" t="b">
        <v>0</v>
      </c>
      <c r="F2182" s="102" t="b">
        <v>0</v>
      </c>
      <c r="G2182" s="102" t="b">
        <v>0</v>
      </c>
    </row>
    <row r="2183" spans="1:7" ht="15">
      <c r="A2183" s="104" t="s">
        <v>2533</v>
      </c>
      <c r="B2183" s="102">
        <v>2</v>
      </c>
      <c r="C2183" s="106">
        <v>0.001731108918583352</v>
      </c>
      <c r="D2183" s="102" t="s">
        <v>2326</v>
      </c>
      <c r="E2183" s="102" t="b">
        <v>0</v>
      </c>
      <c r="F2183" s="102" t="b">
        <v>0</v>
      </c>
      <c r="G2183" s="102" t="b">
        <v>0</v>
      </c>
    </row>
    <row r="2184" spans="1:7" ht="15">
      <c r="A2184" s="104" t="s">
        <v>2869</v>
      </c>
      <c r="B2184" s="102">
        <v>2</v>
      </c>
      <c r="C2184" s="106">
        <v>0.001731108918583352</v>
      </c>
      <c r="D2184" s="102" t="s">
        <v>2326</v>
      </c>
      <c r="E2184" s="102" t="b">
        <v>0</v>
      </c>
      <c r="F2184" s="102" t="b">
        <v>0</v>
      </c>
      <c r="G2184" s="102" t="b">
        <v>0</v>
      </c>
    </row>
    <row r="2185" spans="1:7" ht="15">
      <c r="A2185" s="104" t="s">
        <v>2870</v>
      </c>
      <c r="B2185" s="102">
        <v>2</v>
      </c>
      <c r="C2185" s="106">
        <v>0.001731108918583352</v>
      </c>
      <c r="D2185" s="102" t="s">
        <v>2326</v>
      </c>
      <c r="E2185" s="102" t="b">
        <v>0</v>
      </c>
      <c r="F2185" s="102" t="b">
        <v>0</v>
      </c>
      <c r="G2185" s="102" t="b">
        <v>0</v>
      </c>
    </row>
    <row r="2186" spans="1:7" ht="15">
      <c r="A2186" s="104" t="s">
        <v>2569</v>
      </c>
      <c r="B2186" s="102">
        <v>2</v>
      </c>
      <c r="C2186" s="106">
        <v>0.0021423520820587363</v>
      </c>
      <c r="D2186" s="102" t="s">
        <v>2326</v>
      </c>
      <c r="E2186" s="102" t="b">
        <v>0</v>
      </c>
      <c r="F2186" s="102" t="b">
        <v>1</v>
      </c>
      <c r="G2186" s="102" t="b">
        <v>0</v>
      </c>
    </row>
    <row r="2187" spans="1:7" ht="15">
      <c r="A2187" s="104" t="s">
        <v>2725</v>
      </c>
      <c r="B2187" s="102">
        <v>2</v>
      </c>
      <c r="C2187" s="106">
        <v>0.001731108918583352</v>
      </c>
      <c r="D2187" s="102" t="s">
        <v>2326</v>
      </c>
      <c r="E2187" s="102" t="b">
        <v>0</v>
      </c>
      <c r="F2187" s="102" t="b">
        <v>0</v>
      </c>
      <c r="G2187" s="102" t="b">
        <v>0</v>
      </c>
    </row>
    <row r="2188" spans="1:7" ht="15">
      <c r="A2188" s="104" t="s">
        <v>2681</v>
      </c>
      <c r="B2188" s="102">
        <v>2</v>
      </c>
      <c r="C2188" s="106">
        <v>0.0021423520820587363</v>
      </c>
      <c r="D2188" s="102" t="s">
        <v>2326</v>
      </c>
      <c r="E2188" s="102" t="b">
        <v>0</v>
      </c>
      <c r="F2188" s="102" t="b">
        <v>0</v>
      </c>
      <c r="G2188" s="102" t="b">
        <v>0</v>
      </c>
    </row>
    <row r="2189" spans="1:7" ht="15">
      <c r="A2189" s="104" t="s">
        <v>2463</v>
      </c>
      <c r="B2189" s="102">
        <v>2</v>
      </c>
      <c r="C2189" s="106">
        <v>0.001731108918583352</v>
      </c>
      <c r="D2189" s="102" t="s">
        <v>2326</v>
      </c>
      <c r="E2189" s="102" t="b">
        <v>0</v>
      </c>
      <c r="F2189" s="102" t="b">
        <v>0</v>
      </c>
      <c r="G2189" s="102" t="b">
        <v>0</v>
      </c>
    </row>
    <row r="2190" spans="1:7" ht="15">
      <c r="A2190" s="104" t="s">
        <v>2711</v>
      </c>
      <c r="B2190" s="102">
        <v>2</v>
      </c>
      <c r="C2190" s="106">
        <v>0.001731108918583352</v>
      </c>
      <c r="D2190" s="102" t="s">
        <v>2326</v>
      </c>
      <c r="E2190" s="102" t="b">
        <v>0</v>
      </c>
      <c r="F2190" s="102" t="b">
        <v>0</v>
      </c>
      <c r="G2190" s="102" t="b">
        <v>0</v>
      </c>
    </row>
    <row r="2191" spans="1:7" ht="15">
      <c r="A2191" s="104" t="s">
        <v>2592</v>
      </c>
      <c r="B2191" s="102">
        <v>2</v>
      </c>
      <c r="C2191" s="106">
        <v>0.001731108918583352</v>
      </c>
      <c r="D2191" s="102" t="s">
        <v>2326</v>
      </c>
      <c r="E2191" s="102" t="b">
        <v>0</v>
      </c>
      <c r="F2191" s="102" t="b">
        <v>0</v>
      </c>
      <c r="G2191" s="102" t="b">
        <v>0</v>
      </c>
    </row>
    <row r="2192" spans="1:7" ht="15">
      <c r="A2192" s="104" t="s">
        <v>2643</v>
      </c>
      <c r="B2192" s="102">
        <v>2</v>
      </c>
      <c r="C2192" s="106">
        <v>0.001731108918583352</v>
      </c>
      <c r="D2192" s="102" t="s">
        <v>2326</v>
      </c>
      <c r="E2192" s="102" t="b">
        <v>0</v>
      </c>
      <c r="F2192" s="102" t="b">
        <v>0</v>
      </c>
      <c r="G2192" s="102" t="b">
        <v>0</v>
      </c>
    </row>
    <row r="2193" spans="1:7" ht="15">
      <c r="A2193" s="104" t="s">
        <v>2555</v>
      </c>
      <c r="B2193" s="102">
        <v>2</v>
      </c>
      <c r="C2193" s="106">
        <v>0.001731108918583352</v>
      </c>
      <c r="D2193" s="102" t="s">
        <v>2326</v>
      </c>
      <c r="E2193" s="102" t="b">
        <v>0</v>
      </c>
      <c r="F2193" s="102" t="b">
        <v>0</v>
      </c>
      <c r="G2193" s="102" t="b">
        <v>0</v>
      </c>
    </row>
    <row r="2194" spans="1:7" ht="15">
      <c r="A2194" s="104" t="s">
        <v>2712</v>
      </c>
      <c r="B2194" s="102">
        <v>2</v>
      </c>
      <c r="C2194" s="106">
        <v>0.001731108918583352</v>
      </c>
      <c r="D2194" s="102" t="s">
        <v>2326</v>
      </c>
      <c r="E2194" s="102" t="b">
        <v>0</v>
      </c>
      <c r="F2194" s="102" t="b">
        <v>0</v>
      </c>
      <c r="G2194" s="102" t="b">
        <v>0</v>
      </c>
    </row>
    <row r="2195" spans="1:7" ht="15">
      <c r="A2195" s="104" t="s">
        <v>2593</v>
      </c>
      <c r="B2195" s="102">
        <v>2</v>
      </c>
      <c r="C2195" s="106">
        <v>0.001731108918583352</v>
      </c>
      <c r="D2195" s="102" t="s">
        <v>2326</v>
      </c>
      <c r="E2195" s="102" t="b">
        <v>0</v>
      </c>
      <c r="F2195" s="102" t="b">
        <v>0</v>
      </c>
      <c r="G2195" s="102" t="b">
        <v>0</v>
      </c>
    </row>
    <row r="2196" spans="1:7" ht="15">
      <c r="A2196" s="104" t="s">
        <v>2644</v>
      </c>
      <c r="B2196" s="102">
        <v>2</v>
      </c>
      <c r="C2196" s="106">
        <v>0.001731108918583352</v>
      </c>
      <c r="D2196" s="102" t="s">
        <v>2326</v>
      </c>
      <c r="E2196" s="102" t="b">
        <v>0</v>
      </c>
      <c r="F2196" s="102" t="b">
        <v>0</v>
      </c>
      <c r="G2196" s="102" t="b">
        <v>0</v>
      </c>
    </row>
    <row r="2197" spans="1:7" ht="15">
      <c r="A2197" s="104" t="s">
        <v>2645</v>
      </c>
      <c r="B2197" s="102">
        <v>2</v>
      </c>
      <c r="C2197" s="106">
        <v>0.001731108918583352</v>
      </c>
      <c r="D2197" s="102" t="s">
        <v>2326</v>
      </c>
      <c r="E2197" s="102" t="b">
        <v>0</v>
      </c>
      <c r="F2197" s="102" t="b">
        <v>0</v>
      </c>
      <c r="G2197" s="102" t="b">
        <v>0</v>
      </c>
    </row>
    <row r="2198" spans="1:7" ht="15">
      <c r="A2198" s="104" t="s">
        <v>2646</v>
      </c>
      <c r="B2198" s="102">
        <v>2</v>
      </c>
      <c r="C2198" s="106">
        <v>0.001731108918583352</v>
      </c>
      <c r="D2198" s="102" t="s">
        <v>2326</v>
      </c>
      <c r="E2198" s="102" t="b">
        <v>0</v>
      </c>
      <c r="F2198" s="102" t="b">
        <v>0</v>
      </c>
      <c r="G2198" s="102" t="b">
        <v>0</v>
      </c>
    </row>
    <row r="2199" spans="1:7" ht="15">
      <c r="A2199" s="104" t="s">
        <v>2713</v>
      </c>
      <c r="B2199" s="102">
        <v>2</v>
      </c>
      <c r="C2199" s="106">
        <v>0.001731108918583352</v>
      </c>
      <c r="D2199" s="102" t="s">
        <v>2326</v>
      </c>
      <c r="E2199" s="102" t="b">
        <v>0</v>
      </c>
      <c r="F2199" s="102" t="b">
        <v>0</v>
      </c>
      <c r="G2199" s="102" t="b">
        <v>0</v>
      </c>
    </row>
    <row r="2200" spans="1:7" ht="15">
      <c r="A2200" s="104" t="s">
        <v>2830</v>
      </c>
      <c r="B2200" s="102">
        <v>2</v>
      </c>
      <c r="C2200" s="106">
        <v>0.001731108918583352</v>
      </c>
      <c r="D2200" s="102" t="s">
        <v>2326</v>
      </c>
      <c r="E2200" s="102" t="b">
        <v>1</v>
      </c>
      <c r="F2200" s="102" t="b">
        <v>0</v>
      </c>
      <c r="G2200" s="102" t="b">
        <v>0</v>
      </c>
    </row>
    <row r="2201" spans="1:7" ht="15">
      <c r="A2201" s="104" t="s">
        <v>3034</v>
      </c>
      <c r="B2201" s="102">
        <v>2</v>
      </c>
      <c r="C2201" s="106">
        <v>0.0021423520820587363</v>
      </c>
      <c r="D2201" s="102" t="s">
        <v>2326</v>
      </c>
      <c r="E2201" s="102" t="b">
        <v>0</v>
      </c>
      <c r="F2201" s="102" t="b">
        <v>0</v>
      </c>
      <c r="G2201" s="102" t="b">
        <v>0</v>
      </c>
    </row>
    <row r="2202" spans="1:7" ht="15">
      <c r="A2202" s="104" t="s">
        <v>3031</v>
      </c>
      <c r="B2202" s="102">
        <v>2</v>
      </c>
      <c r="C2202" s="106">
        <v>0.0021423520820587363</v>
      </c>
      <c r="D2202" s="102" t="s">
        <v>2326</v>
      </c>
      <c r="E2202" s="102" t="b">
        <v>0</v>
      </c>
      <c r="F2202" s="102" t="b">
        <v>0</v>
      </c>
      <c r="G2202" s="102" t="b">
        <v>0</v>
      </c>
    </row>
    <row r="2203" spans="1:7" ht="15">
      <c r="A2203" s="104" t="s">
        <v>3032</v>
      </c>
      <c r="B2203" s="102">
        <v>2</v>
      </c>
      <c r="C2203" s="106">
        <v>0.0021423520820587363</v>
      </c>
      <c r="D2203" s="102" t="s">
        <v>2326</v>
      </c>
      <c r="E2203" s="102" t="b">
        <v>0</v>
      </c>
      <c r="F2203" s="102" t="b">
        <v>0</v>
      </c>
      <c r="G2203" s="102" t="b">
        <v>0</v>
      </c>
    </row>
    <row r="2204" spans="1:7" ht="15">
      <c r="A2204" s="104" t="s">
        <v>2824</v>
      </c>
      <c r="B2204" s="102">
        <v>2</v>
      </c>
      <c r="C2204" s="106">
        <v>0.001731108918583352</v>
      </c>
      <c r="D2204" s="102" t="s">
        <v>2326</v>
      </c>
      <c r="E2204" s="102" t="b">
        <v>0</v>
      </c>
      <c r="F2204" s="102" t="b">
        <v>0</v>
      </c>
      <c r="G2204" s="102" t="b">
        <v>0</v>
      </c>
    </row>
    <row r="2205" spans="1:7" ht="15">
      <c r="A2205" s="104" t="s">
        <v>2558</v>
      </c>
      <c r="B2205" s="102">
        <v>2</v>
      </c>
      <c r="C2205" s="106">
        <v>0.001731108918583352</v>
      </c>
      <c r="D2205" s="102" t="s">
        <v>2326</v>
      </c>
      <c r="E2205" s="102" t="b">
        <v>0</v>
      </c>
      <c r="F2205" s="102" t="b">
        <v>0</v>
      </c>
      <c r="G2205" s="102" t="b">
        <v>0</v>
      </c>
    </row>
    <row r="2206" spans="1:7" ht="15">
      <c r="A2206" s="104" t="s">
        <v>2597</v>
      </c>
      <c r="B2206" s="102">
        <v>2</v>
      </c>
      <c r="C2206" s="106">
        <v>0.001731108918583352</v>
      </c>
      <c r="D2206" s="102" t="s">
        <v>2326</v>
      </c>
      <c r="E2206" s="102" t="b">
        <v>0</v>
      </c>
      <c r="F2206" s="102" t="b">
        <v>1</v>
      </c>
      <c r="G2206" s="102" t="b">
        <v>0</v>
      </c>
    </row>
    <row r="2207" spans="1:7" ht="15">
      <c r="A2207" s="104" t="s">
        <v>3009</v>
      </c>
      <c r="B2207" s="102">
        <v>2</v>
      </c>
      <c r="C2207" s="106">
        <v>0.001731108918583352</v>
      </c>
      <c r="D2207" s="102" t="s">
        <v>2326</v>
      </c>
      <c r="E2207" s="102" t="b">
        <v>0</v>
      </c>
      <c r="F2207" s="102" t="b">
        <v>0</v>
      </c>
      <c r="G2207" s="102" t="b">
        <v>0</v>
      </c>
    </row>
    <row r="2208" spans="1:7" ht="15">
      <c r="A2208" s="104" t="s">
        <v>2416</v>
      </c>
      <c r="B2208" s="102">
        <v>2</v>
      </c>
      <c r="C2208" s="106">
        <v>0.001731108918583352</v>
      </c>
      <c r="D2208" s="102" t="s">
        <v>2326</v>
      </c>
      <c r="E2208" s="102" t="b">
        <v>0</v>
      </c>
      <c r="F2208" s="102" t="b">
        <v>0</v>
      </c>
      <c r="G2208" s="102" t="b">
        <v>0</v>
      </c>
    </row>
    <row r="2209" spans="1:7" ht="15">
      <c r="A2209" s="104" t="s">
        <v>2560</v>
      </c>
      <c r="B2209" s="102">
        <v>2</v>
      </c>
      <c r="C2209" s="106">
        <v>0.001731108918583352</v>
      </c>
      <c r="D2209" s="102" t="s">
        <v>2326</v>
      </c>
      <c r="E2209" s="102" t="b">
        <v>0</v>
      </c>
      <c r="F2209" s="102" t="b">
        <v>0</v>
      </c>
      <c r="G2209" s="102" t="b">
        <v>0</v>
      </c>
    </row>
    <row r="2210" spans="1:7" ht="15">
      <c r="A2210" s="104" t="s">
        <v>3024</v>
      </c>
      <c r="B2210" s="102">
        <v>2</v>
      </c>
      <c r="C2210" s="106">
        <v>0.0021423520820587363</v>
      </c>
      <c r="D2210" s="102" t="s">
        <v>2326</v>
      </c>
      <c r="E2210" s="102" t="b">
        <v>0</v>
      </c>
      <c r="F2210" s="102" t="b">
        <v>0</v>
      </c>
      <c r="G2210" s="102" t="b">
        <v>0</v>
      </c>
    </row>
    <row r="2211" spans="1:7" ht="15">
      <c r="A2211" s="104" t="s">
        <v>2726</v>
      </c>
      <c r="B2211" s="102">
        <v>2</v>
      </c>
      <c r="C2211" s="106">
        <v>0.001731108918583352</v>
      </c>
      <c r="D2211" s="102" t="s">
        <v>2326</v>
      </c>
      <c r="E2211" s="102" t="b">
        <v>0</v>
      </c>
      <c r="F2211" s="102" t="b">
        <v>0</v>
      </c>
      <c r="G2211" s="102" t="b">
        <v>0</v>
      </c>
    </row>
    <row r="2212" spans="1:7" ht="15">
      <c r="A2212" s="104" t="s">
        <v>2596</v>
      </c>
      <c r="B2212" s="102">
        <v>2</v>
      </c>
      <c r="C2212" s="106">
        <v>0.001731108918583352</v>
      </c>
      <c r="D2212" s="102" t="s">
        <v>2326</v>
      </c>
      <c r="E2212" s="102" t="b">
        <v>0</v>
      </c>
      <c r="F2212" s="102" t="b">
        <v>0</v>
      </c>
      <c r="G2212" s="102" t="b">
        <v>0</v>
      </c>
    </row>
    <row r="2213" spans="1:7" ht="15">
      <c r="A2213" s="104" t="s">
        <v>3023</v>
      </c>
      <c r="B2213" s="102">
        <v>2</v>
      </c>
      <c r="C2213" s="106">
        <v>0.0021423520820587363</v>
      </c>
      <c r="D2213" s="102" t="s">
        <v>2326</v>
      </c>
      <c r="E2213" s="102" t="b">
        <v>0</v>
      </c>
      <c r="F2213" s="102" t="b">
        <v>0</v>
      </c>
      <c r="G2213" s="102" t="b">
        <v>0</v>
      </c>
    </row>
    <row r="2214" spans="1:7" ht="15">
      <c r="A2214" s="104" t="s">
        <v>2723</v>
      </c>
      <c r="B2214" s="102">
        <v>2</v>
      </c>
      <c r="C2214" s="106">
        <v>0.001731108918583352</v>
      </c>
      <c r="D2214" s="102" t="s">
        <v>2326</v>
      </c>
      <c r="E2214" s="102" t="b">
        <v>0</v>
      </c>
      <c r="F2214" s="102" t="b">
        <v>1</v>
      </c>
      <c r="G2214" s="102" t="b">
        <v>0</v>
      </c>
    </row>
    <row r="2215" spans="1:7" ht="15">
      <c r="A2215" s="104" t="s">
        <v>2727</v>
      </c>
      <c r="B2215" s="102">
        <v>2</v>
      </c>
      <c r="C2215" s="106">
        <v>0.0021423520820587363</v>
      </c>
      <c r="D2215" s="102" t="s">
        <v>2326</v>
      </c>
      <c r="E2215" s="102" t="b">
        <v>0</v>
      </c>
      <c r="F2215" s="102" t="b">
        <v>0</v>
      </c>
      <c r="G2215" s="102" t="b">
        <v>0</v>
      </c>
    </row>
    <row r="2216" spans="1:7" ht="15">
      <c r="A2216" s="104" t="s">
        <v>3021</v>
      </c>
      <c r="B2216" s="102">
        <v>2</v>
      </c>
      <c r="C2216" s="106">
        <v>0.0021423520820587363</v>
      </c>
      <c r="D2216" s="102" t="s">
        <v>2326</v>
      </c>
      <c r="E2216" s="102" t="b">
        <v>0</v>
      </c>
      <c r="F2216" s="102" t="b">
        <v>0</v>
      </c>
      <c r="G2216" s="102" t="b">
        <v>0</v>
      </c>
    </row>
    <row r="2217" spans="1:7" ht="15">
      <c r="A2217" s="104" t="s">
        <v>2438</v>
      </c>
      <c r="B2217" s="102">
        <v>2</v>
      </c>
      <c r="C2217" s="106">
        <v>0.001731108918583352</v>
      </c>
      <c r="D2217" s="102" t="s">
        <v>2326</v>
      </c>
      <c r="E2217" s="102" t="b">
        <v>0</v>
      </c>
      <c r="F2217" s="102" t="b">
        <v>0</v>
      </c>
      <c r="G2217" s="102" t="b">
        <v>0</v>
      </c>
    </row>
    <row r="2218" spans="1:7" ht="15">
      <c r="A2218" s="104" t="s">
        <v>3002</v>
      </c>
      <c r="B2218" s="102">
        <v>2</v>
      </c>
      <c r="C2218" s="106">
        <v>0.001731108918583352</v>
      </c>
      <c r="D2218" s="102" t="s">
        <v>2326</v>
      </c>
      <c r="E2218" s="102" t="b">
        <v>0</v>
      </c>
      <c r="F2218" s="102" t="b">
        <v>0</v>
      </c>
      <c r="G2218" s="102" t="b">
        <v>0</v>
      </c>
    </row>
    <row r="2219" spans="1:7" ht="15">
      <c r="A2219" s="104" t="s">
        <v>3015</v>
      </c>
      <c r="B2219" s="102">
        <v>2</v>
      </c>
      <c r="C2219" s="106">
        <v>0.0021423520820587363</v>
      </c>
      <c r="D2219" s="102" t="s">
        <v>2326</v>
      </c>
      <c r="E2219" s="102" t="b">
        <v>0</v>
      </c>
      <c r="F2219" s="102" t="b">
        <v>0</v>
      </c>
      <c r="G2219" s="102" t="b">
        <v>0</v>
      </c>
    </row>
    <row r="2220" spans="1:7" ht="15">
      <c r="A2220" s="104" t="s">
        <v>2704</v>
      </c>
      <c r="B2220" s="102">
        <v>2</v>
      </c>
      <c r="C2220" s="106">
        <v>0.001731108918583352</v>
      </c>
      <c r="D2220" s="102" t="s">
        <v>2326</v>
      </c>
      <c r="E2220" s="102" t="b">
        <v>0</v>
      </c>
      <c r="F2220" s="102" t="b">
        <v>0</v>
      </c>
      <c r="G2220" s="102" t="b">
        <v>0</v>
      </c>
    </row>
    <row r="2221" spans="1:7" ht="15">
      <c r="A2221" s="104" t="s">
        <v>2823</v>
      </c>
      <c r="B2221" s="102">
        <v>2</v>
      </c>
      <c r="C2221" s="106">
        <v>0.001731108918583352</v>
      </c>
      <c r="D2221" s="102" t="s">
        <v>2326</v>
      </c>
      <c r="E2221" s="102" t="b">
        <v>0</v>
      </c>
      <c r="F2221" s="102" t="b">
        <v>0</v>
      </c>
      <c r="G2221" s="102" t="b">
        <v>0</v>
      </c>
    </row>
    <row r="2222" spans="1:7" ht="15">
      <c r="A2222" s="104" t="s">
        <v>2988</v>
      </c>
      <c r="B2222" s="102">
        <v>2</v>
      </c>
      <c r="C2222" s="106">
        <v>0.001731108918583352</v>
      </c>
      <c r="D2222" s="102" t="s">
        <v>2326</v>
      </c>
      <c r="E2222" s="102" t="b">
        <v>0</v>
      </c>
      <c r="F2222" s="102" t="b">
        <v>0</v>
      </c>
      <c r="G2222" s="102" t="b">
        <v>0</v>
      </c>
    </row>
    <row r="2223" spans="1:7" ht="15">
      <c r="A2223" s="104" t="s">
        <v>2990</v>
      </c>
      <c r="B2223" s="102">
        <v>2</v>
      </c>
      <c r="C2223" s="106">
        <v>0.001731108918583352</v>
      </c>
      <c r="D2223" s="102" t="s">
        <v>2326</v>
      </c>
      <c r="E2223" s="102" t="b">
        <v>0</v>
      </c>
      <c r="F2223" s="102" t="b">
        <v>0</v>
      </c>
      <c r="G2223" s="102" t="b">
        <v>0</v>
      </c>
    </row>
    <row r="2224" spans="1:7" ht="15">
      <c r="A2224" s="104" t="s">
        <v>2987</v>
      </c>
      <c r="B2224" s="102">
        <v>2</v>
      </c>
      <c r="C2224" s="106">
        <v>0.001731108918583352</v>
      </c>
      <c r="D2224" s="102" t="s">
        <v>2326</v>
      </c>
      <c r="E2224" s="102" t="b">
        <v>0</v>
      </c>
      <c r="F2224" s="102" t="b">
        <v>0</v>
      </c>
      <c r="G2224" s="102" t="b">
        <v>0</v>
      </c>
    </row>
    <row r="2225" spans="1:7" ht="15">
      <c r="A2225" s="104" t="s">
        <v>2822</v>
      </c>
      <c r="B2225" s="102">
        <v>2</v>
      </c>
      <c r="C2225" s="106">
        <v>0.001731108918583352</v>
      </c>
      <c r="D2225" s="102" t="s">
        <v>2326</v>
      </c>
      <c r="E2225" s="102" t="b">
        <v>0</v>
      </c>
      <c r="F2225" s="102" t="b">
        <v>0</v>
      </c>
      <c r="G2225" s="102" t="b">
        <v>0</v>
      </c>
    </row>
    <row r="2226" spans="1:7" ht="15">
      <c r="A2226" s="104" t="s">
        <v>2965</v>
      </c>
      <c r="B2226" s="102">
        <v>2</v>
      </c>
      <c r="C2226" s="106">
        <v>0.001731108918583352</v>
      </c>
      <c r="D2226" s="102" t="s">
        <v>2326</v>
      </c>
      <c r="E2226" s="102" t="b">
        <v>0</v>
      </c>
      <c r="F2226" s="102" t="b">
        <v>0</v>
      </c>
      <c r="G2226" s="102" t="b">
        <v>0</v>
      </c>
    </row>
    <row r="2227" spans="1:7" ht="15">
      <c r="A2227" s="104" t="s">
        <v>2991</v>
      </c>
      <c r="B2227" s="102">
        <v>2</v>
      </c>
      <c r="C2227" s="106">
        <v>0.001731108918583352</v>
      </c>
      <c r="D2227" s="102" t="s">
        <v>2326</v>
      </c>
      <c r="E2227" s="102" t="b">
        <v>0</v>
      </c>
      <c r="F2227" s="102" t="b">
        <v>0</v>
      </c>
      <c r="G2227" s="102" t="b">
        <v>0</v>
      </c>
    </row>
    <row r="2228" spans="1:7" ht="15">
      <c r="A2228" s="104" t="s">
        <v>2992</v>
      </c>
      <c r="B2228" s="102">
        <v>2</v>
      </c>
      <c r="C2228" s="106">
        <v>0.001731108918583352</v>
      </c>
      <c r="D2228" s="102" t="s">
        <v>2326</v>
      </c>
      <c r="E2228" s="102" t="b">
        <v>0</v>
      </c>
      <c r="F2228" s="102" t="b">
        <v>0</v>
      </c>
      <c r="G2228" s="102" t="b">
        <v>0</v>
      </c>
    </row>
    <row r="2229" spans="1:7" ht="15">
      <c r="A2229" s="104" t="s">
        <v>3003</v>
      </c>
      <c r="B2229" s="102">
        <v>2</v>
      </c>
      <c r="C2229" s="106">
        <v>0.0021423520820587363</v>
      </c>
      <c r="D2229" s="102" t="s">
        <v>2326</v>
      </c>
      <c r="E2229" s="102" t="b">
        <v>0</v>
      </c>
      <c r="F2229" s="102" t="b">
        <v>0</v>
      </c>
      <c r="G2229" s="102" t="b">
        <v>0</v>
      </c>
    </row>
    <row r="2230" spans="1:7" ht="15">
      <c r="A2230" s="104" t="s">
        <v>3004</v>
      </c>
      <c r="B2230" s="102">
        <v>2</v>
      </c>
      <c r="C2230" s="106">
        <v>0.0021423520820587363</v>
      </c>
      <c r="D2230" s="102" t="s">
        <v>2326</v>
      </c>
      <c r="E2230" s="102" t="b">
        <v>0</v>
      </c>
      <c r="F2230" s="102" t="b">
        <v>0</v>
      </c>
      <c r="G2230" s="102" t="b">
        <v>0</v>
      </c>
    </row>
    <row r="2231" spans="1:7" ht="15">
      <c r="A2231" s="104" t="s">
        <v>3005</v>
      </c>
      <c r="B2231" s="102">
        <v>2</v>
      </c>
      <c r="C2231" s="106">
        <v>0.0021423520820587363</v>
      </c>
      <c r="D2231" s="102" t="s">
        <v>2326</v>
      </c>
      <c r="E2231" s="102" t="b">
        <v>0</v>
      </c>
      <c r="F2231" s="102" t="b">
        <v>0</v>
      </c>
      <c r="G2231" s="102" t="b">
        <v>0</v>
      </c>
    </row>
    <row r="2232" spans="1:7" ht="15">
      <c r="A2232" s="104" t="s">
        <v>2722</v>
      </c>
      <c r="B2232" s="102">
        <v>2</v>
      </c>
      <c r="C2232" s="106">
        <v>0.0021423520820587363</v>
      </c>
      <c r="D2232" s="102" t="s">
        <v>2326</v>
      </c>
      <c r="E2232" s="102" t="b">
        <v>0</v>
      </c>
      <c r="F2232" s="102" t="b">
        <v>0</v>
      </c>
      <c r="G2232" s="102" t="b">
        <v>0</v>
      </c>
    </row>
    <row r="2233" spans="1:7" ht="15">
      <c r="A2233" s="104" t="s">
        <v>2527</v>
      </c>
      <c r="B2233" s="102">
        <v>2</v>
      </c>
      <c r="C2233" s="106">
        <v>0.001731108918583352</v>
      </c>
      <c r="D2233" s="102" t="s">
        <v>2326</v>
      </c>
      <c r="E2233" s="102" t="b">
        <v>0</v>
      </c>
      <c r="F2233" s="102" t="b">
        <v>0</v>
      </c>
      <c r="G2233" s="102" t="b">
        <v>0</v>
      </c>
    </row>
    <row r="2234" spans="1:7" ht="15">
      <c r="A2234" s="104" t="s">
        <v>3007</v>
      </c>
      <c r="B2234" s="102">
        <v>2</v>
      </c>
      <c r="C2234" s="106">
        <v>0.0021423520820587363</v>
      </c>
      <c r="D2234" s="102" t="s">
        <v>2326</v>
      </c>
      <c r="E2234" s="102" t="b">
        <v>0</v>
      </c>
      <c r="F2234" s="102" t="b">
        <v>1</v>
      </c>
      <c r="G2234" s="102" t="b">
        <v>0</v>
      </c>
    </row>
    <row r="2235" spans="1:7" ht="15">
      <c r="A2235" s="104" t="s">
        <v>2825</v>
      </c>
      <c r="B2235" s="102">
        <v>2</v>
      </c>
      <c r="C2235" s="106">
        <v>0.0021423520820587363</v>
      </c>
      <c r="D2235" s="102" t="s">
        <v>2326</v>
      </c>
      <c r="E2235" s="102" t="b">
        <v>0</v>
      </c>
      <c r="F2235" s="102" t="b">
        <v>0</v>
      </c>
      <c r="G2235" s="102" t="b">
        <v>0</v>
      </c>
    </row>
    <row r="2236" spans="1:7" ht="15">
      <c r="A2236" s="104" t="s">
        <v>2401</v>
      </c>
      <c r="B2236" s="102">
        <v>2</v>
      </c>
      <c r="C2236" s="106">
        <v>0.0021423520820587363</v>
      </c>
      <c r="D2236" s="102" t="s">
        <v>2326</v>
      </c>
      <c r="E2236" s="102" t="b">
        <v>0</v>
      </c>
      <c r="F2236" s="102" t="b">
        <v>0</v>
      </c>
      <c r="G2236" s="102" t="b">
        <v>0</v>
      </c>
    </row>
    <row r="2237" spans="1:7" ht="15">
      <c r="A2237" s="104" t="s">
        <v>2996</v>
      </c>
      <c r="B2237" s="102">
        <v>2</v>
      </c>
      <c r="C2237" s="106">
        <v>0.0021423520820587363</v>
      </c>
      <c r="D2237" s="102" t="s">
        <v>2326</v>
      </c>
      <c r="E2237" s="102" t="b">
        <v>0</v>
      </c>
      <c r="F2237" s="102" t="b">
        <v>0</v>
      </c>
      <c r="G2237" s="102" t="b">
        <v>0</v>
      </c>
    </row>
    <row r="2238" spans="1:7" ht="15">
      <c r="A2238" s="104" t="s">
        <v>2997</v>
      </c>
      <c r="B2238" s="102">
        <v>2</v>
      </c>
      <c r="C2238" s="106">
        <v>0.0021423520820587363</v>
      </c>
      <c r="D2238" s="102" t="s">
        <v>2326</v>
      </c>
      <c r="E2238" s="102" t="b">
        <v>0</v>
      </c>
      <c r="F2238" s="102" t="b">
        <v>0</v>
      </c>
      <c r="G2238" s="102" t="b">
        <v>0</v>
      </c>
    </row>
    <row r="2239" spans="1:7" ht="15">
      <c r="A2239" s="104" t="s">
        <v>2999</v>
      </c>
      <c r="B2239" s="102">
        <v>2</v>
      </c>
      <c r="C2239" s="106">
        <v>0.0021423520820587363</v>
      </c>
      <c r="D2239" s="102" t="s">
        <v>2326</v>
      </c>
      <c r="E2239" s="102" t="b">
        <v>0</v>
      </c>
      <c r="F2239" s="102" t="b">
        <v>0</v>
      </c>
      <c r="G2239" s="102" t="b">
        <v>0</v>
      </c>
    </row>
    <row r="2240" spans="1:7" ht="15">
      <c r="A2240" s="104" t="s">
        <v>2989</v>
      </c>
      <c r="B2240" s="102">
        <v>2</v>
      </c>
      <c r="C2240" s="106">
        <v>0.0021423520820587363</v>
      </c>
      <c r="D2240" s="102" t="s">
        <v>2326</v>
      </c>
      <c r="E2240" s="102" t="b">
        <v>0</v>
      </c>
      <c r="F2240" s="102" t="b">
        <v>0</v>
      </c>
      <c r="G2240" s="102" t="b">
        <v>0</v>
      </c>
    </row>
    <row r="2241" spans="1:7" ht="15">
      <c r="A2241" s="104" t="s">
        <v>2993</v>
      </c>
      <c r="B2241" s="102">
        <v>2</v>
      </c>
      <c r="C2241" s="106">
        <v>0.0021423520820587363</v>
      </c>
      <c r="D2241" s="102" t="s">
        <v>2326</v>
      </c>
      <c r="E2241" s="102" t="b">
        <v>0</v>
      </c>
      <c r="F2241" s="102" t="b">
        <v>0</v>
      </c>
      <c r="G2241" s="102" t="b">
        <v>0</v>
      </c>
    </row>
    <row r="2242" spans="1:7" ht="15">
      <c r="A2242" s="104" t="s">
        <v>2985</v>
      </c>
      <c r="B2242" s="102">
        <v>2</v>
      </c>
      <c r="C2242" s="106">
        <v>0.0021423520820587363</v>
      </c>
      <c r="D2242" s="102" t="s">
        <v>2326</v>
      </c>
      <c r="E2242" s="102" t="b">
        <v>0</v>
      </c>
      <c r="F2242" s="102" t="b">
        <v>0</v>
      </c>
      <c r="G2242" s="102" t="b">
        <v>0</v>
      </c>
    </row>
    <row r="2243" spans="1:7" ht="15">
      <c r="A2243" s="104" t="s">
        <v>2816</v>
      </c>
      <c r="B2243" s="102">
        <v>2</v>
      </c>
      <c r="C2243" s="106">
        <v>0.0021423520820587363</v>
      </c>
      <c r="D2243" s="102" t="s">
        <v>2326</v>
      </c>
      <c r="E2243" s="102" t="b">
        <v>0</v>
      </c>
      <c r="F2243" s="102" t="b">
        <v>0</v>
      </c>
      <c r="G2243" s="102" t="b">
        <v>0</v>
      </c>
    </row>
    <row r="2244" spans="1:7" ht="15">
      <c r="A2244" s="104" t="s">
        <v>2506</v>
      </c>
      <c r="B2244" s="102">
        <v>2</v>
      </c>
      <c r="C2244" s="106">
        <v>0.0021423520820587363</v>
      </c>
      <c r="D2244" s="102" t="s">
        <v>2326</v>
      </c>
      <c r="E2244" s="102" t="b">
        <v>0</v>
      </c>
      <c r="F2244" s="102" t="b">
        <v>0</v>
      </c>
      <c r="G2244" s="102" t="b">
        <v>0</v>
      </c>
    </row>
    <row r="2245" spans="1:7" ht="15">
      <c r="A2245" s="104" t="s">
        <v>2980</v>
      </c>
      <c r="B2245" s="102">
        <v>2</v>
      </c>
      <c r="C2245" s="106">
        <v>0.0021423520820587363</v>
      </c>
      <c r="D2245" s="102" t="s">
        <v>2326</v>
      </c>
      <c r="E2245" s="102" t="b">
        <v>0</v>
      </c>
      <c r="F2245" s="102" t="b">
        <v>0</v>
      </c>
      <c r="G2245" s="102" t="b">
        <v>0</v>
      </c>
    </row>
    <row r="2246" spans="1:7" ht="15">
      <c r="A2246" s="104" t="s">
        <v>2979</v>
      </c>
      <c r="B2246" s="102">
        <v>2</v>
      </c>
      <c r="C2246" s="106">
        <v>0.0021423520820587363</v>
      </c>
      <c r="D2246" s="102" t="s">
        <v>2326</v>
      </c>
      <c r="E2246" s="102" t="b">
        <v>0</v>
      </c>
      <c r="F2246" s="102" t="b">
        <v>0</v>
      </c>
      <c r="G2246" s="102" t="b">
        <v>0</v>
      </c>
    </row>
    <row r="2247" spans="1:7" ht="15">
      <c r="A2247" s="104" t="s">
        <v>2975</v>
      </c>
      <c r="B2247" s="102">
        <v>2</v>
      </c>
      <c r="C2247" s="106">
        <v>0.0021423520820587363</v>
      </c>
      <c r="D2247" s="102" t="s">
        <v>2326</v>
      </c>
      <c r="E2247" s="102" t="b">
        <v>0</v>
      </c>
      <c r="F2247" s="102" t="b">
        <v>0</v>
      </c>
      <c r="G2247" s="102" t="b">
        <v>0</v>
      </c>
    </row>
    <row r="2248" spans="1:7" ht="15">
      <c r="A2248" s="104" t="s">
        <v>2961</v>
      </c>
      <c r="B2248" s="102">
        <v>2</v>
      </c>
      <c r="C2248" s="106">
        <v>0.001731108918583352</v>
      </c>
      <c r="D2248" s="102" t="s">
        <v>2326</v>
      </c>
      <c r="E2248" s="102" t="b">
        <v>0</v>
      </c>
      <c r="F2248" s="102" t="b">
        <v>0</v>
      </c>
      <c r="G2248" s="102" t="b">
        <v>0</v>
      </c>
    </row>
    <row r="2249" spans="1:7" ht="15">
      <c r="A2249" s="104" t="s">
        <v>2969</v>
      </c>
      <c r="B2249" s="102">
        <v>2</v>
      </c>
      <c r="C2249" s="106">
        <v>0.0021423520820587363</v>
      </c>
      <c r="D2249" s="102" t="s">
        <v>2326</v>
      </c>
      <c r="E2249" s="102" t="b">
        <v>0</v>
      </c>
      <c r="F2249" s="102" t="b">
        <v>0</v>
      </c>
      <c r="G2249" s="102" t="b">
        <v>0</v>
      </c>
    </row>
    <row r="2250" spans="1:7" ht="15">
      <c r="A2250" s="104" t="s">
        <v>2970</v>
      </c>
      <c r="B2250" s="102">
        <v>2</v>
      </c>
      <c r="C2250" s="106">
        <v>0.0021423520820587363</v>
      </c>
      <c r="D2250" s="102" t="s">
        <v>2326</v>
      </c>
      <c r="E2250" s="102" t="b">
        <v>0</v>
      </c>
      <c r="F2250" s="102" t="b">
        <v>0</v>
      </c>
      <c r="G2250" s="102" t="b">
        <v>0</v>
      </c>
    </row>
    <row r="2251" spans="1:7" ht="15">
      <c r="A2251" s="104" t="s">
        <v>2971</v>
      </c>
      <c r="B2251" s="102">
        <v>2</v>
      </c>
      <c r="C2251" s="106">
        <v>0.0021423520820587363</v>
      </c>
      <c r="D2251" s="102" t="s">
        <v>2326</v>
      </c>
      <c r="E2251" s="102" t="b">
        <v>0</v>
      </c>
      <c r="F2251" s="102" t="b">
        <v>0</v>
      </c>
      <c r="G2251" s="102" t="b">
        <v>0</v>
      </c>
    </row>
    <row r="2252" spans="1:7" ht="15">
      <c r="A2252" s="104" t="s">
        <v>2972</v>
      </c>
      <c r="B2252" s="102">
        <v>2</v>
      </c>
      <c r="C2252" s="106">
        <v>0.0021423520820587363</v>
      </c>
      <c r="D2252" s="102" t="s">
        <v>2326</v>
      </c>
      <c r="E2252" s="102" t="b">
        <v>0</v>
      </c>
      <c r="F2252" s="102" t="b">
        <v>0</v>
      </c>
      <c r="G2252" s="102" t="b">
        <v>0</v>
      </c>
    </row>
    <row r="2253" spans="1:7" ht="15">
      <c r="A2253" s="104" t="s">
        <v>2973</v>
      </c>
      <c r="B2253" s="102">
        <v>2</v>
      </c>
      <c r="C2253" s="106">
        <v>0.0021423520820587363</v>
      </c>
      <c r="D2253" s="102" t="s">
        <v>2326</v>
      </c>
      <c r="E2253" s="102" t="b">
        <v>0</v>
      </c>
      <c r="F2253" s="102" t="b">
        <v>0</v>
      </c>
      <c r="G2253" s="102" t="b">
        <v>0</v>
      </c>
    </row>
    <row r="2254" spans="1:7" ht="15">
      <c r="A2254" s="104" t="s">
        <v>2967</v>
      </c>
      <c r="B2254" s="102">
        <v>2</v>
      </c>
      <c r="C2254" s="106">
        <v>0.0021423520820587363</v>
      </c>
      <c r="D2254" s="102" t="s">
        <v>2326</v>
      </c>
      <c r="E2254" s="102" t="b">
        <v>0</v>
      </c>
      <c r="F2254" s="102" t="b">
        <v>0</v>
      </c>
      <c r="G2254" s="102" t="b">
        <v>0</v>
      </c>
    </row>
    <row r="2255" spans="1:7" ht="15">
      <c r="A2255" s="104" t="s">
        <v>2706</v>
      </c>
      <c r="B2255" s="102">
        <v>2</v>
      </c>
      <c r="C2255" s="106">
        <v>0.0021423520820587363</v>
      </c>
      <c r="D2255" s="102" t="s">
        <v>2326</v>
      </c>
      <c r="E2255" s="102" t="b">
        <v>0</v>
      </c>
      <c r="F2255" s="102" t="b">
        <v>0</v>
      </c>
      <c r="G2255" s="102" t="b">
        <v>0</v>
      </c>
    </row>
    <row r="2256" spans="1:7" ht="15">
      <c r="A2256" s="104" t="s">
        <v>2966</v>
      </c>
      <c r="B2256" s="102">
        <v>2</v>
      </c>
      <c r="C2256" s="106">
        <v>0.0021423520820587363</v>
      </c>
      <c r="D2256" s="102" t="s">
        <v>2326</v>
      </c>
      <c r="E2256" s="102" t="b">
        <v>0</v>
      </c>
      <c r="F2256" s="102" t="b">
        <v>0</v>
      </c>
      <c r="G2256" s="102" t="b">
        <v>0</v>
      </c>
    </row>
    <row r="2257" spans="1:7" ht="15">
      <c r="A2257" s="104" t="s">
        <v>2408</v>
      </c>
      <c r="B2257" s="102">
        <v>2</v>
      </c>
      <c r="C2257" s="106">
        <v>0.0021423520820587363</v>
      </c>
      <c r="D2257" s="102" t="s">
        <v>2326</v>
      </c>
      <c r="E2257" s="102" t="b">
        <v>0</v>
      </c>
      <c r="F2257" s="102" t="b">
        <v>1</v>
      </c>
      <c r="G2257" s="102" t="b">
        <v>0</v>
      </c>
    </row>
    <row r="2258" spans="1:7" ht="15">
      <c r="A2258" s="104" t="s">
        <v>2962</v>
      </c>
      <c r="B2258" s="102">
        <v>2</v>
      </c>
      <c r="C2258" s="106">
        <v>0.0021423520820587363</v>
      </c>
      <c r="D2258" s="102" t="s">
        <v>2326</v>
      </c>
      <c r="E2258" s="102" t="b">
        <v>0</v>
      </c>
      <c r="F2258" s="102" t="b">
        <v>0</v>
      </c>
      <c r="G2258" s="102" t="b">
        <v>0</v>
      </c>
    </row>
    <row r="2259" spans="1:7" ht="15">
      <c r="A2259" s="104" t="s">
        <v>2963</v>
      </c>
      <c r="B2259" s="102">
        <v>2</v>
      </c>
      <c r="C2259" s="106">
        <v>0.0021423520820587363</v>
      </c>
      <c r="D2259" s="102" t="s">
        <v>2326</v>
      </c>
      <c r="E2259" s="102" t="b">
        <v>0</v>
      </c>
      <c r="F2259" s="102" t="b">
        <v>0</v>
      </c>
      <c r="G2259" s="102" t="b">
        <v>0</v>
      </c>
    </row>
    <row r="2260" spans="1:7" ht="15">
      <c r="A2260" s="104" t="s">
        <v>2964</v>
      </c>
      <c r="B2260" s="102">
        <v>2</v>
      </c>
      <c r="C2260" s="106">
        <v>0.0021423520820587363</v>
      </c>
      <c r="D2260" s="102" t="s">
        <v>2326</v>
      </c>
      <c r="E2260" s="102" t="b">
        <v>0</v>
      </c>
      <c r="F2260" s="102" t="b">
        <v>0</v>
      </c>
      <c r="G2260" s="102" t="b">
        <v>0</v>
      </c>
    </row>
    <row r="2261" spans="1:7" ht="15">
      <c r="A2261" s="104" t="s">
        <v>2806</v>
      </c>
      <c r="B2261" s="102">
        <v>2</v>
      </c>
      <c r="C2261" s="106">
        <v>0.0021423520820587363</v>
      </c>
      <c r="D2261" s="102" t="s">
        <v>2326</v>
      </c>
      <c r="E2261" s="102" t="b">
        <v>0</v>
      </c>
      <c r="F2261" s="102" t="b">
        <v>0</v>
      </c>
      <c r="G2261" s="102" t="b">
        <v>0</v>
      </c>
    </row>
    <row r="2262" spans="1:7" ht="15">
      <c r="A2262" s="104" t="s">
        <v>2634</v>
      </c>
      <c r="B2262" s="102">
        <v>2</v>
      </c>
      <c r="C2262" s="106">
        <v>0.0021423520820587363</v>
      </c>
      <c r="D2262" s="102" t="s">
        <v>2326</v>
      </c>
      <c r="E2262" s="102" t="b">
        <v>0</v>
      </c>
      <c r="F2262" s="102" t="b">
        <v>0</v>
      </c>
      <c r="G2262" s="102" t="b">
        <v>0</v>
      </c>
    </row>
    <row r="2263" spans="1:7" ht="15">
      <c r="A2263" s="104" t="s">
        <v>2800</v>
      </c>
      <c r="B2263" s="102">
        <v>2</v>
      </c>
      <c r="C2263" s="106">
        <v>0.0021423520820587363</v>
      </c>
      <c r="D2263" s="102" t="s">
        <v>2326</v>
      </c>
      <c r="E2263" s="102" t="b">
        <v>0</v>
      </c>
      <c r="F2263" s="102" t="b">
        <v>0</v>
      </c>
      <c r="G2263" s="102" t="b">
        <v>0</v>
      </c>
    </row>
    <row r="2264" spans="1:7" ht="15">
      <c r="A2264" s="104" t="s">
        <v>2635</v>
      </c>
      <c r="B2264" s="102">
        <v>2</v>
      </c>
      <c r="C2264" s="106">
        <v>0.0021423520820587363</v>
      </c>
      <c r="D2264" s="102" t="s">
        <v>2326</v>
      </c>
      <c r="E2264" s="102" t="b">
        <v>0</v>
      </c>
      <c r="F2264" s="102" t="b">
        <v>0</v>
      </c>
      <c r="G2264" s="102" t="b">
        <v>0</v>
      </c>
    </row>
    <row r="2265" spans="1:7" ht="15">
      <c r="A2265" s="104" t="s">
        <v>2368</v>
      </c>
      <c r="B2265" s="102">
        <v>5</v>
      </c>
      <c r="C2265" s="106">
        <v>0.02874224426022063</v>
      </c>
      <c r="D2265" s="102" t="s">
        <v>2327</v>
      </c>
      <c r="E2265" s="102" t="b">
        <v>0</v>
      </c>
      <c r="F2265" s="102" t="b">
        <v>0</v>
      </c>
      <c r="G2265" s="102" t="b">
        <v>0</v>
      </c>
    </row>
    <row r="2266" spans="1:7" ht="15">
      <c r="A2266" s="104" t="s">
        <v>2794</v>
      </c>
      <c r="B2266" s="102">
        <v>4</v>
      </c>
      <c r="C2266" s="106">
        <v>0.022993795408176504</v>
      </c>
      <c r="D2266" s="102" t="s">
        <v>2327</v>
      </c>
      <c r="E2266" s="102" t="b">
        <v>0</v>
      </c>
      <c r="F2266" s="102" t="b">
        <v>0</v>
      </c>
      <c r="G2266" s="102" t="b">
        <v>0</v>
      </c>
    </row>
    <row r="2267" spans="1:7" ht="15">
      <c r="A2267" s="104" t="s">
        <v>2958</v>
      </c>
      <c r="B2267" s="102">
        <v>3</v>
      </c>
      <c r="C2267" s="106">
        <v>0.006364744303217394</v>
      </c>
      <c r="D2267" s="102" t="s">
        <v>2327</v>
      </c>
      <c r="E2267" s="102" t="b">
        <v>0</v>
      </c>
      <c r="F2267" s="102" t="b">
        <v>0</v>
      </c>
      <c r="G2267" s="102" t="b">
        <v>0</v>
      </c>
    </row>
    <row r="2268" spans="1:7" ht="15">
      <c r="A2268" s="104" t="s">
        <v>2417</v>
      </c>
      <c r="B2268" s="102">
        <v>3</v>
      </c>
      <c r="C2268" s="106">
        <v>0.017245346556132378</v>
      </c>
      <c r="D2268" s="102" t="s">
        <v>2327</v>
      </c>
      <c r="E2268" s="102" t="b">
        <v>0</v>
      </c>
      <c r="F2268" s="102" t="b">
        <v>0</v>
      </c>
      <c r="G2268" s="102" t="b">
        <v>0</v>
      </c>
    </row>
    <row r="2269" spans="1:7" ht="15">
      <c r="A2269" s="104" t="s">
        <v>2832</v>
      </c>
      <c r="B2269" s="102">
        <v>2</v>
      </c>
      <c r="C2269" s="106">
        <v>0.004243162868811596</v>
      </c>
      <c r="D2269" s="102" t="s">
        <v>2327</v>
      </c>
      <c r="E2269" s="102" t="b">
        <v>0</v>
      </c>
      <c r="F2269" s="102" t="b">
        <v>0</v>
      </c>
      <c r="G2269" s="102" t="b">
        <v>0</v>
      </c>
    </row>
    <row r="2270" spans="1:7" ht="15">
      <c r="A2270" s="104" t="s">
        <v>3356</v>
      </c>
      <c r="B2270" s="102">
        <v>2</v>
      </c>
      <c r="C2270" s="106">
        <v>0.004243162868811596</v>
      </c>
      <c r="D2270" s="102" t="s">
        <v>2327</v>
      </c>
      <c r="E2270" s="102" t="b">
        <v>0</v>
      </c>
      <c r="F2270" s="102" t="b">
        <v>0</v>
      </c>
      <c r="G2270" s="102" t="b">
        <v>0</v>
      </c>
    </row>
    <row r="2271" spans="1:7" ht="15">
      <c r="A2271" s="104" t="s">
        <v>3358</v>
      </c>
      <c r="B2271" s="102">
        <v>2</v>
      </c>
      <c r="C2271" s="106">
        <v>0.004243162868811596</v>
      </c>
      <c r="D2271" s="102" t="s">
        <v>2327</v>
      </c>
      <c r="E2271" s="102" t="b">
        <v>0</v>
      </c>
      <c r="F2271" s="102" t="b">
        <v>0</v>
      </c>
      <c r="G2271" s="102" t="b">
        <v>0</v>
      </c>
    </row>
    <row r="2272" spans="1:7" ht="15">
      <c r="A2272" s="104" t="s">
        <v>3360</v>
      </c>
      <c r="B2272" s="102">
        <v>2</v>
      </c>
      <c r="C2272" s="106">
        <v>0.004243162868811596</v>
      </c>
      <c r="D2272" s="102" t="s">
        <v>2327</v>
      </c>
      <c r="E2272" s="102" t="b">
        <v>0</v>
      </c>
      <c r="F2272" s="102" t="b">
        <v>0</v>
      </c>
      <c r="G2272" s="102" t="b">
        <v>0</v>
      </c>
    </row>
    <row r="2273" spans="1:7" ht="15">
      <c r="A2273" s="104" t="s">
        <v>3357</v>
      </c>
      <c r="B2273" s="102">
        <v>2</v>
      </c>
      <c r="C2273" s="106">
        <v>0.004243162868811596</v>
      </c>
      <c r="D2273" s="102" t="s">
        <v>2327</v>
      </c>
      <c r="E2273" s="102" t="b">
        <v>0</v>
      </c>
      <c r="F2273" s="102" t="b">
        <v>1</v>
      </c>
      <c r="G2273" s="102" t="b">
        <v>0</v>
      </c>
    </row>
    <row r="2274" spans="1:7" ht="15">
      <c r="A2274" s="104" t="s">
        <v>3359</v>
      </c>
      <c r="B2274" s="102">
        <v>2</v>
      </c>
      <c r="C2274" s="106">
        <v>0.004243162868811596</v>
      </c>
      <c r="D2274" s="102" t="s">
        <v>2327</v>
      </c>
      <c r="E2274" s="102" t="b">
        <v>0</v>
      </c>
      <c r="F2274" s="102" t="b">
        <v>1</v>
      </c>
      <c r="G2274" s="102" t="b">
        <v>0</v>
      </c>
    </row>
    <row r="2275" spans="1:7" ht="15">
      <c r="A2275" s="104" t="s">
        <v>3361</v>
      </c>
      <c r="B2275" s="102">
        <v>2</v>
      </c>
      <c r="C2275" s="106">
        <v>0.011496897704088252</v>
      </c>
      <c r="D2275" s="102" t="s">
        <v>2327</v>
      </c>
      <c r="E2275" s="102" t="b">
        <v>0</v>
      </c>
      <c r="F2275" s="102" t="b">
        <v>0</v>
      </c>
      <c r="G2275" s="102" t="b">
        <v>0</v>
      </c>
    </row>
    <row r="2276" spans="1:7" ht="15">
      <c r="A2276" s="104" t="s">
        <v>3362</v>
      </c>
      <c r="B2276" s="102">
        <v>2</v>
      </c>
      <c r="C2276" s="106">
        <v>0.011496897704088252</v>
      </c>
      <c r="D2276" s="102" t="s">
        <v>2327</v>
      </c>
      <c r="E2276" s="102" t="b">
        <v>0</v>
      </c>
      <c r="F2276" s="102" t="b">
        <v>0</v>
      </c>
      <c r="G2276" s="102" t="b">
        <v>0</v>
      </c>
    </row>
    <row r="2277" spans="1:7" ht="15">
      <c r="A2277" s="104" t="s">
        <v>3363</v>
      </c>
      <c r="B2277" s="102">
        <v>2</v>
      </c>
      <c r="C2277" s="106">
        <v>0.011496897704088252</v>
      </c>
      <c r="D2277" s="102" t="s">
        <v>2327</v>
      </c>
      <c r="E2277" s="102" t="b">
        <v>0</v>
      </c>
      <c r="F2277" s="102" t="b">
        <v>0</v>
      </c>
      <c r="G2277"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8E942-22F0-4CB9-B858-AFC340F0368C}">
  <dimension ref="A1:L18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3373</v>
      </c>
      <c r="B1" s="13" t="s">
        <v>3374</v>
      </c>
      <c r="C1" s="13" t="s">
        <v>3364</v>
      </c>
      <c r="D1" s="13" t="s">
        <v>3368</v>
      </c>
      <c r="E1" s="13" t="s">
        <v>3375</v>
      </c>
      <c r="F1" s="13" t="s">
        <v>144</v>
      </c>
      <c r="G1" s="13" t="s">
        <v>3376</v>
      </c>
      <c r="H1" s="13" t="s">
        <v>3377</v>
      </c>
      <c r="I1" s="13" t="s">
        <v>3378</v>
      </c>
      <c r="J1" s="13" t="s">
        <v>3379</v>
      </c>
      <c r="K1" s="13" t="s">
        <v>3380</v>
      </c>
      <c r="L1" s="13" t="s">
        <v>3381</v>
      </c>
    </row>
    <row r="2" spans="1:12" ht="15">
      <c r="A2" s="102" t="s">
        <v>2348</v>
      </c>
      <c r="B2" s="102" t="s">
        <v>2351</v>
      </c>
      <c r="C2" s="102">
        <v>94</v>
      </c>
      <c r="D2" s="106">
        <v>0.009360086327256548</v>
      </c>
      <c r="E2" s="106">
        <v>1.2768748782082258</v>
      </c>
      <c r="F2" s="102" t="s">
        <v>3369</v>
      </c>
      <c r="G2" s="102" t="b">
        <v>0</v>
      </c>
      <c r="H2" s="102" t="b">
        <v>0</v>
      </c>
      <c r="I2" s="102" t="b">
        <v>0</v>
      </c>
      <c r="J2" s="102" t="b">
        <v>0</v>
      </c>
      <c r="K2" s="102" t="b">
        <v>0</v>
      </c>
      <c r="L2" s="102" t="b">
        <v>0</v>
      </c>
    </row>
    <row r="3" spans="1:12" ht="15">
      <c r="A3" s="104" t="s">
        <v>2348</v>
      </c>
      <c r="B3" s="102" t="s">
        <v>2349</v>
      </c>
      <c r="C3" s="102">
        <v>78</v>
      </c>
      <c r="D3" s="106">
        <v>0.008061457883425452</v>
      </c>
      <c r="E3" s="106">
        <v>1.1139004433443263</v>
      </c>
      <c r="F3" s="102" t="s">
        <v>3369</v>
      </c>
      <c r="G3" s="102" t="b">
        <v>0</v>
      </c>
      <c r="H3" s="102" t="b">
        <v>0</v>
      </c>
      <c r="I3" s="102" t="b">
        <v>0</v>
      </c>
      <c r="J3" s="102" t="b">
        <v>0</v>
      </c>
      <c r="K3" s="102" t="b">
        <v>0</v>
      </c>
      <c r="L3" s="102" t="b">
        <v>0</v>
      </c>
    </row>
    <row r="4" spans="1:12" ht="15">
      <c r="A4" s="104" t="s">
        <v>2348</v>
      </c>
      <c r="B4" s="102" t="s">
        <v>2348</v>
      </c>
      <c r="C4" s="102">
        <v>44</v>
      </c>
      <c r="D4" s="106">
        <v>0.006731151763440455</v>
      </c>
      <c r="E4" s="106">
        <v>0.8936804453682263</v>
      </c>
      <c r="F4" s="102" t="s">
        <v>3369</v>
      </c>
      <c r="G4" s="102" t="b">
        <v>0</v>
      </c>
      <c r="H4" s="102" t="b">
        <v>0</v>
      </c>
      <c r="I4" s="102" t="b">
        <v>0</v>
      </c>
      <c r="J4" s="102" t="b">
        <v>0</v>
      </c>
      <c r="K4" s="102" t="b">
        <v>0</v>
      </c>
      <c r="L4" s="102" t="b">
        <v>0</v>
      </c>
    </row>
    <row r="5" spans="1:12" ht="15">
      <c r="A5" s="104" t="s">
        <v>2358</v>
      </c>
      <c r="B5" s="102" t="s">
        <v>2363</v>
      </c>
      <c r="C5" s="102">
        <v>41</v>
      </c>
      <c r="D5" s="106">
        <v>0.008370341811648217</v>
      </c>
      <c r="E5" s="106">
        <v>2.0979083713333626</v>
      </c>
      <c r="F5" s="102" t="s">
        <v>3369</v>
      </c>
      <c r="G5" s="102" t="b">
        <v>0</v>
      </c>
      <c r="H5" s="102" t="b">
        <v>0</v>
      </c>
      <c r="I5" s="102" t="b">
        <v>0</v>
      </c>
      <c r="J5" s="102" t="b">
        <v>0</v>
      </c>
      <c r="K5" s="102" t="b">
        <v>0</v>
      </c>
      <c r="L5" s="102" t="b">
        <v>0</v>
      </c>
    </row>
    <row r="6" spans="1:12" ht="15">
      <c r="A6" s="104" t="s">
        <v>2351</v>
      </c>
      <c r="B6" s="102" t="s">
        <v>2348</v>
      </c>
      <c r="C6" s="102">
        <v>27</v>
      </c>
      <c r="D6" s="106">
        <v>0.0036518398803512086</v>
      </c>
      <c r="E6" s="106">
        <v>0.7837484405117296</v>
      </c>
      <c r="F6" s="102" t="s">
        <v>3369</v>
      </c>
      <c r="G6" s="102" t="b">
        <v>0</v>
      </c>
      <c r="H6" s="102" t="b">
        <v>0</v>
      </c>
      <c r="I6" s="102" t="b">
        <v>0</v>
      </c>
      <c r="J6" s="102" t="b">
        <v>0</v>
      </c>
      <c r="K6" s="102" t="b">
        <v>0</v>
      </c>
      <c r="L6" s="102" t="b">
        <v>0</v>
      </c>
    </row>
    <row r="7" spans="1:12" ht="15">
      <c r="A7" s="104" t="s">
        <v>2352</v>
      </c>
      <c r="B7" s="102" t="s">
        <v>2359</v>
      </c>
      <c r="C7" s="102">
        <v>26</v>
      </c>
      <c r="D7" s="106">
        <v>0.004873216311908551</v>
      </c>
      <c r="E7" s="106">
        <v>1.5727389281981146</v>
      </c>
      <c r="F7" s="102" t="s">
        <v>3369</v>
      </c>
      <c r="G7" s="102" t="b">
        <v>0</v>
      </c>
      <c r="H7" s="102" t="b">
        <v>0</v>
      </c>
      <c r="I7" s="102" t="b">
        <v>0</v>
      </c>
      <c r="J7" s="102" t="b">
        <v>0</v>
      </c>
      <c r="K7" s="102" t="b">
        <v>0</v>
      </c>
      <c r="L7" s="102" t="b">
        <v>0</v>
      </c>
    </row>
    <row r="8" spans="1:12" ht="15">
      <c r="A8" s="104" t="s">
        <v>2388</v>
      </c>
      <c r="B8" s="102" t="s">
        <v>2377</v>
      </c>
      <c r="C8" s="102">
        <v>24</v>
      </c>
      <c r="D8" s="106">
        <v>0.0036715373255129754</v>
      </c>
      <c r="E8" s="106">
        <v>2.4489123419591823</v>
      </c>
      <c r="F8" s="102" t="s">
        <v>3369</v>
      </c>
      <c r="G8" s="102" t="b">
        <v>0</v>
      </c>
      <c r="H8" s="102" t="b">
        <v>0</v>
      </c>
      <c r="I8" s="102" t="b">
        <v>0</v>
      </c>
      <c r="J8" s="102" t="b">
        <v>0</v>
      </c>
      <c r="K8" s="102" t="b">
        <v>0</v>
      </c>
      <c r="L8" s="102" t="b">
        <v>0</v>
      </c>
    </row>
    <row r="9" spans="1:12" ht="15">
      <c r="A9" s="104" t="s">
        <v>2370</v>
      </c>
      <c r="B9" s="102" t="s">
        <v>2378</v>
      </c>
      <c r="C9" s="102">
        <v>24</v>
      </c>
      <c r="D9" s="106">
        <v>0.005992703835050875</v>
      </c>
      <c r="E9" s="106">
        <v>2.2976446666285333</v>
      </c>
      <c r="F9" s="102" t="s">
        <v>3369</v>
      </c>
      <c r="G9" s="102" t="b">
        <v>0</v>
      </c>
      <c r="H9" s="102" t="b">
        <v>0</v>
      </c>
      <c r="I9" s="102" t="b">
        <v>0</v>
      </c>
      <c r="J9" s="102" t="b">
        <v>0</v>
      </c>
      <c r="K9" s="102" t="b">
        <v>0</v>
      </c>
      <c r="L9" s="102" t="b">
        <v>0</v>
      </c>
    </row>
    <row r="10" spans="1:12" ht="15">
      <c r="A10" s="104" t="s">
        <v>2371</v>
      </c>
      <c r="B10" s="102" t="s">
        <v>2358</v>
      </c>
      <c r="C10" s="102">
        <v>23</v>
      </c>
      <c r="D10" s="106">
        <v>0.004950642323467407</v>
      </c>
      <c r="E10" s="106">
        <v>1.9910962424349063</v>
      </c>
      <c r="F10" s="102" t="s">
        <v>3369</v>
      </c>
      <c r="G10" s="102" t="b">
        <v>0</v>
      </c>
      <c r="H10" s="102" t="b">
        <v>0</v>
      </c>
      <c r="I10" s="102" t="b">
        <v>0</v>
      </c>
      <c r="J10" s="102" t="b">
        <v>0</v>
      </c>
      <c r="K10" s="102" t="b">
        <v>0</v>
      </c>
      <c r="L10" s="102" t="b">
        <v>0</v>
      </c>
    </row>
    <row r="11" spans="1:12" ht="15">
      <c r="A11" s="104" t="s">
        <v>2384</v>
      </c>
      <c r="B11" s="102" t="s">
        <v>2388</v>
      </c>
      <c r="C11" s="102">
        <v>23</v>
      </c>
      <c r="D11" s="106">
        <v>0.0036032725245987744</v>
      </c>
      <c r="E11" s="106">
        <v>2.460392159642612</v>
      </c>
      <c r="F11" s="102" t="s">
        <v>3369</v>
      </c>
      <c r="G11" s="102" t="b">
        <v>0</v>
      </c>
      <c r="H11" s="102" t="b">
        <v>0</v>
      </c>
      <c r="I11" s="102" t="b">
        <v>0</v>
      </c>
      <c r="J11" s="102" t="b">
        <v>0</v>
      </c>
      <c r="K11" s="102" t="b">
        <v>0</v>
      </c>
      <c r="L11" s="102" t="b">
        <v>0</v>
      </c>
    </row>
    <row r="12" spans="1:12" ht="15">
      <c r="A12" s="104" t="s">
        <v>2394</v>
      </c>
      <c r="B12" s="102" t="s">
        <v>2390</v>
      </c>
      <c r="C12" s="102">
        <v>20</v>
      </c>
      <c r="D12" s="106">
        <v>0.0029910330156856777</v>
      </c>
      <c r="E12" s="106">
        <v>2.5431164615913135</v>
      </c>
      <c r="F12" s="102" t="s">
        <v>3369</v>
      </c>
      <c r="G12" s="102" t="b">
        <v>0</v>
      </c>
      <c r="H12" s="102" t="b">
        <v>0</v>
      </c>
      <c r="I12" s="102" t="b">
        <v>0</v>
      </c>
      <c r="J12" s="102" t="b">
        <v>0</v>
      </c>
      <c r="K12" s="102" t="b">
        <v>0</v>
      </c>
      <c r="L12" s="102" t="b">
        <v>0</v>
      </c>
    </row>
    <row r="13" spans="1:12" ht="15">
      <c r="A13" s="104" t="s">
        <v>2349</v>
      </c>
      <c r="B13" s="102" t="s">
        <v>2356</v>
      </c>
      <c r="C13" s="102">
        <v>20</v>
      </c>
      <c r="D13" s="106">
        <v>0.0029910330156856777</v>
      </c>
      <c r="E13" s="106">
        <v>1.1372997378511371</v>
      </c>
      <c r="F13" s="102" t="s">
        <v>3369</v>
      </c>
      <c r="G13" s="102" t="b">
        <v>0</v>
      </c>
      <c r="H13" s="102" t="b">
        <v>0</v>
      </c>
      <c r="I13" s="102" t="b">
        <v>0</v>
      </c>
      <c r="J13" s="102" t="b">
        <v>0</v>
      </c>
      <c r="K13" s="102" t="b">
        <v>0</v>
      </c>
      <c r="L13" s="102" t="b">
        <v>0</v>
      </c>
    </row>
    <row r="14" spans="1:12" ht="15">
      <c r="A14" s="104" t="s">
        <v>2356</v>
      </c>
      <c r="B14" s="102" t="s">
        <v>2397</v>
      </c>
      <c r="C14" s="102">
        <v>20</v>
      </c>
      <c r="D14" s="106">
        <v>0.0029910330156856777</v>
      </c>
      <c r="E14" s="106">
        <v>2.1124526081106527</v>
      </c>
      <c r="F14" s="102" t="s">
        <v>3369</v>
      </c>
      <c r="G14" s="102" t="b">
        <v>0</v>
      </c>
      <c r="H14" s="102" t="b">
        <v>0</v>
      </c>
      <c r="I14" s="102" t="b">
        <v>0</v>
      </c>
      <c r="J14" s="102" t="b">
        <v>0</v>
      </c>
      <c r="K14" s="102" t="b">
        <v>0</v>
      </c>
      <c r="L14" s="102" t="b">
        <v>0</v>
      </c>
    </row>
    <row r="15" spans="1:12" ht="15">
      <c r="A15" s="104" t="s">
        <v>2350</v>
      </c>
      <c r="B15" s="102" t="s">
        <v>2349</v>
      </c>
      <c r="C15" s="102">
        <v>20</v>
      </c>
      <c r="D15" s="106">
        <v>0.0033940800723478</v>
      </c>
      <c r="E15" s="106">
        <v>0.5882050924961222</v>
      </c>
      <c r="F15" s="102" t="s">
        <v>3369</v>
      </c>
      <c r="G15" s="102" t="b">
        <v>0</v>
      </c>
      <c r="H15" s="102" t="b">
        <v>0</v>
      </c>
      <c r="I15" s="102" t="b">
        <v>0</v>
      </c>
      <c r="J15" s="102" t="b">
        <v>0</v>
      </c>
      <c r="K15" s="102" t="b">
        <v>0</v>
      </c>
      <c r="L15" s="102" t="b">
        <v>0</v>
      </c>
    </row>
    <row r="16" spans="1:12" ht="15">
      <c r="A16" s="104" t="s">
        <v>2362</v>
      </c>
      <c r="B16" s="102" t="s">
        <v>2350</v>
      </c>
      <c r="C16" s="102">
        <v>18</v>
      </c>
      <c r="D16" s="106">
        <v>0.003148931029417455</v>
      </c>
      <c r="E16" s="106">
        <v>1.2336273618452143</v>
      </c>
      <c r="F16" s="102" t="s">
        <v>3369</v>
      </c>
      <c r="G16" s="102" t="b">
        <v>0</v>
      </c>
      <c r="H16" s="102" t="b">
        <v>0</v>
      </c>
      <c r="I16" s="102" t="b">
        <v>0</v>
      </c>
      <c r="J16" s="102" t="b">
        <v>0</v>
      </c>
      <c r="K16" s="102" t="b">
        <v>0</v>
      </c>
      <c r="L16" s="102" t="b">
        <v>0</v>
      </c>
    </row>
    <row r="17" spans="1:12" ht="15">
      <c r="A17" s="104" t="s">
        <v>2352</v>
      </c>
      <c r="B17" s="102" t="s">
        <v>2389</v>
      </c>
      <c r="C17" s="102">
        <v>17</v>
      </c>
      <c r="D17" s="106">
        <v>0.0026006722722383573</v>
      </c>
      <c r="E17" s="106">
        <v>1.734056841685914</v>
      </c>
      <c r="F17" s="102" t="s">
        <v>3369</v>
      </c>
      <c r="G17" s="102" t="b">
        <v>0</v>
      </c>
      <c r="H17" s="102" t="b">
        <v>0</v>
      </c>
      <c r="I17" s="102" t="b">
        <v>0</v>
      </c>
      <c r="J17" s="102" t="b">
        <v>0</v>
      </c>
      <c r="K17" s="102" t="b">
        <v>0</v>
      </c>
      <c r="L17" s="102" t="b">
        <v>0</v>
      </c>
    </row>
    <row r="18" spans="1:12" ht="15">
      <c r="A18" s="104" t="s">
        <v>2395</v>
      </c>
      <c r="B18" s="102" t="s">
        <v>2421</v>
      </c>
      <c r="C18" s="102">
        <v>16</v>
      </c>
      <c r="D18" s="106">
        <v>0.002892714299138128</v>
      </c>
      <c r="E18" s="106">
        <v>2.6038143019449254</v>
      </c>
      <c r="F18" s="102" t="s">
        <v>3369</v>
      </c>
      <c r="G18" s="102" t="b">
        <v>0</v>
      </c>
      <c r="H18" s="102" t="b">
        <v>0</v>
      </c>
      <c r="I18" s="102" t="b">
        <v>0</v>
      </c>
      <c r="J18" s="102" t="b">
        <v>0</v>
      </c>
      <c r="K18" s="102" t="b">
        <v>0</v>
      </c>
      <c r="L18" s="102" t="b">
        <v>0</v>
      </c>
    </row>
    <row r="19" spans="1:12" ht="15">
      <c r="A19" s="104" t="s">
        <v>2425</v>
      </c>
      <c r="B19" s="102" t="s">
        <v>2413</v>
      </c>
      <c r="C19" s="102">
        <v>16</v>
      </c>
      <c r="D19" s="106">
        <v>0.0023415035036902336</v>
      </c>
      <c r="E19" s="106">
        <v>2.6707610915755384</v>
      </c>
      <c r="F19" s="102" t="s">
        <v>3369</v>
      </c>
      <c r="G19" s="102" t="b">
        <v>0</v>
      </c>
      <c r="H19" s="102" t="b">
        <v>0</v>
      </c>
      <c r="I19" s="102" t="b">
        <v>0</v>
      </c>
      <c r="J19" s="102" t="b">
        <v>0</v>
      </c>
      <c r="K19" s="102" t="b">
        <v>0</v>
      </c>
      <c r="L19" s="102" t="b">
        <v>0</v>
      </c>
    </row>
    <row r="20" spans="1:12" ht="15">
      <c r="A20" s="104" t="s">
        <v>2413</v>
      </c>
      <c r="B20" s="102" t="s">
        <v>2372</v>
      </c>
      <c r="C20" s="102">
        <v>16</v>
      </c>
      <c r="D20" s="106">
        <v>0.0023415035036902336</v>
      </c>
      <c r="E20" s="106">
        <v>2.356367134353576</v>
      </c>
      <c r="F20" s="102" t="s">
        <v>3369</v>
      </c>
      <c r="G20" s="102" t="b">
        <v>0</v>
      </c>
      <c r="H20" s="102" t="b">
        <v>0</v>
      </c>
      <c r="I20" s="102" t="b">
        <v>0</v>
      </c>
      <c r="J20" s="102" t="b">
        <v>0</v>
      </c>
      <c r="K20" s="102" t="b">
        <v>0</v>
      </c>
      <c r="L20" s="102" t="b">
        <v>0</v>
      </c>
    </row>
    <row r="21" spans="1:12" ht="15">
      <c r="A21" s="104" t="s">
        <v>2372</v>
      </c>
      <c r="B21" s="102" t="s">
        <v>2407</v>
      </c>
      <c r="C21" s="102">
        <v>16</v>
      </c>
      <c r="D21" s="106">
        <v>0.0023415035036902336</v>
      </c>
      <c r="E21" s="106">
        <v>2.356367134353576</v>
      </c>
      <c r="F21" s="102" t="s">
        <v>3369</v>
      </c>
      <c r="G21" s="102" t="b">
        <v>0</v>
      </c>
      <c r="H21" s="102" t="b">
        <v>0</v>
      </c>
      <c r="I21" s="102" t="b">
        <v>0</v>
      </c>
      <c r="J21" s="102" t="b">
        <v>0</v>
      </c>
      <c r="K21" s="102" t="b">
        <v>0</v>
      </c>
      <c r="L21" s="102" t="b">
        <v>0</v>
      </c>
    </row>
    <row r="22" spans="1:12" ht="15">
      <c r="A22" s="104" t="s">
        <v>2407</v>
      </c>
      <c r="B22" s="102" t="s">
        <v>2400</v>
      </c>
      <c r="C22" s="102">
        <v>16</v>
      </c>
      <c r="D22" s="106">
        <v>0.0023415035036902336</v>
      </c>
      <c r="E22" s="106">
        <v>2.573851078567482</v>
      </c>
      <c r="F22" s="102" t="s">
        <v>3369</v>
      </c>
      <c r="G22" s="102" t="b">
        <v>0</v>
      </c>
      <c r="H22" s="102" t="b">
        <v>0</v>
      </c>
      <c r="I22" s="102" t="b">
        <v>0</v>
      </c>
      <c r="J22" s="102" t="b">
        <v>0</v>
      </c>
      <c r="K22" s="102" t="b">
        <v>0</v>
      </c>
      <c r="L22" s="102" t="b">
        <v>0</v>
      </c>
    </row>
    <row r="23" spans="1:12" ht="15">
      <c r="A23" s="104" t="s">
        <v>2400</v>
      </c>
      <c r="B23" s="102" t="s">
        <v>2374</v>
      </c>
      <c r="C23" s="102">
        <v>16</v>
      </c>
      <c r="D23" s="106">
        <v>0.0023415035036902336</v>
      </c>
      <c r="E23" s="106">
        <v>2.360038284547668</v>
      </c>
      <c r="F23" s="102" t="s">
        <v>3369</v>
      </c>
      <c r="G23" s="102" t="b">
        <v>0</v>
      </c>
      <c r="H23" s="102" t="b">
        <v>0</v>
      </c>
      <c r="I23" s="102" t="b">
        <v>0</v>
      </c>
      <c r="J23" s="102" t="b">
        <v>0</v>
      </c>
      <c r="K23" s="102" t="b">
        <v>0</v>
      </c>
      <c r="L23" s="102" t="b">
        <v>0</v>
      </c>
    </row>
    <row r="24" spans="1:12" ht="15">
      <c r="A24" s="104" t="s">
        <v>2349</v>
      </c>
      <c r="B24" s="102" t="s">
        <v>2348</v>
      </c>
      <c r="C24" s="102">
        <v>15</v>
      </c>
      <c r="D24" s="106">
        <v>0.0024096343629454032</v>
      </c>
      <c r="E24" s="106">
        <v>0.45981864934885675</v>
      </c>
      <c r="F24" s="102" t="s">
        <v>3369</v>
      </c>
      <c r="G24" s="102" t="b">
        <v>0</v>
      </c>
      <c r="H24" s="102" t="b">
        <v>0</v>
      </c>
      <c r="I24" s="102" t="b">
        <v>0</v>
      </c>
      <c r="J24" s="102" t="b">
        <v>0</v>
      </c>
      <c r="K24" s="102" t="b">
        <v>0</v>
      </c>
      <c r="L24" s="102" t="b">
        <v>0</v>
      </c>
    </row>
    <row r="25" spans="1:12" ht="15">
      <c r="A25" s="104" t="s">
        <v>2349</v>
      </c>
      <c r="B25" s="102" t="s">
        <v>2353</v>
      </c>
      <c r="C25" s="102">
        <v>15</v>
      </c>
      <c r="D25" s="106">
        <v>0.0030623201749932507</v>
      </c>
      <c r="E25" s="106">
        <v>0.918456498374506</v>
      </c>
      <c r="F25" s="102" t="s">
        <v>3369</v>
      </c>
      <c r="G25" s="102" t="b">
        <v>0</v>
      </c>
      <c r="H25" s="102" t="b">
        <v>0</v>
      </c>
      <c r="I25" s="102" t="b">
        <v>0</v>
      </c>
      <c r="J25" s="102" t="b">
        <v>0</v>
      </c>
      <c r="K25" s="102" t="b">
        <v>0</v>
      </c>
      <c r="L25" s="102" t="b">
        <v>0</v>
      </c>
    </row>
    <row r="26" spans="1:12" ht="15">
      <c r="A26" s="104" t="s">
        <v>2374</v>
      </c>
      <c r="B26" s="102" t="s">
        <v>2372</v>
      </c>
      <c r="C26" s="102">
        <v>15</v>
      </c>
      <c r="D26" s="106">
        <v>0.002243274761764258</v>
      </c>
      <c r="E26" s="106">
        <v>2.3794909332007137</v>
      </c>
      <c r="F26" s="102" t="s">
        <v>3369</v>
      </c>
      <c r="G26" s="102" t="b">
        <v>0</v>
      </c>
      <c r="H26" s="102" t="b">
        <v>0</v>
      </c>
      <c r="I26" s="102" t="b">
        <v>0</v>
      </c>
      <c r="J26" s="102" t="b">
        <v>0</v>
      </c>
      <c r="K26" s="102" t="b">
        <v>0</v>
      </c>
      <c r="L26" s="102" t="b">
        <v>0</v>
      </c>
    </row>
    <row r="27" spans="1:12" ht="15">
      <c r="A27" s="104" t="s">
        <v>2372</v>
      </c>
      <c r="B27" s="102" t="s">
        <v>2374</v>
      </c>
      <c r="C27" s="102">
        <v>15</v>
      </c>
      <c r="D27" s="106">
        <v>0.002243274761764258</v>
      </c>
      <c r="E27" s="106">
        <v>2.0922492220223656</v>
      </c>
      <c r="F27" s="102" t="s">
        <v>3369</v>
      </c>
      <c r="G27" s="102" t="b">
        <v>0</v>
      </c>
      <c r="H27" s="102" t="b">
        <v>0</v>
      </c>
      <c r="I27" s="102" t="b">
        <v>0</v>
      </c>
      <c r="J27" s="102" t="b">
        <v>0</v>
      </c>
      <c r="K27" s="102" t="b">
        <v>0</v>
      </c>
      <c r="L27" s="102" t="b">
        <v>0</v>
      </c>
    </row>
    <row r="28" spans="1:12" ht="15">
      <c r="A28" s="104" t="s">
        <v>2420</v>
      </c>
      <c r="B28" s="102" t="s">
        <v>2351</v>
      </c>
      <c r="C28" s="102">
        <v>14</v>
      </c>
      <c r="D28" s="106">
        <v>0.002193296319320993</v>
      </c>
      <c r="E28" s="106">
        <v>1.6055905599707283</v>
      </c>
      <c r="F28" s="102" t="s">
        <v>3369</v>
      </c>
      <c r="G28" s="102" t="b">
        <v>0</v>
      </c>
      <c r="H28" s="102" t="b">
        <v>0</v>
      </c>
      <c r="I28" s="102" t="b">
        <v>0</v>
      </c>
      <c r="J28" s="102" t="b">
        <v>0</v>
      </c>
      <c r="K28" s="102" t="b">
        <v>0</v>
      </c>
      <c r="L28" s="102" t="b">
        <v>0</v>
      </c>
    </row>
    <row r="29" spans="1:12" ht="15">
      <c r="A29" s="104" t="s">
        <v>2352</v>
      </c>
      <c r="B29" s="102" t="s">
        <v>2361</v>
      </c>
      <c r="C29" s="102">
        <v>14</v>
      </c>
      <c r="D29" s="106">
        <v>0.0024491685784357982</v>
      </c>
      <c r="E29" s="106">
        <v>1.3582512782281273</v>
      </c>
      <c r="F29" s="102" t="s">
        <v>3369</v>
      </c>
      <c r="G29" s="102" t="b">
        <v>0</v>
      </c>
      <c r="H29" s="102" t="b">
        <v>0</v>
      </c>
      <c r="I29" s="102" t="b">
        <v>0</v>
      </c>
      <c r="J29" s="102" t="b">
        <v>0</v>
      </c>
      <c r="K29" s="102" t="b">
        <v>0</v>
      </c>
      <c r="L29" s="102" t="b">
        <v>0</v>
      </c>
    </row>
    <row r="30" spans="1:12" ht="15">
      <c r="A30" s="104" t="s">
        <v>2359</v>
      </c>
      <c r="B30" s="102" t="s">
        <v>2352</v>
      </c>
      <c r="C30" s="102">
        <v>13</v>
      </c>
      <c r="D30" s="106">
        <v>0.0024366081559542754</v>
      </c>
      <c r="E30" s="106">
        <v>1.3134127328234368</v>
      </c>
      <c r="F30" s="102" t="s">
        <v>3369</v>
      </c>
      <c r="G30" s="102" t="b">
        <v>0</v>
      </c>
      <c r="H30" s="102" t="b">
        <v>0</v>
      </c>
      <c r="I30" s="102" t="b">
        <v>0</v>
      </c>
      <c r="J30" s="102" t="b">
        <v>0</v>
      </c>
      <c r="K30" s="102" t="b">
        <v>0</v>
      </c>
      <c r="L30" s="102" t="b">
        <v>0</v>
      </c>
    </row>
    <row r="31" spans="1:12" ht="15">
      <c r="A31" s="104" t="s">
        <v>2457</v>
      </c>
      <c r="B31" s="102" t="s">
        <v>2350</v>
      </c>
      <c r="C31" s="102">
        <v>13</v>
      </c>
      <c r="D31" s="106">
        <v>0.003693906681953971</v>
      </c>
      <c r="E31" s="106">
        <v>1.6315673705172518</v>
      </c>
      <c r="F31" s="102" t="s">
        <v>3369</v>
      </c>
      <c r="G31" s="102" t="b">
        <v>0</v>
      </c>
      <c r="H31" s="102" t="b">
        <v>0</v>
      </c>
      <c r="I31" s="102" t="b">
        <v>0</v>
      </c>
      <c r="J31" s="102" t="b">
        <v>0</v>
      </c>
      <c r="K31" s="102" t="b">
        <v>0</v>
      </c>
      <c r="L31" s="102" t="b">
        <v>0</v>
      </c>
    </row>
    <row r="32" spans="1:12" ht="15">
      <c r="A32" s="104" t="s">
        <v>2458</v>
      </c>
      <c r="B32" s="102" t="s">
        <v>2404</v>
      </c>
      <c r="C32" s="102">
        <v>13</v>
      </c>
      <c r="D32" s="106">
        <v>0.003693906681953971</v>
      </c>
      <c r="E32" s="106">
        <v>2.6472799957260156</v>
      </c>
      <c r="F32" s="102" t="s">
        <v>3369</v>
      </c>
      <c r="G32" s="102" t="b">
        <v>0</v>
      </c>
      <c r="H32" s="102" t="b">
        <v>0</v>
      </c>
      <c r="I32" s="102" t="b">
        <v>0</v>
      </c>
      <c r="J32" s="102" t="b">
        <v>0</v>
      </c>
      <c r="K32" s="102" t="b">
        <v>0</v>
      </c>
      <c r="L32" s="102" t="b">
        <v>0</v>
      </c>
    </row>
    <row r="33" spans="1:12" ht="15">
      <c r="A33" s="104" t="s">
        <v>2367</v>
      </c>
      <c r="B33" s="102" t="s">
        <v>2350</v>
      </c>
      <c r="C33" s="102">
        <v>12</v>
      </c>
      <c r="D33" s="106">
        <v>0.002169535724353596</v>
      </c>
      <c r="E33" s="106">
        <v>1.1086886252369141</v>
      </c>
      <c r="F33" s="102" t="s">
        <v>3369</v>
      </c>
      <c r="G33" s="102" t="b">
        <v>0</v>
      </c>
      <c r="H33" s="102" t="b">
        <v>0</v>
      </c>
      <c r="I33" s="102" t="b">
        <v>0</v>
      </c>
      <c r="J33" s="102" t="b">
        <v>0</v>
      </c>
      <c r="K33" s="102" t="b">
        <v>0</v>
      </c>
      <c r="L33" s="102" t="b">
        <v>0</v>
      </c>
    </row>
    <row r="34" spans="1:12" ht="15">
      <c r="A34" s="104" t="s">
        <v>2353</v>
      </c>
      <c r="B34" s="102" t="s">
        <v>2384</v>
      </c>
      <c r="C34" s="102">
        <v>12</v>
      </c>
      <c r="D34" s="106">
        <v>0.00209928735294497</v>
      </c>
      <c r="E34" s="106">
        <v>1.6873603533950003</v>
      </c>
      <c r="F34" s="102" t="s">
        <v>3369</v>
      </c>
      <c r="G34" s="102" t="b">
        <v>0</v>
      </c>
      <c r="H34" s="102" t="b">
        <v>0</v>
      </c>
      <c r="I34" s="102" t="b">
        <v>0</v>
      </c>
      <c r="J34" s="102" t="b">
        <v>0</v>
      </c>
      <c r="K34" s="102" t="b">
        <v>0</v>
      </c>
      <c r="L34" s="102" t="b">
        <v>0</v>
      </c>
    </row>
    <row r="35" spans="1:12" ht="15">
      <c r="A35" s="104" t="s">
        <v>2351</v>
      </c>
      <c r="B35" s="102" t="s">
        <v>2353</v>
      </c>
      <c r="C35" s="102">
        <v>12</v>
      </c>
      <c r="D35" s="106">
        <v>0.0025829438209395168</v>
      </c>
      <c r="E35" s="106">
        <v>0.8902037714260165</v>
      </c>
      <c r="F35" s="102" t="s">
        <v>3369</v>
      </c>
      <c r="G35" s="102" t="b">
        <v>0</v>
      </c>
      <c r="H35" s="102" t="b">
        <v>0</v>
      </c>
      <c r="I35" s="102" t="b">
        <v>0</v>
      </c>
      <c r="J35" s="102" t="b">
        <v>0</v>
      </c>
      <c r="K35" s="102" t="b">
        <v>0</v>
      </c>
      <c r="L35" s="102" t="b">
        <v>0</v>
      </c>
    </row>
    <row r="36" spans="1:12" ht="15">
      <c r="A36" s="104" t="s">
        <v>2361</v>
      </c>
      <c r="B36" s="102" t="s">
        <v>2359</v>
      </c>
      <c r="C36" s="102">
        <v>12</v>
      </c>
      <c r="D36" s="106">
        <v>0.0022491767593424083</v>
      </c>
      <c r="E36" s="106">
        <v>1.634886834946959</v>
      </c>
      <c r="F36" s="102" t="s">
        <v>3369</v>
      </c>
      <c r="G36" s="102" t="b">
        <v>0</v>
      </c>
      <c r="H36" s="102" t="b">
        <v>0</v>
      </c>
      <c r="I36" s="102" t="b">
        <v>0</v>
      </c>
      <c r="J36" s="102" t="b">
        <v>0</v>
      </c>
      <c r="K36" s="102" t="b">
        <v>0</v>
      </c>
      <c r="L36" s="102" t="b">
        <v>0</v>
      </c>
    </row>
    <row r="37" spans="1:12" ht="15">
      <c r="A37" s="104" t="s">
        <v>2365</v>
      </c>
      <c r="B37" s="102" t="s">
        <v>2446</v>
      </c>
      <c r="C37" s="102">
        <v>12</v>
      </c>
      <c r="D37" s="106">
        <v>0.0029963519175254375</v>
      </c>
      <c r="E37" s="106">
        <v>2.247818813933445</v>
      </c>
      <c r="F37" s="102" t="s">
        <v>3369</v>
      </c>
      <c r="G37" s="102" t="b">
        <v>0</v>
      </c>
      <c r="H37" s="102" t="b">
        <v>0</v>
      </c>
      <c r="I37" s="102" t="b">
        <v>0</v>
      </c>
      <c r="J37" s="102" t="b">
        <v>0</v>
      </c>
      <c r="K37" s="102" t="b">
        <v>0</v>
      </c>
      <c r="L37" s="102" t="b">
        <v>0</v>
      </c>
    </row>
    <row r="38" spans="1:12" ht="15">
      <c r="A38" s="104" t="s">
        <v>2379</v>
      </c>
      <c r="B38" s="102" t="s">
        <v>2349</v>
      </c>
      <c r="C38" s="102">
        <v>11</v>
      </c>
      <c r="D38" s="106">
        <v>0.001924346740199556</v>
      </c>
      <c r="E38" s="106">
        <v>1.160636010253003</v>
      </c>
      <c r="F38" s="102" t="s">
        <v>3369</v>
      </c>
      <c r="G38" s="102" t="b">
        <v>0</v>
      </c>
      <c r="H38" s="102" t="b">
        <v>0</v>
      </c>
      <c r="I38" s="102" t="b">
        <v>0</v>
      </c>
      <c r="J38" s="102" t="b">
        <v>0</v>
      </c>
      <c r="K38" s="102" t="b">
        <v>0</v>
      </c>
      <c r="L38" s="102" t="b">
        <v>0</v>
      </c>
    </row>
    <row r="39" spans="1:12" ht="15">
      <c r="A39" s="104" t="s">
        <v>2466</v>
      </c>
      <c r="B39" s="102" t="s">
        <v>2350</v>
      </c>
      <c r="C39" s="102">
        <v>11</v>
      </c>
      <c r="D39" s="106">
        <v>0.0018146360589329157</v>
      </c>
      <c r="E39" s="106">
        <v>1.5937788096278518</v>
      </c>
      <c r="F39" s="102" t="s">
        <v>3369</v>
      </c>
      <c r="G39" s="102" t="b">
        <v>0</v>
      </c>
      <c r="H39" s="102" t="b">
        <v>0</v>
      </c>
      <c r="I39" s="102" t="b">
        <v>0</v>
      </c>
      <c r="J39" s="102" t="b">
        <v>0</v>
      </c>
      <c r="K39" s="102" t="b">
        <v>0</v>
      </c>
      <c r="L39" s="102" t="b">
        <v>0</v>
      </c>
    </row>
    <row r="40" spans="1:12" ht="15">
      <c r="A40" s="104" t="s">
        <v>2353</v>
      </c>
      <c r="B40" s="102" t="s">
        <v>2348</v>
      </c>
      <c r="C40" s="102">
        <v>11</v>
      </c>
      <c r="D40" s="106">
        <v>0.0023676985025278905</v>
      </c>
      <c r="E40" s="106">
        <v>0.76496521120767</v>
      </c>
      <c r="F40" s="102" t="s">
        <v>3369</v>
      </c>
      <c r="G40" s="102" t="b">
        <v>0</v>
      </c>
      <c r="H40" s="102" t="b">
        <v>0</v>
      </c>
      <c r="I40" s="102" t="b">
        <v>0</v>
      </c>
      <c r="J40" s="102" t="b">
        <v>0</v>
      </c>
      <c r="K40" s="102" t="b">
        <v>0</v>
      </c>
      <c r="L40" s="102" t="b">
        <v>0</v>
      </c>
    </row>
    <row r="41" spans="1:12" ht="15">
      <c r="A41" s="104" t="s">
        <v>2353</v>
      </c>
      <c r="B41" s="102" t="s">
        <v>2411</v>
      </c>
      <c r="C41" s="102">
        <v>11</v>
      </c>
      <c r="D41" s="106">
        <v>0.002061745362730541</v>
      </c>
      <c r="E41" s="106">
        <v>1.8256630515612817</v>
      </c>
      <c r="F41" s="102" t="s">
        <v>3369</v>
      </c>
      <c r="G41" s="102" t="b">
        <v>0</v>
      </c>
      <c r="H41" s="102" t="b">
        <v>0</v>
      </c>
      <c r="I41" s="102" t="b">
        <v>0</v>
      </c>
      <c r="J41" s="102" t="b">
        <v>0</v>
      </c>
      <c r="K41" s="102" t="b">
        <v>0</v>
      </c>
      <c r="L41" s="102" t="b">
        <v>0</v>
      </c>
    </row>
    <row r="42" spans="1:12" ht="15">
      <c r="A42" s="104" t="s">
        <v>2411</v>
      </c>
      <c r="B42" s="102" t="s">
        <v>2348</v>
      </c>
      <c r="C42" s="102">
        <v>11</v>
      </c>
      <c r="D42" s="106">
        <v>0.002146022621363723</v>
      </c>
      <c r="E42" s="106">
        <v>1.4210070150018779</v>
      </c>
      <c r="F42" s="102" t="s">
        <v>3369</v>
      </c>
      <c r="G42" s="102" t="b">
        <v>0</v>
      </c>
      <c r="H42" s="102" t="b">
        <v>0</v>
      </c>
      <c r="I42" s="102" t="b">
        <v>0</v>
      </c>
      <c r="J42" s="102" t="b">
        <v>0</v>
      </c>
      <c r="K42" s="102" t="b">
        <v>0</v>
      </c>
      <c r="L42" s="102" t="b">
        <v>0</v>
      </c>
    </row>
    <row r="43" spans="1:12" ht="15">
      <c r="A43" s="104" t="s">
        <v>2355</v>
      </c>
      <c r="B43" s="102" t="s">
        <v>2456</v>
      </c>
      <c r="C43" s="102">
        <v>11</v>
      </c>
      <c r="D43" s="106">
        <v>0.003125613346268745</v>
      </c>
      <c r="E43" s="106">
        <v>2.0826309178880886</v>
      </c>
      <c r="F43" s="102" t="s">
        <v>3369</v>
      </c>
      <c r="G43" s="102" t="b">
        <v>0</v>
      </c>
      <c r="H43" s="102" t="b">
        <v>0</v>
      </c>
      <c r="I43" s="102" t="b">
        <v>0</v>
      </c>
      <c r="J43" s="102" t="b">
        <v>0</v>
      </c>
      <c r="K43" s="102" t="b">
        <v>0</v>
      </c>
      <c r="L43" s="102" t="b">
        <v>0</v>
      </c>
    </row>
    <row r="44" spans="1:12" ht="15">
      <c r="A44" s="104" t="s">
        <v>2350</v>
      </c>
      <c r="B44" s="102" t="s">
        <v>2350</v>
      </c>
      <c r="C44" s="102">
        <v>10</v>
      </c>
      <c r="D44" s="106">
        <v>0.0018079464369613301</v>
      </c>
      <c r="E44" s="106">
        <v>0.33710114435565874</v>
      </c>
      <c r="F44" s="102" t="s">
        <v>3369</v>
      </c>
      <c r="G44" s="102" t="b">
        <v>0</v>
      </c>
      <c r="H44" s="102" t="b">
        <v>0</v>
      </c>
      <c r="I44" s="102" t="b">
        <v>0</v>
      </c>
      <c r="J44" s="102" t="b">
        <v>0</v>
      </c>
      <c r="K44" s="102" t="b">
        <v>0</v>
      </c>
      <c r="L44" s="102" t="b">
        <v>0</v>
      </c>
    </row>
    <row r="45" spans="1:12" ht="15">
      <c r="A45" s="104" t="s">
        <v>2350</v>
      </c>
      <c r="B45" s="102" t="s">
        <v>2368</v>
      </c>
      <c r="C45" s="102">
        <v>10</v>
      </c>
      <c r="D45" s="106">
        <v>0.0018079464369613301</v>
      </c>
      <c r="E45" s="106">
        <v>1.0633656464502568</v>
      </c>
      <c r="F45" s="102" t="s">
        <v>3369</v>
      </c>
      <c r="G45" s="102" t="b">
        <v>0</v>
      </c>
      <c r="H45" s="102" t="b">
        <v>0</v>
      </c>
      <c r="I45" s="102" t="b">
        <v>0</v>
      </c>
      <c r="J45" s="102" t="b">
        <v>0</v>
      </c>
      <c r="K45" s="102" t="b">
        <v>0</v>
      </c>
      <c r="L45" s="102" t="b">
        <v>0</v>
      </c>
    </row>
    <row r="46" spans="1:12" ht="15">
      <c r="A46" s="104" t="s">
        <v>2482</v>
      </c>
      <c r="B46" s="102" t="s">
        <v>2355</v>
      </c>
      <c r="C46" s="102">
        <v>10</v>
      </c>
      <c r="D46" s="106">
        <v>0.0028414666784261316</v>
      </c>
      <c r="E46" s="106">
        <v>2.1198536226949574</v>
      </c>
      <c r="F46" s="102" t="s">
        <v>3369</v>
      </c>
      <c r="G46" s="102" t="b">
        <v>0</v>
      </c>
      <c r="H46" s="102" t="b">
        <v>1</v>
      </c>
      <c r="I46" s="102" t="b">
        <v>0</v>
      </c>
      <c r="J46" s="102" t="b">
        <v>0</v>
      </c>
      <c r="K46" s="102" t="b">
        <v>0</v>
      </c>
      <c r="L46" s="102" t="b">
        <v>0</v>
      </c>
    </row>
    <row r="47" spans="1:12" ht="15">
      <c r="A47" s="104" t="s">
        <v>2350</v>
      </c>
      <c r="B47" s="102" t="s">
        <v>2467</v>
      </c>
      <c r="C47" s="102">
        <v>10</v>
      </c>
      <c r="D47" s="106">
        <v>0.0016970400361739</v>
      </c>
      <c r="E47" s="106">
        <v>1.5523861244696269</v>
      </c>
      <c r="F47" s="102" t="s">
        <v>3369</v>
      </c>
      <c r="G47" s="102" t="b">
        <v>0</v>
      </c>
      <c r="H47" s="102" t="b">
        <v>0</v>
      </c>
      <c r="I47" s="102" t="b">
        <v>0</v>
      </c>
      <c r="J47" s="102" t="b">
        <v>0</v>
      </c>
      <c r="K47" s="102" t="b">
        <v>0</v>
      </c>
      <c r="L47" s="102" t="b">
        <v>0</v>
      </c>
    </row>
    <row r="48" spans="1:12" ht="15">
      <c r="A48" s="104" t="s">
        <v>2367</v>
      </c>
      <c r="B48" s="102" t="s">
        <v>2369</v>
      </c>
      <c r="C48" s="102">
        <v>10</v>
      </c>
      <c r="D48" s="106">
        <v>0.0019509296557852027</v>
      </c>
      <c r="E48" s="106">
        <v>1.7557718812838872</v>
      </c>
      <c r="F48" s="102" t="s">
        <v>3369</v>
      </c>
      <c r="G48" s="102" t="b">
        <v>0</v>
      </c>
      <c r="H48" s="102" t="b">
        <v>0</v>
      </c>
      <c r="I48" s="102" t="b">
        <v>0</v>
      </c>
      <c r="J48" s="102" t="b">
        <v>0</v>
      </c>
      <c r="K48" s="102" t="b">
        <v>0</v>
      </c>
      <c r="L48" s="102" t="b">
        <v>0</v>
      </c>
    </row>
    <row r="49" spans="1:12" ht="15">
      <c r="A49" s="104" t="s">
        <v>2349</v>
      </c>
      <c r="B49" s="102" t="s">
        <v>2349</v>
      </c>
      <c r="C49" s="102">
        <v>10</v>
      </c>
      <c r="D49" s="106">
        <v>0.0016970400361739</v>
      </c>
      <c r="E49" s="106">
        <v>0.2553054620649825</v>
      </c>
      <c r="F49" s="102" t="s">
        <v>3369</v>
      </c>
      <c r="G49" s="102" t="b">
        <v>0</v>
      </c>
      <c r="H49" s="102" t="b">
        <v>0</v>
      </c>
      <c r="I49" s="102" t="b">
        <v>0</v>
      </c>
      <c r="J49" s="102" t="b">
        <v>0</v>
      </c>
      <c r="K49" s="102" t="b">
        <v>0</v>
      </c>
      <c r="L49" s="102" t="b">
        <v>0</v>
      </c>
    </row>
    <row r="50" spans="1:12" ht="15">
      <c r="A50" s="104" t="s">
        <v>2403</v>
      </c>
      <c r="B50" s="102" t="s">
        <v>2357</v>
      </c>
      <c r="C50" s="102">
        <v>10</v>
      </c>
      <c r="D50" s="106">
        <v>0.002152453184116264</v>
      </c>
      <c r="E50" s="106">
        <v>1.8396737660040965</v>
      </c>
      <c r="F50" s="102" t="s">
        <v>3369</v>
      </c>
      <c r="G50" s="102" t="b">
        <v>0</v>
      </c>
      <c r="H50" s="102" t="b">
        <v>0</v>
      </c>
      <c r="I50" s="102" t="b">
        <v>0</v>
      </c>
      <c r="J50" s="102" t="b">
        <v>0</v>
      </c>
      <c r="K50" s="102" t="b">
        <v>0</v>
      </c>
      <c r="L50" s="102" t="b">
        <v>0</v>
      </c>
    </row>
    <row r="51" spans="1:12" ht="15">
      <c r="A51" s="104" t="s">
        <v>2426</v>
      </c>
      <c r="B51" s="102" t="s">
        <v>2368</v>
      </c>
      <c r="C51" s="102">
        <v>9</v>
      </c>
      <c r="D51" s="106">
        <v>0.0025573200105835185</v>
      </c>
      <c r="E51" s="106">
        <v>2.1659463463729365</v>
      </c>
      <c r="F51" s="102" t="s">
        <v>3369</v>
      </c>
      <c r="G51" s="102" t="b">
        <v>0</v>
      </c>
      <c r="H51" s="102" t="b">
        <v>0</v>
      </c>
      <c r="I51" s="102" t="b">
        <v>0</v>
      </c>
      <c r="J51" s="102" t="b">
        <v>0</v>
      </c>
      <c r="K51" s="102" t="b">
        <v>0</v>
      </c>
      <c r="L51" s="102" t="b">
        <v>0</v>
      </c>
    </row>
    <row r="52" spans="1:12" ht="15">
      <c r="A52" s="104" t="s">
        <v>2483</v>
      </c>
      <c r="B52" s="102" t="s">
        <v>2504</v>
      </c>
      <c r="C52" s="102">
        <v>9</v>
      </c>
      <c r="D52" s="106">
        <v>0.0025573200105835185</v>
      </c>
      <c r="E52" s="106">
        <v>2.9260335966788444</v>
      </c>
      <c r="F52" s="102" t="s">
        <v>3369</v>
      </c>
      <c r="G52" s="102" t="b">
        <v>0</v>
      </c>
      <c r="H52" s="102" t="b">
        <v>0</v>
      </c>
      <c r="I52" s="102" t="b">
        <v>0</v>
      </c>
      <c r="J52" s="102" t="b">
        <v>0</v>
      </c>
      <c r="K52" s="102" t="b">
        <v>0</v>
      </c>
      <c r="L52" s="102" t="b">
        <v>0</v>
      </c>
    </row>
    <row r="53" spans="1:12" ht="15">
      <c r="A53" s="104" t="s">
        <v>2505</v>
      </c>
      <c r="B53" s="102" t="s">
        <v>2439</v>
      </c>
      <c r="C53" s="102">
        <v>9</v>
      </c>
      <c r="D53" s="106">
        <v>0.0025573200105835185</v>
      </c>
      <c r="E53" s="106">
        <v>2.7799055610006067</v>
      </c>
      <c r="F53" s="102" t="s">
        <v>3369</v>
      </c>
      <c r="G53" s="102" t="b">
        <v>0</v>
      </c>
      <c r="H53" s="102" t="b">
        <v>0</v>
      </c>
      <c r="I53" s="102" t="b">
        <v>0</v>
      </c>
      <c r="J53" s="102" t="b">
        <v>0</v>
      </c>
      <c r="K53" s="102" t="b">
        <v>0</v>
      </c>
      <c r="L53" s="102" t="b">
        <v>0</v>
      </c>
    </row>
    <row r="54" spans="1:12" ht="15">
      <c r="A54" s="104" t="s">
        <v>2380</v>
      </c>
      <c r="B54" s="102" t="s">
        <v>2366</v>
      </c>
      <c r="C54" s="102">
        <v>9</v>
      </c>
      <c r="D54" s="106">
        <v>0.0018373921049959505</v>
      </c>
      <c r="E54" s="106">
        <v>1.8361284852394468</v>
      </c>
      <c r="F54" s="102" t="s">
        <v>3369</v>
      </c>
      <c r="G54" s="102" t="b">
        <v>0</v>
      </c>
      <c r="H54" s="102" t="b">
        <v>0</v>
      </c>
      <c r="I54" s="102" t="b">
        <v>0</v>
      </c>
      <c r="J54" s="102" t="b">
        <v>0</v>
      </c>
      <c r="K54" s="102" t="b">
        <v>0</v>
      </c>
      <c r="L54" s="102" t="b">
        <v>0</v>
      </c>
    </row>
    <row r="55" spans="1:12" ht="15">
      <c r="A55" s="104" t="s">
        <v>2363</v>
      </c>
      <c r="B55" s="102" t="s">
        <v>2464</v>
      </c>
      <c r="C55" s="102">
        <v>9</v>
      </c>
      <c r="D55" s="106">
        <v>0.0018373921049959505</v>
      </c>
      <c r="E55" s="106">
        <v>2.167626404490958</v>
      </c>
      <c r="F55" s="102" t="s">
        <v>3369</v>
      </c>
      <c r="G55" s="102" t="b">
        <v>0</v>
      </c>
      <c r="H55" s="102" t="b">
        <v>0</v>
      </c>
      <c r="I55" s="102" t="b">
        <v>0</v>
      </c>
      <c r="J55" s="102" t="b">
        <v>0</v>
      </c>
      <c r="K55" s="102" t="b">
        <v>0</v>
      </c>
      <c r="L55" s="102" t="b">
        <v>0</v>
      </c>
    </row>
    <row r="56" spans="1:12" ht="15">
      <c r="A56" s="104" t="s">
        <v>2464</v>
      </c>
      <c r="B56" s="102" t="s">
        <v>2485</v>
      </c>
      <c r="C56" s="102">
        <v>9</v>
      </c>
      <c r="D56" s="106">
        <v>0.0018373921049959505</v>
      </c>
      <c r="E56" s="106">
        <v>2.8010948600705445</v>
      </c>
      <c r="F56" s="102" t="s">
        <v>3369</v>
      </c>
      <c r="G56" s="102" t="b">
        <v>0</v>
      </c>
      <c r="H56" s="102" t="b">
        <v>0</v>
      </c>
      <c r="I56" s="102" t="b">
        <v>0</v>
      </c>
      <c r="J56" s="102" t="b">
        <v>0</v>
      </c>
      <c r="K56" s="102" t="b">
        <v>0</v>
      </c>
      <c r="L56" s="102" t="b">
        <v>0</v>
      </c>
    </row>
    <row r="57" spans="1:12" ht="15">
      <c r="A57" s="104" t="s">
        <v>2390</v>
      </c>
      <c r="B57" s="102" t="s">
        <v>2358</v>
      </c>
      <c r="C57" s="102">
        <v>9</v>
      </c>
      <c r="D57" s="106">
        <v>0.0018373921049959505</v>
      </c>
      <c r="E57" s="106">
        <v>1.740397019716933</v>
      </c>
      <c r="F57" s="102" t="s">
        <v>3369</v>
      </c>
      <c r="G57" s="102" t="b">
        <v>0</v>
      </c>
      <c r="H57" s="102" t="b">
        <v>0</v>
      </c>
      <c r="I57" s="102" t="b">
        <v>0</v>
      </c>
      <c r="J57" s="102" t="b">
        <v>0</v>
      </c>
      <c r="K57" s="102" t="b">
        <v>0</v>
      </c>
      <c r="L57" s="102" t="b">
        <v>0</v>
      </c>
    </row>
    <row r="58" spans="1:12" ht="15">
      <c r="A58" s="104" t="s">
        <v>2440</v>
      </c>
      <c r="B58" s="102" t="s">
        <v>2351</v>
      </c>
      <c r="C58" s="102">
        <v>9</v>
      </c>
      <c r="D58" s="106">
        <v>0.0018373921049959505</v>
      </c>
      <c r="E58" s="106">
        <v>1.471696980709502</v>
      </c>
      <c r="F58" s="102" t="s">
        <v>3369</v>
      </c>
      <c r="G58" s="102" t="b">
        <v>0</v>
      </c>
      <c r="H58" s="102" t="b">
        <v>0</v>
      </c>
      <c r="I58" s="102" t="b">
        <v>0</v>
      </c>
      <c r="J58" s="102" t="b">
        <v>0</v>
      </c>
      <c r="K58" s="102" t="b">
        <v>0</v>
      </c>
      <c r="L58" s="102" t="b">
        <v>0</v>
      </c>
    </row>
    <row r="59" spans="1:12" ht="15">
      <c r="A59" s="104" t="s">
        <v>2421</v>
      </c>
      <c r="B59" s="102" t="s">
        <v>2396</v>
      </c>
      <c r="C59" s="102">
        <v>9</v>
      </c>
      <c r="D59" s="106">
        <v>0.0025573200105835185</v>
      </c>
      <c r="E59" s="106">
        <v>2.3539368287283255</v>
      </c>
      <c r="F59" s="102" t="s">
        <v>3369</v>
      </c>
      <c r="G59" s="102" t="b">
        <v>0</v>
      </c>
      <c r="H59" s="102" t="b">
        <v>0</v>
      </c>
      <c r="I59" s="102" t="b">
        <v>0</v>
      </c>
      <c r="J59" s="102" t="b">
        <v>0</v>
      </c>
      <c r="K59" s="102" t="b">
        <v>0</v>
      </c>
      <c r="L59" s="102" t="b">
        <v>0</v>
      </c>
    </row>
    <row r="60" spans="1:12" ht="15">
      <c r="A60" s="104" t="s">
        <v>2404</v>
      </c>
      <c r="B60" s="102" t="s">
        <v>2499</v>
      </c>
      <c r="C60" s="102">
        <v>9</v>
      </c>
      <c r="D60" s="106">
        <v>0.0025573200105835185</v>
      </c>
      <c r="E60" s="106">
        <v>2.5792461104541884</v>
      </c>
      <c r="F60" s="102" t="s">
        <v>3369</v>
      </c>
      <c r="G60" s="102" t="b">
        <v>0</v>
      </c>
      <c r="H60" s="102" t="b">
        <v>0</v>
      </c>
      <c r="I60" s="102" t="b">
        <v>0</v>
      </c>
      <c r="J60" s="102" t="b">
        <v>0</v>
      </c>
      <c r="K60" s="102" t="b">
        <v>0</v>
      </c>
      <c r="L60" s="102" t="b">
        <v>0</v>
      </c>
    </row>
    <row r="61" spans="1:12" ht="15">
      <c r="A61" s="104" t="s">
        <v>2351</v>
      </c>
      <c r="B61" s="102" t="s">
        <v>2517</v>
      </c>
      <c r="C61" s="102">
        <v>9</v>
      </c>
      <c r="D61" s="106">
        <v>0.0025573200105835185</v>
      </c>
      <c r="E61" s="106">
        <v>1.66835502180966</v>
      </c>
      <c r="F61" s="102" t="s">
        <v>3369</v>
      </c>
      <c r="G61" s="102" t="b">
        <v>0</v>
      </c>
      <c r="H61" s="102" t="b">
        <v>0</v>
      </c>
      <c r="I61" s="102" t="b">
        <v>0</v>
      </c>
      <c r="J61" s="102" t="b">
        <v>0</v>
      </c>
      <c r="K61" s="102" t="b">
        <v>0</v>
      </c>
      <c r="L61" s="102" t="b">
        <v>0</v>
      </c>
    </row>
    <row r="62" spans="1:12" ht="15">
      <c r="A62" s="104" t="s">
        <v>2498</v>
      </c>
      <c r="B62" s="102" t="s">
        <v>2444</v>
      </c>
      <c r="C62" s="102">
        <v>9</v>
      </c>
      <c r="D62" s="106">
        <v>0.0025573200105835185</v>
      </c>
      <c r="E62" s="106">
        <v>2.7341480704399315</v>
      </c>
      <c r="F62" s="102" t="s">
        <v>3369</v>
      </c>
      <c r="G62" s="102" t="b">
        <v>0</v>
      </c>
      <c r="H62" s="102" t="b">
        <v>0</v>
      </c>
      <c r="I62" s="102" t="b">
        <v>0</v>
      </c>
      <c r="J62" s="102" t="b">
        <v>0</v>
      </c>
      <c r="K62" s="102" t="b">
        <v>0</v>
      </c>
      <c r="L62" s="102" t="b">
        <v>0</v>
      </c>
    </row>
    <row r="63" spans="1:12" ht="15">
      <c r="A63" s="104" t="s">
        <v>2434</v>
      </c>
      <c r="B63" s="102" t="s">
        <v>2350</v>
      </c>
      <c r="C63" s="102">
        <v>8</v>
      </c>
      <c r="D63" s="106">
        <v>0.001446357149569064</v>
      </c>
      <c r="E63" s="106">
        <v>1.3885293218309573</v>
      </c>
      <c r="F63" s="102" t="s">
        <v>3369</v>
      </c>
      <c r="G63" s="102" t="b">
        <v>0</v>
      </c>
      <c r="H63" s="102" t="b">
        <v>0</v>
      </c>
      <c r="I63" s="102" t="b">
        <v>0</v>
      </c>
      <c r="J63" s="102" t="b">
        <v>0</v>
      </c>
      <c r="K63" s="102" t="b">
        <v>0</v>
      </c>
      <c r="L63" s="102" t="b">
        <v>0</v>
      </c>
    </row>
    <row r="64" spans="1:12" ht="15">
      <c r="A64" s="104" t="s">
        <v>2350</v>
      </c>
      <c r="B64" s="102" t="s">
        <v>2429</v>
      </c>
      <c r="C64" s="102">
        <v>8</v>
      </c>
      <c r="D64" s="106">
        <v>0.001446357149569064</v>
      </c>
      <c r="E64" s="106">
        <v>1.3585660984535142</v>
      </c>
      <c r="F64" s="102" t="s">
        <v>3369</v>
      </c>
      <c r="G64" s="102" t="b">
        <v>0</v>
      </c>
      <c r="H64" s="102" t="b">
        <v>0</v>
      </c>
      <c r="I64" s="102" t="b">
        <v>0</v>
      </c>
      <c r="J64" s="102" t="b">
        <v>0</v>
      </c>
      <c r="K64" s="102" t="b">
        <v>0</v>
      </c>
      <c r="L64" s="102" t="b">
        <v>0</v>
      </c>
    </row>
    <row r="65" spans="1:12" ht="15">
      <c r="A65" s="104" t="s">
        <v>2438</v>
      </c>
      <c r="B65" s="102" t="s">
        <v>2350</v>
      </c>
      <c r="C65" s="102">
        <v>8</v>
      </c>
      <c r="D65" s="106">
        <v>0.001560743724628162</v>
      </c>
      <c r="E65" s="106">
        <v>1.3885293218309573</v>
      </c>
      <c r="F65" s="102" t="s">
        <v>3369</v>
      </c>
      <c r="G65" s="102" t="b">
        <v>0</v>
      </c>
      <c r="H65" s="102" t="b">
        <v>0</v>
      </c>
      <c r="I65" s="102" t="b">
        <v>0</v>
      </c>
      <c r="J65" s="102" t="b">
        <v>0</v>
      </c>
      <c r="K65" s="102" t="b">
        <v>0</v>
      </c>
      <c r="L65" s="102" t="b">
        <v>0</v>
      </c>
    </row>
    <row r="66" spans="1:12" ht="15">
      <c r="A66" s="104" t="s">
        <v>2352</v>
      </c>
      <c r="B66" s="102" t="s">
        <v>2364</v>
      </c>
      <c r="C66" s="102">
        <v>8</v>
      </c>
      <c r="D66" s="106">
        <v>0.0014994511728949388</v>
      </c>
      <c r="E66" s="106">
        <v>1.1152132295418329</v>
      </c>
      <c r="F66" s="102" t="s">
        <v>3369</v>
      </c>
      <c r="G66" s="102" t="b">
        <v>0</v>
      </c>
      <c r="H66" s="102" t="b">
        <v>0</v>
      </c>
      <c r="I66" s="102" t="b">
        <v>0</v>
      </c>
      <c r="J66" s="102" t="b">
        <v>0</v>
      </c>
      <c r="K66" s="102" t="b">
        <v>0</v>
      </c>
      <c r="L66" s="102" t="b">
        <v>0</v>
      </c>
    </row>
    <row r="67" spans="1:12" ht="15">
      <c r="A67" s="104" t="s">
        <v>2349</v>
      </c>
      <c r="B67" s="102" t="s">
        <v>2350</v>
      </c>
      <c r="C67" s="102">
        <v>8</v>
      </c>
      <c r="D67" s="106">
        <v>0.0014994511728949388</v>
      </c>
      <c r="E67" s="106">
        <v>0.20832149658044394</v>
      </c>
      <c r="F67" s="102" t="s">
        <v>3369</v>
      </c>
      <c r="G67" s="102" t="b">
        <v>0</v>
      </c>
      <c r="H67" s="102" t="b">
        <v>0</v>
      </c>
      <c r="I67" s="102" t="b">
        <v>0</v>
      </c>
      <c r="J67" s="102" t="b">
        <v>0</v>
      </c>
      <c r="K67" s="102" t="b">
        <v>0</v>
      </c>
      <c r="L67" s="102" t="b">
        <v>0</v>
      </c>
    </row>
    <row r="68" spans="1:12" ht="15">
      <c r="A68" s="104" t="s">
        <v>2361</v>
      </c>
      <c r="B68" s="102" t="s">
        <v>2352</v>
      </c>
      <c r="C68" s="102">
        <v>8</v>
      </c>
      <c r="D68" s="106">
        <v>0.001721962547293011</v>
      </c>
      <c r="E68" s="106">
        <v>1.1210427732025567</v>
      </c>
      <c r="F68" s="102" t="s">
        <v>3369</v>
      </c>
      <c r="G68" s="102" t="b">
        <v>0</v>
      </c>
      <c r="H68" s="102" t="b">
        <v>0</v>
      </c>
      <c r="I68" s="102" t="b">
        <v>0</v>
      </c>
      <c r="J68" s="102" t="b">
        <v>0</v>
      </c>
      <c r="K68" s="102" t="b">
        <v>0</v>
      </c>
      <c r="L68" s="102" t="b">
        <v>0</v>
      </c>
    </row>
    <row r="69" spans="1:12" ht="15">
      <c r="A69" s="104" t="s">
        <v>2351</v>
      </c>
      <c r="B69" s="102" t="s">
        <v>2409</v>
      </c>
      <c r="C69" s="102">
        <v>8</v>
      </c>
      <c r="D69" s="106">
        <v>0.0018363491223521093</v>
      </c>
      <c r="E69" s="106">
        <v>1.3409960874233298</v>
      </c>
      <c r="F69" s="102" t="s">
        <v>3369</v>
      </c>
      <c r="G69" s="102" t="b">
        <v>0</v>
      </c>
      <c r="H69" s="102" t="b">
        <v>0</v>
      </c>
      <c r="I69" s="102" t="b">
        <v>0</v>
      </c>
      <c r="J69" s="102" t="b">
        <v>0</v>
      </c>
      <c r="K69" s="102" t="b">
        <v>0</v>
      </c>
      <c r="L69" s="102" t="b">
        <v>0</v>
      </c>
    </row>
    <row r="70" spans="1:12" ht="15">
      <c r="A70" s="104" t="s">
        <v>2350</v>
      </c>
      <c r="B70" s="102" t="s">
        <v>2365</v>
      </c>
      <c r="C70" s="102">
        <v>8</v>
      </c>
      <c r="D70" s="106">
        <v>0.0019975679450169584</v>
      </c>
      <c r="E70" s="106">
        <v>0.8814448437338517</v>
      </c>
      <c r="F70" s="102" t="s">
        <v>3369</v>
      </c>
      <c r="G70" s="102" t="b">
        <v>0</v>
      </c>
      <c r="H70" s="102" t="b">
        <v>0</v>
      </c>
      <c r="I70" s="102" t="b">
        <v>0</v>
      </c>
      <c r="J70" s="102" t="b">
        <v>0</v>
      </c>
      <c r="K70" s="102" t="b">
        <v>0</v>
      </c>
      <c r="L70" s="102" t="b">
        <v>0</v>
      </c>
    </row>
    <row r="71" spans="1:12" ht="15">
      <c r="A71" s="104" t="s">
        <v>2473</v>
      </c>
      <c r="B71" s="102" t="s">
        <v>2477</v>
      </c>
      <c r="C71" s="102">
        <v>8</v>
      </c>
      <c r="D71" s="106">
        <v>0.0022731733427409054</v>
      </c>
      <c r="E71" s="106">
        <v>2.7463382133543384</v>
      </c>
      <c r="F71" s="102" t="s">
        <v>3369</v>
      </c>
      <c r="G71" s="102" t="b">
        <v>0</v>
      </c>
      <c r="H71" s="102" t="b">
        <v>0</v>
      </c>
      <c r="I71" s="102" t="b">
        <v>0</v>
      </c>
      <c r="J71" s="102" t="b">
        <v>0</v>
      </c>
      <c r="K71" s="102" t="b">
        <v>0</v>
      </c>
      <c r="L71" s="102" t="b">
        <v>0</v>
      </c>
    </row>
    <row r="72" spans="1:12" ht="15">
      <c r="A72" s="104" t="s">
        <v>2445</v>
      </c>
      <c r="B72" s="102" t="s">
        <v>2519</v>
      </c>
      <c r="C72" s="102">
        <v>8</v>
      </c>
      <c r="D72" s="106">
        <v>0.0022731733427409054</v>
      </c>
      <c r="E72" s="106">
        <v>2.7287530385532253</v>
      </c>
      <c r="F72" s="102" t="s">
        <v>3369</v>
      </c>
      <c r="G72" s="102" t="b">
        <v>0</v>
      </c>
      <c r="H72" s="102" t="b">
        <v>0</v>
      </c>
      <c r="I72" s="102" t="b">
        <v>0</v>
      </c>
      <c r="J72" s="102" t="b">
        <v>0</v>
      </c>
      <c r="K72" s="102" t="b">
        <v>0</v>
      </c>
      <c r="L72" s="102" t="b">
        <v>0</v>
      </c>
    </row>
    <row r="73" spans="1:12" ht="15">
      <c r="A73" s="104" t="s">
        <v>2547</v>
      </c>
      <c r="B73" s="102" t="s">
        <v>2548</v>
      </c>
      <c r="C73" s="102">
        <v>8</v>
      </c>
      <c r="D73" s="106">
        <v>0.0022731733427409054</v>
      </c>
      <c r="E73" s="106">
        <v>3.022943609686901</v>
      </c>
      <c r="F73" s="102" t="s">
        <v>3369</v>
      </c>
      <c r="G73" s="102" t="b">
        <v>0</v>
      </c>
      <c r="H73" s="102" t="b">
        <v>1</v>
      </c>
      <c r="I73" s="102" t="b">
        <v>0</v>
      </c>
      <c r="J73" s="102" t="b">
        <v>0</v>
      </c>
      <c r="K73" s="102" t="b">
        <v>1</v>
      </c>
      <c r="L73" s="102" t="b">
        <v>0</v>
      </c>
    </row>
    <row r="74" spans="1:12" ht="15">
      <c r="A74" s="104" t="s">
        <v>2378</v>
      </c>
      <c r="B74" s="102" t="s">
        <v>1884</v>
      </c>
      <c r="C74" s="102">
        <v>8</v>
      </c>
      <c r="D74" s="106">
        <v>0.0019975679450169584</v>
      </c>
      <c r="E74" s="106">
        <v>2.3520023289511256</v>
      </c>
      <c r="F74" s="102" t="s">
        <v>3369</v>
      </c>
      <c r="G74" s="102" t="b">
        <v>0</v>
      </c>
      <c r="H74" s="102" t="b">
        <v>0</v>
      </c>
      <c r="I74" s="102" t="b">
        <v>0</v>
      </c>
      <c r="J74" s="102" t="b">
        <v>0</v>
      </c>
      <c r="K74" s="102" t="b">
        <v>0</v>
      </c>
      <c r="L74" s="102" t="b">
        <v>0</v>
      </c>
    </row>
    <row r="75" spans="1:12" ht="15">
      <c r="A75" s="104" t="s">
        <v>2378</v>
      </c>
      <c r="B75" s="102" t="s">
        <v>2370</v>
      </c>
      <c r="C75" s="102">
        <v>8</v>
      </c>
      <c r="D75" s="106">
        <v>0.0019975679450169584</v>
      </c>
      <c r="E75" s="106">
        <v>1.8205234119088707</v>
      </c>
      <c r="F75" s="102" t="s">
        <v>3369</v>
      </c>
      <c r="G75" s="102" t="b">
        <v>0</v>
      </c>
      <c r="H75" s="102" t="b">
        <v>0</v>
      </c>
      <c r="I75" s="102" t="b">
        <v>0</v>
      </c>
      <c r="J75" s="102" t="b">
        <v>0</v>
      </c>
      <c r="K75" s="102" t="b">
        <v>0</v>
      </c>
      <c r="L75" s="102" t="b">
        <v>0</v>
      </c>
    </row>
    <row r="76" spans="1:12" ht="15">
      <c r="A76" s="104" t="s">
        <v>2399</v>
      </c>
      <c r="B76" s="102" t="s">
        <v>2391</v>
      </c>
      <c r="C76" s="102">
        <v>8</v>
      </c>
      <c r="D76" s="106">
        <v>0.0022731733427409054</v>
      </c>
      <c r="E76" s="106">
        <v>2.1886421467003663</v>
      </c>
      <c r="F76" s="102" t="s">
        <v>3369</v>
      </c>
      <c r="G76" s="102" t="b">
        <v>0</v>
      </c>
      <c r="H76" s="102" t="b">
        <v>0</v>
      </c>
      <c r="I76" s="102" t="b">
        <v>0</v>
      </c>
      <c r="J76" s="102" t="b">
        <v>0</v>
      </c>
      <c r="K76" s="102" t="b">
        <v>0</v>
      </c>
      <c r="L76" s="102" t="b">
        <v>0</v>
      </c>
    </row>
    <row r="77" spans="1:12" ht="15">
      <c r="A77" s="104" t="s">
        <v>2479</v>
      </c>
      <c r="B77" s="102" t="s">
        <v>2356</v>
      </c>
      <c r="C77" s="102">
        <v>7</v>
      </c>
      <c r="D77" s="106">
        <v>0.0013120197762830715</v>
      </c>
      <c r="E77" s="106">
        <v>2.007703643130164</v>
      </c>
      <c r="F77" s="102" t="s">
        <v>3369</v>
      </c>
      <c r="G77" s="102" t="b">
        <v>0</v>
      </c>
      <c r="H77" s="102" t="b">
        <v>0</v>
      </c>
      <c r="I77" s="102" t="b">
        <v>0</v>
      </c>
      <c r="J77" s="102" t="b">
        <v>0</v>
      </c>
      <c r="K77" s="102" t="b">
        <v>0</v>
      </c>
      <c r="L77" s="102" t="b">
        <v>0</v>
      </c>
    </row>
    <row r="78" spans="1:12" ht="15">
      <c r="A78" s="104" t="s">
        <v>2356</v>
      </c>
      <c r="B78" s="102" t="s">
        <v>2523</v>
      </c>
      <c r="C78" s="102">
        <v>7</v>
      </c>
      <c r="D78" s="106">
        <v>0.0013120197762830715</v>
      </c>
      <c r="E78" s="106">
        <v>2.075649960202904</v>
      </c>
      <c r="F78" s="102" t="s">
        <v>3369</v>
      </c>
      <c r="G78" s="102" t="b">
        <v>0</v>
      </c>
      <c r="H78" s="102" t="b">
        <v>0</v>
      </c>
      <c r="I78" s="102" t="b">
        <v>0</v>
      </c>
      <c r="J78" s="102" t="b">
        <v>0</v>
      </c>
      <c r="K78" s="102" t="b">
        <v>0</v>
      </c>
      <c r="L78" s="102" t="b">
        <v>0</v>
      </c>
    </row>
    <row r="79" spans="1:12" ht="15">
      <c r="A79" s="104" t="s">
        <v>2351</v>
      </c>
      <c r="B79" s="102" t="s">
        <v>2355</v>
      </c>
      <c r="C79" s="102">
        <v>7</v>
      </c>
      <c r="D79" s="106">
        <v>0.0013656507590496419</v>
      </c>
      <c r="E79" s="106">
        <v>0.7072730878400297</v>
      </c>
      <c r="F79" s="102" t="s">
        <v>3369</v>
      </c>
      <c r="G79" s="102" t="b">
        <v>0</v>
      </c>
      <c r="H79" s="102" t="b">
        <v>0</v>
      </c>
      <c r="I79" s="102" t="b">
        <v>0</v>
      </c>
      <c r="J79" s="102" t="b">
        <v>0</v>
      </c>
      <c r="K79" s="102" t="b">
        <v>0</v>
      </c>
      <c r="L79" s="102" t="b">
        <v>0</v>
      </c>
    </row>
    <row r="80" spans="1:12" ht="15">
      <c r="A80" s="104" t="s">
        <v>2363</v>
      </c>
      <c r="B80" s="102" t="s">
        <v>2352</v>
      </c>
      <c r="C80" s="102">
        <v>7</v>
      </c>
      <c r="D80" s="106">
        <v>0.0015067172288813846</v>
      </c>
      <c r="E80" s="106">
        <v>1.0923402023268576</v>
      </c>
      <c r="F80" s="102" t="s">
        <v>3369</v>
      </c>
      <c r="G80" s="102" t="b">
        <v>0</v>
      </c>
      <c r="H80" s="102" t="b">
        <v>0</v>
      </c>
      <c r="I80" s="102" t="b">
        <v>0</v>
      </c>
      <c r="J80" s="102" t="b">
        <v>0</v>
      </c>
      <c r="K80" s="102" t="b">
        <v>0</v>
      </c>
      <c r="L80" s="102" t="b">
        <v>0</v>
      </c>
    </row>
    <row r="81" spans="1:12" ht="15">
      <c r="A81" s="104" t="s">
        <v>2441</v>
      </c>
      <c r="B81" s="102" t="s">
        <v>2559</v>
      </c>
      <c r="C81" s="102">
        <v>7</v>
      </c>
      <c r="D81" s="106">
        <v>0.0015067172288813846</v>
      </c>
      <c r="E81" s="106">
        <v>2.7799055610006067</v>
      </c>
      <c r="F81" s="102" t="s">
        <v>3369</v>
      </c>
      <c r="G81" s="102" t="b">
        <v>0</v>
      </c>
      <c r="H81" s="102" t="b">
        <v>1</v>
      </c>
      <c r="I81" s="102" t="b">
        <v>0</v>
      </c>
      <c r="J81" s="102" t="b">
        <v>0</v>
      </c>
      <c r="K81" s="102" t="b">
        <v>0</v>
      </c>
      <c r="L81" s="102" t="b">
        <v>0</v>
      </c>
    </row>
    <row r="82" spans="1:12" ht="15">
      <c r="A82" s="104" t="s">
        <v>2348</v>
      </c>
      <c r="B82" s="102" t="s">
        <v>2420</v>
      </c>
      <c r="C82" s="102">
        <v>7</v>
      </c>
      <c r="D82" s="106">
        <v>0.0013656507590496419</v>
      </c>
      <c r="E82" s="106">
        <v>1.2973528020463767</v>
      </c>
      <c r="F82" s="102" t="s">
        <v>3369</v>
      </c>
      <c r="G82" s="102" t="b">
        <v>0</v>
      </c>
      <c r="H82" s="102" t="b">
        <v>0</v>
      </c>
      <c r="I82" s="102" t="b">
        <v>0</v>
      </c>
      <c r="J82" s="102" t="b">
        <v>0</v>
      </c>
      <c r="K82" s="102" t="b">
        <v>0</v>
      </c>
      <c r="L82" s="102" t="b">
        <v>0</v>
      </c>
    </row>
    <row r="83" spans="1:12" ht="15">
      <c r="A83" s="104" t="s">
        <v>2359</v>
      </c>
      <c r="B83" s="102" t="s">
        <v>2481</v>
      </c>
      <c r="C83" s="102">
        <v>7</v>
      </c>
      <c r="D83" s="106">
        <v>0.0013120197762830715</v>
      </c>
      <c r="E83" s="106">
        <v>2.089890399317514</v>
      </c>
      <c r="F83" s="102" t="s">
        <v>3369</v>
      </c>
      <c r="G83" s="102" t="b">
        <v>0</v>
      </c>
      <c r="H83" s="102" t="b">
        <v>0</v>
      </c>
      <c r="I83" s="102" t="b">
        <v>0</v>
      </c>
      <c r="J83" s="102" t="b">
        <v>0</v>
      </c>
      <c r="K83" s="102" t="b">
        <v>0</v>
      </c>
      <c r="L83" s="102" t="b">
        <v>0</v>
      </c>
    </row>
    <row r="84" spans="1:12" ht="15">
      <c r="A84" s="104" t="s">
        <v>2352</v>
      </c>
      <c r="B84" s="102" t="s">
        <v>2508</v>
      </c>
      <c r="C84" s="102">
        <v>7</v>
      </c>
      <c r="D84" s="106">
        <v>0.0013120197762830715</v>
      </c>
      <c r="E84" s="106">
        <v>1.7561912869001648</v>
      </c>
      <c r="F84" s="102" t="s">
        <v>3369</v>
      </c>
      <c r="G84" s="102" t="b">
        <v>0</v>
      </c>
      <c r="H84" s="102" t="b">
        <v>0</v>
      </c>
      <c r="I84" s="102" t="b">
        <v>0</v>
      </c>
      <c r="J84" s="102" t="b">
        <v>0</v>
      </c>
      <c r="K84" s="102" t="b">
        <v>0</v>
      </c>
      <c r="L84" s="102" t="b">
        <v>0</v>
      </c>
    </row>
    <row r="85" spans="1:12" ht="15">
      <c r="A85" s="104" t="s">
        <v>2451</v>
      </c>
      <c r="B85" s="102" t="s">
        <v>2349</v>
      </c>
      <c r="C85" s="102">
        <v>7</v>
      </c>
      <c r="D85" s="106">
        <v>0.0013120197762830715</v>
      </c>
      <c r="E85" s="106">
        <v>1.312796010701154</v>
      </c>
      <c r="F85" s="102" t="s">
        <v>3369</v>
      </c>
      <c r="G85" s="102" t="b">
        <v>0</v>
      </c>
      <c r="H85" s="102" t="b">
        <v>0</v>
      </c>
      <c r="I85" s="102" t="b">
        <v>0</v>
      </c>
      <c r="J85" s="102" t="b">
        <v>0</v>
      </c>
      <c r="K85" s="102" t="b">
        <v>0</v>
      </c>
      <c r="L85" s="102" t="b">
        <v>0</v>
      </c>
    </row>
    <row r="86" spans="1:12" ht="15">
      <c r="A86" s="104" t="s">
        <v>2541</v>
      </c>
      <c r="B86" s="102" t="s">
        <v>2579</v>
      </c>
      <c r="C86" s="102">
        <v>7</v>
      </c>
      <c r="D86" s="106">
        <v>0.0015067172288813846</v>
      </c>
      <c r="E86" s="106">
        <v>3.022943609686901</v>
      </c>
      <c r="F86" s="102" t="s">
        <v>3369</v>
      </c>
      <c r="G86" s="102" t="b">
        <v>0</v>
      </c>
      <c r="H86" s="102" t="b">
        <v>0</v>
      </c>
      <c r="I86" s="102" t="b">
        <v>0</v>
      </c>
      <c r="J86" s="102" t="b">
        <v>1</v>
      </c>
      <c r="K86" s="102" t="b">
        <v>0</v>
      </c>
      <c r="L86" s="102" t="b">
        <v>0</v>
      </c>
    </row>
    <row r="87" spans="1:12" ht="15">
      <c r="A87" s="104" t="s">
        <v>2579</v>
      </c>
      <c r="B87" s="102" t="s">
        <v>2580</v>
      </c>
      <c r="C87" s="102">
        <v>7</v>
      </c>
      <c r="D87" s="106">
        <v>0.0015067172288813846</v>
      </c>
      <c r="E87" s="106">
        <v>3.080935556664588</v>
      </c>
      <c r="F87" s="102" t="s">
        <v>3369</v>
      </c>
      <c r="G87" s="102" t="b">
        <v>1</v>
      </c>
      <c r="H87" s="102" t="b">
        <v>0</v>
      </c>
      <c r="I87" s="102" t="b">
        <v>0</v>
      </c>
      <c r="J87" s="102" t="b">
        <v>0</v>
      </c>
      <c r="K87" s="102" t="b">
        <v>0</v>
      </c>
      <c r="L87" s="102" t="b">
        <v>0</v>
      </c>
    </row>
    <row r="88" spans="1:12" ht="15">
      <c r="A88" s="104" t="s">
        <v>2391</v>
      </c>
      <c r="B88" s="102" t="s">
        <v>2399</v>
      </c>
      <c r="C88" s="102">
        <v>7</v>
      </c>
      <c r="D88" s="106">
        <v>0.0019890266748982923</v>
      </c>
      <c r="E88" s="106">
        <v>2.106489661136976</v>
      </c>
      <c r="F88" s="102" t="s">
        <v>3369</v>
      </c>
      <c r="G88" s="102" t="b">
        <v>0</v>
      </c>
      <c r="H88" s="102" t="b">
        <v>0</v>
      </c>
      <c r="I88" s="102" t="b">
        <v>0</v>
      </c>
      <c r="J88" s="102" t="b">
        <v>0</v>
      </c>
      <c r="K88" s="102" t="b">
        <v>0</v>
      </c>
      <c r="L88" s="102" t="b">
        <v>0</v>
      </c>
    </row>
    <row r="89" spans="1:12" ht="15">
      <c r="A89" s="104" t="s">
        <v>2350</v>
      </c>
      <c r="B89" s="102" t="s">
        <v>2389</v>
      </c>
      <c r="C89" s="102">
        <v>6</v>
      </c>
      <c r="D89" s="106">
        <v>0.0011705577934711217</v>
      </c>
      <c r="E89" s="106">
        <v>1.0479907848833023</v>
      </c>
      <c r="F89" s="102" t="s">
        <v>3369</v>
      </c>
      <c r="G89" s="102" t="b">
        <v>0</v>
      </c>
      <c r="H89" s="102" t="b">
        <v>0</v>
      </c>
      <c r="I89" s="102" t="b">
        <v>0</v>
      </c>
      <c r="J89" s="102" t="b">
        <v>0</v>
      </c>
      <c r="K89" s="102" t="b">
        <v>0</v>
      </c>
      <c r="L89" s="102" t="b">
        <v>0</v>
      </c>
    </row>
    <row r="90" spans="1:12" ht="15">
      <c r="A90" s="104" t="s">
        <v>2350</v>
      </c>
      <c r="B90" s="102" t="s">
        <v>2453</v>
      </c>
      <c r="C90" s="102">
        <v>6</v>
      </c>
      <c r="D90" s="106">
        <v>0.0012914719104697584</v>
      </c>
      <c r="E90" s="106">
        <v>1.2957752685940587</v>
      </c>
      <c r="F90" s="102" t="s">
        <v>3369</v>
      </c>
      <c r="G90" s="102" t="b">
        <v>0</v>
      </c>
      <c r="H90" s="102" t="b">
        <v>0</v>
      </c>
      <c r="I90" s="102" t="b">
        <v>0</v>
      </c>
      <c r="J90" s="102" t="b">
        <v>0</v>
      </c>
      <c r="K90" s="102" t="b">
        <v>0</v>
      </c>
      <c r="L90" s="102" t="b">
        <v>0</v>
      </c>
    </row>
    <row r="91" spans="1:12" ht="15">
      <c r="A91" s="104" t="s">
        <v>2379</v>
      </c>
      <c r="B91" s="102" t="s">
        <v>2408</v>
      </c>
      <c r="C91" s="102">
        <v>6</v>
      </c>
      <c r="D91" s="106">
        <v>0.0012249280699973004</v>
      </c>
      <c r="E91" s="106">
        <v>1.9865143440602262</v>
      </c>
      <c r="F91" s="102" t="s">
        <v>3369</v>
      </c>
      <c r="G91" s="102" t="b">
        <v>0</v>
      </c>
      <c r="H91" s="102" t="b">
        <v>0</v>
      </c>
      <c r="I91" s="102" t="b">
        <v>0</v>
      </c>
      <c r="J91" s="102" t="b">
        <v>0</v>
      </c>
      <c r="K91" s="102" t="b">
        <v>1</v>
      </c>
      <c r="L91" s="102" t="b">
        <v>0</v>
      </c>
    </row>
    <row r="92" spans="1:12" ht="15">
      <c r="A92" s="104" t="s">
        <v>2365</v>
      </c>
      <c r="B92" s="102" t="s">
        <v>2506</v>
      </c>
      <c r="C92" s="102">
        <v>6</v>
      </c>
      <c r="D92" s="106">
        <v>0.0012914719104697584</v>
      </c>
      <c r="E92" s="106">
        <v>2.157642183584357</v>
      </c>
      <c r="F92" s="102" t="s">
        <v>3369</v>
      </c>
      <c r="G92" s="102" t="b">
        <v>0</v>
      </c>
      <c r="H92" s="102" t="b">
        <v>0</v>
      </c>
      <c r="I92" s="102" t="b">
        <v>0</v>
      </c>
      <c r="J92" s="102" t="b">
        <v>0</v>
      </c>
      <c r="K92" s="102" t="b">
        <v>0</v>
      </c>
      <c r="L92" s="102" t="b">
        <v>0</v>
      </c>
    </row>
    <row r="93" spans="1:12" ht="15">
      <c r="A93" s="104" t="s">
        <v>2351</v>
      </c>
      <c r="B93" s="102" t="s">
        <v>2440</v>
      </c>
      <c r="C93" s="102">
        <v>6</v>
      </c>
      <c r="D93" s="106">
        <v>0.0013772618417640821</v>
      </c>
      <c r="E93" s="106">
        <v>1.367325026145679</v>
      </c>
      <c r="F93" s="102" t="s">
        <v>3369</v>
      </c>
      <c r="G93" s="102" t="b">
        <v>0</v>
      </c>
      <c r="H93" s="102" t="b">
        <v>0</v>
      </c>
      <c r="I93" s="102" t="b">
        <v>0</v>
      </c>
      <c r="J93" s="102" t="b">
        <v>0</v>
      </c>
      <c r="K93" s="102" t="b">
        <v>0</v>
      </c>
      <c r="L93" s="102" t="b">
        <v>0</v>
      </c>
    </row>
    <row r="94" spans="1:12" ht="15">
      <c r="A94" s="104" t="s">
        <v>2598</v>
      </c>
      <c r="B94" s="102" t="s">
        <v>2455</v>
      </c>
      <c r="C94" s="102">
        <v>6</v>
      </c>
      <c r="D94" s="106">
        <v>0.0011705577934711217</v>
      </c>
      <c r="E94" s="106">
        <v>2.812090244372008</v>
      </c>
      <c r="F94" s="102" t="s">
        <v>3369</v>
      </c>
      <c r="G94" s="102" t="b">
        <v>0</v>
      </c>
      <c r="H94" s="102" t="b">
        <v>0</v>
      </c>
      <c r="I94" s="102" t="b">
        <v>0</v>
      </c>
      <c r="J94" s="102" t="b">
        <v>0</v>
      </c>
      <c r="K94" s="102" t="b">
        <v>0</v>
      </c>
      <c r="L94" s="102" t="b">
        <v>0</v>
      </c>
    </row>
    <row r="95" spans="1:12" ht="15">
      <c r="A95" s="104" t="s">
        <v>2377</v>
      </c>
      <c r="B95" s="102" t="s">
        <v>2353</v>
      </c>
      <c r="C95" s="102">
        <v>6</v>
      </c>
      <c r="D95" s="106">
        <v>0.0011705577934711217</v>
      </c>
      <c r="E95" s="106">
        <v>1.3697310959115574</v>
      </c>
      <c r="F95" s="102" t="s">
        <v>3369</v>
      </c>
      <c r="G95" s="102" t="b">
        <v>0</v>
      </c>
      <c r="H95" s="102" t="b">
        <v>0</v>
      </c>
      <c r="I95" s="102" t="b">
        <v>0</v>
      </c>
      <c r="J95" s="102" t="b">
        <v>0</v>
      </c>
      <c r="K95" s="102" t="b">
        <v>0</v>
      </c>
      <c r="L95" s="102" t="b">
        <v>0</v>
      </c>
    </row>
    <row r="96" spans="1:12" ht="15">
      <c r="A96" s="104" t="s">
        <v>2358</v>
      </c>
      <c r="B96" s="102" t="s">
        <v>2366</v>
      </c>
      <c r="C96" s="102">
        <v>6</v>
      </c>
      <c r="D96" s="106">
        <v>0.0013772618417640821</v>
      </c>
      <c r="E96" s="106">
        <v>1.3132497399591092</v>
      </c>
      <c r="F96" s="102" t="s">
        <v>3369</v>
      </c>
      <c r="G96" s="102" t="b">
        <v>0</v>
      </c>
      <c r="H96" s="102" t="b">
        <v>0</v>
      </c>
      <c r="I96" s="102" t="b">
        <v>0</v>
      </c>
      <c r="J96" s="102" t="b">
        <v>0</v>
      </c>
      <c r="K96" s="102" t="b">
        <v>0</v>
      </c>
      <c r="L96" s="102" t="b">
        <v>0</v>
      </c>
    </row>
    <row r="97" spans="1:12" ht="15">
      <c r="A97" s="104" t="s">
        <v>2431</v>
      </c>
      <c r="B97" s="102" t="s">
        <v>2463</v>
      </c>
      <c r="C97" s="102">
        <v>6</v>
      </c>
      <c r="D97" s="106">
        <v>0.0012914719104697584</v>
      </c>
      <c r="E97" s="106">
        <v>2.4489123419591823</v>
      </c>
      <c r="F97" s="102" t="s">
        <v>3369</v>
      </c>
      <c r="G97" s="102" t="b">
        <v>1</v>
      </c>
      <c r="H97" s="102" t="b">
        <v>0</v>
      </c>
      <c r="I97" s="102" t="b">
        <v>0</v>
      </c>
      <c r="J97" s="102" t="b">
        <v>0</v>
      </c>
      <c r="K97" s="102" t="b">
        <v>0</v>
      </c>
      <c r="L97" s="102" t="b">
        <v>0</v>
      </c>
    </row>
    <row r="98" spans="1:12" ht="15">
      <c r="A98" s="104" t="s">
        <v>2349</v>
      </c>
      <c r="B98" s="102" t="s">
        <v>2465</v>
      </c>
      <c r="C98" s="102">
        <v>6</v>
      </c>
      <c r="D98" s="106">
        <v>0.0011705577934711217</v>
      </c>
      <c r="E98" s="106">
        <v>1.298667740086112</v>
      </c>
      <c r="F98" s="102" t="s">
        <v>3369</v>
      </c>
      <c r="G98" s="102" t="b">
        <v>0</v>
      </c>
      <c r="H98" s="102" t="b">
        <v>0</v>
      </c>
      <c r="I98" s="102" t="b">
        <v>0</v>
      </c>
      <c r="J98" s="102" t="b">
        <v>0</v>
      </c>
      <c r="K98" s="102" t="b">
        <v>1</v>
      </c>
      <c r="L98" s="102" t="b">
        <v>0</v>
      </c>
    </row>
    <row r="99" spans="1:12" ht="15">
      <c r="A99" s="104" t="s">
        <v>2456</v>
      </c>
      <c r="B99" s="102" t="s">
        <v>2443</v>
      </c>
      <c r="C99" s="102">
        <v>6</v>
      </c>
      <c r="D99" s="106">
        <v>0.0017048800070556792</v>
      </c>
      <c r="E99" s="106">
        <v>2.4441134590774136</v>
      </c>
      <c r="F99" s="102" t="s">
        <v>3369</v>
      </c>
      <c r="G99" s="102" t="b">
        <v>0</v>
      </c>
      <c r="H99" s="102" t="b">
        <v>0</v>
      </c>
      <c r="I99" s="102" t="b">
        <v>0</v>
      </c>
      <c r="J99" s="102" t="b">
        <v>0</v>
      </c>
      <c r="K99" s="102" t="b">
        <v>0</v>
      </c>
      <c r="L99" s="102" t="b">
        <v>0</v>
      </c>
    </row>
    <row r="100" spans="1:12" ht="15">
      <c r="A100" s="104" t="s">
        <v>2512</v>
      </c>
      <c r="B100" s="102" t="s">
        <v>2447</v>
      </c>
      <c r="C100" s="102">
        <v>6</v>
      </c>
      <c r="D100" s="106">
        <v>0.0017048800070556792</v>
      </c>
      <c r="E100" s="106">
        <v>2.6359989853163266</v>
      </c>
      <c r="F100" s="102" t="s">
        <v>3369</v>
      </c>
      <c r="G100" s="102" t="b">
        <v>0</v>
      </c>
      <c r="H100" s="102" t="b">
        <v>0</v>
      </c>
      <c r="I100" s="102" t="b">
        <v>0</v>
      </c>
      <c r="J100" s="102" t="b">
        <v>0</v>
      </c>
      <c r="K100" s="102" t="b">
        <v>0</v>
      </c>
      <c r="L100" s="102" t="b">
        <v>0</v>
      </c>
    </row>
    <row r="101" spans="1:12" ht="15">
      <c r="A101" s="104" t="s">
        <v>2389</v>
      </c>
      <c r="B101" s="102" t="s">
        <v>2352</v>
      </c>
      <c r="C101" s="102">
        <v>6</v>
      </c>
      <c r="D101" s="106">
        <v>0.0011705577934711217</v>
      </c>
      <c r="E101" s="106">
        <v>1.3164391874536248</v>
      </c>
      <c r="F101" s="102" t="s">
        <v>3369</v>
      </c>
      <c r="G101" s="102" t="b">
        <v>0</v>
      </c>
      <c r="H101" s="102" t="b">
        <v>0</v>
      </c>
      <c r="I101" s="102" t="b">
        <v>0</v>
      </c>
      <c r="J101" s="102" t="b">
        <v>0</v>
      </c>
      <c r="K101" s="102" t="b">
        <v>0</v>
      </c>
      <c r="L101" s="102" t="b">
        <v>0</v>
      </c>
    </row>
    <row r="102" spans="1:12" ht="15">
      <c r="A102" s="104" t="s">
        <v>2380</v>
      </c>
      <c r="B102" s="102" t="s">
        <v>2610</v>
      </c>
      <c r="C102" s="102">
        <v>6</v>
      </c>
      <c r="D102" s="106">
        <v>0.0012914719104697584</v>
      </c>
      <c r="E102" s="106">
        <v>2.4946698325198575</v>
      </c>
      <c r="F102" s="102" t="s">
        <v>3369</v>
      </c>
      <c r="G102" s="102" t="b">
        <v>0</v>
      </c>
      <c r="H102" s="102" t="b">
        <v>0</v>
      </c>
      <c r="I102" s="102" t="b">
        <v>0</v>
      </c>
      <c r="J102" s="102" t="b">
        <v>0</v>
      </c>
      <c r="K102" s="102" t="b">
        <v>0</v>
      </c>
      <c r="L102" s="102" t="b">
        <v>0</v>
      </c>
    </row>
    <row r="103" spans="1:12" ht="15">
      <c r="A103" s="104" t="s">
        <v>2392</v>
      </c>
      <c r="B103" s="102" t="s">
        <v>2348</v>
      </c>
      <c r="C103" s="102">
        <v>6</v>
      </c>
      <c r="D103" s="106">
        <v>0.0012914719104697584</v>
      </c>
      <c r="E103" s="106">
        <v>1.0264866655879776</v>
      </c>
      <c r="F103" s="102" t="s">
        <v>3369</v>
      </c>
      <c r="G103" s="102" t="b">
        <v>0</v>
      </c>
      <c r="H103" s="102" t="b">
        <v>0</v>
      </c>
      <c r="I103" s="102" t="b">
        <v>0</v>
      </c>
      <c r="J103" s="102" t="b">
        <v>0</v>
      </c>
      <c r="K103" s="102" t="b">
        <v>0</v>
      </c>
      <c r="L103" s="102" t="b">
        <v>0</v>
      </c>
    </row>
    <row r="104" spans="1:12" ht="15">
      <c r="A104" s="104" t="s">
        <v>2349</v>
      </c>
      <c r="B104" s="102" t="s">
        <v>2358</v>
      </c>
      <c r="C104" s="102">
        <v>6</v>
      </c>
      <c r="D104" s="106">
        <v>0.0014981759587627188</v>
      </c>
      <c r="E104" s="106">
        <v>0.5996977357500932</v>
      </c>
      <c r="F104" s="102" t="s">
        <v>3369</v>
      </c>
      <c r="G104" s="102" t="b">
        <v>0</v>
      </c>
      <c r="H104" s="102" t="b">
        <v>0</v>
      </c>
      <c r="I104" s="102" t="b">
        <v>0</v>
      </c>
      <c r="J104" s="102" t="b">
        <v>0</v>
      </c>
      <c r="K104" s="102" t="b">
        <v>0</v>
      </c>
      <c r="L104" s="102" t="b">
        <v>0</v>
      </c>
    </row>
    <row r="105" spans="1:12" ht="15">
      <c r="A105" s="104" t="s">
        <v>2613</v>
      </c>
      <c r="B105" s="102" t="s">
        <v>2411</v>
      </c>
      <c r="C105" s="102">
        <v>6</v>
      </c>
      <c r="D105" s="106">
        <v>0.0012249280699973004</v>
      </c>
      <c r="E105" s="106">
        <v>2.6707610915755384</v>
      </c>
      <c r="F105" s="102" t="s">
        <v>3369</v>
      </c>
      <c r="G105" s="102" t="b">
        <v>1</v>
      </c>
      <c r="H105" s="102" t="b">
        <v>0</v>
      </c>
      <c r="I105" s="102" t="b">
        <v>0</v>
      </c>
      <c r="J105" s="102" t="b">
        <v>0</v>
      </c>
      <c r="K105" s="102" t="b">
        <v>0</v>
      </c>
      <c r="L105" s="102" t="b">
        <v>0</v>
      </c>
    </row>
    <row r="106" spans="1:12" ht="15">
      <c r="A106" s="104" t="s">
        <v>2574</v>
      </c>
      <c r="B106" s="102" t="s">
        <v>2614</v>
      </c>
      <c r="C106" s="102">
        <v>6</v>
      </c>
      <c r="D106" s="106">
        <v>0.0017048800070556792</v>
      </c>
      <c r="E106" s="106">
        <v>3.080935556664588</v>
      </c>
      <c r="F106" s="102" t="s">
        <v>3369</v>
      </c>
      <c r="G106" s="102" t="b">
        <v>0</v>
      </c>
      <c r="H106" s="102" t="b">
        <v>0</v>
      </c>
      <c r="I106" s="102" t="b">
        <v>0</v>
      </c>
      <c r="J106" s="102" t="b">
        <v>0</v>
      </c>
      <c r="K106" s="102" t="b">
        <v>0</v>
      </c>
      <c r="L106" s="102" t="b">
        <v>0</v>
      </c>
    </row>
    <row r="107" spans="1:12" ht="15">
      <c r="A107" s="104" t="s">
        <v>2409</v>
      </c>
      <c r="B107" s="102" t="s">
        <v>2351</v>
      </c>
      <c r="C107" s="102">
        <v>6</v>
      </c>
      <c r="D107" s="106">
        <v>0.0013772618417640821</v>
      </c>
      <c r="E107" s="106">
        <v>1.1864612522287528</v>
      </c>
      <c r="F107" s="102" t="s">
        <v>3369</v>
      </c>
      <c r="G107" s="102" t="b">
        <v>0</v>
      </c>
      <c r="H107" s="102" t="b">
        <v>0</v>
      </c>
      <c r="I107" s="102" t="b">
        <v>0</v>
      </c>
      <c r="J107" s="102" t="b">
        <v>0</v>
      </c>
      <c r="K107" s="102" t="b">
        <v>0</v>
      </c>
      <c r="L107" s="102" t="b">
        <v>0</v>
      </c>
    </row>
    <row r="108" spans="1:12" ht="15">
      <c r="A108" s="104" t="s">
        <v>2619</v>
      </c>
      <c r="B108" s="102" t="s">
        <v>2578</v>
      </c>
      <c r="C108" s="102">
        <v>6</v>
      </c>
      <c r="D108" s="106">
        <v>0.0017048800070556792</v>
      </c>
      <c r="E108" s="106">
        <v>3.080935556664588</v>
      </c>
      <c r="F108" s="102" t="s">
        <v>3369</v>
      </c>
      <c r="G108" s="102" t="b">
        <v>0</v>
      </c>
      <c r="H108" s="102" t="b">
        <v>0</v>
      </c>
      <c r="I108" s="102" t="b">
        <v>0</v>
      </c>
      <c r="J108" s="102" t="b">
        <v>0</v>
      </c>
      <c r="K108" s="102" t="b">
        <v>0</v>
      </c>
      <c r="L108" s="102" t="b">
        <v>0</v>
      </c>
    </row>
    <row r="109" spans="1:12" ht="15">
      <c r="A109" s="104" t="s">
        <v>2373</v>
      </c>
      <c r="B109" s="102" t="s">
        <v>2458</v>
      </c>
      <c r="C109" s="102">
        <v>6</v>
      </c>
      <c r="D109" s="106">
        <v>0.0017048800070556792</v>
      </c>
      <c r="E109" s="106">
        <v>2.0988798009213787</v>
      </c>
      <c r="F109" s="102" t="s">
        <v>3369</v>
      </c>
      <c r="G109" s="102" t="b">
        <v>0</v>
      </c>
      <c r="H109" s="102" t="b">
        <v>0</v>
      </c>
      <c r="I109" s="102" t="b">
        <v>0</v>
      </c>
      <c r="J109" s="102" t="b">
        <v>0</v>
      </c>
      <c r="K109" s="102" t="b">
        <v>0</v>
      </c>
      <c r="L109" s="102" t="b">
        <v>0</v>
      </c>
    </row>
    <row r="110" spans="1:12" ht="15">
      <c r="A110" s="104" t="s">
        <v>2386</v>
      </c>
      <c r="B110" s="102" t="s">
        <v>2459</v>
      </c>
      <c r="C110" s="102">
        <v>6</v>
      </c>
      <c r="D110" s="106">
        <v>0.0017048800070556792</v>
      </c>
      <c r="E110" s="106">
        <v>2.1752681467848336</v>
      </c>
      <c r="F110" s="102" t="s">
        <v>3369</v>
      </c>
      <c r="G110" s="102" t="b">
        <v>0</v>
      </c>
      <c r="H110" s="102" t="b">
        <v>0</v>
      </c>
      <c r="I110" s="102" t="b">
        <v>0</v>
      </c>
      <c r="J110" s="102" t="b">
        <v>0</v>
      </c>
      <c r="K110" s="102" t="b">
        <v>0</v>
      </c>
      <c r="L110" s="102" t="b">
        <v>0</v>
      </c>
    </row>
    <row r="111" spans="1:12" ht="15">
      <c r="A111" s="104" t="s">
        <v>2408</v>
      </c>
      <c r="B111" s="102" t="s">
        <v>2563</v>
      </c>
      <c r="C111" s="102">
        <v>6</v>
      </c>
      <c r="D111" s="106">
        <v>0.0017048800070556792</v>
      </c>
      <c r="E111" s="106">
        <v>2.6038143019449254</v>
      </c>
      <c r="F111" s="102" t="s">
        <v>3369</v>
      </c>
      <c r="G111" s="102" t="b">
        <v>0</v>
      </c>
      <c r="H111" s="102" t="b">
        <v>1</v>
      </c>
      <c r="I111" s="102" t="b">
        <v>0</v>
      </c>
      <c r="J111" s="102" t="b">
        <v>0</v>
      </c>
      <c r="K111" s="102" t="b">
        <v>0</v>
      </c>
      <c r="L111" s="102" t="b">
        <v>0</v>
      </c>
    </row>
    <row r="112" spans="1:12" ht="15">
      <c r="A112" s="104" t="s">
        <v>2626</v>
      </c>
      <c r="B112" s="102" t="s">
        <v>2428</v>
      </c>
      <c r="C112" s="102">
        <v>6</v>
      </c>
      <c r="D112" s="106">
        <v>0.0013772618417640821</v>
      </c>
      <c r="E112" s="106">
        <v>2.7499423376231635</v>
      </c>
      <c r="F112" s="102" t="s">
        <v>3369</v>
      </c>
      <c r="G112" s="102" t="b">
        <v>0</v>
      </c>
      <c r="H112" s="102" t="b">
        <v>0</v>
      </c>
      <c r="I112" s="102" t="b">
        <v>0</v>
      </c>
      <c r="J112" s="102" t="b">
        <v>0</v>
      </c>
      <c r="K112" s="102" t="b">
        <v>0</v>
      </c>
      <c r="L112" s="102" t="b">
        <v>0</v>
      </c>
    </row>
    <row r="113" spans="1:12" ht="15">
      <c r="A113" s="104" t="s">
        <v>2550</v>
      </c>
      <c r="B113" s="102" t="s">
        <v>2629</v>
      </c>
      <c r="C113" s="102">
        <v>6</v>
      </c>
      <c r="D113" s="106">
        <v>0.0017048800070556792</v>
      </c>
      <c r="E113" s="106">
        <v>3.022943609686901</v>
      </c>
      <c r="F113" s="102" t="s">
        <v>3369</v>
      </c>
      <c r="G113" s="102" t="b">
        <v>0</v>
      </c>
      <c r="H113" s="102" t="b">
        <v>0</v>
      </c>
      <c r="I113" s="102" t="b">
        <v>0</v>
      </c>
      <c r="J113" s="102" t="b">
        <v>0</v>
      </c>
      <c r="K113" s="102" t="b">
        <v>0</v>
      </c>
      <c r="L113" s="102" t="b">
        <v>0</v>
      </c>
    </row>
    <row r="114" spans="1:12" ht="15">
      <c r="A114" s="104" t="s">
        <v>1884</v>
      </c>
      <c r="B114" s="102" t="s">
        <v>2370</v>
      </c>
      <c r="C114" s="102">
        <v>6</v>
      </c>
      <c r="D114" s="106">
        <v>0.0014981759587627188</v>
      </c>
      <c r="E114" s="106">
        <v>2.0935246839726083</v>
      </c>
      <c r="F114" s="102" t="s">
        <v>3369</v>
      </c>
      <c r="G114" s="102" t="b">
        <v>0</v>
      </c>
      <c r="H114" s="102" t="b">
        <v>0</v>
      </c>
      <c r="I114" s="102" t="b">
        <v>0</v>
      </c>
      <c r="J114" s="102" t="b">
        <v>0</v>
      </c>
      <c r="K114" s="102" t="b">
        <v>0</v>
      </c>
      <c r="L114" s="102" t="b">
        <v>0</v>
      </c>
    </row>
    <row r="115" spans="1:12" ht="15">
      <c r="A115" s="104" t="s">
        <v>2631</v>
      </c>
      <c r="B115" s="102" t="s">
        <v>2442</v>
      </c>
      <c r="C115" s="102">
        <v>6</v>
      </c>
      <c r="D115" s="106">
        <v>0.0014981759587627188</v>
      </c>
      <c r="E115" s="106">
        <v>2.7799055610006067</v>
      </c>
      <c r="F115" s="102" t="s">
        <v>3369</v>
      </c>
      <c r="G115" s="102" t="b">
        <v>0</v>
      </c>
      <c r="H115" s="102" t="b">
        <v>0</v>
      </c>
      <c r="I115" s="102" t="b">
        <v>0</v>
      </c>
      <c r="J115" s="102" t="b">
        <v>0</v>
      </c>
      <c r="K115" s="102" t="b">
        <v>0</v>
      </c>
      <c r="L115" s="102" t="b">
        <v>0</v>
      </c>
    </row>
    <row r="116" spans="1:12" ht="15">
      <c r="A116" s="104" t="s">
        <v>2350</v>
      </c>
      <c r="B116" s="102" t="s">
        <v>2352</v>
      </c>
      <c r="C116" s="102">
        <v>5</v>
      </c>
      <c r="D116" s="106">
        <v>0.001076226592058132</v>
      </c>
      <c r="E116" s="106">
        <v>0.2852143960666131</v>
      </c>
      <c r="F116" s="102" t="s">
        <v>3369</v>
      </c>
      <c r="G116" s="102" t="b">
        <v>0</v>
      </c>
      <c r="H116" s="102" t="b">
        <v>0</v>
      </c>
      <c r="I116" s="102" t="b">
        <v>0</v>
      </c>
      <c r="J116" s="102" t="b">
        <v>0</v>
      </c>
      <c r="K116" s="102" t="b">
        <v>0</v>
      </c>
      <c r="L116" s="102" t="b">
        <v>0</v>
      </c>
    </row>
    <row r="117" spans="1:12" ht="15">
      <c r="A117" s="104" t="s">
        <v>2640</v>
      </c>
      <c r="B117" s="102" t="s">
        <v>2641</v>
      </c>
      <c r="C117" s="102">
        <v>5</v>
      </c>
      <c r="D117" s="106">
        <v>0.0014207333392130658</v>
      </c>
      <c r="E117" s="106">
        <v>3.2270635923428257</v>
      </c>
      <c r="F117" s="102" t="s">
        <v>3369</v>
      </c>
      <c r="G117" s="102" t="b">
        <v>0</v>
      </c>
      <c r="H117" s="102" t="b">
        <v>0</v>
      </c>
      <c r="I117" s="102" t="b">
        <v>0</v>
      </c>
      <c r="J117" s="102" t="b">
        <v>0</v>
      </c>
      <c r="K117" s="102" t="b">
        <v>0</v>
      </c>
      <c r="L117" s="102" t="b">
        <v>0</v>
      </c>
    </row>
    <row r="118" spans="1:12" ht="15">
      <c r="A118" s="104" t="s">
        <v>2439</v>
      </c>
      <c r="B118" s="102" t="s">
        <v>2355</v>
      </c>
      <c r="C118" s="102">
        <v>5</v>
      </c>
      <c r="D118" s="106">
        <v>0.0014207333392130658</v>
      </c>
      <c r="E118" s="106">
        <v>1.6726955913527384</v>
      </c>
      <c r="F118" s="102" t="s">
        <v>3369</v>
      </c>
      <c r="G118" s="102" t="b">
        <v>0</v>
      </c>
      <c r="H118" s="102" t="b">
        <v>0</v>
      </c>
      <c r="I118" s="102" t="b">
        <v>0</v>
      </c>
      <c r="J118" s="102" t="b">
        <v>0</v>
      </c>
      <c r="K118" s="102" t="b">
        <v>0</v>
      </c>
      <c r="L118" s="102" t="b">
        <v>0</v>
      </c>
    </row>
    <row r="119" spans="1:12" ht="15">
      <c r="A119" s="104" t="s">
        <v>2416</v>
      </c>
      <c r="B119" s="102" t="s">
        <v>2590</v>
      </c>
      <c r="C119" s="102">
        <v>5</v>
      </c>
      <c r="D119" s="106">
        <v>0.0010207733916644168</v>
      </c>
      <c r="E119" s="106">
        <v>2.616403429252946</v>
      </c>
      <c r="F119" s="102" t="s">
        <v>3369</v>
      </c>
      <c r="G119" s="102" t="b">
        <v>0</v>
      </c>
      <c r="H119" s="102" t="b">
        <v>0</v>
      </c>
      <c r="I119" s="102" t="b">
        <v>0</v>
      </c>
      <c r="J119" s="102" t="b">
        <v>0</v>
      </c>
      <c r="K119" s="102" t="b">
        <v>0</v>
      </c>
      <c r="L119" s="102" t="b">
        <v>0</v>
      </c>
    </row>
    <row r="120" spans="1:12" ht="15">
      <c r="A120" s="104" t="s">
        <v>2554</v>
      </c>
      <c r="B120" s="102" t="s">
        <v>2642</v>
      </c>
      <c r="C120" s="102">
        <v>5</v>
      </c>
      <c r="D120" s="106">
        <v>0.0014207333392130658</v>
      </c>
      <c r="E120" s="106">
        <v>3.080935556664588</v>
      </c>
      <c r="F120" s="102" t="s">
        <v>3369</v>
      </c>
      <c r="G120" s="102" t="b">
        <v>0</v>
      </c>
      <c r="H120" s="102" t="b">
        <v>0</v>
      </c>
      <c r="I120" s="102" t="b">
        <v>0</v>
      </c>
      <c r="J120" s="102" t="b">
        <v>0</v>
      </c>
      <c r="K120" s="102" t="b">
        <v>0</v>
      </c>
      <c r="L120" s="102" t="b">
        <v>0</v>
      </c>
    </row>
    <row r="121" spans="1:12" ht="15">
      <c r="A121" s="104" t="s">
        <v>2643</v>
      </c>
      <c r="B121" s="102" t="s">
        <v>2358</v>
      </c>
      <c r="C121" s="102">
        <v>5</v>
      </c>
      <c r="D121" s="106">
        <v>0.0010207733916644168</v>
      </c>
      <c r="E121" s="106">
        <v>2.147882346295201</v>
      </c>
      <c r="F121" s="102" t="s">
        <v>3369</v>
      </c>
      <c r="G121" s="102" t="b">
        <v>0</v>
      </c>
      <c r="H121" s="102" t="b">
        <v>0</v>
      </c>
      <c r="I121" s="102" t="b">
        <v>0</v>
      </c>
      <c r="J121" s="102" t="b">
        <v>0</v>
      </c>
      <c r="K121" s="102" t="b">
        <v>0</v>
      </c>
      <c r="L121" s="102" t="b">
        <v>0</v>
      </c>
    </row>
    <row r="122" spans="1:12" ht="15">
      <c r="A122" s="104" t="s">
        <v>2485</v>
      </c>
      <c r="B122" s="102" t="s">
        <v>2380</v>
      </c>
      <c r="C122" s="102">
        <v>5</v>
      </c>
      <c r="D122" s="106">
        <v>0.0010207733916644168</v>
      </c>
      <c r="E122" s="106">
        <v>2.162605603115907</v>
      </c>
      <c r="F122" s="102" t="s">
        <v>3369</v>
      </c>
      <c r="G122" s="102" t="b">
        <v>0</v>
      </c>
      <c r="H122" s="102" t="b">
        <v>0</v>
      </c>
      <c r="I122" s="102" t="b">
        <v>0</v>
      </c>
      <c r="J122" s="102" t="b">
        <v>0</v>
      </c>
      <c r="K122" s="102" t="b">
        <v>0</v>
      </c>
      <c r="L122" s="102" t="b">
        <v>0</v>
      </c>
    </row>
    <row r="123" spans="1:12" ht="15">
      <c r="A123" s="104" t="s">
        <v>2366</v>
      </c>
      <c r="B123" s="102" t="s">
        <v>2371</v>
      </c>
      <c r="C123" s="102">
        <v>5</v>
      </c>
      <c r="D123" s="106">
        <v>0.0010207733916644168</v>
      </c>
      <c r="E123" s="106">
        <v>1.4832403707390756</v>
      </c>
      <c r="F123" s="102" t="s">
        <v>3369</v>
      </c>
      <c r="G123" s="102" t="b">
        <v>0</v>
      </c>
      <c r="H123" s="102" t="b">
        <v>0</v>
      </c>
      <c r="I123" s="102" t="b">
        <v>0</v>
      </c>
      <c r="J123" s="102" t="b">
        <v>0</v>
      </c>
      <c r="K123" s="102" t="b">
        <v>0</v>
      </c>
      <c r="L123" s="102" t="b">
        <v>0</v>
      </c>
    </row>
    <row r="124" spans="1:12" ht="15">
      <c r="A124" s="104" t="s">
        <v>2371</v>
      </c>
      <c r="B124" s="102" t="s">
        <v>2394</v>
      </c>
      <c r="C124" s="102">
        <v>5</v>
      </c>
      <c r="D124" s="106">
        <v>0.0010207733916644168</v>
      </c>
      <c r="E124" s="106">
        <v>1.8054596654729949</v>
      </c>
      <c r="F124" s="102" t="s">
        <v>3369</v>
      </c>
      <c r="G124" s="102" t="b">
        <v>0</v>
      </c>
      <c r="H124" s="102" t="b">
        <v>0</v>
      </c>
      <c r="I124" s="102" t="b">
        <v>0</v>
      </c>
      <c r="J124" s="102" t="b">
        <v>0</v>
      </c>
      <c r="K124" s="102" t="b">
        <v>0</v>
      </c>
      <c r="L124" s="102" t="b">
        <v>0</v>
      </c>
    </row>
    <row r="125" spans="1:12" ht="15">
      <c r="A125" s="104" t="s">
        <v>2363</v>
      </c>
      <c r="B125" s="102" t="s">
        <v>2366</v>
      </c>
      <c r="C125" s="102">
        <v>5</v>
      </c>
      <c r="D125" s="106">
        <v>0.0010207733916644168</v>
      </c>
      <c r="E125" s="106">
        <v>1.3787512887155415</v>
      </c>
      <c r="F125" s="102" t="s">
        <v>3369</v>
      </c>
      <c r="G125" s="102" t="b">
        <v>0</v>
      </c>
      <c r="H125" s="102" t="b">
        <v>0</v>
      </c>
      <c r="I125" s="102" t="b">
        <v>0</v>
      </c>
      <c r="J125" s="102" t="b">
        <v>0</v>
      </c>
      <c r="K125" s="102" t="b">
        <v>0</v>
      </c>
      <c r="L125" s="102" t="b">
        <v>0</v>
      </c>
    </row>
    <row r="126" spans="1:12" ht="15">
      <c r="A126" s="104" t="s">
        <v>2644</v>
      </c>
      <c r="B126" s="102" t="s">
        <v>2645</v>
      </c>
      <c r="C126" s="102">
        <v>5</v>
      </c>
      <c r="D126" s="106">
        <v>0.0010207733916644168</v>
      </c>
      <c r="E126" s="106">
        <v>3.2270635923428257</v>
      </c>
      <c r="F126" s="102" t="s">
        <v>3369</v>
      </c>
      <c r="G126" s="102" t="b">
        <v>0</v>
      </c>
      <c r="H126" s="102" t="b">
        <v>0</v>
      </c>
      <c r="I126" s="102" t="b">
        <v>0</v>
      </c>
      <c r="J126" s="102" t="b">
        <v>0</v>
      </c>
      <c r="K126" s="102" t="b">
        <v>0</v>
      </c>
      <c r="L126" s="102" t="b">
        <v>0</v>
      </c>
    </row>
    <row r="127" spans="1:12" ht="15">
      <c r="A127" s="104" t="s">
        <v>2645</v>
      </c>
      <c r="B127" s="102" t="s">
        <v>2371</v>
      </c>
      <c r="C127" s="102">
        <v>5</v>
      </c>
      <c r="D127" s="106">
        <v>0.0010207733916644168</v>
      </c>
      <c r="E127" s="106">
        <v>2.4075196568009574</v>
      </c>
      <c r="F127" s="102" t="s">
        <v>3369</v>
      </c>
      <c r="G127" s="102" t="b">
        <v>0</v>
      </c>
      <c r="H127" s="102" t="b">
        <v>0</v>
      </c>
      <c r="I127" s="102" t="b">
        <v>0</v>
      </c>
      <c r="J127" s="102" t="b">
        <v>0</v>
      </c>
      <c r="K127" s="102" t="b">
        <v>0</v>
      </c>
      <c r="L127" s="102" t="b">
        <v>0</v>
      </c>
    </row>
    <row r="128" spans="1:12" ht="15">
      <c r="A128" s="104" t="s">
        <v>2371</v>
      </c>
      <c r="B128" s="102" t="s">
        <v>2646</v>
      </c>
      <c r="C128" s="102">
        <v>5</v>
      </c>
      <c r="D128" s="106">
        <v>0.0010207733916644168</v>
      </c>
      <c r="E128" s="106">
        <v>2.4075196568009574</v>
      </c>
      <c r="F128" s="102" t="s">
        <v>3369</v>
      </c>
      <c r="G128" s="102" t="b">
        <v>0</v>
      </c>
      <c r="H128" s="102" t="b">
        <v>0</v>
      </c>
      <c r="I128" s="102" t="b">
        <v>0</v>
      </c>
      <c r="J128" s="102" t="b">
        <v>0</v>
      </c>
      <c r="K128" s="102" t="b">
        <v>0</v>
      </c>
      <c r="L128" s="102" t="b">
        <v>0</v>
      </c>
    </row>
    <row r="129" spans="1:12" ht="15">
      <c r="A129" s="104" t="s">
        <v>2646</v>
      </c>
      <c r="B129" s="102" t="s">
        <v>2363</v>
      </c>
      <c r="C129" s="102">
        <v>5</v>
      </c>
      <c r="D129" s="106">
        <v>0.0010207733916644168</v>
      </c>
      <c r="E129" s="106">
        <v>2.2632757649972706</v>
      </c>
      <c r="F129" s="102" t="s">
        <v>3369</v>
      </c>
      <c r="G129" s="102" t="b">
        <v>0</v>
      </c>
      <c r="H129" s="102" t="b">
        <v>0</v>
      </c>
      <c r="I129" s="102" t="b">
        <v>0</v>
      </c>
      <c r="J129" s="102" t="b">
        <v>0</v>
      </c>
      <c r="K129" s="102" t="b">
        <v>0</v>
      </c>
      <c r="L129" s="102" t="b">
        <v>0</v>
      </c>
    </row>
    <row r="130" spans="1:12" ht="15">
      <c r="A130" s="104" t="s">
        <v>2556</v>
      </c>
      <c r="B130" s="102" t="s">
        <v>2525</v>
      </c>
      <c r="C130" s="102">
        <v>5</v>
      </c>
      <c r="D130" s="106">
        <v>0.0014207333392130658</v>
      </c>
      <c r="E130" s="106">
        <v>2.876815574008663</v>
      </c>
      <c r="F130" s="102" t="s">
        <v>3369</v>
      </c>
      <c r="G130" s="102" t="b">
        <v>0</v>
      </c>
      <c r="H130" s="102" t="b">
        <v>0</v>
      </c>
      <c r="I130" s="102" t="b">
        <v>0</v>
      </c>
      <c r="J130" s="102" t="b">
        <v>0</v>
      </c>
      <c r="K130" s="102" t="b">
        <v>0</v>
      </c>
      <c r="L130" s="102" t="b">
        <v>0</v>
      </c>
    </row>
    <row r="131" spans="1:12" ht="15">
      <c r="A131" s="104" t="s">
        <v>2361</v>
      </c>
      <c r="B131" s="102" t="s">
        <v>2602</v>
      </c>
      <c r="C131" s="102">
        <v>5</v>
      </c>
      <c r="D131" s="106">
        <v>0.001076226592058132</v>
      </c>
      <c r="E131" s="106">
        <v>2.184094518949646</v>
      </c>
      <c r="F131" s="102" t="s">
        <v>3369</v>
      </c>
      <c r="G131" s="102" t="b">
        <v>0</v>
      </c>
      <c r="H131" s="102" t="b">
        <v>0</v>
      </c>
      <c r="I131" s="102" t="b">
        <v>0</v>
      </c>
      <c r="J131" s="102" t="b">
        <v>0</v>
      </c>
      <c r="K131" s="102" t="b">
        <v>0</v>
      </c>
      <c r="L131" s="102" t="b">
        <v>0</v>
      </c>
    </row>
    <row r="132" spans="1:12" ht="15">
      <c r="A132" s="104" t="s">
        <v>2377</v>
      </c>
      <c r="B132" s="102" t="s">
        <v>2364</v>
      </c>
      <c r="C132" s="102">
        <v>5</v>
      </c>
      <c r="D132" s="106">
        <v>0.0011477182014700683</v>
      </c>
      <c r="E132" s="106">
        <v>1.4946698325198573</v>
      </c>
      <c r="F132" s="102" t="s">
        <v>3369</v>
      </c>
      <c r="G132" s="102" t="b">
        <v>0</v>
      </c>
      <c r="H132" s="102" t="b">
        <v>0</v>
      </c>
      <c r="I132" s="102" t="b">
        <v>0</v>
      </c>
      <c r="J132" s="102" t="b">
        <v>0</v>
      </c>
      <c r="K132" s="102" t="b">
        <v>0</v>
      </c>
      <c r="L132" s="102" t="b">
        <v>0</v>
      </c>
    </row>
    <row r="133" spans="1:12" ht="15">
      <c r="A133" s="104" t="s">
        <v>2353</v>
      </c>
      <c r="B133" s="102" t="s">
        <v>2491</v>
      </c>
      <c r="C133" s="102">
        <v>5</v>
      </c>
      <c r="D133" s="106">
        <v>0.0010207733916644168</v>
      </c>
      <c r="E133" s="106">
        <v>1.7385128758423816</v>
      </c>
      <c r="F133" s="102" t="s">
        <v>3369</v>
      </c>
      <c r="G133" s="102" t="b">
        <v>0</v>
      </c>
      <c r="H133" s="102" t="b">
        <v>0</v>
      </c>
      <c r="I133" s="102" t="b">
        <v>0</v>
      </c>
      <c r="J133" s="102" t="b">
        <v>0</v>
      </c>
      <c r="K133" s="102" t="b">
        <v>0</v>
      </c>
      <c r="L133" s="102" t="b">
        <v>0</v>
      </c>
    </row>
    <row r="134" spans="1:12" ht="15">
      <c r="A134" s="104" t="s">
        <v>2666</v>
      </c>
      <c r="B134" s="102" t="s">
        <v>2377</v>
      </c>
      <c r="C134" s="102">
        <v>5</v>
      </c>
      <c r="D134" s="106">
        <v>0.0010207733916644168</v>
      </c>
      <c r="E134" s="106">
        <v>2.4489123419591823</v>
      </c>
      <c r="F134" s="102" t="s">
        <v>3369</v>
      </c>
      <c r="G134" s="102" t="b">
        <v>0</v>
      </c>
      <c r="H134" s="102" t="b">
        <v>0</v>
      </c>
      <c r="I134" s="102" t="b">
        <v>0</v>
      </c>
      <c r="J134" s="102" t="b">
        <v>0</v>
      </c>
      <c r="K134" s="102" t="b">
        <v>0</v>
      </c>
      <c r="L134" s="102" t="b">
        <v>0</v>
      </c>
    </row>
    <row r="135" spans="1:12" ht="15">
      <c r="A135" s="104" t="s">
        <v>2667</v>
      </c>
      <c r="B135" s="102" t="s">
        <v>2668</v>
      </c>
      <c r="C135" s="102">
        <v>5</v>
      </c>
      <c r="D135" s="106">
        <v>0.0014207333392130658</v>
      </c>
      <c r="E135" s="106">
        <v>3.2270635923428257</v>
      </c>
      <c r="F135" s="102" t="s">
        <v>3369</v>
      </c>
      <c r="G135" s="102" t="b">
        <v>0</v>
      </c>
      <c r="H135" s="102" t="b">
        <v>0</v>
      </c>
      <c r="I135" s="102" t="b">
        <v>0</v>
      </c>
      <c r="J135" s="102" t="b">
        <v>0</v>
      </c>
      <c r="K135" s="102" t="b">
        <v>0</v>
      </c>
      <c r="L135" s="102" t="b">
        <v>0</v>
      </c>
    </row>
    <row r="136" spans="1:12" ht="15">
      <c r="A136" s="104" t="s">
        <v>2387</v>
      </c>
      <c r="B136" s="102" t="s">
        <v>2352</v>
      </c>
      <c r="C136" s="102">
        <v>5</v>
      </c>
      <c r="D136" s="106">
        <v>0.0010207733916644168</v>
      </c>
      <c r="E136" s="106">
        <v>1.164707274257388</v>
      </c>
      <c r="F136" s="102" t="s">
        <v>3369</v>
      </c>
      <c r="G136" s="102" t="b">
        <v>0</v>
      </c>
      <c r="H136" s="102" t="b">
        <v>0</v>
      </c>
      <c r="I136" s="102" t="b">
        <v>0</v>
      </c>
      <c r="J136" s="102" t="b">
        <v>0</v>
      </c>
      <c r="K136" s="102" t="b">
        <v>0</v>
      </c>
      <c r="L136" s="102" t="b">
        <v>0</v>
      </c>
    </row>
    <row r="137" spans="1:12" ht="15">
      <c r="A137" s="104" t="s">
        <v>2352</v>
      </c>
      <c r="B137" s="102" t="s">
        <v>2569</v>
      </c>
      <c r="C137" s="102">
        <v>5</v>
      </c>
      <c r="D137" s="106">
        <v>0.0010207733916644168</v>
      </c>
      <c r="E137" s="106">
        <v>1.719207720646995</v>
      </c>
      <c r="F137" s="102" t="s">
        <v>3369</v>
      </c>
      <c r="G137" s="102" t="b">
        <v>0</v>
      </c>
      <c r="H137" s="102" t="b">
        <v>0</v>
      </c>
      <c r="I137" s="102" t="b">
        <v>0</v>
      </c>
      <c r="J137" s="102" t="b">
        <v>0</v>
      </c>
      <c r="K137" s="102" t="b">
        <v>1</v>
      </c>
      <c r="L137" s="102" t="b">
        <v>0</v>
      </c>
    </row>
    <row r="138" spans="1:12" ht="15">
      <c r="A138" s="104" t="s">
        <v>2412</v>
      </c>
      <c r="B138" s="102" t="s">
        <v>2412</v>
      </c>
      <c r="C138" s="102">
        <v>5</v>
      </c>
      <c r="D138" s="106">
        <v>0.0011477182014700683</v>
      </c>
      <c r="E138" s="106">
        <v>2.190434696980665</v>
      </c>
      <c r="F138" s="102" t="s">
        <v>3369</v>
      </c>
      <c r="G138" s="102" t="b">
        <v>0</v>
      </c>
      <c r="H138" s="102" t="b">
        <v>0</v>
      </c>
      <c r="I138" s="102" t="b">
        <v>0</v>
      </c>
      <c r="J138" s="102" t="b">
        <v>0</v>
      </c>
      <c r="K138" s="102" t="b">
        <v>0</v>
      </c>
      <c r="L138" s="102" t="b">
        <v>0</v>
      </c>
    </row>
    <row r="139" spans="1:12" ht="15">
      <c r="A139" s="104" t="s">
        <v>2432</v>
      </c>
      <c r="B139" s="102" t="s">
        <v>2608</v>
      </c>
      <c r="C139" s="102">
        <v>5</v>
      </c>
      <c r="D139" s="106">
        <v>0.0014207333392130658</v>
      </c>
      <c r="E139" s="106">
        <v>2.6707610915755384</v>
      </c>
      <c r="F139" s="102" t="s">
        <v>3369</v>
      </c>
      <c r="G139" s="102" t="b">
        <v>0</v>
      </c>
      <c r="H139" s="102" t="b">
        <v>0</v>
      </c>
      <c r="I139" s="102" t="b">
        <v>0</v>
      </c>
      <c r="J139" s="102" t="b">
        <v>0</v>
      </c>
      <c r="K139" s="102" t="b">
        <v>0</v>
      </c>
      <c r="L139" s="102" t="b">
        <v>0</v>
      </c>
    </row>
    <row r="140" spans="1:12" ht="15">
      <c r="A140" s="104" t="s">
        <v>2608</v>
      </c>
      <c r="B140" s="102" t="s">
        <v>2417</v>
      </c>
      <c r="C140" s="102">
        <v>5</v>
      </c>
      <c r="D140" s="106">
        <v>0.0014207333392130658</v>
      </c>
      <c r="E140" s="106">
        <v>2.616403429252946</v>
      </c>
      <c r="F140" s="102" t="s">
        <v>3369</v>
      </c>
      <c r="G140" s="102" t="b">
        <v>0</v>
      </c>
      <c r="H140" s="102" t="b">
        <v>0</v>
      </c>
      <c r="I140" s="102" t="b">
        <v>0</v>
      </c>
      <c r="J140" s="102" t="b">
        <v>0</v>
      </c>
      <c r="K140" s="102" t="b">
        <v>0</v>
      </c>
      <c r="L140" s="102" t="b">
        <v>0</v>
      </c>
    </row>
    <row r="141" spans="1:12" ht="15">
      <c r="A141" s="104" t="s">
        <v>2353</v>
      </c>
      <c r="B141" s="102" t="s">
        <v>2357</v>
      </c>
      <c r="C141" s="102">
        <v>5</v>
      </c>
      <c r="D141" s="106">
        <v>0.0010207733916644168</v>
      </c>
      <c r="E141" s="106">
        <v>0.9531830408316146</v>
      </c>
      <c r="F141" s="102" t="s">
        <v>3369</v>
      </c>
      <c r="G141" s="102" t="b">
        <v>0</v>
      </c>
      <c r="H141" s="102" t="b">
        <v>0</v>
      </c>
      <c r="I141" s="102" t="b">
        <v>0</v>
      </c>
      <c r="J141" s="102" t="b">
        <v>0</v>
      </c>
      <c r="K141" s="102" t="b">
        <v>0</v>
      </c>
      <c r="L141" s="102" t="b">
        <v>0</v>
      </c>
    </row>
    <row r="142" spans="1:12" ht="15">
      <c r="A142" s="104" t="s">
        <v>2352</v>
      </c>
      <c r="B142" s="102" t="s">
        <v>2387</v>
      </c>
      <c r="C142" s="102">
        <v>5</v>
      </c>
      <c r="D142" s="106">
        <v>0.0010207733916644168</v>
      </c>
      <c r="E142" s="106">
        <v>1.1663657519892143</v>
      </c>
      <c r="F142" s="102" t="s">
        <v>3369</v>
      </c>
      <c r="G142" s="102" t="b">
        <v>0</v>
      </c>
      <c r="H142" s="102" t="b">
        <v>0</v>
      </c>
      <c r="I142" s="102" t="b">
        <v>0</v>
      </c>
      <c r="J142" s="102" t="b">
        <v>0</v>
      </c>
      <c r="K142" s="102" t="b">
        <v>0</v>
      </c>
      <c r="L142" s="102" t="b">
        <v>0</v>
      </c>
    </row>
    <row r="143" spans="1:12" ht="15">
      <c r="A143" s="104" t="s">
        <v>2352</v>
      </c>
      <c r="B143" s="102" t="s">
        <v>2380</v>
      </c>
      <c r="C143" s="102">
        <v>5</v>
      </c>
      <c r="D143" s="106">
        <v>0.001076226592058132</v>
      </c>
      <c r="E143" s="106">
        <v>1.1019077627622957</v>
      </c>
      <c r="F143" s="102" t="s">
        <v>3369</v>
      </c>
      <c r="G143" s="102" t="b">
        <v>0</v>
      </c>
      <c r="H143" s="102" t="b">
        <v>0</v>
      </c>
      <c r="I143" s="102" t="b">
        <v>0</v>
      </c>
      <c r="J143" s="102" t="b">
        <v>0</v>
      </c>
      <c r="K143" s="102" t="b">
        <v>0</v>
      </c>
      <c r="L143" s="102" t="b">
        <v>0</v>
      </c>
    </row>
    <row r="144" spans="1:12" ht="15">
      <c r="A144" s="104" t="s">
        <v>2376</v>
      </c>
      <c r="B144" s="102" t="s">
        <v>2376</v>
      </c>
      <c r="C144" s="102">
        <v>5</v>
      </c>
      <c r="D144" s="106">
        <v>0.0011477182014700683</v>
      </c>
      <c r="E144" s="106">
        <v>1.6707610915755386</v>
      </c>
      <c r="F144" s="102" t="s">
        <v>3369</v>
      </c>
      <c r="G144" s="102" t="b">
        <v>0</v>
      </c>
      <c r="H144" s="102" t="b">
        <v>0</v>
      </c>
      <c r="I144" s="102" t="b">
        <v>0</v>
      </c>
      <c r="J144" s="102" t="b">
        <v>0</v>
      </c>
      <c r="K144" s="102" t="b">
        <v>0</v>
      </c>
      <c r="L144" s="102" t="b">
        <v>0</v>
      </c>
    </row>
    <row r="145" spans="1:12" ht="15">
      <c r="A145" s="104" t="s">
        <v>2369</v>
      </c>
      <c r="B145" s="102" t="s">
        <v>2356</v>
      </c>
      <c r="C145" s="102">
        <v>5</v>
      </c>
      <c r="D145" s="106">
        <v>0.0010207733916644168</v>
      </c>
      <c r="E145" s="106">
        <v>1.3175075631016506</v>
      </c>
      <c r="F145" s="102" t="s">
        <v>3369</v>
      </c>
      <c r="G145" s="102" t="b">
        <v>0</v>
      </c>
      <c r="H145" s="102" t="b">
        <v>0</v>
      </c>
      <c r="I145" s="102" t="b">
        <v>0</v>
      </c>
      <c r="J145" s="102" t="b">
        <v>0</v>
      </c>
      <c r="K145" s="102" t="b">
        <v>0</v>
      </c>
      <c r="L145" s="102" t="b">
        <v>0</v>
      </c>
    </row>
    <row r="146" spans="1:12" ht="15">
      <c r="A146" s="104" t="s">
        <v>2382</v>
      </c>
      <c r="B146" s="102" t="s">
        <v>2373</v>
      </c>
      <c r="C146" s="102">
        <v>5</v>
      </c>
      <c r="D146" s="106">
        <v>0.001076226592058132</v>
      </c>
      <c r="E146" s="106">
        <v>1.6574556247960013</v>
      </c>
      <c r="F146" s="102" t="s">
        <v>3369</v>
      </c>
      <c r="G146" s="102" t="b">
        <v>0</v>
      </c>
      <c r="H146" s="102" t="b">
        <v>0</v>
      </c>
      <c r="I146" s="102" t="b">
        <v>0</v>
      </c>
      <c r="J146" s="102" t="b">
        <v>0</v>
      </c>
      <c r="K146" s="102" t="b">
        <v>0</v>
      </c>
      <c r="L146" s="102" t="b">
        <v>0</v>
      </c>
    </row>
    <row r="147" spans="1:12" ht="15">
      <c r="A147" s="104" t="s">
        <v>2576</v>
      </c>
      <c r="B147" s="102" t="s">
        <v>2577</v>
      </c>
      <c r="C147" s="102">
        <v>5</v>
      </c>
      <c r="D147" s="106">
        <v>0.001076226592058132</v>
      </c>
      <c r="E147" s="106">
        <v>2.93480752098635</v>
      </c>
      <c r="F147" s="102" t="s">
        <v>3369</v>
      </c>
      <c r="G147" s="102" t="b">
        <v>0</v>
      </c>
      <c r="H147" s="102" t="b">
        <v>0</v>
      </c>
      <c r="I147" s="102" t="b">
        <v>0</v>
      </c>
      <c r="J147" s="102" t="b">
        <v>0</v>
      </c>
      <c r="K147" s="102" t="b">
        <v>0</v>
      </c>
      <c r="L147" s="102" t="b">
        <v>0</v>
      </c>
    </row>
    <row r="148" spans="1:12" ht="15">
      <c r="A148" s="104" t="s">
        <v>2351</v>
      </c>
      <c r="B148" s="102" t="s">
        <v>2392</v>
      </c>
      <c r="C148" s="102">
        <v>5</v>
      </c>
      <c r="D148" s="106">
        <v>0.0011477182014700683</v>
      </c>
      <c r="E148" s="106">
        <v>1.005597190128086</v>
      </c>
      <c r="F148" s="102" t="s">
        <v>3369</v>
      </c>
      <c r="G148" s="102" t="b">
        <v>0</v>
      </c>
      <c r="H148" s="102" t="b">
        <v>0</v>
      </c>
      <c r="I148" s="102" t="b">
        <v>0</v>
      </c>
      <c r="J148" s="102" t="b">
        <v>0</v>
      </c>
      <c r="K148" s="102" t="b">
        <v>0</v>
      </c>
      <c r="L148" s="102" t="b">
        <v>0</v>
      </c>
    </row>
    <row r="149" spans="1:12" ht="15">
      <c r="A149" s="104" t="s">
        <v>2686</v>
      </c>
      <c r="B149" s="102" t="s">
        <v>2429</v>
      </c>
      <c r="C149" s="102">
        <v>5</v>
      </c>
      <c r="D149" s="106">
        <v>0.0010207733916644168</v>
      </c>
      <c r="E149" s="106">
        <v>2.7499423376231635</v>
      </c>
      <c r="F149" s="102" t="s">
        <v>3369</v>
      </c>
      <c r="G149" s="102" t="b">
        <v>0</v>
      </c>
      <c r="H149" s="102" t="b">
        <v>0</v>
      </c>
      <c r="I149" s="102" t="b">
        <v>0</v>
      </c>
      <c r="J149" s="102" t="b">
        <v>0</v>
      </c>
      <c r="K149" s="102" t="b">
        <v>0</v>
      </c>
      <c r="L149" s="102" t="b">
        <v>0</v>
      </c>
    </row>
    <row r="150" spans="1:12" ht="15">
      <c r="A150" s="104" t="s">
        <v>2499</v>
      </c>
      <c r="B150" s="102" t="s">
        <v>2373</v>
      </c>
      <c r="C150" s="102">
        <v>5</v>
      </c>
      <c r="D150" s="106">
        <v>0.0014207333392130658</v>
      </c>
      <c r="E150" s="106">
        <v>2.1198536226949574</v>
      </c>
      <c r="F150" s="102" t="s">
        <v>3369</v>
      </c>
      <c r="G150" s="102" t="b">
        <v>0</v>
      </c>
      <c r="H150" s="102" t="b">
        <v>0</v>
      </c>
      <c r="I150" s="102" t="b">
        <v>0</v>
      </c>
      <c r="J150" s="102" t="b">
        <v>0</v>
      </c>
      <c r="K150" s="102" t="b">
        <v>0</v>
      </c>
      <c r="L150" s="102" t="b">
        <v>0</v>
      </c>
    </row>
    <row r="151" spans="1:12" ht="15">
      <c r="A151" s="104" t="s">
        <v>2444</v>
      </c>
      <c r="B151" s="102" t="s">
        <v>2408</v>
      </c>
      <c r="C151" s="102">
        <v>5</v>
      </c>
      <c r="D151" s="106">
        <v>0.0014207333392130658</v>
      </c>
      <c r="E151" s="106">
        <v>2.2236030602333194</v>
      </c>
      <c r="F151" s="102" t="s">
        <v>3369</v>
      </c>
      <c r="G151" s="102" t="b">
        <v>0</v>
      </c>
      <c r="H151" s="102" t="b">
        <v>0</v>
      </c>
      <c r="I151" s="102" t="b">
        <v>0</v>
      </c>
      <c r="J151" s="102" t="b">
        <v>0</v>
      </c>
      <c r="K151" s="102" t="b">
        <v>1</v>
      </c>
      <c r="L151" s="102" t="b">
        <v>0</v>
      </c>
    </row>
    <row r="152" spans="1:12" ht="15">
      <c r="A152" s="104" t="s">
        <v>2408</v>
      </c>
      <c r="B152" s="102" t="s">
        <v>2493</v>
      </c>
      <c r="C152" s="102">
        <v>5</v>
      </c>
      <c r="D152" s="106">
        <v>0.0014207333392130658</v>
      </c>
      <c r="E152" s="106">
        <v>2.369731095911557</v>
      </c>
      <c r="F152" s="102" t="s">
        <v>3369</v>
      </c>
      <c r="G152" s="102" t="b">
        <v>0</v>
      </c>
      <c r="H152" s="102" t="b">
        <v>1</v>
      </c>
      <c r="I152" s="102" t="b">
        <v>0</v>
      </c>
      <c r="J152" s="102" t="b">
        <v>0</v>
      </c>
      <c r="K152" s="102" t="b">
        <v>0</v>
      </c>
      <c r="L152" s="102" t="b">
        <v>0</v>
      </c>
    </row>
    <row r="153" spans="1:12" ht="15">
      <c r="A153" s="104" t="s">
        <v>2386</v>
      </c>
      <c r="B153" s="102" t="s">
        <v>2471</v>
      </c>
      <c r="C153" s="102">
        <v>5</v>
      </c>
      <c r="D153" s="106">
        <v>0.0014207333392130658</v>
      </c>
      <c r="E153" s="106">
        <v>2.1686375678858205</v>
      </c>
      <c r="F153" s="102" t="s">
        <v>3369</v>
      </c>
      <c r="G153" s="102" t="b">
        <v>0</v>
      </c>
      <c r="H153" s="102" t="b">
        <v>0</v>
      </c>
      <c r="I153" s="102" t="b">
        <v>0</v>
      </c>
      <c r="J153" s="102" t="b">
        <v>0</v>
      </c>
      <c r="K153" s="102" t="b">
        <v>0</v>
      </c>
      <c r="L153" s="102" t="b">
        <v>0</v>
      </c>
    </row>
    <row r="154" spans="1:12" ht="15">
      <c r="A154" s="104" t="s">
        <v>2350</v>
      </c>
      <c r="B154" s="102" t="s">
        <v>2623</v>
      </c>
      <c r="C154" s="102">
        <v>5</v>
      </c>
      <c r="D154" s="106">
        <v>0.0014207333392130658</v>
      </c>
      <c r="E154" s="106">
        <v>1.5523861244696269</v>
      </c>
      <c r="F154" s="102" t="s">
        <v>3369</v>
      </c>
      <c r="G154" s="102" t="b">
        <v>0</v>
      </c>
      <c r="H154" s="102" t="b">
        <v>0</v>
      </c>
      <c r="I154" s="102" t="b">
        <v>0</v>
      </c>
      <c r="J154" s="102" t="b">
        <v>0</v>
      </c>
      <c r="K154" s="102" t="b">
        <v>0</v>
      </c>
      <c r="L154" s="102" t="b">
        <v>0</v>
      </c>
    </row>
    <row r="155" spans="1:12" ht="15">
      <c r="A155" s="104" t="s">
        <v>2531</v>
      </c>
      <c r="B155" s="102" t="s">
        <v>2561</v>
      </c>
      <c r="C155" s="102">
        <v>5</v>
      </c>
      <c r="D155" s="106">
        <v>0.0010207733916644168</v>
      </c>
      <c r="E155" s="106">
        <v>2.876815574008663</v>
      </c>
      <c r="F155" s="102" t="s">
        <v>3369</v>
      </c>
      <c r="G155" s="102" t="b">
        <v>0</v>
      </c>
      <c r="H155" s="102" t="b">
        <v>0</v>
      </c>
      <c r="I155" s="102" t="b">
        <v>0</v>
      </c>
      <c r="J155" s="102" t="b">
        <v>0</v>
      </c>
      <c r="K155" s="102" t="b">
        <v>0</v>
      </c>
      <c r="L155" s="102" t="b">
        <v>0</v>
      </c>
    </row>
    <row r="156" spans="1:12" ht="15">
      <c r="A156" s="104" t="s">
        <v>2695</v>
      </c>
      <c r="B156" s="102" t="s">
        <v>2696</v>
      </c>
      <c r="C156" s="102">
        <v>5</v>
      </c>
      <c r="D156" s="106">
        <v>0.0014207333392130658</v>
      </c>
      <c r="E156" s="106">
        <v>3.2270635923428257</v>
      </c>
      <c r="F156" s="102" t="s">
        <v>3369</v>
      </c>
      <c r="G156" s="102" t="b">
        <v>0</v>
      </c>
      <c r="H156" s="102" t="b">
        <v>0</v>
      </c>
      <c r="I156" s="102" t="b">
        <v>0</v>
      </c>
      <c r="J156" s="102" t="b">
        <v>0</v>
      </c>
      <c r="K156" s="102" t="b">
        <v>0</v>
      </c>
      <c r="L156" s="102" t="b">
        <v>0</v>
      </c>
    </row>
    <row r="157" spans="1:12" ht="15">
      <c r="A157" s="104" t="s">
        <v>2516</v>
      </c>
      <c r="B157" s="102" t="s">
        <v>2516</v>
      </c>
      <c r="C157" s="102">
        <v>5</v>
      </c>
      <c r="D157" s="106">
        <v>0.0012484799656355989</v>
      </c>
      <c r="E157" s="106">
        <v>2.7165185821362137</v>
      </c>
      <c r="F157" s="102" t="s">
        <v>3369</v>
      </c>
      <c r="G157" s="102" t="b">
        <v>0</v>
      </c>
      <c r="H157" s="102" t="b">
        <v>0</v>
      </c>
      <c r="I157" s="102" t="b">
        <v>0</v>
      </c>
      <c r="J157" s="102" t="b">
        <v>0</v>
      </c>
      <c r="K157" s="102" t="b">
        <v>0</v>
      </c>
      <c r="L157" s="102" t="b">
        <v>0</v>
      </c>
    </row>
    <row r="158" spans="1:12" ht="15">
      <c r="A158" s="104" t="s">
        <v>2355</v>
      </c>
      <c r="B158" s="102" t="s">
        <v>2348</v>
      </c>
      <c r="C158" s="102">
        <v>4</v>
      </c>
      <c r="D158" s="106">
        <v>0.0009181745611760546</v>
      </c>
      <c r="E158" s="106">
        <v>0.44127123090774517</v>
      </c>
      <c r="F158" s="102" t="s">
        <v>3369</v>
      </c>
      <c r="G158" s="102" t="b">
        <v>0</v>
      </c>
      <c r="H158" s="102" t="b">
        <v>0</v>
      </c>
      <c r="I158" s="102" t="b">
        <v>0</v>
      </c>
      <c r="J158" s="102" t="b">
        <v>0</v>
      </c>
      <c r="K158" s="102" t="b">
        <v>0</v>
      </c>
      <c r="L158" s="102" t="b">
        <v>0</v>
      </c>
    </row>
    <row r="159" spans="1:12" ht="15">
      <c r="A159" s="104" t="s">
        <v>2701</v>
      </c>
      <c r="B159" s="102" t="s">
        <v>2462</v>
      </c>
      <c r="C159" s="102">
        <v>4</v>
      </c>
      <c r="D159" s="106">
        <v>0.0008609812736465055</v>
      </c>
      <c r="E159" s="106">
        <v>2.8468523506312198</v>
      </c>
      <c r="F159" s="102" t="s">
        <v>3369</v>
      </c>
      <c r="G159" s="102" t="b">
        <v>0</v>
      </c>
      <c r="H159" s="102" t="b">
        <v>0</v>
      </c>
      <c r="I159" s="102" t="b">
        <v>0</v>
      </c>
      <c r="J159" s="102" t="b">
        <v>0</v>
      </c>
      <c r="K159" s="102" t="b">
        <v>0</v>
      </c>
      <c r="L159" s="102" t="b">
        <v>0</v>
      </c>
    </row>
    <row r="160" spans="1:12" ht="15">
      <c r="A160" s="104" t="s">
        <v>2368</v>
      </c>
      <c r="B160" s="102" t="s">
        <v>2426</v>
      </c>
      <c r="C160" s="102">
        <v>4</v>
      </c>
      <c r="D160" s="106">
        <v>0.0011365866713704527</v>
      </c>
      <c r="E160" s="106">
        <v>1.7838006048841308</v>
      </c>
      <c r="F160" s="102" t="s">
        <v>3369</v>
      </c>
      <c r="G160" s="102" t="b">
        <v>0</v>
      </c>
      <c r="H160" s="102" t="b">
        <v>0</v>
      </c>
      <c r="I160" s="102" t="b">
        <v>0</v>
      </c>
      <c r="J160" s="102" t="b">
        <v>0</v>
      </c>
      <c r="K160" s="102" t="b">
        <v>0</v>
      </c>
      <c r="L160" s="102" t="b">
        <v>0</v>
      </c>
    </row>
    <row r="161" spans="1:12" ht="15">
      <c r="A161" s="104" t="s">
        <v>2437</v>
      </c>
      <c r="B161" s="102" t="s">
        <v>2350</v>
      </c>
      <c r="C161" s="102">
        <v>4</v>
      </c>
      <c r="D161" s="106">
        <v>0.0011365866713704527</v>
      </c>
      <c r="E161" s="106">
        <v>1.1196840095383773</v>
      </c>
      <c r="F161" s="102" t="s">
        <v>3369</v>
      </c>
      <c r="G161" s="102" t="b">
        <v>0</v>
      </c>
      <c r="H161" s="102" t="b">
        <v>0</v>
      </c>
      <c r="I161" s="102" t="b">
        <v>0</v>
      </c>
      <c r="J161" s="102" t="b">
        <v>0</v>
      </c>
      <c r="K161" s="102" t="b">
        <v>0</v>
      </c>
      <c r="L161" s="102" t="b">
        <v>0</v>
      </c>
    </row>
    <row r="162" spans="1:12" ht="15">
      <c r="A162" s="104" t="s">
        <v>2355</v>
      </c>
      <c r="B162" s="102" t="s">
        <v>2505</v>
      </c>
      <c r="C162" s="102">
        <v>4</v>
      </c>
      <c r="D162" s="106">
        <v>0.0011365866713704527</v>
      </c>
      <c r="E162" s="106">
        <v>1.802999066925338</v>
      </c>
      <c r="F162" s="102" t="s">
        <v>3369</v>
      </c>
      <c r="G162" s="102" t="b">
        <v>0</v>
      </c>
      <c r="H162" s="102" t="b">
        <v>0</v>
      </c>
      <c r="I162" s="102" t="b">
        <v>0</v>
      </c>
      <c r="J162" s="102" t="b">
        <v>0</v>
      </c>
      <c r="K162" s="102" t="b">
        <v>0</v>
      </c>
      <c r="L162" s="102" t="b">
        <v>0</v>
      </c>
    </row>
    <row r="163" spans="1:12" ht="15">
      <c r="A163" s="104" t="s">
        <v>2414</v>
      </c>
      <c r="B163" s="102" t="s">
        <v>2420</v>
      </c>
      <c r="C163" s="102">
        <v>4</v>
      </c>
      <c r="D163" s="106">
        <v>0.0008609812736465055</v>
      </c>
      <c r="E163" s="106">
        <v>2.1837013143216963</v>
      </c>
      <c r="F163" s="102" t="s">
        <v>3369</v>
      </c>
      <c r="G163" s="102" t="b">
        <v>0</v>
      </c>
      <c r="H163" s="102" t="b">
        <v>0</v>
      </c>
      <c r="I163" s="102" t="b">
        <v>0</v>
      </c>
      <c r="J163" s="102" t="b">
        <v>0</v>
      </c>
      <c r="K163" s="102" t="b">
        <v>0</v>
      </c>
      <c r="L163" s="102" t="b">
        <v>0</v>
      </c>
    </row>
    <row r="164" spans="1:12" ht="15">
      <c r="A164" s="104" t="s">
        <v>2366</v>
      </c>
      <c r="B164" s="102" t="s">
        <v>2554</v>
      </c>
      <c r="C164" s="102">
        <v>4</v>
      </c>
      <c r="D164" s="106">
        <v>0.0011365866713704527</v>
      </c>
      <c r="E164" s="106">
        <v>2.0597462575946497</v>
      </c>
      <c r="F164" s="102" t="s">
        <v>3369</v>
      </c>
      <c r="G164" s="102" t="b">
        <v>0</v>
      </c>
      <c r="H164" s="102" t="b">
        <v>0</v>
      </c>
      <c r="I164" s="102" t="b">
        <v>0</v>
      </c>
      <c r="J164" s="102" t="b">
        <v>0</v>
      </c>
      <c r="K164" s="102" t="b">
        <v>0</v>
      </c>
      <c r="L164" s="102" t="b">
        <v>0</v>
      </c>
    </row>
    <row r="165" spans="1:12" ht="15">
      <c r="A165" s="104" t="s">
        <v>2356</v>
      </c>
      <c r="B165" s="102" t="s">
        <v>2711</v>
      </c>
      <c r="C165" s="102">
        <v>4</v>
      </c>
      <c r="D165" s="106">
        <v>0.0008609812736465055</v>
      </c>
      <c r="E165" s="106">
        <v>2.133641907180591</v>
      </c>
      <c r="F165" s="102" t="s">
        <v>3369</v>
      </c>
      <c r="G165" s="102" t="b">
        <v>0</v>
      </c>
      <c r="H165" s="102" t="b">
        <v>0</v>
      </c>
      <c r="I165" s="102" t="b">
        <v>0</v>
      </c>
      <c r="J165" s="102" t="b">
        <v>0</v>
      </c>
      <c r="K165" s="102" t="b">
        <v>0</v>
      </c>
      <c r="L165" s="102" t="b">
        <v>0</v>
      </c>
    </row>
    <row r="166" spans="1:12" ht="15">
      <c r="A166" s="104" t="s">
        <v>2711</v>
      </c>
      <c r="B166" s="102" t="s">
        <v>2352</v>
      </c>
      <c r="C166" s="102">
        <v>4</v>
      </c>
      <c r="D166" s="106">
        <v>0.0008609812736465055</v>
      </c>
      <c r="E166" s="106">
        <v>1.8807106178921873</v>
      </c>
      <c r="F166" s="102" t="s">
        <v>3369</v>
      </c>
      <c r="G166" s="102" t="b">
        <v>0</v>
      </c>
      <c r="H166" s="102" t="b">
        <v>0</v>
      </c>
      <c r="I166" s="102" t="b">
        <v>0</v>
      </c>
      <c r="J166" s="102" t="b">
        <v>0</v>
      </c>
      <c r="K166" s="102" t="b">
        <v>0</v>
      </c>
      <c r="L166" s="102" t="b">
        <v>0</v>
      </c>
    </row>
    <row r="167" spans="1:12" ht="15">
      <c r="A167" s="104" t="s">
        <v>2352</v>
      </c>
      <c r="B167" s="102" t="s">
        <v>2381</v>
      </c>
      <c r="C167" s="102">
        <v>4</v>
      </c>
      <c r="D167" s="106">
        <v>0.0008609812736465055</v>
      </c>
      <c r="E167" s="106">
        <v>1.0049977497542393</v>
      </c>
      <c r="F167" s="102" t="s">
        <v>3369</v>
      </c>
      <c r="G167" s="102" t="b">
        <v>0</v>
      </c>
      <c r="H167" s="102" t="b">
        <v>0</v>
      </c>
      <c r="I167" s="102" t="b">
        <v>0</v>
      </c>
      <c r="J167" s="102" t="b">
        <v>0</v>
      </c>
      <c r="K167" s="102" t="b">
        <v>0</v>
      </c>
      <c r="L167" s="102" t="b">
        <v>0</v>
      </c>
    </row>
    <row r="168" spans="1:12" ht="15">
      <c r="A168" s="104" t="s">
        <v>2381</v>
      </c>
      <c r="B168" s="102" t="s">
        <v>2356</v>
      </c>
      <c r="C168" s="102">
        <v>4</v>
      </c>
      <c r="D168" s="106">
        <v>0.0008609812736465055</v>
      </c>
      <c r="E168" s="106">
        <v>1.3333018302848825</v>
      </c>
      <c r="F168" s="102" t="s">
        <v>3369</v>
      </c>
      <c r="G168" s="102" t="b">
        <v>0</v>
      </c>
      <c r="H168" s="102" t="b">
        <v>0</v>
      </c>
      <c r="I168" s="102" t="b">
        <v>0</v>
      </c>
      <c r="J168" s="102" t="b">
        <v>0</v>
      </c>
      <c r="K168" s="102" t="b">
        <v>0</v>
      </c>
      <c r="L168" s="102" t="b">
        <v>0</v>
      </c>
    </row>
    <row r="169" spans="1:12" ht="15">
      <c r="A169" s="104" t="s">
        <v>2356</v>
      </c>
      <c r="B169" s="102" t="s">
        <v>2381</v>
      </c>
      <c r="C169" s="102">
        <v>4</v>
      </c>
      <c r="D169" s="106">
        <v>0.0008609812736465055</v>
      </c>
      <c r="E169" s="106">
        <v>1.2733039006095972</v>
      </c>
      <c r="F169" s="102" t="s">
        <v>3369</v>
      </c>
      <c r="G169" s="102" t="b">
        <v>0</v>
      </c>
      <c r="H169" s="102" t="b">
        <v>0</v>
      </c>
      <c r="I169" s="102" t="b">
        <v>0</v>
      </c>
      <c r="J169" s="102" t="b">
        <v>0</v>
      </c>
      <c r="K169" s="102" t="b">
        <v>0</v>
      </c>
      <c r="L169" s="102" t="b">
        <v>0</v>
      </c>
    </row>
    <row r="170" spans="1:12" ht="15">
      <c r="A170" s="104" t="s">
        <v>2381</v>
      </c>
      <c r="B170" s="102" t="s">
        <v>2592</v>
      </c>
      <c r="C170" s="102">
        <v>4</v>
      </c>
      <c r="D170" s="106">
        <v>0.0008609812736465055</v>
      </c>
      <c r="E170" s="106">
        <v>2.318578573464176</v>
      </c>
      <c r="F170" s="102" t="s">
        <v>3369</v>
      </c>
      <c r="G170" s="102" t="b">
        <v>0</v>
      </c>
      <c r="H170" s="102" t="b">
        <v>0</v>
      </c>
      <c r="I170" s="102" t="b">
        <v>0</v>
      </c>
      <c r="J170" s="102" t="b">
        <v>0</v>
      </c>
      <c r="K170" s="102" t="b">
        <v>0</v>
      </c>
      <c r="L170" s="102" t="b">
        <v>0</v>
      </c>
    </row>
    <row r="171" spans="1:12" ht="15">
      <c r="A171" s="104" t="s">
        <v>2592</v>
      </c>
      <c r="B171" s="102" t="s">
        <v>2364</v>
      </c>
      <c r="C171" s="102">
        <v>4</v>
      </c>
      <c r="D171" s="106">
        <v>0.0008609812736465055</v>
      </c>
      <c r="E171" s="106">
        <v>2.0967298238478196</v>
      </c>
      <c r="F171" s="102" t="s">
        <v>3369</v>
      </c>
      <c r="G171" s="102" t="b">
        <v>0</v>
      </c>
      <c r="H171" s="102" t="b">
        <v>0</v>
      </c>
      <c r="I171" s="102" t="b">
        <v>0</v>
      </c>
      <c r="J171" s="102" t="b">
        <v>0</v>
      </c>
      <c r="K171" s="102" t="b">
        <v>0</v>
      </c>
      <c r="L171" s="102" t="b">
        <v>0</v>
      </c>
    </row>
    <row r="172" spans="1:12" ht="15">
      <c r="A172" s="104" t="s">
        <v>2364</v>
      </c>
      <c r="B172" s="102" t="s">
        <v>2643</v>
      </c>
      <c r="C172" s="102">
        <v>4</v>
      </c>
      <c r="D172" s="106">
        <v>0.0008609812736465055</v>
      </c>
      <c r="E172" s="106">
        <v>2.205874293272888</v>
      </c>
      <c r="F172" s="102" t="s">
        <v>3369</v>
      </c>
      <c r="G172" s="102" t="b">
        <v>0</v>
      </c>
      <c r="H172" s="102" t="b">
        <v>0</v>
      </c>
      <c r="I172" s="102" t="b">
        <v>0</v>
      </c>
      <c r="J172" s="102" t="b">
        <v>0</v>
      </c>
      <c r="K172" s="102" t="b">
        <v>0</v>
      </c>
      <c r="L172" s="102" t="b">
        <v>0</v>
      </c>
    </row>
    <row r="173" spans="1:12" ht="15">
      <c r="A173" s="104" t="s">
        <v>2485</v>
      </c>
      <c r="B173" s="102" t="s">
        <v>2358</v>
      </c>
      <c r="C173" s="102">
        <v>4</v>
      </c>
      <c r="D173" s="106">
        <v>0.0008609812736465055</v>
      </c>
      <c r="E173" s="106">
        <v>1.7499423376231633</v>
      </c>
      <c r="F173" s="102" t="s">
        <v>3369</v>
      </c>
      <c r="G173" s="102" t="b">
        <v>0</v>
      </c>
      <c r="H173" s="102" t="b">
        <v>0</v>
      </c>
      <c r="I173" s="102" t="b">
        <v>0</v>
      </c>
      <c r="J173" s="102" t="b">
        <v>0</v>
      </c>
      <c r="K173" s="102" t="b">
        <v>0</v>
      </c>
      <c r="L173" s="102" t="b">
        <v>0</v>
      </c>
    </row>
    <row r="174" spans="1:12" ht="15">
      <c r="A174" s="104" t="s">
        <v>2363</v>
      </c>
      <c r="B174" s="102" t="s">
        <v>2555</v>
      </c>
      <c r="C174" s="102">
        <v>4</v>
      </c>
      <c r="D174" s="106">
        <v>0.0008609812736465055</v>
      </c>
      <c r="E174" s="106">
        <v>2.049527092412964</v>
      </c>
      <c r="F174" s="102" t="s">
        <v>3369</v>
      </c>
      <c r="G174" s="102" t="b">
        <v>0</v>
      </c>
      <c r="H174" s="102" t="b">
        <v>0</v>
      </c>
      <c r="I174" s="102" t="b">
        <v>0</v>
      </c>
      <c r="J174" s="102" t="b">
        <v>0</v>
      </c>
      <c r="K174" s="102" t="b">
        <v>0</v>
      </c>
      <c r="L174" s="102" t="b">
        <v>0</v>
      </c>
    </row>
    <row r="175" spans="1:12" ht="15">
      <c r="A175" s="104" t="s">
        <v>2555</v>
      </c>
      <c r="B175" s="102" t="s">
        <v>2371</v>
      </c>
      <c r="C175" s="102">
        <v>4</v>
      </c>
      <c r="D175" s="106">
        <v>0.0008609812736465055</v>
      </c>
      <c r="E175" s="106">
        <v>2.164481608114663</v>
      </c>
      <c r="F175" s="102" t="s">
        <v>3369</v>
      </c>
      <c r="G175" s="102" t="b">
        <v>0</v>
      </c>
      <c r="H175" s="102" t="b">
        <v>0</v>
      </c>
      <c r="I175" s="102" t="b">
        <v>0</v>
      </c>
      <c r="J175" s="102" t="b">
        <v>0</v>
      </c>
      <c r="K175" s="102" t="b">
        <v>0</v>
      </c>
      <c r="L175" s="102" t="b">
        <v>0</v>
      </c>
    </row>
    <row r="176" spans="1:12" ht="15">
      <c r="A176" s="104" t="s">
        <v>2366</v>
      </c>
      <c r="B176" s="102" t="s">
        <v>2712</v>
      </c>
      <c r="C176" s="102">
        <v>4</v>
      </c>
      <c r="D176" s="106">
        <v>0.0008609812736465055</v>
      </c>
      <c r="E176" s="106">
        <v>2.302784306280944</v>
      </c>
      <c r="F176" s="102" t="s">
        <v>3369</v>
      </c>
      <c r="G176" s="102" t="b">
        <v>0</v>
      </c>
      <c r="H176" s="102" t="b">
        <v>0</v>
      </c>
      <c r="I176" s="102" t="b">
        <v>0</v>
      </c>
      <c r="J176" s="102" t="b">
        <v>0</v>
      </c>
      <c r="K176" s="102" t="b">
        <v>0</v>
      </c>
      <c r="L176" s="102" t="b">
        <v>0</v>
      </c>
    </row>
    <row r="177" spans="1:12" ht="15">
      <c r="A177" s="104" t="s">
        <v>2712</v>
      </c>
      <c r="B177" s="102" t="s">
        <v>2371</v>
      </c>
      <c r="C177" s="102">
        <v>4</v>
      </c>
      <c r="D177" s="106">
        <v>0.0008609812736465055</v>
      </c>
      <c r="E177" s="106">
        <v>2.4075196568009574</v>
      </c>
      <c r="F177" s="102" t="s">
        <v>3369</v>
      </c>
      <c r="G177" s="102" t="b">
        <v>0</v>
      </c>
      <c r="H177" s="102" t="b">
        <v>0</v>
      </c>
      <c r="I177" s="102" t="b">
        <v>0</v>
      </c>
      <c r="J177" s="102" t="b">
        <v>0</v>
      </c>
      <c r="K177" s="102" t="b">
        <v>0</v>
      </c>
      <c r="L177" s="102" t="b">
        <v>0</v>
      </c>
    </row>
    <row r="178" spans="1:12" ht="15">
      <c r="A178" s="104" t="s">
        <v>2389</v>
      </c>
      <c r="B178" s="102" t="s">
        <v>2371</v>
      </c>
      <c r="C178" s="102">
        <v>4</v>
      </c>
      <c r="D178" s="106">
        <v>0.0008609812736465055</v>
      </c>
      <c r="E178" s="106">
        <v>1.6671569673067135</v>
      </c>
      <c r="F178" s="102" t="s">
        <v>3369</v>
      </c>
      <c r="G178" s="102" t="b">
        <v>0</v>
      </c>
      <c r="H178" s="102" t="b">
        <v>0</v>
      </c>
      <c r="I178" s="102" t="b">
        <v>0</v>
      </c>
      <c r="J178" s="102" t="b">
        <v>0</v>
      </c>
      <c r="K178" s="102" t="b">
        <v>0</v>
      </c>
      <c r="L178" s="102" t="b">
        <v>0</v>
      </c>
    </row>
    <row r="179" spans="1:12" ht="15">
      <c r="A179" s="104" t="s">
        <v>2363</v>
      </c>
      <c r="B179" s="102" t="s">
        <v>2713</v>
      </c>
      <c r="C179" s="102">
        <v>4</v>
      </c>
      <c r="D179" s="106">
        <v>0.0008609812736465055</v>
      </c>
      <c r="E179" s="106">
        <v>2.2925651410992582</v>
      </c>
      <c r="F179" s="102" t="s">
        <v>3369</v>
      </c>
      <c r="G179" s="102" t="b">
        <v>0</v>
      </c>
      <c r="H179" s="102" t="b">
        <v>0</v>
      </c>
      <c r="I179" s="102" t="b">
        <v>0</v>
      </c>
      <c r="J179" s="102" t="b">
        <v>0</v>
      </c>
      <c r="K179" s="102" t="b">
        <v>0</v>
      </c>
      <c r="L179" s="102" t="b">
        <v>0</v>
      </c>
    </row>
    <row r="180" spans="1:12" ht="15">
      <c r="A180" s="104" t="s">
        <v>2713</v>
      </c>
      <c r="B180" s="102" t="s">
        <v>2371</v>
      </c>
      <c r="C180" s="102">
        <v>4</v>
      </c>
      <c r="D180" s="106">
        <v>0.0008609812736465055</v>
      </c>
      <c r="E180" s="106">
        <v>2.4075196568009574</v>
      </c>
      <c r="F180" s="102" t="s">
        <v>3369</v>
      </c>
      <c r="G180" s="102" t="b">
        <v>0</v>
      </c>
      <c r="H180" s="102" t="b">
        <v>0</v>
      </c>
      <c r="I180" s="102" t="b">
        <v>0</v>
      </c>
      <c r="J180" s="102" t="b">
        <v>0</v>
      </c>
      <c r="K180" s="102" t="b">
        <v>0</v>
      </c>
      <c r="L180" s="102" t="b">
        <v>0</v>
      </c>
    </row>
    <row r="181" spans="1:12" ht="15">
      <c r="A181" s="104" t="s">
        <v>2363</v>
      </c>
      <c r="B181" s="102" t="s">
        <v>2435</v>
      </c>
      <c r="C181" s="102">
        <v>4</v>
      </c>
      <c r="D181" s="106">
        <v>0.0008609812736465055</v>
      </c>
      <c r="E181" s="106">
        <v>1.7484970967489826</v>
      </c>
      <c r="F181" s="102" t="s">
        <v>3369</v>
      </c>
      <c r="G181" s="102" t="b">
        <v>0</v>
      </c>
      <c r="H181" s="102" t="b">
        <v>0</v>
      </c>
      <c r="I181" s="102" t="b">
        <v>0</v>
      </c>
      <c r="J181" s="102" t="b">
        <v>0</v>
      </c>
      <c r="K181" s="102" t="b">
        <v>0</v>
      </c>
      <c r="L181" s="102" t="b">
        <v>0</v>
      </c>
    </row>
    <row r="182" spans="1:12" ht="15">
      <c r="A182" s="104" t="s">
        <v>2435</v>
      </c>
      <c r="B182" s="102" t="s">
        <v>2394</v>
      </c>
      <c r="C182" s="102">
        <v>4</v>
      </c>
      <c r="D182" s="106">
        <v>0.0008609812736465055</v>
      </c>
      <c r="E182" s="106">
        <v>2.080935556664588</v>
      </c>
      <c r="F182" s="102" t="s">
        <v>3369</v>
      </c>
      <c r="G182" s="102" t="b">
        <v>0</v>
      </c>
      <c r="H182" s="102" t="b">
        <v>0</v>
      </c>
      <c r="I182" s="102" t="b">
        <v>0</v>
      </c>
      <c r="J182" s="102" t="b">
        <v>0</v>
      </c>
      <c r="K182" s="102" t="b">
        <v>0</v>
      </c>
      <c r="L182" s="102" t="b">
        <v>0</v>
      </c>
    </row>
    <row r="183" spans="1:12" ht="15">
      <c r="A183" s="104" t="s">
        <v>2363</v>
      </c>
      <c r="B183" s="102" t="s">
        <v>2376</v>
      </c>
      <c r="C183" s="102">
        <v>4</v>
      </c>
      <c r="D183" s="106">
        <v>0.0008609812736465055</v>
      </c>
      <c r="E183" s="106">
        <v>1.4175038777075581</v>
      </c>
      <c r="F183" s="102" t="s">
        <v>3369</v>
      </c>
      <c r="G183" s="102" t="b">
        <v>0</v>
      </c>
      <c r="H183" s="102" t="b">
        <v>0</v>
      </c>
      <c r="I183" s="102" t="b">
        <v>0</v>
      </c>
      <c r="J183" s="102" t="b">
        <v>0</v>
      </c>
      <c r="K183" s="102" t="b">
        <v>0</v>
      </c>
      <c r="L183" s="102" t="b">
        <v>0</v>
      </c>
    </row>
    <row r="184" spans="1:12" ht="15">
      <c r="A184" s="104" t="s">
        <v>2376</v>
      </c>
      <c r="B184" s="102" t="s">
        <v>2371</v>
      </c>
      <c r="C184" s="102">
        <v>4</v>
      </c>
      <c r="D184" s="106">
        <v>0.0008609812736465055</v>
      </c>
      <c r="E184" s="106">
        <v>1.532458393409257</v>
      </c>
      <c r="F184" s="102" t="s">
        <v>3369</v>
      </c>
      <c r="G184" s="102" t="b">
        <v>0</v>
      </c>
      <c r="H184" s="102" t="b">
        <v>0</v>
      </c>
      <c r="I184" s="102" t="b">
        <v>0</v>
      </c>
      <c r="J184" s="102" t="b">
        <v>0</v>
      </c>
      <c r="K184" s="102" t="b">
        <v>0</v>
      </c>
      <c r="L184" s="102" t="b">
        <v>0</v>
      </c>
    </row>
    <row r="185" spans="1:12" ht="15">
      <c r="A185" s="104" t="s">
        <v>2382</v>
      </c>
      <c r="B185" s="102" t="s">
        <v>2357</v>
      </c>
      <c r="C185" s="102">
        <v>4</v>
      </c>
      <c r="D185" s="106">
        <v>0.0009181745611760546</v>
      </c>
      <c r="E185" s="106">
        <v>1.280365755097084</v>
      </c>
      <c r="F185" s="102" t="s">
        <v>3369</v>
      </c>
      <c r="G185" s="102" t="b">
        <v>0</v>
      </c>
      <c r="H185" s="102" t="b">
        <v>0</v>
      </c>
      <c r="I185" s="102" t="b">
        <v>0</v>
      </c>
      <c r="J185" s="102" t="b">
        <v>0</v>
      </c>
      <c r="K185" s="102" t="b">
        <v>0</v>
      </c>
      <c r="L185" s="102" t="b">
        <v>0</v>
      </c>
    </row>
    <row r="186" spans="1:12" ht="15">
      <c r="A186" s="104" t="s">
        <v>2595</v>
      </c>
      <c r="B186" s="102" t="s">
        <v>2507</v>
      </c>
      <c r="C186" s="102">
        <v>4</v>
      </c>
      <c r="D186" s="106">
        <v>0.0011365866713704527</v>
      </c>
      <c r="E186" s="106">
        <v>2.7956998281838388</v>
      </c>
      <c r="F186" s="102" t="s">
        <v>3369</v>
      </c>
      <c r="G186" s="102" t="b">
        <v>0</v>
      </c>
      <c r="H186" s="102" t="b">
        <v>0</v>
      </c>
      <c r="I186" s="102" t="b">
        <v>0</v>
      </c>
      <c r="J186" s="102" t="b">
        <v>0</v>
      </c>
      <c r="K186" s="102" t="b">
        <v>0</v>
      </c>
      <c r="L186" s="102" t="b">
        <v>0</v>
      </c>
    </row>
    <row r="187" spans="1:12" ht="15">
      <c r="A187" s="104" t="s">
        <v>2725</v>
      </c>
      <c r="B187" s="102" t="s">
        <v>2350</v>
      </c>
      <c r="C187" s="102">
        <v>4</v>
      </c>
      <c r="D187" s="106">
        <v>0.0009181745611760546</v>
      </c>
      <c r="E187" s="106">
        <v>1.6315673705172515</v>
      </c>
      <c r="F187" s="102" t="s">
        <v>3369</v>
      </c>
      <c r="G187" s="102" t="b">
        <v>0</v>
      </c>
      <c r="H187" s="102" t="b">
        <v>0</v>
      </c>
      <c r="I187" s="102" t="b">
        <v>0</v>
      </c>
      <c r="J187" s="102" t="b">
        <v>0</v>
      </c>
      <c r="K187" s="102" t="b">
        <v>0</v>
      </c>
      <c r="L187" s="102" t="b">
        <v>0</v>
      </c>
    </row>
    <row r="188" spans="1:12" ht="15">
      <c r="A188" s="104" t="s">
        <v>2397</v>
      </c>
      <c r="B188" s="102" t="s">
        <v>2350</v>
      </c>
      <c r="C188" s="102">
        <v>4</v>
      </c>
      <c r="D188" s="106">
        <v>0.0008609812736465055</v>
      </c>
      <c r="E188" s="106">
        <v>0.9114080671112949</v>
      </c>
      <c r="F188" s="102" t="s">
        <v>3369</v>
      </c>
      <c r="G188" s="102" t="b">
        <v>0</v>
      </c>
      <c r="H188" s="102" t="b">
        <v>0</v>
      </c>
      <c r="I188" s="102" t="b">
        <v>0</v>
      </c>
      <c r="J188" s="102" t="b">
        <v>0</v>
      </c>
      <c r="K188" s="102" t="b">
        <v>0</v>
      </c>
      <c r="L188" s="102" t="b">
        <v>0</v>
      </c>
    </row>
    <row r="189" spans="1:12" ht="15">
      <c r="A189" s="104" t="s">
        <v>2596</v>
      </c>
      <c r="B189" s="102" t="s">
        <v>2422</v>
      </c>
      <c r="C189" s="102">
        <v>4</v>
      </c>
      <c r="D189" s="106">
        <v>0.0008609812736465055</v>
      </c>
      <c r="E189" s="106">
        <v>2.573851078567482</v>
      </c>
      <c r="F189" s="102" t="s">
        <v>3369</v>
      </c>
      <c r="G189" s="102" t="b">
        <v>0</v>
      </c>
      <c r="H189" s="102" t="b">
        <v>0</v>
      </c>
      <c r="I189" s="102" t="b">
        <v>0</v>
      </c>
      <c r="J189" s="102" t="b">
        <v>0</v>
      </c>
      <c r="K189" s="102" t="b">
        <v>0</v>
      </c>
      <c r="L189" s="102" t="b">
        <v>0</v>
      </c>
    </row>
    <row r="190" spans="1:12" ht="15">
      <c r="A190" s="104" t="s">
        <v>2360</v>
      </c>
      <c r="B190" s="102" t="s">
        <v>2451</v>
      </c>
      <c r="C190" s="102">
        <v>4</v>
      </c>
      <c r="D190" s="106">
        <v>0.0008609812736465055</v>
      </c>
      <c r="E190" s="106">
        <v>1.7706975592137828</v>
      </c>
      <c r="F190" s="102" t="s">
        <v>3369</v>
      </c>
      <c r="G190" s="102" t="b">
        <v>0</v>
      </c>
      <c r="H190" s="102" t="b">
        <v>1</v>
      </c>
      <c r="I190" s="102" t="b">
        <v>0</v>
      </c>
      <c r="J190" s="102" t="b">
        <v>0</v>
      </c>
      <c r="K190" s="102" t="b">
        <v>0</v>
      </c>
      <c r="L190" s="102" t="b">
        <v>0</v>
      </c>
    </row>
    <row r="191" spans="1:12" ht="15">
      <c r="A191" s="104" t="s">
        <v>2731</v>
      </c>
      <c r="B191" s="102" t="s">
        <v>2655</v>
      </c>
      <c r="C191" s="102">
        <v>4</v>
      </c>
      <c r="D191" s="106">
        <v>0.0011365866713704527</v>
      </c>
      <c r="E191" s="106">
        <v>3.2270635923428257</v>
      </c>
      <c r="F191" s="102" t="s">
        <v>3369</v>
      </c>
      <c r="G191" s="102" t="b">
        <v>0</v>
      </c>
      <c r="H191" s="102" t="b">
        <v>0</v>
      </c>
      <c r="I191" s="102" t="b">
        <v>0</v>
      </c>
      <c r="J191" s="102" t="b">
        <v>0</v>
      </c>
      <c r="K191" s="102" t="b">
        <v>0</v>
      </c>
      <c r="L191" s="102" t="b">
        <v>0</v>
      </c>
    </row>
    <row r="192" spans="1:12" ht="15">
      <c r="A192" s="104" t="s">
        <v>2659</v>
      </c>
      <c r="B192" s="102" t="s">
        <v>2736</v>
      </c>
      <c r="C192" s="102">
        <v>4</v>
      </c>
      <c r="D192" s="106">
        <v>0.0011365866713704527</v>
      </c>
      <c r="E192" s="106">
        <v>3.2270635923428257</v>
      </c>
      <c r="F192" s="102" t="s">
        <v>3369</v>
      </c>
      <c r="G192" s="102" t="b">
        <v>0</v>
      </c>
      <c r="H192" s="102" t="b">
        <v>0</v>
      </c>
      <c r="I192" s="102" t="b">
        <v>0</v>
      </c>
      <c r="J192" s="102" t="b">
        <v>0</v>
      </c>
      <c r="K192" s="102" t="b">
        <v>0</v>
      </c>
      <c r="L192" s="102" t="b">
        <v>0</v>
      </c>
    </row>
    <row r="193" spans="1:12" ht="15">
      <c r="A193" s="104" t="s">
        <v>2736</v>
      </c>
      <c r="B193" s="102" t="s">
        <v>2660</v>
      </c>
      <c r="C193" s="102">
        <v>4</v>
      </c>
      <c r="D193" s="106">
        <v>0.0011365866713704527</v>
      </c>
      <c r="E193" s="106">
        <v>3.2270635923428257</v>
      </c>
      <c r="F193" s="102" t="s">
        <v>3369</v>
      </c>
      <c r="G193" s="102" t="b">
        <v>0</v>
      </c>
      <c r="H193" s="102" t="b">
        <v>0</v>
      </c>
      <c r="I193" s="102" t="b">
        <v>0</v>
      </c>
      <c r="J193" s="102" t="b">
        <v>0</v>
      </c>
      <c r="K193" s="102" t="b">
        <v>0</v>
      </c>
      <c r="L193" s="102" t="b">
        <v>0</v>
      </c>
    </row>
    <row r="194" spans="1:12" ht="15">
      <c r="A194" s="104" t="s">
        <v>2354</v>
      </c>
      <c r="B194" s="102" t="s">
        <v>2353</v>
      </c>
      <c r="C194" s="102">
        <v>4</v>
      </c>
      <c r="D194" s="106">
        <v>0.0011365866713704527</v>
      </c>
      <c r="E194" s="106">
        <v>0.8999090799333944</v>
      </c>
      <c r="F194" s="102" t="s">
        <v>3369</v>
      </c>
      <c r="G194" s="102" t="b">
        <v>0</v>
      </c>
      <c r="H194" s="102" t="b">
        <v>0</v>
      </c>
      <c r="I194" s="102" t="b">
        <v>0</v>
      </c>
      <c r="J194" s="102" t="b">
        <v>0</v>
      </c>
      <c r="K194" s="102" t="b">
        <v>0</v>
      </c>
      <c r="L194" s="102" t="b">
        <v>0</v>
      </c>
    </row>
    <row r="195" spans="1:12" ht="15">
      <c r="A195" s="104" t="s">
        <v>2353</v>
      </c>
      <c r="B195" s="102" t="s">
        <v>2353</v>
      </c>
      <c r="C195" s="102">
        <v>4</v>
      </c>
      <c r="D195" s="106">
        <v>0.0009181745611760546</v>
      </c>
      <c r="E195" s="106">
        <v>0.7842703664030567</v>
      </c>
      <c r="F195" s="102" t="s">
        <v>3369</v>
      </c>
      <c r="G195" s="102" t="b">
        <v>0</v>
      </c>
      <c r="H195" s="102" t="b">
        <v>0</v>
      </c>
      <c r="I195" s="102" t="b">
        <v>0</v>
      </c>
      <c r="J195" s="102" t="b">
        <v>0</v>
      </c>
      <c r="K195" s="102" t="b">
        <v>0</v>
      </c>
      <c r="L195" s="102" t="b">
        <v>0</v>
      </c>
    </row>
    <row r="196" spans="1:12" ht="15">
      <c r="A196" s="104" t="s">
        <v>2377</v>
      </c>
      <c r="B196" s="102" t="s">
        <v>2348</v>
      </c>
      <c r="C196" s="102">
        <v>4</v>
      </c>
      <c r="D196" s="106">
        <v>0.0008609812736465055</v>
      </c>
      <c r="E196" s="106">
        <v>0.7350019878302269</v>
      </c>
      <c r="F196" s="102" t="s">
        <v>3369</v>
      </c>
      <c r="G196" s="102" t="b">
        <v>0</v>
      </c>
      <c r="H196" s="102" t="b">
        <v>0</v>
      </c>
      <c r="I196" s="102" t="b">
        <v>0</v>
      </c>
      <c r="J196" s="102" t="b">
        <v>0</v>
      </c>
      <c r="K196" s="102" t="b">
        <v>0</v>
      </c>
      <c r="L196" s="102" t="b">
        <v>0</v>
      </c>
    </row>
    <row r="197" spans="1:12" ht="15">
      <c r="A197" s="104" t="s">
        <v>2351</v>
      </c>
      <c r="B197" s="102" t="s">
        <v>2384</v>
      </c>
      <c r="C197" s="102">
        <v>4</v>
      </c>
      <c r="D197" s="106">
        <v>0.0008609812736465055</v>
      </c>
      <c r="E197" s="106">
        <v>0.8390512489786353</v>
      </c>
      <c r="F197" s="102" t="s">
        <v>3369</v>
      </c>
      <c r="G197" s="102" t="b">
        <v>0</v>
      </c>
      <c r="H197" s="102" t="b">
        <v>0</v>
      </c>
      <c r="I197" s="102" t="b">
        <v>0</v>
      </c>
      <c r="J197" s="102" t="b">
        <v>0</v>
      </c>
      <c r="K197" s="102" t="b">
        <v>0</v>
      </c>
      <c r="L197" s="102" t="b">
        <v>0</v>
      </c>
    </row>
    <row r="198" spans="1:12" ht="15">
      <c r="A198" s="104" t="s">
        <v>2384</v>
      </c>
      <c r="B198" s="102" t="s">
        <v>2666</v>
      </c>
      <c r="C198" s="102">
        <v>4</v>
      </c>
      <c r="D198" s="106">
        <v>0.0008609812736465055</v>
      </c>
      <c r="E198" s="106">
        <v>2.381965552328569</v>
      </c>
      <c r="F198" s="102" t="s">
        <v>3369</v>
      </c>
      <c r="G198" s="102" t="b">
        <v>0</v>
      </c>
      <c r="H198" s="102" t="b">
        <v>0</v>
      </c>
      <c r="I198" s="102" t="b">
        <v>0</v>
      </c>
      <c r="J198" s="102" t="b">
        <v>0</v>
      </c>
      <c r="K198" s="102" t="b">
        <v>0</v>
      </c>
      <c r="L198" s="102" t="b">
        <v>0</v>
      </c>
    </row>
    <row r="199" spans="1:12" ht="15">
      <c r="A199" s="104" t="s">
        <v>2349</v>
      </c>
      <c r="B199" s="102" t="s">
        <v>2491</v>
      </c>
      <c r="C199" s="102">
        <v>4</v>
      </c>
      <c r="D199" s="106">
        <v>0.0008609812736465055</v>
      </c>
      <c r="E199" s="106">
        <v>1.2017577270780557</v>
      </c>
      <c r="F199" s="102" t="s">
        <v>3369</v>
      </c>
      <c r="G199" s="102" t="b">
        <v>0</v>
      </c>
      <c r="H199" s="102" t="b">
        <v>0</v>
      </c>
      <c r="I199" s="102" t="b">
        <v>0</v>
      </c>
      <c r="J199" s="102" t="b">
        <v>0</v>
      </c>
      <c r="K199" s="102" t="b">
        <v>0</v>
      </c>
      <c r="L199" s="102" t="b">
        <v>0</v>
      </c>
    </row>
    <row r="200" spans="1:12" ht="15">
      <c r="A200" s="104" t="s">
        <v>2572</v>
      </c>
      <c r="B200" s="102" t="s">
        <v>2355</v>
      </c>
      <c r="C200" s="102">
        <v>4</v>
      </c>
      <c r="D200" s="106">
        <v>0.0011365866713704527</v>
      </c>
      <c r="E200" s="106">
        <v>1.876815574008663</v>
      </c>
      <c r="F200" s="102" t="s">
        <v>3369</v>
      </c>
      <c r="G200" s="102" t="b">
        <v>0</v>
      </c>
      <c r="H200" s="102" t="b">
        <v>0</v>
      </c>
      <c r="I200" s="102" t="b">
        <v>0</v>
      </c>
      <c r="J200" s="102" t="b">
        <v>0</v>
      </c>
      <c r="K200" s="102" t="b">
        <v>0</v>
      </c>
      <c r="L200" s="102" t="b">
        <v>0</v>
      </c>
    </row>
    <row r="201" spans="1:12" ht="15">
      <c r="A201" s="104" t="s">
        <v>2443</v>
      </c>
      <c r="B201" s="102" t="s">
        <v>2572</v>
      </c>
      <c r="C201" s="102">
        <v>4</v>
      </c>
      <c r="D201" s="106">
        <v>0.0011365866713704527</v>
      </c>
      <c r="E201" s="106">
        <v>2.6038143019449254</v>
      </c>
      <c r="F201" s="102" t="s">
        <v>3369</v>
      </c>
      <c r="G201" s="102" t="b">
        <v>0</v>
      </c>
      <c r="H201" s="102" t="b">
        <v>0</v>
      </c>
      <c r="I201" s="102" t="b">
        <v>0</v>
      </c>
      <c r="J201" s="102" t="b">
        <v>0</v>
      </c>
      <c r="K201" s="102" t="b">
        <v>0</v>
      </c>
      <c r="L201" s="102" t="b">
        <v>0</v>
      </c>
    </row>
    <row r="202" spans="1:12" ht="15">
      <c r="A202" s="104" t="s">
        <v>2351</v>
      </c>
      <c r="B202" s="102" t="s">
        <v>2362</v>
      </c>
      <c r="C202" s="102">
        <v>4</v>
      </c>
      <c r="D202" s="106">
        <v>0.0009181745611760546</v>
      </c>
      <c r="E202" s="106">
        <v>0.636946557558036</v>
      </c>
      <c r="F202" s="102" t="s">
        <v>3369</v>
      </c>
      <c r="G202" s="102" t="b">
        <v>0</v>
      </c>
      <c r="H202" s="102" t="b">
        <v>0</v>
      </c>
      <c r="I202" s="102" t="b">
        <v>0</v>
      </c>
      <c r="J202" s="102" t="b">
        <v>0</v>
      </c>
      <c r="K202" s="102" t="b">
        <v>0</v>
      </c>
      <c r="L202" s="102" t="b">
        <v>0</v>
      </c>
    </row>
    <row r="203" spans="1:12" ht="15">
      <c r="A203" s="104" t="s">
        <v>2362</v>
      </c>
      <c r="B203" s="102" t="s">
        <v>2423</v>
      </c>
      <c r="C203" s="102">
        <v>4</v>
      </c>
      <c r="D203" s="106">
        <v>0.0008609812736465055</v>
      </c>
      <c r="E203" s="106">
        <v>1.6707610915755386</v>
      </c>
      <c r="F203" s="102" t="s">
        <v>3369</v>
      </c>
      <c r="G203" s="102" t="b">
        <v>0</v>
      </c>
      <c r="H203" s="102" t="b">
        <v>0</v>
      </c>
      <c r="I203" s="102" t="b">
        <v>0</v>
      </c>
      <c r="J203" s="102" t="b">
        <v>0</v>
      </c>
      <c r="K203" s="102" t="b">
        <v>0</v>
      </c>
      <c r="L203" s="102" t="b">
        <v>0</v>
      </c>
    </row>
    <row r="204" spans="1:12" ht="15">
      <c r="A204" s="104" t="s">
        <v>2357</v>
      </c>
      <c r="B204" s="102" t="s">
        <v>2384</v>
      </c>
      <c r="C204" s="102">
        <v>4</v>
      </c>
      <c r="D204" s="106">
        <v>0.0008609812736465055</v>
      </c>
      <c r="E204" s="106">
        <v>1.3113999888370527</v>
      </c>
      <c r="F204" s="102" t="s">
        <v>3369</v>
      </c>
      <c r="G204" s="102" t="b">
        <v>0</v>
      </c>
      <c r="H204" s="102" t="b">
        <v>0</v>
      </c>
      <c r="I204" s="102" t="b">
        <v>0</v>
      </c>
      <c r="J204" s="102" t="b">
        <v>0</v>
      </c>
      <c r="K204" s="102" t="b">
        <v>0</v>
      </c>
      <c r="L204" s="102" t="b">
        <v>0</v>
      </c>
    </row>
    <row r="205" spans="1:12" ht="15">
      <c r="A205" s="104" t="s">
        <v>2481</v>
      </c>
      <c r="B205" s="102" t="s">
        <v>2361</v>
      </c>
      <c r="C205" s="102">
        <v>4</v>
      </c>
      <c r="D205" s="106">
        <v>0.0008609812736465055</v>
      </c>
      <c r="E205" s="106">
        <v>1.9717910872395197</v>
      </c>
      <c r="F205" s="102" t="s">
        <v>3369</v>
      </c>
      <c r="G205" s="102" t="b">
        <v>0</v>
      </c>
      <c r="H205" s="102" t="b">
        <v>0</v>
      </c>
      <c r="I205" s="102" t="b">
        <v>0</v>
      </c>
      <c r="J205" s="102" t="b">
        <v>0</v>
      </c>
      <c r="K205" s="102" t="b">
        <v>0</v>
      </c>
      <c r="L205" s="102" t="b">
        <v>0</v>
      </c>
    </row>
    <row r="206" spans="1:12" ht="15">
      <c r="A206" s="104" t="s">
        <v>2359</v>
      </c>
      <c r="B206" s="102" t="s">
        <v>2751</v>
      </c>
      <c r="C206" s="102">
        <v>4</v>
      </c>
      <c r="D206" s="106">
        <v>0.0008609812736465055</v>
      </c>
      <c r="E206" s="106">
        <v>2.2447923593032573</v>
      </c>
      <c r="F206" s="102" t="s">
        <v>3369</v>
      </c>
      <c r="G206" s="102" t="b">
        <v>0</v>
      </c>
      <c r="H206" s="102" t="b">
        <v>0</v>
      </c>
      <c r="I206" s="102" t="b">
        <v>0</v>
      </c>
      <c r="J206" s="102" t="b">
        <v>0</v>
      </c>
      <c r="K206" s="102" t="b">
        <v>0</v>
      </c>
      <c r="L206" s="102" t="b">
        <v>0</v>
      </c>
    </row>
    <row r="207" spans="1:12" ht="15">
      <c r="A207" s="104" t="s">
        <v>2366</v>
      </c>
      <c r="B207" s="102" t="s">
        <v>2571</v>
      </c>
      <c r="C207" s="102">
        <v>4</v>
      </c>
      <c r="D207" s="106">
        <v>0.0008609812736465055</v>
      </c>
      <c r="E207" s="106">
        <v>2.0597462575946497</v>
      </c>
      <c r="F207" s="102" t="s">
        <v>3369</v>
      </c>
      <c r="G207" s="102" t="b">
        <v>0</v>
      </c>
      <c r="H207" s="102" t="b">
        <v>0</v>
      </c>
      <c r="I207" s="102" t="b">
        <v>0</v>
      </c>
      <c r="J207" s="102" t="b">
        <v>0</v>
      </c>
      <c r="K207" s="102" t="b">
        <v>0</v>
      </c>
      <c r="L207" s="102" t="b">
        <v>0</v>
      </c>
    </row>
    <row r="208" spans="1:12" ht="15">
      <c r="A208" s="104" t="s">
        <v>2571</v>
      </c>
      <c r="B208" s="102" t="s">
        <v>2570</v>
      </c>
      <c r="C208" s="102">
        <v>4</v>
      </c>
      <c r="D208" s="106">
        <v>0.0008609812736465055</v>
      </c>
      <c r="E208" s="106">
        <v>2.8378975079782935</v>
      </c>
      <c r="F208" s="102" t="s">
        <v>3369</v>
      </c>
      <c r="G208" s="102" t="b">
        <v>0</v>
      </c>
      <c r="H208" s="102" t="b">
        <v>0</v>
      </c>
      <c r="I208" s="102" t="b">
        <v>0</v>
      </c>
      <c r="J208" s="102" t="b">
        <v>0</v>
      </c>
      <c r="K208" s="102" t="b">
        <v>0</v>
      </c>
      <c r="L208" s="102" t="b">
        <v>0</v>
      </c>
    </row>
    <row r="209" spans="1:12" ht="15">
      <c r="A209" s="104" t="s">
        <v>2570</v>
      </c>
      <c r="B209" s="102" t="s">
        <v>2370</v>
      </c>
      <c r="C209" s="102">
        <v>4</v>
      </c>
      <c r="D209" s="106">
        <v>0.0008609812736465055</v>
      </c>
      <c r="E209" s="106">
        <v>2.151516630950295</v>
      </c>
      <c r="F209" s="102" t="s">
        <v>3369</v>
      </c>
      <c r="G209" s="102" t="b">
        <v>0</v>
      </c>
      <c r="H209" s="102" t="b">
        <v>0</v>
      </c>
      <c r="I209" s="102" t="b">
        <v>0</v>
      </c>
      <c r="J209" s="102" t="b">
        <v>0</v>
      </c>
      <c r="K209" s="102" t="b">
        <v>0</v>
      </c>
      <c r="L209" s="102" t="b">
        <v>0</v>
      </c>
    </row>
    <row r="210" spans="1:12" ht="15">
      <c r="A210" s="104" t="s">
        <v>2370</v>
      </c>
      <c r="B210" s="102" t="s">
        <v>2376</v>
      </c>
      <c r="C210" s="102">
        <v>4</v>
      </c>
      <c r="D210" s="106">
        <v>0.0008609812736465055</v>
      </c>
      <c r="E210" s="106">
        <v>1.5194934162448894</v>
      </c>
      <c r="F210" s="102" t="s">
        <v>3369</v>
      </c>
      <c r="G210" s="102" t="b">
        <v>0</v>
      </c>
      <c r="H210" s="102" t="b">
        <v>0</v>
      </c>
      <c r="I210" s="102" t="b">
        <v>0</v>
      </c>
      <c r="J210" s="102" t="b">
        <v>0</v>
      </c>
      <c r="K210" s="102" t="b">
        <v>0</v>
      </c>
      <c r="L210" s="102" t="b">
        <v>0</v>
      </c>
    </row>
    <row r="211" spans="1:12" ht="15">
      <c r="A211" s="104" t="s">
        <v>2376</v>
      </c>
      <c r="B211" s="102" t="s">
        <v>2435</v>
      </c>
      <c r="C211" s="102">
        <v>4</v>
      </c>
      <c r="D211" s="106">
        <v>0.0008609812736465055</v>
      </c>
      <c r="E211" s="106">
        <v>1.9048442976089066</v>
      </c>
      <c r="F211" s="102" t="s">
        <v>3369</v>
      </c>
      <c r="G211" s="102" t="b">
        <v>0</v>
      </c>
      <c r="H211" s="102" t="b">
        <v>0</v>
      </c>
      <c r="I211" s="102" t="b">
        <v>0</v>
      </c>
      <c r="J211" s="102" t="b">
        <v>0</v>
      </c>
      <c r="K211" s="102" t="b">
        <v>0</v>
      </c>
      <c r="L211" s="102" t="b">
        <v>0</v>
      </c>
    </row>
    <row r="212" spans="1:12" ht="15">
      <c r="A212" s="104" t="s">
        <v>2435</v>
      </c>
      <c r="B212" s="102" t="s">
        <v>2509</v>
      </c>
      <c r="C212" s="102">
        <v>4</v>
      </c>
      <c r="D212" s="106">
        <v>0.0008609812736465055</v>
      </c>
      <c r="E212" s="106">
        <v>2.4788755653366255</v>
      </c>
      <c r="F212" s="102" t="s">
        <v>3369</v>
      </c>
      <c r="G212" s="102" t="b">
        <v>0</v>
      </c>
      <c r="H212" s="102" t="b">
        <v>0</v>
      </c>
      <c r="I212" s="102" t="b">
        <v>0</v>
      </c>
      <c r="J212" s="102" t="b">
        <v>0</v>
      </c>
      <c r="K212" s="102" t="b">
        <v>0</v>
      </c>
      <c r="L212" s="102" t="b">
        <v>0</v>
      </c>
    </row>
    <row r="213" spans="1:12" ht="15">
      <c r="A213" s="104" t="s">
        <v>2509</v>
      </c>
      <c r="B213" s="102" t="s">
        <v>2352</v>
      </c>
      <c r="C213" s="102">
        <v>4</v>
      </c>
      <c r="D213" s="106">
        <v>0.0008609812736465055</v>
      </c>
      <c r="E213" s="106">
        <v>1.5285280997808248</v>
      </c>
      <c r="F213" s="102" t="s">
        <v>3369</v>
      </c>
      <c r="G213" s="102" t="b">
        <v>0</v>
      </c>
      <c r="H213" s="102" t="b">
        <v>0</v>
      </c>
      <c r="I213" s="102" t="b">
        <v>0</v>
      </c>
      <c r="J213" s="102" t="b">
        <v>0</v>
      </c>
      <c r="K213" s="102" t="b">
        <v>0</v>
      </c>
      <c r="L213" s="102" t="b">
        <v>0</v>
      </c>
    </row>
    <row r="214" spans="1:12" ht="15">
      <c r="A214" s="104" t="s">
        <v>2508</v>
      </c>
      <c r="B214" s="102" t="s">
        <v>2352</v>
      </c>
      <c r="C214" s="102">
        <v>4</v>
      </c>
      <c r="D214" s="106">
        <v>0.0008609812736465055</v>
      </c>
      <c r="E214" s="106">
        <v>1.5285280997808248</v>
      </c>
      <c r="F214" s="102" t="s">
        <v>3369</v>
      </c>
      <c r="G214" s="102" t="b">
        <v>0</v>
      </c>
      <c r="H214" s="102" t="b">
        <v>0</v>
      </c>
      <c r="I214" s="102" t="b">
        <v>0</v>
      </c>
      <c r="J214" s="102" t="b">
        <v>0</v>
      </c>
      <c r="K214" s="102" t="b">
        <v>0</v>
      </c>
      <c r="L214" s="102" t="b">
        <v>0</v>
      </c>
    </row>
    <row r="215" spans="1:12" ht="15">
      <c r="A215" s="104" t="s">
        <v>2364</v>
      </c>
      <c r="B215" s="102" t="s">
        <v>2433</v>
      </c>
      <c r="C215" s="102">
        <v>4</v>
      </c>
      <c r="D215" s="106">
        <v>0.0008609812736465055</v>
      </c>
      <c r="E215" s="106">
        <v>1.7287530385532253</v>
      </c>
      <c r="F215" s="102" t="s">
        <v>3369</v>
      </c>
      <c r="G215" s="102" t="b">
        <v>0</v>
      </c>
      <c r="H215" s="102" t="b">
        <v>0</v>
      </c>
      <c r="I215" s="102" t="b">
        <v>0</v>
      </c>
      <c r="J215" s="102" t="b">
        <v>0</v>
      </c>
      <c r="K215" s="102" t="b">
        <v>0</v>
      </c>
      <c r="L215" s="102" t="b">
        <v>0</v>
      </c>
    </row>
    <row r="216" spans="1:12" ht="15">
      <c r="A216" s="104" t="s">
        <v>2349</v>
      </c>
      <c r="B216" s="102" t="s">
        <v>2392</v>
      </c>
      <c r="C216" s="102">
        <v>4</v>
      </c>
      <c r="D216" s="106">
        <v>0.0008609812736465055</v>
      </c>
      <c r="E216" s="106">
        <v>0.8400298910604627</v>
      </c>
      <c r="F216" s="102" t="s">
        <v>3369</v>
      </c>
      <c r="G216" s="102" t="b">
        <v>0</v>
      </c>
      <c r="H216" s="102" t="b">
        <v>0</v>
      </c>
      <c r="I216" s="102" t="b">
        <v>0</v>
      </c>
      <c r="J216" s="102" t="b">
        <v>0</v>
      </c>
      <c r="K216" s="102" t="b">
        <v>0</v>
      </c>
      <c r="L216" s="102" t="b">
        <v>0</v>
      </c>
    </row>
    <row r="217" spans="1:12" ht="15">
      <c r="A217" s="104" t="s">
        <v>2358</v>
      </c>
      <c r="B217" s="102" t="s">
        <v>2755</v>
      </c>
      <c r="C217" s="102">
        <v>4</v>
      </c>
      <c r="D217" s="106">
        <v>0.0009987839725084792</v>
      </c>
      <c r="E217" s="106">
        <v>2.147882346295201</v>
      </c>
      <c r="F217" s="102" t="s">
        <v>3369</v>
      </c>
      <c r="G217" s="102" t="b">
        <v>0</v>
      </c>
      <c r="H217" s="102" t="b">
        <v>0</v>
      </c>
      <c r="I217" s="102" t="b">
        <v>0</v>
      </c>
      <c r="J217" s="102" t="b">
        <v>0</v>
      </c>
      <c r="K217" s="102" t="b">
        <v>0</v>
      </c>
      <c r="L217" s="102" t="b">
        <v>0</v>
      </c>
    </row>
    <row r="218" spans="1:12" ht="15">
      <c r="A218" s="104" t="s">
        <v>2358</v>
      </c>
      <c r="B218" s="102" t="s">
        <v>2348</v>
      </c>
      <c r="C218" s="102">
        <v>4</v>
      </c>
      <c r="D218" s="106">
        <v>0.0009987839725084792</v>
      </c>
      <c r="E218" s="106">
        <v>0.43397199216624566</v>
      </c>
      <c r="F218" s="102" t="s">
        <v>3369</v>
      </c>
      <c r="G218" s="102" t="b">
        <v>0</v>
      </c>
      <c r="H218" s="102" t="b">
        <v>0</v>
      </c>
      <c r="I218" s="102" t="b">
        <v>0</v>
      </c>
      <c r="J218" s="102" t="b">
        <v>0</v>
      </c>
      <c r="K218" s="102" t="b">
        <v>0</v>
      </c>
      <c r="L218" s="102" t="b">
        <v>0</v>
      </c>
    </row>
    <row r="219" spans="1:12" ht="15">
      <c r="A219" s="104" t="s">
        <v>2377</v>
      </c>
      <c r="B219" s="102" t="s">
        <v>2357</v>
      </c>
      <c r="C219" s="102">
        <v>4</v>
      </c>
      <c r="D219" s="106">
        <v>0.0008609812736465055</v>
      </c>
      <c r="E219" s="106">
        <v>1.2656424982763776</v>
      </c>
      <c r="F219" s="102" t="s">
        <v>3369</v>
      </c>
      <c r="G219" s="102" t="b">
        <v>0</v>
      </c>
      <c r="H219" s="102" t="b">
        <v>0</v>
      </c>
      <c r="I219" s="102" t="b">
        <v>0</v>
      </c>
      <c r="J219" s="102" t="b">
        <v>0</v>
      </c>
      <c r="K219" s="102" t="b">
        <v>0</v>
      </c>
      <c r="L219" s="102" t="b">
        <v>0</v>
      </c>
    </row>
    <row r="220" spans="1:12" ht="15">
      <c r="A220" s="104" t="s">
        <v>2540</v>
      </c>
      <c r="B220" s="102" t="s">
        <v>2756</v>
      </c>
      <c r="C220" s="102">
        <v>4</v>
      </c>
      <c r="D220" s="106">
        <v>0.0008609812736465055</v>
      </c>
      <c r="E220" s="106">
        <v>3.022943609686901</v>
      </c>
      <c r="F220" s="102" t="s">
        <v>3369</v>
      </c>
      <c r="G220" s="102" t="b">
        <v>0</v>
      </c>
      <c r="H220" s="102" t="b">
        <v>0</v>
      </c>
      <c r="I220" s="102" t="b">
        <v>0</v>
      </c>
      <c r="J220" s="102" t="b">
        <v>0</v>
      </c>
      <c r="K220" s="102" t="b">
        <v>0</v>
      </c>
      <c r="L220" s="102" t="b">
        <v>0</v>
      </c>
    </row>
    <row r="221" spans="1:12" ht="15">
      <c r="A221" s="104" t="s">
        <v>2357</v>
      </c>
      <c r="B221" s="102" t="s">
        <v>2357</v>
      </c>
      <c r="C221" s="102">
        <v>4</v>
      </c>
      <c r="D221" s="106">
        <v>0.0008609812736465055</v>
      </c>
      <c r="E221" s="106">
        <v>0.957433917985273</v>
      </c>
      <c r="F221" s="102" t="s">
        <v>3369</v>
      </c>
      <c r="G221" s="102" t="b">
        <v>0</v>
      </c>
      <c r="H221" s="102" t="b">
        <v>0</v>
      </c>
      <c r="I221" s="102" t="b">
        <v>0</v>
      </c>
      <c r="J221" s="102" t="b">
        <v>0</v>
      </c>
      <c r="K221" s="102" t="b">
        <v>0</v>
      </c>
      <c r="L221" s="102" t="b">
        <v>0</v>
      </c>
    </row>
    <row r="222" spans="1:12" ht="15">
      <c r="A222" s="104" t="s">
        <v>2360</v>
      </c>
      <c r="B222" s="102" t="s">
        <v>2385</v>
      </c>
      <c r="C222" s="102">
        <v>4</v>
      </c>
      <c r="D222" s="106">
        <v>0.0008609812736465055</v>
      </c>
      <c r="E222" s="106">
        <v>1.486700902848582</v>
      </c>
      <c r="F222" s="102" t="s">
        <v>3369</v>
      </c>
      <c r="G222" s="102" t="b">
        <v>0</v>
      </c>
      <c r="H222" s="102" t="b">
        <v>1</v>
      </c>
      <c r="I222" s="102" t="b">
        <v>0</v>
      </c>
      <c r="J222" s="102" t="b">
        <v>0</v>
      </c>
      <c r="K222" s="102" t="b">
        <v>0</v>
      </c>
      <c r="L222" s="102" t="b">
        <v>0</v>
      </c>
    </row>
    <row r="223" spans="1:12" ht="15">
      <c r="A223" s="104" t="s">
        <v>2350</v>
      </c>
      <c r="B223" s="102" t="s">
        <v>2383</v>
      </c>
      <c r="C223" s="102">
        <v>4</v>
      </c>
      <c r="D223" s="106">
        <v>0.0008609812736465055</v>
      </c>
      <c r="E223" s="106">
        <v>0.8186540138743962</v>
      </c>
      <c r="F223" s="102" t="s">
        <v>3369</v>
      </c>
      <c r="G223" s="102" t="b">
        <v>0</v>
      </c>
      <c r="H223" s="102" t="b">
        <v>0</v>
      </c>
      <c r="I223" s="102" t="b">
        <v>0</v>
      </c>
      <c r="J223" s="102" t="b">
        <v>0</v>
      </c>
      <c r="K223" s="102" t="b">
        <v>0</v>
      </c>
      <c r="L223" s="102" t="b">
        <v>0</v>
      </c>
    </row>
    <row r="224" spans="1:12" ht="15">
      <c r="A224" s="104" t="s">
        <v>2349</v>
      </c>
      <c r="B224" s="102" t="s">
        <v>2379</v>
      </c>
      <c r="C224" s="102">
        <v>4</v>
      </c>
      <c r="D224" s="106">
        <v>0.0008609812736465055</v>
      </c>
      <c r="E224" s="106">
        <v>0.7545996957358365</v>
      </c>
      <c r="F224" s="102" t="s">
        <v>3369</v>
      </c>
      <c r="G224" s="102" t="b">
        <v>0</v>
      </c>
      <c r="H224" s="102" t="b">
        <v>0</v>
      </c>
      <c r="I224" s="102" t="b">
        <v>0</v>
      </c>
      <c r="J224" s="102" t="b">
        <v>0</v>
      </c>
      <c r="K224" s="102" t="b">
        <v>0</v>
      </c>
      <c r="L224" s="102" t="b">
        <v>0</v>
      </c>
    </row>
    <row r="225" spans="1:12" ht="15">
      <c r="A225" s="104" t="s">
        <v>2497</v>
      </c>
      <c r="B225" s="102" t="s">
        <v>2497</v>
      </c>
      <c r="C225" s="102">
        <v>4</v>
      </c>
      <c r="D225" s="106">
        <v>0.0011365866713704527</v>
      </c>
      <c r="E225" s="106">
        <v>2.528093588006807</v>
      </c>
      <c r="F225" s="102" t="s">
        <v>3369</v>
      </c>
      <c r="G225" s="102" t="b">
        <v>0</v>
      </c>
      <c r="H225" s="102" t="b">
        <v>0</v>
      </c>
      <c r="I225" s="102" t="b">
        <v>0</v>
      </c>
      <c r="J225" s="102" t="b">
        <v>0</v>
      </c>
      <c r="K225" s="102" t="b">
        <v>0</v>
      </c>
      <c r="L225" s="102" t="b">
        <v>0</v>
      </c>
    </row>
    <row r="226" spans="1:12" ht="15">
      <c r="A226" s="104" t="s">
        <v>2484</v>
      </c>
      <c r="B226" s="102" t="s">
        <v>2470</v>
      </c>
      <c r="C226" s="102">
        <v>4</v>
      </c>
      <c r="D226" s="106">
        <v>0.0009987839725084792</v>
      </c>
      <c r="E226" s="106">
        <v>2.528093588006807</v>
      </c>
      <c r="F226" s="102" t="s">
        <v>3369</v>
      </c>
      <c r="G226" s="102" t="b">
        <v>0</v>
      </c>
      <c r="H226" s="102" t="b">
        <v>0</v>
      </c>
      <c r="I226" s="102" t="b">
        <v>0</v>
      </c>
      <c r="J226" s="102" t="b">
        <v>0</v>
      </c>
      <c r="K226" s="102" t="b">
        <v>0</v>
      </c>
      <c r="L226" s="102" t="b">
        <v>0</v>
      </c>
    </row>
    <row r="227" spans="1:12" ht="15">
      <c r="A227" s="104" t="s">
        <v>2575</v>
      </c>
      <c r="B227" s="102" t="s">
        <v>2484</v>
      </c>
      <c r="C227" s="102">
        <v>4</v>
      </c>
      <c r="D227" s="106">
        <v>0.0009987839725084792</v>
      </c>
      <c r="E227" s="106">
        <v>2.6829955479925505</v>
      </c>
      <c r="F227" s="102" t="s">
        <v>3369</v>
      </c>
      <c r="G227" s="102" t="b">
        <v>0</v>
      </c>
      <c r="H227" s="102" t="b">
        <v>0</v>
      </c>
      <c r="I227" s="102" t="b">
        <v>0</v>
      </c>
      <c r="J227" s="102" t="b">
        <v>0</v>
      </c>
      <c r="K227" s="102" t="b">
        <v>0</v>
      </c>
      <c r="L227" s="102" t="b">
        <v>0</v>
      </c>
    </row>
    <row r="228" spans="1:12" ht="15">
      <c r="A228" s="104" t="s">
        <v>2349</v>
      </c>
      <c r="B228" s="102" t="s">
        <v>2362</v>
      </c>
      <c r="C228" s="102">
        <v>4</v>
      </c>
      <c r="D228" s="106">
        <v>0.0008609812736465055</v>
      </c>
      <c r="E228" s="106">
        <v>0.5682892714984691</v>
      </c>
      <c r="F228" s="102" t="s">
        <v>3369</v>
      </c>
      <c r="G228" s="102" t="b">
        <v>0</v>
      </c>
      <c r="H228" s="102" t="b">
        <v>0</v>
      </c>
      <c r="I228" s="102" t="b">
        <v>0</v>
      </c>
      <c r="J228" s="102" t="b">
        <v>0</v>
      </c>
      <c r="K228" s="102" t="b">
        <v>0</v>
      </c>
      <c r="L228" s="102" t="b">
        <v>0</v>
      </c>
    </row>
    <row r="229" spans="1:12" ht="15">
      <c r="A229" s="104" t="s">
        <v>2349</v>
      </c>
      <c r="B229" s="102" t="s">
        <v>2365</v>
      </c>
      <c r="C229" s="102">
        <v>4</v>
      </c>
      <c r="D229" s="106">
        <v>0.0009181745611760546</v>
      </c>
      <c r="E229" s="106">
        <v>0.5485452133027119</v>
      </c>
      <c r="F229" s="102" t="s">
        <v>3369</v>
      </c>
      <c r="G229" s="102" t="b">
        <v>0</v>
      </c>
      <c r="H229" s="102" t="b">
        <v>0</v>
      </c>
      <c r="I229" s="102" t="b">
        <v>0</v>
      </c>
      <c r="J229" s="102" t="b">
        <v>0</v>
      </c>
      <c r="K229" s="102" t="b">
        <v>0</v>
      </c>
      <c r="L229" s="102" t="b">
        <v>0</v>
      </c>
    </row>
    <row r="230" spans="1:12" ht="15">
      <c r="A230" s="104" t="s">
        <v>2373</v>
      </c>
      <c r="B230" s="102" t="s">
        <v>2382</v>
      </c>
      <c r="C230" s="102">
        <v>4</v>
      </c>
      <c r="D230" s="106">
        <v>0.0009987839725084792</v>
      </c>
      <c r="E230" s="106">
        <v>1.589573862830315</v>
      </c>
      <c r="F230" s="102" t="s">
        <v>3369</v>
      </c>
      <c r="G230" s="102" t="b">
        <v>0</v>
      </c>
      <c r="H230" s="102" t="b">
        <v>0</v>
      </c>
      <c r="I230" s="102" t="b">
        <v>0</v>
      </c>
      <c r="J230" s="102" t="b">
        <v>0</v>
      </c>
      <c r="K230" s="102" t="b">
        <v>0</v>
      </c>
      <c r="L230" s="102" t="b">
        <v>0</v>
      </c>
    </row>
    <row r="231" spans="1:12" ht="15">
      <c r="A231" s="104" t="s">
        <v>2385</v>
      </c>
      <c r="B231" s="102" t="s">
        <v>2393</v>
      </c>
      <c r="C231" s="102">
        <v>4</v>
      </c>
      <c r="D231" s="106">
        <v>0.0008609812736465055</v>
      </c>
      <c r="E231" s="106">
        <v>1.7706975592137828</v>
      </c>
      <c r="F231" s="102" t="s">
        <v>3369</v>
      </c>
      <c r="G231" s="102" t="b">
        <v>0</v>
      </c>
      <c r="H231" s="102" t="b">
        <v>0</v>
      </c>
      <c r="I231" s="102" t="b">
        <v>0</v>
      </c>
      <c r="J231" s="102" t="b">
        <v>0</v>
      </c>
      <c r="K231" s="102" t="b">
        <v>0</v>
      </c>
      <c r="L231" s="102" t="b">
        <v>0</v>
      </c>
    </row>
    <row r="232" spans="1:12" ht="15">
      <c r="A232" s="104" t="s">
        <v>2764</v>
      </c>
      <c r="B232" s="102" t="s">
        <v>2494</v>
      </c>
      <c r="C232" s="102">
        <v>4</v>
      </c>
      <c r="D232" s="106">
        <v>0.0011365866713704527</v>
      </c>
      <c r="E232" s="106">
        <v>2.9260335966788444</v>
      </c>
      <c r="F232" s="102" t="s">
        <v>3369</v>
      </c>
      <c r="G232" s="102" t="b">
        <v>0</v>
      </c>
      <c r="H232" s="102" t="b">
        <v>0</v>
      </c>
      <c r="I232" s="102" t="b">
        <v>0</v>
      </c>
      <c r="J232" s="102" t="b">
        <v>0</v>
      </c>
      <c r="K232" s="102" t="b">
        <v>0</v>
      </c>
      <c r="L232" s="102" t="b">
        <v>0</v>
      </c>
    </row>
    <row r="233" spans="1:12" ht="15">
      <c r="A233" s="104" t="s">
        <v>2398</v>
      </c>
      <c r="B233" s="102" t="s">
        <v>2348</v>
      </c>
      <c r="C233" s="102">
        <v>4</v>
      </c>
      <c r="D233" s="106">
        <v>0.0008609812736465055</v>
      </c>
      <c r="E233" s="106">
        <v>0.9110932468859081</v>
      </c>
      <c r="F233" s="102" t="s">
        <v>3369</v>
      </c>
      <c r="G233" s="102" t="b">
        <v>0</v>
      </c>
      <c r="H233" s="102" t="b">
        <v>0</v>
      </c>
      <c r="I233" s="102" t="b">
        <v>0</v>
      </c>
      <c r="J233" s="102" t="b">
        <v>0</v>
      </c>
      <c r="K233" s="102" t="b">
        <v>0</v>
      </c>
      <c r="L233" s="102" t="b">
        <v>0</v>
      </c>
    </row>
    <row r="234" spans="1:12" ht="15">
      <c r="A234" s="104" t="s">
        <v>2351</v>
      </c>
      <c r="B234" s="102" t="s">
        <v>2398</v>
      </c>
      <c r="C234" s="102">
        <v>4</v>
      </c>
      <c r="D234" s="106">
        <v>0.0008609812736465055</v>
      </c>
      <c r="E234" s="106">
        <v>0.9481957184037033</v>
      </c>
      <c r="F234" s="102" t="s">
        <v>3369</v>
      </c>
      <c r="G234" s="102" t="b">
        <v>0</v>
      </c>
      <c r="H234" s="102" t="b">
        <v>0</v>
      </c>
      <c r="I234" s="102" t="b">
        <v>0</v>
      </c>
      <c r="J234" s="102" t="b">
        <v>0</v>
      </c>
      <c r="K234" s="102" t="b">
        <v>0</v>
      </c>
      <c r="L234" s="102" t="b">
        <v>0</v>
      </c>
    </row>
    <row r="235" spans="1:12" ht="15">
      <c r="A235" s="104" t="s">
        <v>2387</v>
      </c>
      <c r="B235" s="102" t="s">
        <v>2544</v>
      </c>
      <c r="C235" s="102">
        <v>4</v>
      </c>
      <c r="D235" s="106">
        <v>0.0011365866713704527</v>
      </c>
      <c r="E235" s="106">
        <v>2.2100302530440454</v>
      </c>
      <c r="F235" s="102" t="s">
        <v>3369</v>
      </c>
      <c r="G235" s="102" t="b">
        <v>0</v>
      </c>
      <c r="H235" s="102" t="b">
        <v>0</v>
      </c>
      <c r="I235" s="102" t="b">
        <v>0</v>
      </c>
      <c r="J235" s="102" t="b">
        <v>0</v>
      </c>
      <c r="K235" s="102" t="b">
        <v>0</v>
      </c>
      <c r="L235" s="102" t="b">
        <v>0</v>
      </c>
    </row>
    <row r="236" spans="1:12" ht="15">
      <c r="A236" s="104" t="s">
        <v>2355</v>
      </c>
      <c r="B236" s="102" t="s">
        <v>2449</v>
      </c>
      <c r="C236" s="102">
        <v>4</v>
      </c>
      <c r="D236" s="106">
        <v>0.0011365866713704527</v>
      </c>
      <c r="E236" s="106">
        <v>1.611113540686425</v>
      </c>
      <c r="F236" s="102" t="s">
        <v>3369</v>
      </c>
      <c r="G236" s="102" t="b">
        <v>0</v>
      </c>
      <c r="H236" s="102" t="b">
        <v>0</v>
      </c>
      <c r="I236" s="102" t="b">
        <v>0</v>
      </c>
      <c r="J236" s="102" t="b">
        <v>0</v>
      </c>
      <c r="K236" s="102" t="b">
        <v>0</v>
      </c>
      <c r="L236" s="102" t="b">
        <v>0</v>
      </c>
    </row>
    <row r="237" spans="1:12" ht="15">
      <c r="A237" s="104" t="s">
        <v>2449</v>
      </c>
      <c r="B237" s="102" t="s">
        <v>2355</v>
      </c>
      <c r="C237" s="102">
        <v>4</v>
      </c>
      <c r="D237" s="106">
        <v>0.0011365866713704527</v>
      </c>
      <c r="E237" s="106">
        <v>1.575785578344682</v>
      </c>
      <c r="F237" s="102" t="s">
        <v>3369</v>
      </c>
      <c r="G237" s="102" t="b">
        <v>0</v>
      </c>
      <c r="H237" s="102" t="b">
        <v>0</v>
      </c>
      <c r="I237" s="102" t="b">
        <v>0</v>
      </c>
      <c r="J237" s="102" t="b">
        <v>0</v>
      </c>
      <c r="K237" s="102" t="b">
        <v>0</v>
      </c>
      <c r="L237" s="102" t="b">
        <v>0</v>
      </c>
    </row>
    <row r="238" spans="1:12" ht="15">
      <c r="A238" s="104" t="s">
        <v>2351</v>
      </c>
      <c r="B238" s="102" t="s">
        <v>2351</v>
      </c>
      <c r="C238" s="102">
        <v>4</v>
      </c>
      <c r="D238" s="106">
        <v>0.0008609812736465055</v>
      </c>
      <c r="E238" s="106">
        <v>0.007963923407193103</v>
      </c>
      <c r="F238" s="102" t="s">
        <v>3369</v>
      </c>
      <c r="G238" s="102" t="b">
        <v>0</v>
      </c>
      <c r="H238" s="102" t="b">
        <v>0</v>
      </c>
      <c r="I238" s="102" t="b">
        <v>0</v>
      </c>
      <c r="J238" s="102" t="b">
        <v>0</v>
      </c>
      <c r="K238" s="102" t="b">
        <v>0</v>
      </c>
      <c r="L238" s="102" t="b">
        <v>0</v>
      </c>
    </row>
    <row r="239" spans="1:12" ht="15">
      <c r="A239" s="104" t="s">
        <v>2351</v>
      </c>
      <c r="B239" s="102" t="s">
        <v>2403</v>
      </c>
      <c r="C239" s="102">
        <v>4</v>
      </c>
      <c r="D239" s="106">
        <v>0.0009987839725084792</v>
      </c>
      <c r="E239" s="106">
        <v>1.0662950304816978</v>
      </c>
      <c r="F239" s="102" t="s">
        <v>3369</v>
      </c>
      <c r="G239" s="102" t="b">
        <v>0</v>
      </c>
      <c r="H239" s="102" t="b">
        <v>0</v>
      </c>
      <c r="I239" s="102" t="b">
        <v>0</v>
      </c>
      <c r="J239" s="102" t="b">
        <v>0</v>
      </c>
      <c r="K239" s="102" t="b">
        <v>0</v>
      </c>
      <c r="L239" s="102" t="b">
        <v>0</v>
      </c>
    </row>
    <row r="240" spans="1:12" ht="15">
      <c r="A240" s="104" t="s">
        <v>2429</v>
      </c>
      <c r="B240" s="102" t="s">
        <v>2686</v>
      </c>
      <c r="C240" s="102">
        <v>4</v>
      </c>
      <c r="D240" s="106">
        <v>0.0008609812736465055</v>
      </c>
      <c r="E240" s="106">
        <v>2.7151802313639513</v>
      </c>
      <c r="F240" s="102" t="s">
        <v>3369</v>
      </c>
      <c r="G240" s="102" t="b">
        <v>0</v>
      </c>
      <c r="H240" s="102" t="b">
        <v>0</v>
      </c>
      <c r="I240" s="102" t="b">
        <v>0</v>
      </c>
      <c r="J240" s="102" t="b">
        <v>0</v>
      </c>
      <c r="K240" s="102" t="b">
        <v>0</v>
      </c>
      <c r="L240" s="102" t="b">
        <v>0</v>
      </c>
    </row>
    <row r="241" spans="1:12" ht="15">
      <c r="A241" s="104" t="s">
        <v>2450</v>
      </c>
      <c r="B241" s="102" t="s">
        <v>2349</v>
      </c>
      <c r="C241" s="102">
        <v>4</v>
      </c>
      <c r="D241" s="106">
        <v>0.0008609812736465055</v>
      </c>
      <c r="E241" s="106">
        <v>1.0697579620148596</v>
      </c>
      <c r="F241" s="102" t="s">
        <v>3369</v>
      </c>
      <c r="G241" s="102" t="b">
        <v>0</v>
      </c>
      <c r="H241" s="102" t="b">
        <v>0</v>
      </c>
      <c r="I241" s="102" t="b">
        <v>0</v>
      </c>
      <c r="J241" s="102" t="b">
        <v>0</v>
      </c>
      <c r="K241" s="102" t="b">
        <v>0</v>
      </c>
      <c r="L241" s="102" t="b">
        <v>0</v>
      </c>
    </row>
    <row r="242" spans="1:12" ht="15">
      <c r="A242" s="104" t="s">
        <v>2385</v>
      </c>
      <c r="B242" s="102" t="s">
        <v>2360</v>
      </c>
      <c r="C242" s="102">
        <v>4</v>
      </c>
      <c r="D242" s="106">
        <v>0.0008609812736465055</v>
      </c>
      <c r="E242" s="106">
        <v>1.450362408354415</v>
      </c>
      <c r="F242" s="102" t="s">
        <v>3369</v>
      </c>
      <c r="G242" s="102" t="b">
        <v>0</v>
      </c>
      <c r="H242" s="102" t="b">
        <v>0</v>
      </c>
      <c r="I242" s="102" t="b">
        <v>0</v>
      </c>
      <c r="J242" s="102" t="b">
        <v>0</v>
      </c>
      <c r="K242" s="102" t="b">
        <v>1</v>
      </c>
      <c r="L242" s="102" t="b">
        <v>0</v>
      </c>
    </row>
    <row r="243" spans="1:12" ht="15">
      <c r="A243" s="104" t="s">
        <v>2404</v>
      </c>
      <c r="B243" s="102" t="s">
        <v>2458</v>
      </c>
      <c r="C243" s="102">
        <v>4</v>
      </c>
      <c r="D243" s="106">
        <v>0.0011365866713704527</v>
      </c>
      <c r="E243" s="106">
        <v>2.113120240035989</v>
      </c>
      <c r="F243" s="102" t="s">
        <v>3369</v>
      </c>
      <c r="G243" s="102" t="b">
        <v>0</v>
      </c>
      <c r="H243" s="102" t="b">
        <v>0</v>
      </c>
      <c r="I243" s="102" t="b">
        <v>0</v>
      </c>
      <c r="J243" s="102" t="b">
        <v>0</v>
      </c>
      <c r="K243" s="102" t="b">
        <v>0</v>
      </c>
      <c r="L243" s="102" t="b">
        <v>0</v>
      </c>
    </row>
    <row r="244" spans="1:12" ht="15">
      <c r="A244" s="104" t="s">
        <v>2404</v>
      </c>
      <c r="B244" s="102" t="s">
        <v>2373</v>
      </c>
      <c r="C244" s="102">
        <v>4</v>
      </c>
      <c r="D244" s="106">
        <v>0.0011365866713704527</v>
      </c>
      <c r="E244" s="106">
        <v>1.7219136140229199</v>
      </c>
      <c r="F244" s="102" t="s">
        <v>3369</v>
      </c>
      <c r="G244" s="102" t="b">
        <v>0</v>
      </c>
      <c r="H244" s="102" t="b">
        <v>0</v>
      </c>
      <c r="I244" s="102" t="b">
        <v>0</v>
      </c>
      <c r="J244" s="102" t="b">
        <v>0</v>
      </c>
      <c r="K244" s="102" t="b">
        <v>0</v>
      </c>
      <c r="L244" s="102" t="b">
        <v>0</v>
      </c>
    </row>
    <row r="245" spans="1:12" ht="15">
      <c r="A245" s="104" t="s">
        <v>2373</v>
      </c>
      <c r="B245" s="102" t="s">
        <v>2404</v>
      </c>
      <c r="C245" s="102">
        <v>4</v>
      </c>
      <c r="D245" s="106">
        <v>0.0011365866713704527</v>
      </c>
      <c r="E245" s="106">
        <v>1.7579782932197054</v>
      </c>
      <c r="F245" s="102" t="s">
        <v>3369</v>
      </c>
      <c r="G245" s="102" t="b">
        <v>0</v>
      </c>
      <c r="H245" s="102" t="b">
        <v>0</v>
      </c>
      <c r="I245" s="102" t="b">
        <v>0</v>
      </c>
      <c r="J245" s="102" t="b">
        <v>0</v>
      </c>
      <c r="K245" s="102" t="b">
        <v>0</v>
      </c>
      <c r="L245" s="102" t="b">
        <v>0</v>
      </c>
    </row>
    <row r="246" spans="1:12" ht="15">
      <c r="A246" s="104" t="s">
        <v>2518</v>
      </c>
      <c r="B246" s="102" t="s">
        <v>2424</v>
      </c>
      <c r="C246" s="102">
        <v>4</v>
      </c>
      <c r="D246" s="106">
        <v>0.0011365866713704527</v>
      </c>
      <c r="E246" s="106">
        <v>2.369731095911557</v>
      </c>
      <c r="F246" s="102" t="s">
        <v>3369</v>
      </c>
      <c r="G246" s="102" t="b">
        <v>0</v>
      </c>
      <c r="H246" s="102" t="b">
        <v>0</v>
      </c>
      <c r="I246" s="102" t="b">
        <v>0</v>
      </c>
      <c r="J246" s="102" t="b">
        <v>0</v>
      </c>
      <c r="K246" s="102" t="b">
        <v>1</v>
      </c>
      <c r="L246" s="102" t="b">
        <v>0</v>
      </c>
    </row>
    <row r="247" spans="1:12" ht="15">
      <c r="A247" s="104" t="s">
        <v>2424</v>
      </c>
      <c r="B247" s="102" t="s">
        <v>2518</v>
      </c>
      <c r="C247" s="102">
        <v>4</v>
      </c>
      <c r="D247" s="106">
        <v>0.0011365866713704527</v>
      </c>
      <c r="E247" s="106">
        <v>2.397759819511801</v>
      </c>
      <c r="F247" s="102" t="s">
        <v>3369</v>
      </c>
      <c r="G247" s="102" t="b">
        <v>0</v>
      </c>
      <c r="H247" s="102" t="b">
        <v>1</v>
      </c>
      <c r="I247" s="102" t="b">
        <v>0</v>
      </c>
      <c r="J247" s="102" t="b">
        <v>0</v>
      </c>
      <c r="K247" s="102" t="b">
        <v>0</v>
      </c>
      <c r="L247" s="102" t="b">
        <v>0</v>
      </c>
    </row>
    <row r="248" spans="1:12" ht="15">
      <c r="A248" s="104" t="s">
        <v>2354</v>
      </c>
      <c r="B248" s="102" t="s">
        <v>2445</v>
      </c>
      <c r="C248" s="102">
        <v>4</v>
      </c>
      <c r="D248" s="106">
        <v>0.0011365866713704527</v>
      </c>
      <c r="E248" s="106">
        <v>1.611113540686425</v>
      </c>
      <c r="F248" s="102" t="s">
        <v>3369</v>
      </c>
      <c r="G248" s="102" t="b">
        <v>0</v>
      </c>
      <c r="H248" s="102" t="b">
        <v>0</v>
      </c>
      <c r="I248" s="102" t="b">
        <v>0</v>
      </c>
      <c r="J248" s="102" t="b">
        <v>0</v>
      </c>
      <c r="K248" s="102" t="b">
        <v>0</v>
      </c>
      <c r="L248" s="102" t="b">
        <v>0</v>
      </c>
    </row>
    <row r="249" spans="1:12" ht="15">
      <c r="A249" s="104" t="s">
        <v>2478</v>
      </c>
      <c r="B249" s="102" t="s">
        <v>2784</v>
      </c>
      <c r="C249" s="102">
        <v>4</v>
      </c>
      <c r="D249" s="106">
        <v>0.0011365866713704527</v>
      </c>
      <c r="E249" s="106">
        <v>2.8846409115206195</v>
      </c>
      <c r="F249" s="102" t="s">
        <v>3369</v>
      </c>
      <c r="G249" s="102" t="b">
        <v>0</v>
      </c>
      <c r="H249" s="102" t="b">
        <v>0</v>
      </c>
      <c r="I249" s="102" t="b">
        <v>0</v>
      </c>
      <c r="J249" s="102" t="b">
        <v>0</v>
      </c>
      <c r="K249" s="102" t="b">
        <v>0</v>
      </c>
      <c r="L249" s="102" t="b">
        <v>0</v>
      </c>
    </row>
    <row r="250" spans="1:12" ht="15">
      <c r="A250" s="104" t="s">
        <v>2612</v>
      </c>
      <c r="B250" s="102" t="s">
        <v>2478</v>
      </c>
      <c r="C250" s="102">
        <v>4</v>
      </c>
      <c r="D250" s="106">
        <v>0.0011365866713704527</v>
      </c>
      <c r="E250" s="106">
        <v>2.7499423376231635</v>
      </c>
      <c r="F250" s="102" t="s">
        <v>3369</v>
      </c>
      <c r="G250" s="102" t="b">
        <v>0</v>
      </c>
      <c r="H250" s="102" t="b">
        <v>0</v>
      </c>
      <c r="I250" s="102" t="b">
        <v>0</v>
      </c>
      <c r="J250" s="102" t="b">
        <v>0</v>
      </c>
      <c r="K250" s="102" t="b">
        <v>0</v>
      </c>
      <c r="L250" s="102" t="b">
        <v>0</v>
      </c>
    </row>
    <row r="251" spans="1:12" ht="15">
      <c r="A251" s="104" t="s">
        <v>2787</v>
      </c>
      <c r="B251" s="102" t="s">
        <v>2444</v>
      </c>
      <c r="C251" s="102">
        <v>4</v>
      </c>
      <c r="D251" s="106">
        <v>0.0009181745611760546</v>
      </c>
      <c r="E251" s="106">
        <v>2.7799055610006067</v>
      </c>
      <c r="F251" s="102" t="s">
        <v>3369</v>
      </c>
      <c r="G251" s="102" t="b">
        <v>0</v>
      </c>
      <c r="H251" s="102" t="b">
        <v>0</v>
      </c>
      <c r="I251" s="102" t="b">
        <v>0</v>
      </c>
      <c r="J251" s="102" t="b">
        <v>0</v>
      </c>
      <c r="K251" s="102" t="b">
        <v>0</v>
      </c>
      <c r="L251" s="102" t="b">
        <v>0</v>
      </c>
    </row>
    <row r="252" spans="1:12" ht="15">
      <c r="A252" s="104" t="s">
        <v>2350</v>
      </c>
      <c r="B252" s="102" t="s">
        <v>2788</v>
      </c>
      <c r="C252" s="102">
        <v>4</v>
      </c>
      <c r="D252" s="106">
        <v>0.0008609812736465055</v>
      </c>
      <c r="E252" s="106">
        <v>1.6315673705172515</v>
      </c>
      <c r="F252" s="102" t="s">
        <v>3369</v>
      </c>
      <c r="G252" s="102" t="b">
        <v>0</v>
      </c>
      <c r="H252" s="102" t="b">
        <v>0</v>
      </c>
      <c r="I252" s="102" t="b">
        <v>0</v>
      </c>
      <c r="J252" s="102" t="b">
        <v>0</v>
      </c>
      <c r="K252" s="102" t="b">
        <v>0</v>
      </c>
      <c r="L252" s="102" t="b">
        <v>0</v>
      </c>
    </row>
    <row r="253" spans="1:12" ht="15">
      <c r="A253" s="104" t="s">
        <v>2521</v>
      </c>
      <c r="B253" s="102" t="s">
        <v>2405</v>
      </c>
      <c r="C253" s="102">
        <v>4</v>
      </c>
      <c r="D253" s="106">
        <v>0.0011365866713704527</v>
      </c>
      <c r="E253" s="106">
        <v>2.2950974776146533</v>
      </c>
      <c r="F253" s="102" t="s">
        <v>3369</v>
      </c>
      <c r="G253" s="102" t="b">
        <v>0</v>
      </c>
      <c r="H253" s="102" t="b">
        <v>1</v>
      </c>
      <c r="I253" s="102" t="b">
        <v>0</v>
      </c>
      <c r="J253" s="102" t="b">
        <v>0</v>
      </c>
      <c r="K253" s="102" t="b">
        <v>0</v>
      </c>
      <c r="L253" s="102" t="b">
        <v>0</v>
      </c>
    </row>
    <row r="254" spans="1:12" ht="15">
      <c r="A254" s="104" t="s">
        <v>2472</v>
      </c>
      <c r="B254" s="102" t="s">
        <v>2405</v>
      </c>
      <c r="C254" s="102">
        <v>4</v>
      </c>
      <c r="D254" s="106">
        <v>0.0011365866713704527</v>
      </c>
      <c r="E254" s="106">
        <v>2.207947301895753</v>
      </c>
      <c r="F254" s="102" t="s">
        <v>3369</v>
      </c>
      <c r="G254" s="102" t="b">
        <v>0</v>
      </c>
      <c r="H254" s="102" t="b">
        <v>0</v>
      </c>
      <c r="I254" s="102" t="b">
        <v>0</v>
      </c>
      <c r="J254" s="102" t="b">
        <v>0</v>
      </c>
      <c r="K254" s="102" t="b">
        <v>0</v>
      </c>
      <c r="L254" s="102" t="b">
        <v>0</v>
      </c>
    </row>
    <row r="255" spans="1:12" ht="15">
      <c r="A255" s="104" t="s">
        <v>2440</v>
      </c>
      <c r="B255" s="102" t="s">
        <v>2349</v>
      </c>
      <c r="C255" s="102">
        <v>4</v>
      </c>
      <c r="D255" s="106">
        <v>0.0009181745611760546</v>
      </c>
      <c r="E255" s="106">
        <v>1.0375732786434584</v>
      </c>
      <c r="F255" s="102" t="s">
        <v>3369</v>
      </c>
      <c r="G255" s="102" t="b">
        <v>0</v>
      </c>
      <c r="H255" s="102" t="b">
        <v>0</v>
      </c>
      <c r="I255" s="102" t="b">
        <v>0</v>
      </c>
      <c r="J255" s="102" t="b">
        <v>0</v>
      </c>
      <c r="K255" s="102" t="b">
        <v>0</v>
      </c>
      <c r="L255" s="102" t="b">
        <v>0</v>
      </c>
    </row>
    <row r="256" spans="1:12" ht="15">
      <c r="A256" s="104" t="s">
        <v>2378</v>
      </c>
      <c r="B256" s="102" t="s">
        <v>2433</v>
      </c>
      <c r="C256" s="102">
        <v>4</v>
      </c>
      <c r="D256" s="106">
        <v>0.0009987839725084792</v>
      </c>
      <c r="E256" s="106">
        <v>1.8748810742314634</v>
      </c>
      <c r="F256" s="102" t="s">
        <v>3369</v>
      </c>
      <c r="G256" s="102" t="b">
        <v>0</v>
      </c>
      <c r="H256" s="102" t="b">
        <v>0</v>
      </c>
      <c r="I256" s="102" t="b">
        <v>0</v>
      </c>
      <c r="J256" s="102" t="b">
        <v>0</v>
      </c>
      <c r="K256" s="102" t="b">
        <v>0</v>
      </c>
      <c r="L256" s="102" t="b">
        <v>0</v>
      </c>
    </row>
    <row r="257" spans="1:12" ht="15">
      <c r="A257" s="104" t="s">
        <v>2511</v>
      </c>
      <c r="B257" s="102" t="s">
        <v>2348</v>
      </c>
      <c r="C257" s="102">
        <v>4</v>
      </c>
      <c r="D257" s="106">
        <v>0.0009987839725084792</v>
      </c>
      <c r="E257" s="106">
        <v>1.2578807331105644</v>
      </c>
      <c r="F257" s="102" t="s">
        <v>3369</v>
      </c>
      <c r="G257" s="102" t="b">
        <v>0</v>
      </c>
      <c r="H257" s="102" t="b">
        <v>0</v>
      </c>
      <c r="I257" s="102" t="b">
        <v>0</v>
      </c>
      <c r="J257" s="102" t="b">
        <v>0</v>
      </c>
      <c r="K257" s="102" t="b">
        <v>0</v>
      </c>
      <c r="L257" s="102" t="b">
        <v>0</v>
      </c>
    </row>
    <row r="258" spans="1:12" ht="15">
      <c r="A258" s="104" t="s">
        <v>2362</v>
      </c>
      <c r="B258" s="102" t="s">
        <v>2351</v>
      </c>
      <c r="C258" s="102">
        <v>4</v>
      </c>
      <c r="D258" s="106">
        <v>0.0009987839725084792</v>
      </c>
      <c r="E258" s="106">
        <v>0.6124299845010339</v>
      </c>
      <c r="F258" s="102" t="s">
        <v>3369</v>
      </c>
      <c r="G258" s="102" t="b">
        <v>0</v>
      </c>
      <c r="H258" s="102" t="b">
        <v>0</v>
      </c>
      <c r="I258" s="102" t="b">
        <v>0</v>
      </c>
      <c r="J258" s="102" t="b">
        <v>0</v>
      </c>
      <c r="K258" s="102" t="b">
        <v>0</v>
      </c>
      <c r="L258" s="102" t="b">
        <v>0</v>
      </c>
    </row>
    <row r="259" spans="1:12" ht="15">
      <c r="A259" s="104" t="s">
        <v>2801</v>
      </c>
      <c r="B259" s="102" t="s">
        <v>2802</v>
      </c>
      <c r="C259" s="102">
        <v>3</v>
      </c>
      <c r="D259" s="106">
        <v>0.0008524400035278396</v>
      </c>
      <c r="E259" s="106">
        <v>3.4489123419591823</v>
      </c>
      <c r="F259" s="102" t="s">
        <v>3369</v>
      </c>
      <c r="G259" s="102" t="b">
        <v>0</v>
      </c>
      <c r="H259" s="102" t="b">
        <v>0</v>
      </c>
      <c r="I259" s="102" t="b">
        <v>0</v>
      </c>
      <c r="J259" s="102" t="b">
        <v>0</v>
      </c>
      <c r="K259" s="102" t="b">
        <v>0</v>
      </c>
      <c r="L259" s="102" t="b">
        <v>0</v>
      </c>
    </row>
    <row r="260" spans="1:12" ht="15">
      <c r="A260" s="104" t="s">
        <v>2802</v>
      </c>
      <c r="B260" s="102" t="s">
        <v>2803</v>
      </c>
      <c r="C260" s="102">
        <v>3</v>
      </c>
      <c r="D260" s="106">
        <v>0.0008524400035278396</v>
      </c>
      <c r="E260" s="106">
        <v>3.4489123419591823</v>
      </c>
      <c r="F260" s="102" t="s">
        <v>3369</v>
      </c>
      <c r="G260" s="102" t="b">
        <v>0</v>
      </c>
      <c r="H260" s="102" t="b">
        <v>0</v>
      </c>
      <c r="I260" s="102" t="b">
        <v>0</v>
      </c>
      <c r="J260" s="102" t="b">
        <v>0</v>
      </c>
      <c r="K260" s="102" t="b">
        <v>0</v>
      </c>
      <c r="L260" s="102" t="b">
        <v>0</v>
      </c>
    </row>
    <row r="261" spans="1:12" ht="15">
      <c r="A261" s="104" t="s">
        <v>2636</v>
      </c>
      <c r="B261" s="102" t="s">
        <v>2437</v>
      </c>
      <c r="C261" s="102">
        <v>3</v>
      </c>
      <c r="D261" s="106">
        <v>0.0008524400035278396</v>
      </c>
      <c r="E261" s="106">
        <v>2.55805681138425</v>
      </c>
      <c r="F261" s="102" t="s">
        <v>3369</v>
      </c>
      <c r="G261" s="102" t="b">
        <v>0</v>
      </c>
      <c r="H261" s="102" t="b">
        <v>0</v>
      </c>
      <c r="I261" s="102" t="b">
        <v>0</v>
      </c>
      <c r="J261" s="102" t="b">
        <v>0</v>
      </c>
      <c r="K261" s="102" t="b">
        <v>0</v>
      </c>
      <c r="L261" s="102" t="b">
        <v>0</v>
      </c>
    </row>
    <row r="262" spans="1:12" ht="15">
      <c r="A262" s="104" t="s">
        <v>2453</v>
      </c>
      <c r="B262" s="102" t="s">
        <v>2437</v>
      </c>
      <c r="C262" s="102">
        <v>3</v>
      </c>
      <c r="D262" s="106">
        <v>0.0008524400035278396</v>
      </c>
      <c r="E262" s="106">
        <v>2.1430834634134324</v>
      </c>
      <c r="F262" s="102" t="s">
        <v>3369</v>
      </c>
      <c r="G262" s="102" t="b">
        <v>0</v>
      </c>
      <c r="H262" s="102" t="b">
        <v>0</v>
      </c>
      <c r="I262" s="102" t="b">
        <v>0</v>
      </c>
      <c r="J262" s="102" t="b">
        <v>0</v>
      </c>
      <c r="K262" s="102" t="b">
        <v>0</v>
      </c>
      <c r="L262" s="102" t="b">
        <v>0</v>
      </c>
    </row>
    <row r="263" spans="1:12" ht="15">
      <c r="A263" s="104" t="s">
        <v>2709</v>
      </c>
      <c r="B263" s="102" t="s">
        <v>2483</v>
      </c>
      <c r="C263" s="102">
        <v>3</v>
      </c>
      <c r="D263" s="106">
        <v>0.0008524400035278396</v>
      </c>
      <c r="E263" s="106">
        <v>2.8468523506312198</v>
      </c>
      <c r="F263" s="102" t="s">
        <v>3369</v>
      </c>
      <c r="G263" s="102" t="b">
        <v>0</v>
      </c>
      <c r="H263" s="102" t="b">
        <v>0</v>
      </c>
      <c r="I263" s="102" t="b">
        <v>0</v>
      </c>
      <c r="J263" s="102" t="b">
        <v>0</v>
      </c>
      <c r="K263" s="102" t="b">
        <v>0</v>
      </c>
      <c r="L263" s="102" t="b">
        <v>0</v>
      </c>
    </row>
    <row r="264" spans="1:12" ht="15">
      <c r="A264" s="104" t="s">
        <v>2589</v>
      </c>
      <c r="B264" s="102" t="s">
        <v>2484</v>
      </c>
      <c r="C264" s="102">
        <v>3</v>
      </c>
      <c r="D264" s="106">
        <v>0.0008524400035278396</v>
      </c>
      <c r="E264" s="106">
        <v>2.6250036010148636</v>
      </c>
      <c r="F264" s="102" t="s">
        <v>3369</v>
      </c>
      <c r="G264" s="102" t="b">
        <v>0</v>
      </c>
      <c r="H264" s="102" t="b">
        <v>0</v>
      </c>
      <c r="I264" s="102" t="b">
        <v>0</v>
      </c>
      <c r="J264" s="102" t="b">
        <v>0</v>
      </c>
      <c r="K264" s="102" t="b">
        <v>0</v>
      </c>
      <c r="L264" s="102" t="b">
        <v>0</v>
      </c>
    </row>
    <row r="265" spans="1:12" ht="15">
      <c r="A265" s="104" t="s">
        <v>2363</v>
      </c>
      <c r="B265" s="102" t="s">
        <v>2593</v>
      </c>
      <c r="C265" s="102">
        <v>3</v>
      </c>
      <c r="D265" s="106">
        <v>0.0006886309208820411</v>
      </c>
      <c r="E265" s="106">
        <v>1.9915351454352768</v>
      </c>
      <c r="F265" s="102" t="s">
        <v>3369</v>
      </c>
      <c r="G265" s="102" t="b">
        <v>0</v>
      </c>
      <c r="H265" s="102" t="b">
        <v>0</v>
      </c>
      <c r="I265" s="102" t="b">
        <v>0</v>
      </c>
      <c r="J265" s="102" t="b">
        <v>0</v>
      </c>
      <c r="K265" s="102" t="b">
        <v>0</v>
      </c>
      <c r="L265" s="102" t="b">
        <v>0</v>
      </c>
    </row>
    <row r="266" spans="1:12" ht="15">
      <c r="A266" s="104" t="s">
        <v>2593</v>
      </c>
      <c r="B266" s="102" t="s">
        <v>2371</v>
      </c>
      <c r="C266" s="102">
        <v>3</v>
      </c>
      <c r="D266" s="106">
        <v>0.0006886309208820411</v>
      </c>
      <c r="E266" s="106">
        <v>2.106489661136976</v>
      </c>
      <c r="F266" s="102" t="s">
        <v>3369</v>
      </c>
      <c r="G266" s="102" t="b">
        <v>0</v>
      </c>
      <c r="H266" s="102" t="b">
        <v>0</v>
      </c>
      <c r="I266" s="102" t="b">
        <v>0</v>
      </c>
      <c r="J266" s="102" t="b">
        <v>0</v>
      </c>
      <c r="K266" s="102" t="b">
        <v>0</v>
      </c>
      <c r="L266" s="102" t="b">
        <v>0</v>
      </c>
    </row>
    <row r="267" spans="1:12" ht="15">
      <c r="A267" s="104" t="s">
        <v>2389</v>
      </c>
      <c r="B267" s="102" t="s">
        <v>2644</v>
      </c>
      <c r="C267" s="102">
        <v>3</v>
      </c>
      <c r="D267" s="106">
        <v>0.0006886309208820411</v>
      </c>
      <c r="E267" s="106">
        <v>2.361762166240282</v>
      </c>
      <c r="F267" s="102" t="s">
        <v>3369</v>
      </c>
      <c r="G267" s="102" t="b">
        <v>0</v>
      </c>
      <c r="H267" s="102" t="b">
        <v>0</v>
      </c>
      <c r="I267" s="102" t="b">
        <v>0</v>
      </c>
      <c r="J267" s="102" t="b">
        <v>0</v>
      </c>
      <c r="K267" s="102" t="b">
        <v>0</v>
      </c>
      <c r="L267" s="102" t="b">
        <v>0</v>
      </c>
    </row>
    <row r="268" spans="1:12" ht="15">
      <c r="A268" s="104" t="s">
        <v>2360</v>
      </c>
      <c r="B268" s="102" t="s">
        <v>2360</v>
      </c>
      <c r="C268" s="102">
        <v>3</v>
      </c>
      <c r="D268" s="106">
        <v>0.0007490879793813594</v>
      </c>
      <c r="E268" s="106">
        <v>1.0969443432307455</v>
      </c>
      <c r="F268" s="102" t="s">
        <v>3369</v>
      </c>
      <c r="G268" s="102" t="b">
        <v>0</v>
      </c>
      <c r="H268" s="102" t="b">
        <v>1</v>
      </c>
      <c r="I268" s="102" t="b">
        <v>0</v>
      </c>
      <c r="J268" s="102" t="b">
        <v>0</v>
      </c>
      <c r="K268" s="102" t="b">
        <v>1</v>
      </c>
      <c r="L268" s="102" t="b">
        <v>0</v>
      </c>
    </row>
    <row r="269" spans="1:12" ht="15">
      <c r="A269" s="104" t="s">
        <v>2817</v>
      </c>
      <c r="B269" s="102" t="s">
        <v>2595</v>
      </c>
      <c r="C269" s="102">
        <v>3</v>
      </c>
      <c r="D269" s="106">
        <v>0.0008524400035278396</v>
      </c>
      <c r="E269" s="106">
        <v>3.147882346295201</v>
      </c>
      <c r="F269" s="102" t="s">
        <v>3369</v>
      </c>
      <c r="G269" s="102" t="b">
        <v>0</v>
      </c>
      <c r="H269" s="102" t="b">
        <v>0</v>
      </c>
      <c r="I269" s="102" t="b">
        <v>0</v>
      </c>
      <c r="J269" s="102" t="b">
        <v>0</v>
      </c>
      <c r="K269" s="102" t="b">
        <v>0</v>
      </c>
      <c r="L269" s="102" t="b">
        <v>0</v>
      </c>
    </row>
    <row r="270" spans="1:12" ht="15">
      <c r="A270" s="104" t="s">
        <v>2391</v>
      </c>
      <c r="B270" s="102" t="s">
        <v>2395</v>
      </c>
      <c r="C270" s="102">
        <v>3</v>
      </c>
      <c r="D270" s="106">
        <v>0.0006886309208820411</v>
      </c>
      <c r="E270" s="106">
        <v>1.7597021749123196</v>
      </c>
      <c r="F270" s="102" t="s">
        <v>3369</v>
      </c>
      <c r="G270" s="102" t="b">
        <v>0</v>
      </c>
      <c r="H270" s="102" t="b">
        <v>0</v>
      </c>
      <c r="I270" s="102" t="b">
        <v>0</v>
      </c>
      <c r="J270" s="102" t="b">
        <v>0</v>
      </c>
      <c r="K270" s="102" t="b">
        <v>0</v>
      </c>
      <c r="L270" s="102" t="b">
        <v>0</v>
      </c>
    </row>
    <row r="271" spans="1:12" ht="15">
      <c r="A271" s="104" t="s">
        <v>2480</v>
      </c>
      <c r="B271" s="102" t="s">
        <v>2487</v>
      </c>
      <c r="C271" s="102">
        <v>3</v>
      </c>
      <c r="D271" s="106">
        <v>0.0006886309208820411</v>
      </c>
      <c r="E271" s="106">
        <v>2.403154851398507</v>
      </c>
      <c r="F271" s="102" t="s">
        <v>3369</v>
      </c>
      <c r="G271" s="102" t="b">
        <v>0</v>
      </c>
      <c r="H271" s="102" t="b">
        <v>0</v>
      </c>
      <c r="I271" s="102" t="b">
        <v>0</v>
      </c>
      <c r="J271" s="102" t="b">
        <v>0</v>
      </c>
      <c r="K271" s="102" t="b">
        <v>0</v>
      </c>
      <c r="L271" s="102" t="b">
        <v>0</v>
      </c>
    </row>
    <row r="272" spans="1:12" ht="15">
      <c r="A272" s="104" t="s">
        <v>2529</v>
      </c>
      <c r="B272" s="102" t="s">
        <v>2406</v>
      </c>
      <c r="C272" s="102">
        <v>3</v>
      </c>
      <c r="D272" s="106">
        <v>0.0006886309208820411</v>
      </c>
      <c r="E272" s="106">
        <v>2.2793032104314213</v>
      </c>
      <c r="F272" s="102" t="s">
        <v>3369</v>
      </c>
      <c r="G272" s="102" t="b">
        <v>0</v>
      </c>
      <c r="H272" s="102" t="b">
        <v>0</v>
      </c>
      <c r="I272" s="102" t="b">
        <v>0</v>
      </c>
      <c r="J272" s="102" t="b">
        <v>0</v>
      </c>
      <c r="K272" s="102" t="b">
        <v>1</v>
      </c>
      <c r="L272" s="102" t="b">
        <v>0</v>
      </c>
    </row>
    <row r="273" spans="1:12" ht="15">
      <c r="A273" s="104" t="s">
        <v>2455</v>
      </c>
      <c r="B273" s="102" t="s">
        <v>2416</v>
      </c>
      <c r="C273" s="102">
        <v>3</v>
      </c>
      <c r="D273" s="106">
        <v>0.0006886309208820411</v>
      </c>
      <c r="E273" s="106">
        <v>2.0850915164357455</v>
      </c>
      <c r="F273" s="102" t="s">
        <v>3369</v>
      </c>
      <c r="G273" s="102" t="b">
        <v>0</v>
      </c>
      <c r="H273" s="102" t="b">
        <v>0</v>
      </c>
      <c r="I273" s="102" t="b">
        <v>0</v>
      </c>
      <c r="J273" s="102" t="b">
        <v>0</v>
      </c>
      <c r="K273" s="102" t="b">
        <v>0</v>
      </c>
      <c r="L273" s="102" t="b">
        <v>0</v>
      </c>
    </row>
    <row r="274" spans="1:12" ht="15">
      <c r="A274" s="104" t="s">
        <v>2350</v>
      </c>
      <c r="B274" s="102" t="s">
        <v>2466</v>
      </c>
      <c r="C274" s="102">
        <v>3</v>
      </c>
      <c r="D274" s="106">
        <v>0.0006886309208820411</v>
      </c>
      <c r="E274" s="106">
        <v>1.0295073791892893</v>
      </c>
      <c r="F274" s="102" t="s">
        <v>3369</v>
      </c>
      <c r="G274" s="102" t="b">
        <v>0</v>
      </c>
      <c r="H274" s="102" t="b">
        <v>0</v>
      </c>
      <c r="I274" s="102" t="b">
        <v>0</v>
      </c>
      <c r="J274" s="102" t="b">
        <v>0</v>
      </c>
      <c r="K274" s="102" t="b">
        <v>0</v>
      </c>
      <c r="L274" s="102" t="b">
        <v>0</v>
      </c>
    </row>
    <row r="275" spans="1:12" ht="15">
      <c r="A275" s="104" t="s">
        <v>2422</v>
      </c>
      <c r="B275" s="102" t="s">
        <v>2488</v>
      </c>
      <c r="C275" s="102">
        <v>3</v>
      </c>
      <c r="D275" s="106">
        <v>0.0008524400035278396</v>
      </c>
      <c r="E275" s="106">
        <v>2.199034868742582</v>
      </c>
      <c r="F275" s="102" t="s">
        <v>3369</v>
      </c>
      <c r="G275" s="102" t="b">
        <v>0</v>
      </c>
      <c r="H275" s="102" t="b">
        <v>0</v>
      </c>
      <c r="I275" s="102" t="b">
        <v>0</v>
      </c>
      <c r="J275" s="102" t="b">
        <v>0</v>
      </c>
      <c r="K275" s="102" t="b">
        <v>0</v>
      </c>
      <c r="L275" s="102" t="b">
        <v>0</v>
      </c>
    </row>
    <row r="276" spans="1:12" ht="15">
      <c r="A276" s="104" t="s">
        <v>2488</v>
      </c>
      <c r="B276" s="102" t="s">
        <v>2488</v>
      </c>
      <c r="C276" s="102">
        <v>3</v>
      </c>
      <c r="D276" s="106">
        <v>0.0008524400035278396</v>
      </c>
      <c r="E276" s="106">
        <v>2.403154851398507</v>
      </c>
      <c r="F276" s="102" t="s">
        <v>3369</v>
      </c>
      <c r="G276" s="102" t="b">
        <v>0</v>
      </c>
      <c r="H276" s="102" t="b">
        <v>0</v>
      </c>
      <c r="I276" s="102" t="b">
        <v>0</v>
      </c>
      <c r="J276" s="102" t="b">
        <v>0</v>
      </c>
      <c r="K276" s="102" t="b">
        <v>0</v>
      </c>
      <c r="L276" s="102" t="b">
        <v>0</v>
      </c>
    </row>
    <row r="277" spans="1:12" ht="15">
      <c r="A277" s="104" t="s">
        <v>2735</v>
      </c>
      <c r="B277" s="102" t="s">
        <v>2489</v>
      </c>
      <c r="C277" s="102">
        <v>3</v>
      </c>
      <c r="D277" s="106">
        <v>0.0008524400035278396</v>
      </c>
      <c r="E277" s="106">
        <v>2.8010948600705445</v>
      </c>
      <c r="F277" s="102" t="s">
        <v>3369</v>
      </c>
      <c r="G277" s="102" t="b">
        <v>1</v>
      </c>
      <c r="H277" s="102" t="b">
        <v>0</v>
      </c>
      <c r="I277" s="102" t="b">
        <v>0</v>
      </c>
      <c r="J277" s="102" t="b">
        <v>0</v>
      </c>
      <c r="K277" s="102" t="b">
        <v>0</v>
      </c>
      <c r="L277" s="102" t="b">
        <v>0</v>
      </c>
    </row>
    <row r="278" spans="1:12" ht="15">
      <c r="A278" s="104" t="s">
        <v>2837</v>
      </c>
      <c r="B278" s="102" t="s">
        <v>2649</v>
      </c>
      <c r="C278" s="102">
        <v>3</v>
      </c>
      <c r="D278" s="106">
        <v>0.0008524400035278396</v>
      </c>
      <c r="E278" s="106">
        <v>3.2270635923428257</v>
      </c>
      <c r="F278" s="102" t="s">
        <v>3369</v>
      </c>
      <c r="G278" s="102" t="b">
        <v>0</v>
      </c>
      <c r="H278" s="102" t="b">
        <v>0</v>
      </c>
      <c r="I278" s="102" t="b">
        <v>0</v>
      </c>
      <c r="J278" s="102" t="b">
        <v>0</v>
      </c>
      <c r="K278" s="102" t="b">
        <v>0</v>
      </c>
      <c r="L278" s="102" t="b">
        <v>0</v>
      </c>
    </row>
    <row r="279" spans="1:12" ht="15">
      <c r="A279" s="104" t="s">
        <v>2649</v>
      </c>
      <c r="B279" s="102" t="s">
        <v>2350</v>
      </c>
      <c r="C279" s="102">
        <v>3</v>
      </c>
      <c r="D279" s="106">
        <v>0.0008524400035278396</v>
      </c>
      <c r="E279" s="106">
        <v>1.4097186209008954</v>
      </c>
      <c r="F279" s="102" t="s">
        <v>3369</v>
      </c>
      <c r="G279" s="102" t="b">
        <v>0</v>
      </c>
      <c r="H279" s="102" t="b">
        <v>0</v>
      </c>
      <c r="I279" s="102" t="b">
        <v>0</v>
      </c>
      <c r="J279" s="102" t="b">
        <v>0</v>
      </c>
      <c r="K279" s="102" t="b">
        <v>0</v>
      </c>
      <c r="L279" s="102" t="b">
        <v>0</v>
      </c>
    </row>
    <row r="280" spans="1:12" ht="15">
      <c r="A280" s="104" t="s">
        <v>2838</v>
      </c>
      <c r="B280" s="102" t="s">
        <v>2391</v>
      </c>
      <c r="C280" s="102">
        <v>3</v>
      </c>
      <c r="D280" s="106">
        <v>0.0008524400035278396</v>
      </c>
      <c r="E280" s="106">
        <v>2.564305760661252</v>
      </c>
      <c r="F280" s="102" t="s">
        <v>3369</v>
      </c>
      <c r="G280" s="102" t="b">
        <v>0</v>
      </c>
      <c r="H280" s="102" t="b">
        <v>0</v>
      </c>
      <c r="I280" s="102" t="b">
        <v>0</v>
      </c>
      <c r="J280" s="102" t="b">
        <v>0</v>
      </c>
      <c r="K280" s="102" t="b">
        <v>0</v>
      </c>
      <c r="L280" s="102" t="b">
        <v>0</v>
      </c>
    </row>
    <row r="281" spans="1:12" ht="15">
      <c r="A281" s="104" t="s">
        <v>2391</v>
      </c>
      <c r="B281" s="102" t="s">
        <v>2661</v>
      </c>
      <c r="C281" s="102">
        <v>3</v>
      </c>
      <c r="D281" s="106">
        <v>0.0008524400035278396</v>
      </c>
      <c r="E281" s="106">
        <v>2.361762166240282</v>
      </c>
      <c r="F281" s="102" t="s">
        <v>3369</v>
      </c>
      <c r="G281" s="102" t="b">
        <v>0</v>
      </c>
      <c r="H281" s="102" t="b">
        <v>0</v>
      </c>
      <c r="I281" s="102" t="b">
        <v>0</v>
      </c>
      <c r="J281" s="102" t="b">
        <v>0</v>
      </c>
      <c r="K281" s="102" t="b">
        <v>0</v>
      </c>
      <c r="L281" s="102" t="b">
        <v>0</v>
      </c>
    </row>
    <row r="282" spans="1:12" ht="15">
      <c r="A282" s="104" t="s">
        <v>2661</v>
      </c>
      <c r="B282" s="102" t="s">
        <v>2839</v>
      </c>
      <c r="C282" s="102">
        <v>3</v>
      </c>
      <c r="D282" s="106">
        <v>0.0008524400035278396</v>
      </c>
      <c r="E282" s="106">
        <v>3.2270635923428257</v>
      </c>
      <c r="F282" s="102" t="s">
        <v>3369</v>
      </c>
      <c r="G282" s="102" t="b">
        <v>0</v>
      </c>
      <c r="H282" s="102" t="b">
        <v>0</v>
      </c>
      <c r="I282" s="102" t="b">
        <v>0</v>
      </c>
      <c r="J282" s="102" t="b">
        <v>0</v>
      </c>
      <c r="K282" s="102" t="b">
        <v>0</v>
      </c>
      <c r="L282" s="102" t="b">
        <v>0</v>
      </c>
    </row>
    <row r="283" spans="1:12" ht="15">
      <c r="A283" s="104" t="s">
        <v>2353</v>
      </c>
      <c r="B283" s="102" t="s">
        <v>2361</v>
      </c>
      <c r="C283" s="102">
        <v>3</v>
      </c>
      <c r="D283" s="106">
        <v>0.0006886309208820411</v>
      </c>
      <c r="E283" s="106">
        <v>0.8634516124506816</v>
      </c>
      <c r="F283" s="102" t="s">
        <v>3369</v>
      </c>
      <c r="G283" s="102" t="b">
        <v>0</v>
      </c>
      <c r="H283" s="102" t="b">
        <v>0</v>
      </c>
      <c r="I283" s="102" t="b">
        <v>0</v>
      </c>
      <c r="J283" s="102" t="b">
        <v>0</v>
      </c>
      <c r="K283" s="102" t="b">
        <v>0</v>
      </c>
      <c r="L283" s="102" t="b">
        <v>0</v>
      </c>
    </row>
    <row r="284" spans="1:12" ht="15">
      <c r="A284" s="104" t="s">
        <v>2361</v>
      </c>
      <c r="B284" s="102" t="s">
        <v>2427</v>
      </c>
      <c r="C284" s="102">
        <v>3</v>
      </c>
      <c r="D284" s="106">
        <v>0.0006886309208820411</v>
      </c>
      <c r="E284" s="106">
        <v>1.5643057606612518</v>
      </c>
      <c r="F284" s="102" t="s">
        <v>3369</v>
      </c>
      <c r="G284" s="102" t="b">
        <v>0</v>
      </c>
      <c r="H284" s="102" t="b">
        <v>0</v>
      </c>
      <c r="I284" s="102" t="b">
        <v>0</v>
      </c>
      <c r="J284" s="102" t="b">
        <v>0</v>
      </c>
      <c r="K284" s="102" t="b">
        <v>0</v>
      </c>
      <c r="L284" s="102" t="b">
        <v>0</v>
      </c>
    </row>
    <row r="285" spans="1:12" ht="15">
      <c r="A285" s="104" t="s">
        <v>2353</v>
      </c>
      <c r="B285" s="102" t="s">
        <v>2354</v>
      </c>
      <c r="C285" s="102">
        <v>3</v>
      </c>
      <c r="D285" s="106">
        <v>0.0008524400035278396</v>
      </c>
      <c r="E285" s="106">
        <v>0.7173235767724435</v>
      </c>
      <c r="F285" s="102" t="s">
        <v>3369</v>
      </c>
      <c r="G285" s="102" t="b">
        <v>0</v>
      </c>
      <c r="H285" s="102" t="b">
        <v>0</v>
      </c>
      <c r="I285" s="102" t="b">
        <v>0</v>
      </c>
      <c r="J285" s="102" t="b">
        <v>0</v>
      </c>
      <c r="K285" s="102" t="b">
        <v>0</v>
      </c>
      <c r="L285" s="102" t="b">
        <v>0</v>
      </c>
    </row>
    <row r="286" spans="1:12" ht="15">
      <c r="A286" s="104" t="s">
        <v>2663</v>
      </c>
      <c r="B286" s="102" t="s">
        <v>2664</v>
      </c>
      <c r="C286" s="102">
        <v>3</v>
      </c>
      <c r="D286" s="106">
        <v>0.0007490879793813594</v>
      </c>
      <c r="E286" s="106">
        <v>3.0052148427264695</v>
      </c>
      <c r="F286" s="102" t="s">
        <v>3369</v>
      </c>
      <c r="G286" s="102" t="b">
        <v>0</v>
      </c>
      <c r="H286" s="102" t="b">
        <v>0</v>
      </c>
      <c r="I286" s="102" t="b">
        <v>0</v>
      </c>
      <c r="J286" s="102" t="b">
        <v>0</v>
      </c>
      <c r="K286" s="102" t="b">
        <v>1</v>
      </c>
      <c r="L286" s="102" t="b">
        <v>0</v>
      </c>
    </row>
    <row r="287" spans="1:12" ht="15">
      <c r="A287" s="104" t="s">
        <v>2442</v>
      </c>
      <c r="B287" s="102" t="s">
        <v>2354</v>
      </c>
      <c r="C287" s="102">
        <v>3</v>
      </c>
      <c r="D287" s="106">
        <v>0.0006886309208820411</v>
      </c>
      <c r="E287" s="106">
        <v>1.4576862662666874</v>
      </c>
      <c r="F287" s="102" t="s">
        <v>3369</v>
      </c>
      <c r="G287" s="102" t="b">
        <v>0</v>
      </c>
      <c r="H287" s="102" t="b">
        <v>0</v>
      </c>
      <c r="I287" s="102" t="b">
        <v>0</v>
      </c>
      <c r="J287" s="102" t="b">
        <v>0</v>
      </c>
      <c r="K287" s="102" t="b">
        <v>0</v>
      </c>
      <c r="L287" s="102" t="b">
        <v>0</v>
      </c>
    </row>
    <row r="288" spans="1:12" ht="15">
      <c r="A288" s="104" t="s">
        <v>2491</v>
      </c>
      <c r="B288" s="102" t="s">
        <v>2348</v>
      </c>
      <c r="C288" s="102">
        <v>3</v>
      </c>
      <c r="D288" s="106">
        <v>0.0006886309208820411</v>
      </c>
      <c r="E288" s="106">
        <v>1.3090332555579456</v>
      </c>
      <c r="F288" s="102" t="s">
        <v>3369</v>
      </c>
      <c r="G288" s="102" t="b">
        <v>0</v>
      </c>
      <c r="H288" s="102" t="b">
        <v>0</v>
      </c>
      <c r="I288" s="102" t="b">
        <v>0</v>
      </c>
      <c r="J288" s="102" t="b">
        <v>0</v>
      </c>
      <c r="K288" s="102" t="b">
        <v>0</v>
      </c>
      <c r="L288" s="102" t="b">
        <v>0</v>
      </c>
    </row>
    <row r="289" spans="1:12" ht="15">
      <c r="A289" s="104" t="s">
        <v>2475</v>
      </c>
      <c r="B289" s="102" t="s">
        <v>2475</v>
      </c>
      <c r="C289" s="102">
        <v>3</v>
      </c>
      <c r="D289" s="106">
        <v>0.0008524400035278396</v>
      </c>
      <c r="E289" s="106">
        <v>2.361762166240282</v>
      </c>
      <c r="F289" s="102" t="s">
        <v>3369</v>
      </c>
      <c r="G289" s="102" t="b">
        <v>0</v>
      </c>
      <c r="H289" s="102" t="b">
        <v>0</v>
      </c>
      <c r="I289" s="102" t="b">
        <v>0</v>
      </c>
      <c r="J289" s="102" t="b">
        <v>0</v>
      </c>
      <c r="K289" s="102" t="b">
        <v>0</v>
      </c>
      <c r="L289" s="102" t="b">
        <v>0</v>
      </c>
    </row>
    <row r="290" spans="1:12" ht="15">
      <c r="A290" s="104" t="s">
        <v>2389</v>
      </c>
      <c r="B290" s="102" t="s">
        <v>2394</v>
      </c>
      <c r="C290" s="102">
        <v>3</v>
      </c>
      <c r="D290" s="106">
        <v>0.0006886309208820411</v>
      </c>
      <c r="E290" s="106">
        <v>1.7597021749123196</v>
      </c>
      <c r="F290" s="102" t="s">
        <v>3369</v>
      </c>
      <c r="G290" s="102" t="b">
        <v>0</v>
      </c>
      <c r="H290" s="102" t="b">
        <v>0</v>
      </c>
      <c r="I290" s="102" t="b">
        <v>0</v>
      </c>
      <c r="J290" s="102" t="b">
        <v>0</v>
      </c>
      <c r="K290" s="102" t="b">
        <v>0</v>
      </c>
      <c r="L290" s="102" t="b">
        <v>0</v>
      </c>
    </row>
    <row r="291" spans="1:12" ht="15">
      <c r="A291" s="104" t="s">
        <v>2390</v>
      </c>
      <c r="B291" s="102" t="s">
        <v>2361</v>
      </c>
      <c r="C291" s="102">
        <v>3</v>
      </c>
      <c r="D291" s="106">
        <v>0.0006886309208820411</v>
      </c>
      <c r="E291" s="106">
        <v>1.3882145016055705</v>
      </c>
      <c r="F291" s="102" t="s">
        <v>3369</v>
      </c>
      <c r="G291" s="102" t="b">
        <v>0</v>
      </c>
      <c r="H291" s="102" t="b">
        <v>0</v>
      </c>
      <c r="I291" s="102" t="b">
        <v>0</v>
      </c>
      <c r="J291" s="102" t="b">
        <v>0</v>
      </c>
      <c r="K291" s="102" t="b">
        <v>0</v>
      </c>
      <c r="L291" s="102" t="b">
        <v>0</v>
      </c>
    </row>
    <row r="292" spans="1:12" ht="15">
      <c r="A292" s="104" t="s">
        <v>2481</v>
      </c>
      <c r="B292" s="102" t="s">
        <v>2352</v>
      </c>
      <c r="C292" s="102">
        <v>3</v>
      </c>
      <c r="D292" s="106">
        <v>0.0006886309208820411</v>
      </c>
      <c r="E292" s="106">
        <v>1.4547418856199061</v>
      </c>
      <c r="F292" s="102" t="s">
        <v>3369</v>
      </c>
      <c r="G292" s="102" t="b">
        <v>0</v>
      </c>
      <c r="H292" s="102" t="b">
        <v>0</v>
      </c>
      <c r="I292" s="102" t="b">
        <v>0</v>
      </c>
      <c r="J292" s="102" t="b">
        <v>0</v>
      </c>
      <c r="K292" s="102" t="b">
        <v>0</v>
      </c>
      <c r="L292" s="102" t="b">
        <v>0</v>
      </c>
    </row>
    <row r="293" spans="1:12" ht="15">
      <c r="A293" s="104" t="s">
        <v>2508</v>
      </c>
      <c r="B293" s="102" t="s">
        <v>2701</v>
      </c>
      <c r="C293" s="102">
        <v>3</v>
      </c>
      <c r="D293" s="106">
        <v>0.0006886309208820411</v>
      </c>
      <c r="E293" s="106">
        <v>2.8468523506312198</v>
      </c>
      <c r="F293" s="102" t="s">
        <v>3369</v>
      </c>
      <c r="G293" s="102" t="b">
        <v>0</v>
      </c>
      <c r="H293" s="102" t="b">
        <v>0</v>
      </c>
      <c r="I293" s="102" t="b">
        <v>0</v>
      </c>
      <c r="J293" s="102" t="b">
        <v>0</v>
      </c>
      <c r="K293" s="102" t="b">
        <v>0</v>
      </c>
      <c r="L293" s="102" t="b">
        <v>0</v>
      </c>
    </row>
    <row r="294" spans="1:12" ht="15">
      <c r="A294" s="104" t="s">
        <v>2462</v>
      </c>
      <c r="B294" s="102" t="s">
        <v>2352</v>
      </c>
      <c r="C294" s="102">
        <v>3</v>
      </c>
      <c r="D294" s="106">
        <v>0.0006886309208820411</v>
      </c>
      <c r="E294" s="106">
        <v>1.2786506265642248</v>
      </c>
      <c r="F294" s="102" t="s">
        <v>3369</v>
      </c>
      <c r="G294" s="102" t="b">
        <v>0</v>
      </c>
      <c r="H294" s="102" t="b">
        <v>0</v>
      </c>
      <c r="I294" s="102" t="b">
        <v>0</v>
      </c>
      <c r="J294" s="102" t="b">
        <v>0</v>
      </c>
      <c r="K294" s="102" t="b">
        <v>0</v>
      </c>
      <c r="L294" s="102" t="b">
        <v>0</v>
      </c>
    </row>
    <row r="295" spans="1:12" ht="15">
      <c r="A295" s="104" t="s">
        <v>2352</v>
      </c>
      <c r="B295" s="102" t="s">
        <v>2358</v>
      </c>
      <c r="C295" s="102">
        <v>3</v>
      </c>
      <c r="D295" s="106">
        <v>0.0006886309208820411</v>
      </c>
      <c r="E295" s="106">
        <v>0.5643057606612518</v>
      </c>
      <c r="F295" s="102" t="s">
        <v>3369</v>
      </c>
      <c r="G295" s="102" t="b">
        <v>0</v>
      </c>
      <c r="H295" s="102" t="b">
        <v>0</v>
      </c>
      <c r="I295" s="102" t="b">
        <v>0</v>
      </c>
      <c r="J295" s="102" t="b">
        <v>0</v>
      </c>
      <c r="K295" s="102" t="b">
        <v>0</v>
      </c>
      <c r="L295" s="102" t="b">
        <v>0</v>
      </c>
    </row>
    <row r="296" spans="1:12" ht="15">
      <c r="A296" s="104" t="s">
        <v>2366</v>
      </c>
      <c r="B296" s="102" t="s">
        <v>2844</v>
      </c>
      <c r="C296" s="102">
        <v>3</v>
      </c>
      <c r="D296" s="106">
        <v>0.0006886309208820411</v>
      </c>
      <c r="E296" s="106">
        <v>2.302784306280944</v>
      </c>
      <c r="F296" s="102" t="s">
        <v>3369</v>
      </c>
      <c r="G296" s="102" t="b">
        <v>0</v>
      </c>
      <c r="H296" s="102" t="b">
        <v>0</v>
      </c>
      <c r="I296" s="102" t="b">
        <v>0</v>
      </c>
      <c r="J296" s="102" t="b">
        <v>0</v>
      </c>
      <c r="K296" s="102" t="b">
        <v>0</v>
      </c>
      <c r="L296" s="102" t="b">
        <v>0</v>
      </c>
    </row>
    <row r="297" spans="1:12" ht="15">
      <c r="A297" s="104" t="s">
        <v>2844</v>
      </c>
      <c r="B297" s="102" t="s">
        <v>2738</v>
      </c>
      <c r="C297" s="102">
        <v>3</v>
      </c>
      <c r="D297" s="106">
        <v>0.0006886309208820411</v>
      </c>
      <c r="E297" s="106">
        <v>3.3239736053508824</v>
      </c>
      <c r="F297" s="102" t="s">
        <v>3369</v>
      </c>
      <c r="G297" s="102" t="b">
        <v>0</v>
      </c>
      <c r="H297" s="102" t="b">
        <v>0</v>
      </c>
      <c r="I297" s="102" t="b">
        <v>0</v>
      </c>
      <c r="J297" s="102" t="b">
        <v>0</v>
      </c>
      <c r="K297" s="102" t="b">
        <v>0</v>
      </c>
      <c r="L297" s="102" t="b">
        <v>0</v>
      </c>
    </row>
    <row r="298" spans="1:12" ht="15">
      <c r="A298" s="104" t="s">
        <v>2738</v>
      </c>
      <c r="B298" s="102" t="s">
        <v>2358</v>
      </c>
      <c r="C298" s="102">
        <v>3</v>
      </c>
      <c r="D298" s="106">
        <v>0.0006886309208820411</v>
      </c>
      <c r="E298" s="106">
        <v>2.022943609686901</v>
      </c>
      <c r="F298" s="102" t="s">
        <v>3369</v>
      </c>
      <c r="G298" s="102" t="b">
        <v>0</v>
      </c>
      <c r="H298" s="102" t="b">
        <v>0</v>
      </c>
      <c r="I298" s="102" t="b">
        <v>0</v>
      </c>
      <c r="J298" s="102" t="b">
        <v>0</v>
      </c>
      <c r="K298" s="102" t="b">
        <v>0</v>
      </c>
      <c r="L298" s="102" t="b">
        <v>0</v>
      </c>
    </row>
    <row r="299" spans="1:12" ht="15">
      <c r="A299" s="104" t="s">
        <v>2358</v>
      </c>
      <c r="B299" s="102" t="s">
        <v>2739</v>
      </c>
      <c r="C299" s="102">
        <v>3</v>
      </c>
      <c r="D299" s="106">
        <v>0.0006886309208820411</v>
      </c>
      <c r="E299" s="106">
        <v>2.022943609686901</v>
      </c>
      <c r="F299" s="102" t="s">
        <v>3369</v>
      </c>
      <c r="G299" s="102" t="b">
        <v>0</v>
      </c>
      <c r="H299" s="102" t="b">
        <v>0</v>
      </c>
      <c r="I299" s="102" t="b">
        <v>0</v>
      </c>
      <c r="J299" s="102" t="b">
        <v>0</v>
      </c>
      <c r="K299" s="102" t="b">
        <v>0</v>
      </c>
      <c r="L299" s="102" t="b">
        <v>0</v>
      </c>
    </row>
    <row r="300" spans="1:12" ht="15">
      <c r="A300" s="104" t="s">
        <v>2739</v>
      </c>
      <c r="B300" s="102" t="s">
        <v>2358</v>
      </c>
      <c r="C300" s="102">
        <v>3</v>
      </c>
      <c r="D300" s="106">
        <v>0.0006886309208820411</v>
      </c>
      <c r="E300" s="106">
        <v>2.022943609686901</v>
      </c>
      <c r="F300" s="102" t="s">
        <v>3369</v>
      </c>
      <c r="G300" s="102" t="b">
        <v>0</v>
      </c>
      <c r="H300" s="102" t="b">
        <v>0</v>
      </c>
      <c r="I300" s="102" t="b">
        <v>0</v>
      </c>
      <c r="J300" s="102" t="b">
        <v>0</v>
      </c>
      <c r="K300" s="102" t="b">
        <v>0</v>
      </c>
      <c r="L300" s="102" t="b">
        <v>0</v>
      </c>
    </row>
    <row r="301" spans="1:12" ht="15">
      <c r="A301" s="104" t="s">
        <v>2366</v>
      </c>
      <c r="B301" s="102" t="s">
        <v>2387</v>
      </c>
      <c r="C301" s="102">
        <v>3</v>
      </c>
      <c r="D301" s="106">
        <v>0.0006886309208820411</v>
      </c>
      <c r="E301" s="106">
        <v>1.381965552328569</v>
      </c>
      <c r="F301" s="102" t="s">
        <v>3369</v>
      </c>
      <c r="G301" s="102" t="b">
        <v>0</v>
      </c>
      <c r="H301" s="102" t="b">
        <v>0</v>
      </c>
      <c r="I301" s="102" t="b">
        <v>0</v>
      </c>
      <c r="J301" s="102" t="b">
        <v>0</v>
      </c>
      <c r="K301" s="102" t="b">
        <v>0</v>
      </c>
      <c r="L301" s="102" t="b">
        <v>0</v>
      </c>
    </row>
    <row r="302" spans="1:12" ht="15">
      <c r="A302" s="104" t="s">
        <v>2364</v>
      </c>
      <c r="B302" s="102" t="s">
        <v>2845</v>
      </c>
      <c r="C302" s="102">
        <v>3</v>
      </c>
      <c r="D302" s="106">
        <v>0.0006886309208820411</v>
      </c>
      <c r="E302" s="106">
        <v>2.302784306280944</v>
      </c>
      <c r="F302" s="102" t="s">
        <v>3369</v>
      </c>
      <c r="G302" s="102" t="b">
        <v>0</v>
      </c>
      <c r="H302" s="102" t="b">
        <v>0</v>
      </c>
      <c r="I302" s="102" t="b">
        <v>0</v>
      </c>
      <c r="J302" s="102" t="b">
        <v>0</v>
      </c>
      <c r="K302" s="102" t="b">
        <v>0</v>
      </c>
      <c r="L302" s="102" t="b">
        <v>0</v>
      </c>
    </row>
    <row r="303" spans="1:12" ht="15">
      <c r="A303" s="104" t="s">
        <v>2845</v>
      </c>
      <c r="B303" s="102" t="s">
        <v>2352</v>
      </c>
      <c r="C303" s="102">
        <v>3</v>
      </c>
      <c r="D303" s="106">
        <v>0.0006886309208820411</v>
      </c>
      <c r="E303" s="106">
        <v>1.8807106178921873</v>
      </c>
      <c r="F303" s="102" t="s">
        <v>3369</v>
      </c>
      <c r="G303" s="102" t="b">
        <v>0</v>
      </c>
      <c r="H303" s="102" t="b">
        <v>0</v>
      </c>
      <c r="I303" s="102" t="b">
        <v>0</v>
      </c>
      <c r="J303" s="102" t="b">
        <v>0</v>
      </c>
      <c r="K303" s="102" t="b">
        <v>0</v>
      </c>
      <c r="L303" s="102" t="b">
        <v>0</v>
      </c>
    </row>
    <row r="304" spans="1:12" ht="15">
      <c r="A304" s="104" t="s">
        <v>2602</v>
      </c>
      <c r="B304" s="102" t="s">
        <v>2352</v>
      </c>
      <c r="C304" s="102">
        <v>3</v>
      </c>
      <c r="D304" s="106">
        <v>0.0006886309208820411</v>
      </c>
      <c r="E304" s="106">
        <v>1.579680622228206</v>
      </c>
      <c r="F304" s="102" t="s">
        <v>3369</v>
      </c>
      <c r="G304" s="102" t="b">
        <v>0</v>
      </c>
      <c r="H304" s="102" t="b">
        <v>0</v>
      </c>
      <c r="I304" s="102" t="b">
        <v>0</v>
      </c>
      <c r="J304" s="102" t="b">
        <v>0</v>
      </c>
      <c r="K304" s="102" t="b">
        <v>0</v>
      </c>
      <c r="L304" s="102" t="b">
        <v>0</v>
      </c>
    </row>
    <row r="305" spans="1:12" ht="15">
      <c r="A305" s="104" t="s">
        <v>2352</v>
      </c>
      <c r="B305" s="102" t="s">
        <v>2671</v>
      </c>
      <c r="C305" s="102">
        <v>3</v>
      </c>
      <c r="D305" s="106">
        <v>0.0006886309208820411</v>
      </c>
      <c r="E305" s="106">
        <v>1.6434870067088765</v>
      </c>
      <c r="F305" s="102" t="s">
        <v>3369</v>
      </c>
      <c r="G305" s="102" t="b">
        <v>0</v>
      </c>
      <c r="H305" s="102" t="b">
        <v>0</v>
      </c>
      <c r="I305" s="102" t="b">
        <v>0</v>
      </c>
      <c r="J305" s="102" t="b">
        <v>0</v>
      </c>
      <c r="K305" s="102" t="b">
        <v>0</v>
      </c>
      <c r="L305" s="102" t="b">
        <v>0</v>
      </c>
    </row>
    <row r="306" spans="1:12" ht="15">
      <c r="A306" s="104" t="s">
        <v>2671</v>
      </c>
      <c r="B306" s="102" t="s">
        <v>2352</v>
      </c>
      <c r="C306" s="102">
        <v>3</v>
      </c>
      <c r="D306" s="106">
        <v>0.0006886309208820411</v>
      </c>
      <c r="E306" s="106">
        <v>1.6588618682758307</v>
      </c>
      <c r="F306" s="102" t="s">
        <v>3369</v>
      </c>
      <c r="G306" s="102" t="b">
        <v>0</v>
      </c>
      <c r="H306" s="102" t="b">
        <v>0</v>
      </c>
      <c r="I306" s="102" t="b">
        <v>0</v>
      </c>
      <c r="J306" s="102" t="b">
        <v>0</v>
      </c>
      <c r="K306" s="102" t="b">
        <v>0</v>
      </c>
      <c r="L306" s="102" t="b">
        <v>0</v>
      </c>
    </row>
    <row r="307" spans="1:12" ht="15">
      <c r="A307" s="104" t="s">
        <v>2569</v>
      </c>
      <c r="B307" s="102" t="s">
        <v>2740</v>
      </c>
      <c r="C307" s="102">
        <v>3</v>
      </c>
      <c r="D307" s="106">
        <v>0.0006886309208820411</v>
      </c>
      <c r="E307" s="106">
        <v>3.022943609686901</v>
      </c>
      <c r="F307" s="102" t="s">
        <v>3369</v>
      </c>
      <c r="G307" s="102" t="b">
        <v>0</v>
      </c>
      <c r="H307" s="102" t="b">
        <v>1</v>
      </c>
      <c r="I307" s="102" t="b">
        <v>0</v>
      </c>
      <c r="J307" s="102" t="b">
        <v>0</v>
      </c>
      <c r="K307" s="102" t="b">
        <v>0</v>
      </c>
      <c r="L307" s="102" t="b">
        <v>0</v>
      </c>
    </row>
    <row r="308" spans="1:12" ht="15">
      <c r="A308" s="104" t="s">
        <v>2740</v>
      </c>
      <c r="B308" s="102" t="s">
        <v>2366</v>
      </c>
      <c r="C308" s="102">
        <v>3</v>
      </c>
      <c r="D308" s="106">
        <v>0.0006886309208820411</v>
      </c>
      <c r="E308" s="106">
        <v>2.188311003350809</v>
      </c>
      <c r="F308" s="102" t="s">
        <v>3369</v>
      </c>
      <c r="G308" s="102" t="b">
        <v>0</v>
      </c>
      <c r="H308" s="102" t="b">
        <v>0</v>
      </c>
      <c r="I308" s="102" t="b">
        <v>0</v>
      </c>
      <c r="J308" s="102" t="b">
        <v>0</v>
      </c>
      <c r="K308" s="102" t="b">
        <v>0</v>
      </c>
      <c r="L308" s="102" t="b">
        <v>0</v>
      </c>
    </row>
    <row r="309" spans="1:12" ht="15">
      <c r="A309" s="104" t="s">
        <v>2366</v>
      </c>
      <c r="B309" s="102" t="s">
        <v>2555</v>
      </c>
      <c r="C309" s="102">
        <v>3</v>
      </c>
      <c r="D309" s="106">
        <v>0.0006886309208820411</v>
      </c>
      <c r="E309" s="106">
        <v>1.9348075209863498</v>
      </c>
      <c r="F309" s="102" t="s">
        <v>3369</v>
      </c>
      <c r="G309" s="102" t="b">
        <v>0</v>
      </c>
      <c r="H309" s="102" t="b">
        <v>0</v>
      </c>
      <c r="I309" s="102" t="b">
        <v>0</v>
      </c>
      <c r="J309" s="102" t="b">
        <v>0</v>
      </c>
      <c r="K309" s="102" t="b">
        <v>0</v>
      </c>
      <c r="L309" s="102" t="b">
        <v>0</v>
      </c>
    </row>
    <row r="310" spans="1:12" ht="15">
      <c r="A310" s="104" t="s">
        <v>2555</v>
      </c>
      <c r="B310" s="102" t="s">
        <v>2846</v>
      </c>
      <c r="C310" s="102">
        <v>3</v>
      </c>
      <c r="D310" s="106">
        <v>0.0006886309208820411</v>
      </c>
      <c r="E310" s="106">
        <v>3.080935556664588</v>
      </c>
      <c r="F310" s="102" t="s">
        <v>3369</v>
      </c>
      <c r="G310" s="102" t="b">
        <v>0</v>
      </c>
      <c r="H310" s="102" t="b">
        <v>0</v>
      </c>
      <c r="I310" s="102" t="b">
        <v>0</v>
      </c>
      <c r="J310" s="102" t="b">
        <v>0</v>
      </c>
      <c r="K310" s="102" t="b">
        <v>0</v>
      </c>
      <c r="L310" s="102" t="b">
        <v>0</v>
      </c>
    </row>
    <row r="311" spans="1:12" ht="15">
      <c r="A311" s="104" t="s">
        <v>2846</v>
      </c>
      <c r="B311" s="102" t="s">
        <v>2847</v>
      </c>
      <c r="C311" s="102">
        <v>3</v>
      </c>
      <c r="D311" s="106">
        <v>0.0006886309208820411</v>
      </c>
      <c r="E311" s="106">
        <v>3.4489123419591823</v>
      </c>
      <c r="F311" s="102" t="s">
        <v>3369</v>
      </c>
      <c r="G311" s="102" t="b">
        <v>0</v>
      </c>
      <c r="H311" s="102" t="b">
        <v>0</v>
      </c>
      <c r="I311" s="102" t="b">
        <v>0</v>
      </c>
      <c r="J311" s="102" t="b">
        <v>0</v>
      </c>
      <c r="K311" s="102" t="b">
        <v>0</v>
      </c>
      <c r="L311" s="102" t="b">
        <v>0</v>
      </c>
    </row>
    <row r="312" spans="1:12" ht="15">
      <c r="A312" s="104" t="s">
        <v>2847</v>
      </c>
      <c r="B312" s="102" t="s">
        <v>2370</v>
      </c>
      <c r="C312" s="102">
        <v>3</v>
      </c>
      <c r="D312" s="106">
        <v>0.0006886309208820411</v>
      </c>
      <c r="E312" s="106">
        <v>2.3945546796365895</v>
      </c>
      <c r="F312" s="102" t="s">
        <v>3369</v>
      </c>
      <c r="G312" s="102" t="b">
        <v>0</v>
      </c>
      <c r="H312" s="102" t="b">
        <v>0</v>
      </c>
      <c r="I312" s="102" t="b">
        <v>0</v>
      </c>
      <c r="J312" s="102" t="b">
        <v>0</v>
      </c>
      <c r="K312" s="102" t="b">
        <v>0</v>
      </c>
      <c r="L312" s="102" t="b">
        <v>0</v>
      </c>
    </row>
    <row r="313" spans="1:12" ht="15">
      <c r="A313" s="104" t="s">
        <v>2370</v>
      </c>
      <c r="B313" s="102" t="s">
        <v>2509</v>
      </c>
      <c r="C313" s="102">
        <v>3</v>
      </c>
      <c r="D313" s="106">
        <v>0.0006886309208820411</v>
      </c>
      <c r="E313" s="106">
        <v>1.9685859473643084</v>
      </c>
      <c r="F313" s="102" t="s">
        <v>3369</v>
      </c>
      <c r="G313" s="102" t="b">
        <v>0</v>
      </c>
      <c r="H313" s="102" t="b">
        <v>0</v>
      </c>
      <c r="I313" s="102" t="b">
        <v>0</v>
      </c>
      <c r="J313" s="102" t="b">
        <v>0</v>
      </c>
      <c r="K313" s="102" t="b">
        <v>0</v>
      </c>
      <c r="L313" s="102" t="b">
        <v>0</v>
      </c>
    </row>
    <row r="314" spans="1:12" ht="15">
      <c r="A314" s="104" t="s">
        <v>2509</v>
      </c>
      <c r="B314" s="102" t="s">
        <v>2848</v>
      </c>
      <c r="C314" s="102">
        <v>3</v>
      </c>
      <c r="D314" s="106">
        <v>0.0006886309208820411</v>
      </c>
      <c r="E314" s="106">
        <v>2.9717910872395197</v>
      </c>
      <c r="F314" s="102" t="s">
        <v>3369</v>
      </c>
      <c r="G314" s="102" t="b">
        <v>0</v>
      </c>
      <c r="H314" s="102" t="b">
        <v>0</v>
      </c>
      <c r="I314" s="102" t="b">
        <v>0</v>
      </c>
      <c r="J314" s="102" t="b">
        <v>0</v>
      </c>
      <c r="K314" s="102" t="b">
        <v>0</v>
      </c>
      <c r="L314" s="102" t="b">
        <v>0</v>
      </c>
    </row>
    <row r="315" spans="1:12" ht="15">
      <c r="A315" s="104" t="s">
        <v>2848</v>
      </c>
      <c r="B315" s="102" t="s">
        <v>2376</v>
      </c>
      <c r="C315" s="102">
        <v>3</v>
      </c>
      <c r="D315" s="106">
        <v>0.0006886309208820411</v>
      </c>
      <c r="E315" s="106">
        <v>2.4489123419591823</v>
      </c>
      <c r="F315" s="102" t="s">
        <v>3369</v>
      </c>
      <c r="G315" s="102" t="b">
        <v>0</v>
      </c>
      <c r="H315" s="102" t="b">
        <v>0</v>
      </c>
      <c r="I315" s="102" t="b">
        <v>0</v>
      </c>
      <c r="J315" s="102" t="b">
        <v>0</v>
      </c>
      <c r="K315" s="102" t="b">
        <v>0</v>
      </c>
      <c r="L315" s="102" t="b">
        <v>0</v>
      </c>
    </row>
    <row r="316" spans="1:12" ht="15">
      <c r="A316" s="104" t="s">
        <v>2376</v>
      </c>
      <c r="B316" s="102" t="s">
        <v>2570</v>
      </c>
      <c r="C316" s="102">
        <v>3</v>
      </c>
      <c r="D316" s="106">
        <v>0.0006886309208820411</v>
      </c>
      <c r="E316" s="106">
        <v>2.080935556664588</v>
      </c>
      <c r="F316" s="102" t="s">
        <v>3369</v>
      </c>
      <c r="G316" s="102" t="b">
        <v>0</v>
      </c>
      <c r="H316" s="102" t="b">
        <v>0</v>
      </c>
      <c r="I316" s="102" t="b">
        <v>0</v>
      </c>
      <c r="J316" s="102" t="b">
        <v>0</v>
      </c>
      <c r="K316" s="102" t="b">
        <v>0</v>
      </c>
      <c r="L316" s="102" t="b">
        <v>0</v>
      </c>
    </row>
    <row r="317" spans="1:12" ht="15">
      <c r="A317" s="104" t="s">
        <v>2570</v>
      </c>
      <c r="B317" s="102" t="s">
        <v>2571</v>
      </c>
      <c r="C317" s="102">
        <v>3</v>
      </c>
      <c r="D317" s="106">
        <v>0.0006886309208820411</v>
      </c>
      <c r="E317" s="106">
        <v>2.7129587713699936</v>
      </c>
      <c r="F317" s="102" t="s">
        <v>3369</v>
      </c>
      <c r="G317" s="102" t="b">
        <v>0</v>
      </c>
      <c r="H317" s="102" t="b">
        <v>0</v>
      </c>
      <c r="I317" s="102" t="b">
        <v>0</v>
      </c>
      <c r="J317" s="102" t="b">
        <v>0</v>
      </c>
      <c r="K317" s="102" t="b">
        <v>0</v>
      </c>
      <c r="L317" s="102" t="b">
        <v>0</v>
      </c>
    </row>
    <row r="318" spans="1:12" ht="15">
      <c r="A318" s="104" t="s">
        <v>2571</v>
      </c>
      <c r="B318" s="102" t="s">
        <v>2593</v>
      </c>
      <c r="C318" s="102">
        <v>3</v>
      </c>
      <c r="D318" s="106">
        <v>0.0006886309208820411</v>
      </c>
      <c r="E318" s="106">
        <v>2.7799055610006067</v>
      </c>
      <c r="F318" s="102" t="s">
        <v>3369</v>
      </c>
      <c r="G318" s="102" t="b">
        <v>0</v>
      </c>
      <c r="H318" s="102" t="b">
        <v>0</v>
      </c>
      <c r="I318" s="102" t="b">
        <v>0</v>
      </c>
      <c r="J318" s="102" t="b">
        <v>0</v>
      </c>
      <c r="K318" s="102" t="b">
        <v>0</v>
      </c>
      <c r="L318" s="102" t="b">
        <v>0</v>
      </c>
    </row>
    <row r="319" spans="1:12" ht="15">
      <c r="A319" s="104" t="s">
        <v>2537</v>
      </c>
      <c r="B319" s="102" t="s">
        <v>2604</v>
      </c>
      <c r="C319" s="102">
        <v>3</v>
      </c>
      <c r="D319" s="106">
        <v>0.0008524400035278396</v>
      </c>
      <c r="E319" s="106">
        <v>2.72191361402292</v>
      </c>
      <c r="F319" s="102" t="s">
        <v>3369</v>
      </c>
      <c r="G319" s="102" t="b">
        <v>0</v>
      </c>
      <c r="H319" s="102" t="b">
        <v>0</v>
      </c>
      <c r="I319" s="102" t="b">
        <v>0</v>
      </c>
      <c r="J319" s="102" t="b">
        <v>0</v>
      </c>
      <c r="K319" s="102" t="b">
        <v>0</v>
      </c>
      <c r="L319" s="102" t="b">
        <v>0</v>
      </c>
    </row>
    <row r="320" spans="1:12" ht="15">
      <c r="A320" s="104" t="s">
        <v>2492</v>
      </c>
      <c r="B320" s="102" t="s">
        <v>2367</v>
      </c>
      <c r="C320" s="102">
        <v>3</v>
      </c>
      <c r="D320" s="106">
        <v>0.0006886309208820411</v>
      </c>
      <c r="E320" s="106">
        <v>1.8120902443720077</v>
      </c>
      <c r="F320" s="102" t="s">
        <v>3369</v>
      </c>
      <c r="G320" s="102" t="b">
        <v>0</v>
      </c>
      <c r="H320" s="102" t="b">
        <v>0</v>
      </c>
      <c r="I320" s="102" t="b">
        <v>0</v>
      </c>
      <c r="J320" s="102" t="b">
        <v>0</v>
      </c>
      <c r="K320" s="102" t="b">
        <v>0</v>
      </c>
      <c r="L320" s="102" t="b">
        <v>0</v>
      </c>
    </row>
    <row r="321" spans="1:12" ht="15">
      <c r="A321" s="104" t="s">
        <v>2673</v>
      </c>
      <c r="B321" s="102" t="s">
        <v>2350</v>
      </c>
      <c r="C321" s="102">
        <v>3</v>
      </c>
      <c r="D321" s="106">
        <v>0.0007490879793813594</v>
      </c>
      <c r="E321" s="106">
        <v>1.4097186209008954</v>
      </c>
      <c r="F321" s="102" t="s">
        <v>3369</v>
      </c>
      <c r="G321" s="102" t="b">
        <v>0</v>
      </c>
      <c r="H321" s="102" t="b">
        <v>0</v>
      </c>
      <c r="I321" s="102" t="b">
        <v>0</v>
      </c>
      <c r="J321" s="102" t="b">
        <v>0</v>
      </c>
      <c r="K321" s="102" t="b">
        <v>0</v>
      </c>
      <c r="L321" s="102" t="b">
        <v>0</v>
      </c>
    </row>
    <row r="322" spans="1:12" ht="15">
      <c r="A322" s="104" t="s">
        <v>2350</v>
      </c>
      <c r="B322" s="102" t="s">
        <v>2369</v>
      </c>
      <c r="C322" s="102">
        <v>3</v>
      </c>
      <c r="D322" s="106">
        <v>0.0006886309208820411</v>
      </c>
      <c r="E322" s="106">
        <v>0.5404869011699192</v>
      </c>
      <c r="F322" s="102" t="s">
        <v>3369</v>
      </c>
      <c r="G322" s="102" t="b">
        <v>0</v>
      </c>
      <c r="H322" s="102" t="b">
        <v>0</v>
      </c>
      <c r="I322" s="102" t="b">
        <v>0</v>
      </c>
      <c r="J322" s="102" t="b">
        <v>0</v>
      </c>
      <c r="K322" s="102" t="b">
        <v>0</v>
      </c>
      <c r="L322" s="102" t="b">
        <v>0</v>
      </c>
    </row>
    <row r="323" spans="1:12" ht="15">
      <c r="A323" s="104" t="s">
        <v>2443</v>
      </c>
      <c r="B323" s="102" t="s">
        <v>2355</v>
      </c>
      <c r="C323" s="102">
        <v>3</v>
      </c>
      <c r="D323" s="106">
        <v>0.0008524400035278396</v>
      </c>
      <c r="E323" s="106">
        <v>1.4508468417363818</v>
      </c>
      <c r="F323" s="102" t="s">
        <v>3369</v>
      </c>
      <c r="G323" s="102" t="b">
        <v>0</v>
      </c>
      <c r="H323" s="102" t="b">
        <v>0</v>
      </c>
      <c r="I323" s="102" t="b">
        <v>0</v>
      </c>
      <c r="J323" s="102" t="b">
        <v>0</v>
      </c>
      <c r="K323" s="102" t="b">
        <v>0</v>
      </c>
      <c r="L323" s="102" t="b">
        <v>0</v>
      </c>
    </row>
    <row r="324" spans="1:12" ht="15">
      <c r="A324" s="104" t="s">
        <v>2417</v>
      </c>
      <c r="B324" s="102" t="s">
        <v>2432</v>
      </c>
      <c r="C324" s="102">
        <v>3</v>
      </c>
      <c r="D324" s="106">
        <v>0.0008524400035278396</v>
      </c>
      <c r="E324" s="106">
        <v>1.9966146709645518</v>
      </c>
      <c r="F324" s="102" t="s">
        <v>3369</v>
      </c>
      <c r="G324" s="102" t="b">
        <v>0</v>
      </c>
      <c r="H324" s="102" t="b">
        <v>0</v>
      </c>
      <c r="I324" s="102" t="b">
        <v>0</v>
      </c>
      <c r="J324" s="102" t="b">
        <v>0</v>
      </c>
      <c r="K324" s="102" t="b">
        <v>0</v>
      </c>
      <c r="L324" s="102" t="b">
        <v>0</v>
      </c>
    </row>
    <row r="325" spans="1:12" ht="15">
      <c r="A325" s="104" t="s">
        <v>2746</v>
      </c>
      <c r="B325" s="102" t="s">
        <v>2351</v>
      </c>
      <c r="C325" s="102">
        <v>3</v>
      </c>
      <c r="D325" s="106">
        <v>0.0008524400035278396</v>
      </c>
      <c r="E325" s="106">
        <v>1.5386437703401152</v>
      </c>
      <c r="F325" s="102" t="s">
        <v>3369</v>
      </c>
      <c r="G325" s="102" t="b">
        <v>0</v>
      </c>
      <c r="H325" s="102" t="b">
        <v>0</v>
      </c>
      <c r="I325" s="102" t="b">
        <v>0</v>
      </c>
      <c r="J325" s="102" t="b">
        <v>0</v>
      </c>
      <c r="K325" s="102" t="b">
        <v>0</v>
      </c>
      <c r="L325" s="102" t="b">
        <v>0</v>
      </c>
    </row>
    <row r="326" spans="1:12" ht="15">
      <c r="A326" s="104" t="s">
        <v>2351</v>
      </c>
      <c r="B326" s="102" t="s">
        <v>2573</v>
      </c>
      <c r="C326" s="102">
        <v>3</v>
      </c>
      <c r="D326" s="106">
        <v>0.0007490879793813594</v>
      </c>
      <c r="E326" s="106">
        <v>1.3003782365150658</v>
      </c>
      <c r="F326" s="102" t="s">
        <v>3369</v>
      </c>
      <c r="G326" s="102" t="b">
        <v>0</v>
      </c>
      <c r="H326" s="102" t="b">
        <v>0</v>
      </c>
      <c r="I326" s="102" t="b">
        <v>0</v>
      </c>
      <c r="J326" s="102" t="b">
        <v>0</v>
      </c>
      <c r="K326" s="102" t="b">
        <v>0</v>
      </c>
      <c r="L326" s="102" t="b">
        <v>0</v>
      </c>
    </row>
    <row r="327" spans="1:12" ht="15">
      <c r="A327" s="104" t="s">
        <v>2446</v>
      </c>
      <c r="B327" s="102" t="s">
        <v>2468</v>
      </c>
      <c r="C327" s="102">
        <v>3</v>
      </c>
      <c r="D327" s="106">
        <v>0.0007490879793813594</v>
      </c>
      <c r="E327" s="106">
        <v>2.247818813933445</v>
      </c>
      <c r="F327" s="102" t="s">
        <v>3369</v>
      </c>
      <c r="G327" s="102" t="b">
        <v>0</v>
      </c>
      <c r="H327" s="102" t="b">
        <v>0</v>
      </c>
      <c r="I327" s="102" t="b">
        <v>0</v>
      </c>
      <c r="J327" s="102" t="b">
        <v>0</v>
      </c>
      <c r="K327" s="102" t="b">
        <v>0</v>
      </c>
      <c r="L327" s="102" t="b">
        <v>0</v>
      </c>
    </row>
    <row r="328" spans="1:12" ht="15">
      <c r="A328" s="104" t="s">
        <v>2512</v>
      </c>
      <c r="B328" s="102" t="s">
        <v>2676</v>
      </c>
      <c r="C328" s="102">
        <v>3</v>
      </c>
      <c r="D328" s="106">
        <v>0.0008524400035278396</v>
      </c>
      <c r="E328" s="106">
        <v>2.7499423376231635</v>
      </c>
      <c r="F328" s="102" t="s">
        <v>3369</v>
      </c>
      <c r="G328" s="102" t="b">
        <v>0</v>
      </c>
      <c r="H328" s="102" t="b">
        <v>0</v>
      </c>
      <c r="I328" s="102" t="b">
        <v>0</v>
      </c>
      <c r="J328" s="102" t="b">
        <v>0</v>
      </c>
      <c r="K328" s="102" t="b">
        <v>0</v>
      </c>
      <c r="L328" s="102" t="b">
        <v>0</v>
      </c>
    </row>
    <row r="329" spans="1:12" ht="15">
      <c r="A329" s="104" t="s">
        <v>2390</v>
      </c>
      <c r="B329" s="102" t="s">
        <v>2352</v>
      </c>
      <c r="C329" s="102">
        <v>3</v>
      </c>
      <c r="D329" s="106">
        <v>0.0006886309208820411</v>
      </c>
      <c r="E329" s="106">
        <v>0.9961040365942567</v>
      </c>
      <c r="F329" s="102" t="s">
        <v>3369</v>
      </c>
      <c r="G329" s="102" t="b">
        <v>0</v>
      </c>
      <c r="H329" s="102" t="b">
        <v>0</v>
      </c>
      <c r="I329" s="102" t="b">
        <v>0</v>
      </c>
      <c r="J329" s="102" t="b">
        <v>0</v>
      </c>
      <c r="K329" s="102" t="b">
        <v>0</v>
      </c>
      <c r="L329" s="102" t="b">
        <v>0</v>
      </c>
    </row>
    <row r="330" spans="1:12" ht="15">
      <c r="A330" s="104" t="s">
        <v>2389</v>
      </c>
      <c r="B330" s="102" t="s">
        <v>2364</v>
      </c>
      <c r="C330" s="102">
        <v>3</v>
      </c>
      <c r="D330" s="106">
        <v>0.0006886309208820411</v>
      </c>
      <c r="E330" s="106">
        <v>1.4075196568009571</v>
      </c>
      <c r="F330" s="102" t="s">
        <v>3369</v>
      </c>
      <c r="G330" s="102" t="b">
        <v>0</v>
      </c>
      <c r="H330" s="102" t="b">
        <v>0</v>
      </c>
      <c r="I330" s="102" t="b">
        <v>0</v>
      </c>
      <c r="J330" s="102" t="b">
        <v>0</v>
      </c>
      <c r="K330" s="102" t="b">
        <v>0</v>
      </c>
      <c r="L330" s="102" t="b">
        <v>0</v>
      </c>
    </row>
    <row r="331" spans="1:12" ht="15">
      <c r="A331" s="104" t="s">
        <v>2376</v>
      </c>
      <c r="B331" s="102" t="s">
        <v>2364</v>
      </c>
      <c r="C331" s="102">
        <v>3</v>
      </c>
      <c r="D331" s="106">
        <v>0.0008524400035278396</v>
      </c>
      <c r="E331" s="106">
        <v>1.272821082903501</v>
      </c>
      <c r="F331" s="102" t="s">
        <v>3369</v>
      </c>
      <c r="G331" s="102" t="b">
        <v>0</v>
      </c>
      <c r="H331" s="102" t="b">
        <v>0</v>
      </c>
      <c r="I331" s="102" t="b">
        <v>0</v>
      </c>
      <c r="J331" s="102" t="b">
        <v>0</v>
      </c>
      <c r="K331" s="102" t="b">
        <v>0</v>
      </c>
      <c r="L331" s="102" t="b">
        <v>0</v>
      </c>
    </row>
    <row r="332" spans="1:12" ht="15">
      <c r="A332" s="104" t="s">
        <v>2513</v>
      </c>
      <c r="B332" s="102" t="s">
        <v>2376</v>
      </c>
      <c r="C332" s="102">
        <v>3</v>
      </c>
      <c r="D332" s="106">
        <v>0.0007490879793813594</v>
      </c>
      <c r="E332" s="106">
        <v>2.080935556664588</v>
      </c>
      <c r="F332" s="102" t="s">
        <v>3369</v>
      </c>
      <c r="G332" s="102" t="b">
        <v>0</v>
      </c>
      <c r="H332" s="102" t="b">
        <v>0</v>
      </c>
      <c r="I332" s="102" t="b">
        <v>0</v>
      </c>
      <c r="J332" s="102" t="b">
        <v>0</v>
      </c>
      <c r="K332" s="102" t="b">
        <v>0</v>
      </c>
      <c r="L332" s="102" t="b">
        <v>0</v>
      </c>
    </row>
    <row r="333" spans="1:12" ht="15">
      <c r="A333" s="104" t="s">
        <v>2513</v>
      </c>
      <c r="B333" s="102" t="s">
        <v>2348</v>
      </c>
      <c r="C333" s="102">
        <v>3</v>
      </c>
      <c r="D333" s="106">
        <v>0.0006886309208820411</v>
      </c>
      <c r="E333" s="106">
        <v>1.2420864659273325</v>
      </c>
      <c r="F333" s="102" t="s">
        <v>3369</v>
      </c>
      <c r="G333" s="102" t="b">
        <v>0</v>
      </c>
      <c r="H333" s="102" t="b">
        <v>0</v>
      </c>
      <c r="I333" s="102" t="b">
        <v>0</v>
      </c>
      <c r="J333" s="102" t="b">
        <v>0</v>
      </c>
      <c r="K333" s="102" t="b">
        <v>0</v>
      </c>
      <c r="L333" s="102" t="b">
        <v>0</v>
      </c>
    </row>
    <row r="334" spans="1:12" ht="15">
      <c r="A334" s="104" t="s">
        <v>2364</v>
      </c>
      <c r="B334" s="102" t="s">
        <v>2490</v>
      </c>
      <c r="C334" s="102">
        <v>3</v>
      </c>
      <c r="D334" s="106">
        <v>0.0006886309208820411</v>
      </c>
      <c r="E334" s="106">
        <v>1.7799055610006067</v>
      </c>
      <c r="F334" s="102" t="s">
        <v>3369</v>
      </c>
      <c r="G334" s="102" t="b">
        <v>0</v>
      </c>
      <c r="H334" s="102" t="b">
        <v>0</v>
      </c>
      <c r="I334" s="102" t="b">
        <v>0</v>
      </c>
      <c r="J334" s="102" t="b">
        <v>0</v>
      </c>
      <c r="K334" s="102" t="b">
        <v>0</v>
      </c>
      <c r="L334" s="102" t="b">
        <v>0</v>
      </c>
    </row>
    <row r="335" spans="1:12" ht="15">
      <c r="A335" s="104" t="s">
        <v>2754</v>
      </c>
      <c r="B335" s="102" t="s">
        <v>2364</v>
      </c>
      <c r="C335" s="102">
        <v>3</v>
      </c>
      <c r="D335" s="106">
        <v>0.0006886309208820411</v>
      </c>
      <c r="E335" s="106">
        <v>2.147882346295201</v>
      </c>
      <c r="F335" s="102" t="s">
        <v>3369</v>
      </c>
      <c r="G335" s="102" t="b">
        <v>0</v>
      </c>
      <c r="H335" s="102" t="b">
        <v>0</v>
      </c>
      <c r="I335" s="102" t="b">
        <v>0</v>
      </c>
      <c r="J335" s="102" t="b">
        <v>0</v>
      </c>
      <c r="K335" s="102" t="b">
        <v>0</v>
      </c>
      <c r="L335" s="102" t="b">
        <v>0</v>
      </c>
    </row>
    <row r="336" spans="1:12" ht="15">
      <c r="A336" s="104" t="s">
        <v>2452</v>
      </c>
      <c r="B336" s="102" t="s">
        <v>2418</v>
      </c>
      <c r="C336" s="102">
        <v>3</v>
      </c>
      <c r="D336" s="106">
        <v>0.0008524400035278396</v>
      </c>
      <c r="E336" s="106">
        <v>2.0587625777133964</v>
      </c>
      <c r="F336" s="102" t="s">
        <v>3369</v>
      </c>
      <c r="G336" s="102" t="b">
        <v>0</v>
      </c>
      <c r="H336" s="102" t="b">
        <v>0</v>
      </c>
      <c r="I336" s="102" t="b">
        <v>0</v>
      </c>
      <c r="J336" s="102" t="b">
        <v>0</v>
      </c>
      <c r="K336" s="102" t="b">
        <v>0</v>
      </c>
      <c r="L336" s="102" t="b">
        <v>0</v>
      </c>
    </row>
    <row r="337" spans="1:12" ht="15">
      <c r="A337" s="104" t="s">
        <v>2418</v>
      </c>
      <c r="B337" s="102" t="s">
        <v>2406</v>
      </c>
      <c r="C337" s="102">
        <v>3</v>
      </c>
      <c r="D337" s="106">
        <v>0.0008524400035278396</v>
      </c>
      <c r="E337" s="106">
        <v>1.8939523290674043</v>
      </c>
      <c r="F337" s="102" t="s">
        <v>3369</v>
      </c>
      <c r="G337" s="102" t="b">
        <v>0</v>
      </c>
      <c r="H337" s="102" t="b">
        <v>0</v>
      </c>
      <c r="I337" s="102" t="b">
        <v>0</v>
      </c>
      <c r="J337" s="102" t="b">
        <v>0</v>
      </c>
      <c r="K337" s="102" t="b">
        <v>1</v>
      </c>
      <c r="L337" s="102" t="b">
        <v>0</v>
      </c>
    </row>
    <row r="338" spans="1:12" ht="15">
      <c r="A338" s="104" t="s">
        <v>2361</v>
      </c>
      <c r="B338" s="102" t="s">
        <v>2365</v>
      </c>
      <c r="C338" s="102">
        <v>3</v>
      </c>
      <c r="D338" s="106">
        <v>0.0006886309208820411</v>
      </c>
      <c r="E338" s="106">
        <v>1.0871845059415894</v>
      </c>
      <c r="F338" s="102" t="s">
        <v>3369</v>
      </c>
      <c r="G338" s="102" t="b">
        <v>0</v>
      </c>
      <c r="H338" s="102" t="b">
        <v>0</v>
      </c>
      <c r="I338" s="102" t="b">
        <v>0</v>
      </c>
      <c r="J338" s="102" t="b">
        <v>0</v>
      </c>
      <c r="K338" s="102" t="b">
        <v>0</v>
      </c>
      <c r="L338" s="102" t="b">
        <v>0</v>
      </c>
    </row>
    <row r="339" spans="1:12" ht="15">
      <c r="A339" s="104" t="s">
        <v>2351</v>
      </c>
      <c r="B339" s="102" t="s">
        <v>2367</v>
      </c>
      <c r="C339" s="102">
        <v>3</v>
      </c>
      <c r="D339" s="106">
        <v>0.0006886309208820411</v>
      </c>
      <c r="E339" s="106">
        <v>0.5544116695028233</v>
      </c>
      <c r="F339" s="102" t="s">
        <v>3369</v>
      </c>
      <c r="G339" s="102" t="b">
        <v>0</v>
      </c>
      <c r="H339" s="102" t="b">
        <v>0</v>
      </c>
      <c r="I339" s="102" t="b">
        <v>0</v>
      </c>
      <c r="J339" s="102" t="b">
        <v>0</v>
      </c>
      <c r="K339" s="102" t="b">
        <v>0</v>
      </c>
      <c r="L339" s="102" t="b">
        <v>0</v>
      </c>
    </row>
    <row r="340" spans="1:12" ht="15">
      <c r="A340" s="104" t="s">
        <v>2357</v>
      </c>
      <c r="B340" s="102" t="s">
        <v>2353</v>
      </c>
      <c r="C340" s="102">
        <v>3</v>
      </c>
      <c r="D340" s="106">
        <v>0.0007490879793813594</v>
      </c>
      <c r="E340" s="106">
        <v>0.7604925199564716</v>
      </c>
      <c r="F340" s="102" t="s">
        <v>3369</v>
      </c>
      <c r="G340" s="102" t="b">
        <v>0</v>
      </c>
      <c r="H340" s="102" t="b">
        <v>0</v>
      </c>
      <c r="I340" s="102" t="b">
        <v>0</v>
      </c>
      <c r="J340" s="102" t="b">
        <v>0</v>
      </c>
      <c r="K340" s="102" t="b">
        <v>0</v>
      </c>
      <c r="L340" s="102" t="b">
        <v>0</v>
      </c>
    </row>
    <row r="341" spans="1:12" ht="15">
      <c r="A341" s="104" t="s">
        <v>2353</v>
      </c>
      <c r="B341" s="102" t="s">
        <v>2567</v>
      </c>
      <c r="C341" s="102">
        <v>3</v>
      </c>
      <c r="D341" s="106">
        <v>0.0007490879793813594</v>
      </c>
      <c r="E341" s="106">
        <v>1.6715660862117685</v>
      </c>
      <c r="F341" s="102" t="s">
        <v>3369</v>
      </c>
      <c r="G341" s="102" t="b">
        <v>0</v>
      </c>
      <c r="H341" s="102" t="b">
        <v>0</v>
      </c>
      <c r="I341" s="102" t="b">
        <v>0</v>
      </c>
      <c r="J341" s="102" t="b">
        <v>0</v>
      </c>
      <c r="K341" s="102" t="b">
        <v>0</v>
      </c>
      <c r="L341" s="102" t="b">
        <v>0</v>
      </c>
    </row>
    <row r="342" spans="1:12" ht="15">
      <c r="A342" s="104" t="s">
        <v>2567</v>
      </c>
      <c r="B342" s="102" t="s">
        <v>2364</v>
      </c>
      <c r="C342" s="102">
        <v>3</v>
      </c>
      <c r="D342" s="106">
        <v>0.0006886309208820411</v>
      </c>
      <c r="E342" s="106">
        <v>1.9048442976089066</v>
      </c>
      <c r="F342" s="102" t="s">
        <v>3369</v>
      </c>
      <c r="G342" s="102" t="b">
        <v>0</v>
      </c>
      <c r="H342" s="102" t="b">
        <v>0</v>
      </c>
      <c r="I342" s="102" t="b">
        <v>0</v>
      </c>
      <c r="J342" s="102" t="b">
        <v>0</v>
      </c>
      <c r="K342" s="102" t="b">
        <v>0</v>
      </c>
      <c r="L342" s="102" t="b">
        <v>0</v>
      </c>
    </row>
    <row r="343" spans="1:12" ht="15">
      <c r="A343" s="104" t="s">
        <v>2756</v>
      </c>
      <c r="B343" s="102" t="s">
        <v>2357</v>
      </c>
      <c r="C343" s="102">
        <v>3</v>
      </c>
      <c r="D343" s="106">
        <v>0.0006886309208820411</v>
      </c>
      <c r="E343" s="106">
        <v>2.1407037616680777</v>
      </c>
      <c r="F343" s="102" t="s">
        <v>3369</v>
      </c>
      <c r="G343" s="102" t="b">
        <v>0</v>
      </c>
      <c r="H343" s="102" t="b">
        <v>0</v>
      </c>
      <c r="I343" s="102" t="b">
        <v>0</v>
      </c>
      <c r="J343" s="102" t="b">
        <v>0</v>
      </c>
      <c r="K343" s="102" t="b">
        <v>0</v>
      </c>
      <c r="L343" s="102" t="b">
        <v>0</v>
      </c>
    </row>
    <row r="344" spans="1:12" ht="15">
      <c r="A344" s="104" t="s">
        <v>2468</v>
      </c>
      <c r="B344" s="102" t="s">
        <v>2365</v>
      </c>
      <c r="C344" s="102">
        <v>3</v>
      </c>
      <c r="D344" s="106">
        <v>0.0006886309208820411</v>
      </c>
      <c r="E344" s="106">
        <v>1.7085496524649384</v>
      </c>
      <c r="F344" s="102" t="s">
        <v>3369</v>
      </c>
      <c r="G344" s="102" t="b">
        <v>0</v>
      </c>
      <c r="H344" s="102" t="b">
        <v>0</v>
      </c>
      <c r="I344" s="102" t="b">
        <v>0</v>
      </c>
      <c r="J344" s="102" t="b">
        <v>0</v>
      </c>
      <c r="K344" s="102" t="b">
        <v>0</v>
      </c>
      <c r="L344" s="102" t="b">
        <v>0</v>
      </c>
    </row>
    <row r="345" spans="1:12" ht="15">
      <c r="A345" s="104" t="s">
        <v>2353</v>
      </c>
      <c r="B345" s="102" t="s">
        <v>2410</v>
      </c>
      <c r="C345" s="102">
        <v>3</v>
      </c>
      <c r="D345" s="106">
        <v>0.0006886309208820411</v>
      </c>
      <c r="E345" s="106">
        <v>1.2613916211227192</v>
      </c>
      <c r="F345" s="102" t="s">
        <v>3369</v>
      </c>
      <c r="G345" s="102" t="b">
        <v>0</v>
      </c>
      <c r="H345" s="102" t="b">
        <v>0</v>
      </c>
      <c r="I345" s="102" t="b">
        <v>0</v>
      </c>
      <c r="J345" s="102" t="b">
        <v>0</v>
      </c>
      <c r="K345" s="102" t="b">
        <v>0</v>
      </c>
      <c r="L345" s="102" t="b">
        <v>0</v>
      </c>
    </row>
    <row r="346" spans="1:12" ht="15">
      <c r="A346" s="104" t="s">
        <v>2381</v>
      </c>
      <c r="B346" s="102" t="s">
        <v>2367</v>
      </c>
      <c r="C346" s="102">
        <v>3</v>
      </c>
      <c r="D346" s="106">
        <v>0.0007490879793813594</v>
      </c>
      <c r="E346" s="106">
        <v>1.3807264802130206</v>
      </c>
      <c r="F346" s="102" t="s">
        <v>3369</v>
      </c>
      <c r="G346" s="102" t="b">
        <v>0</v>
      </c>
      <c r="H346" s="102" t="b">
        <v>0</v>
      </c>
      <c r="I346" s="102" t="b">
        <v>0</v>
      </c>
      <c r="J346" s="102" t="b">
        <v>0</v>
      </c>
      <c r="K346" s="102" t="b">
        <v>0</v>
      </c>
      <c r="L346" s="102" t="b">
        <v>0</v>
      </c>
    </row>
    <row r="347" spans="1:12" ht="15">
      <c r="A347" s="104" t="s">
        <v>2614</v>
      </c>
      <c r="B347" s="102" t="s">
        <v>2574</v>
      </c>
      <c r="C347" s="102">
        <v>3</v>
      </c>
      <c r="D347" s="106">
        <v>0.0008524400035278396</v>
      </c>
      <c r="E347" s="106">
        <v>2.8468523506312198</v>
      </c>
      <c r="F347" s="102" t="s">
        <v>3369</v>
      </c>
      <c r="G347" s="102" t="b">
        <v>0</v>
      </c>
      <c r="H347" s="102" t="b">
        <v>0</v>
      </c>
      <c r="I347" s="102" t="b">
        <v>0</v>
      </c>
      <c r="J347" s="102" t="b">
        <v>0</v>
      </c>
      <c r="K347" s="102" t="b">
        <v>0</v>
      </c>
      <c r="L347" s="102" t="b">
        <v>0</v>
      </c>
    </row>
    <row r="348" spans="1:12" ht="15">
      <c r="A348" s="104" t="s">
        <v>2495</v>
      </c>
      <c r="B348" s="102" t="s">
        <v>2495</v>
      </c>
      <c r="C348" s="102">
        <v>3</v>
      </c>
      <c r="D348" s="106">
        <v>0.0008524400035278396</v>
      </c>
      <c r="E348" s="106">
        <v>2.403154851398507</v>
      </c>
      <c r="F348" s="102" t="s">
        <v>3369</v>
      </c>
      <c r="G348" s="102" t="b">
        <v>0</v>
      </c>
      <c r="H348" s="102" t="b">
        <v>0</v>
      </c>
      <c r="I348" s="102" t="b">
        <v>0</v>
      </c>
      <c r="J348" s="102" t="b">
        <v>0</v>
      </c>
      <c r="K348" s="102" t="b">
        <v>0</v>
      </c>
      <c r="L348" s="102" t="b">
        <v>0</v>
      </c>
    </row>
    <row r="349" spans="1:12" ht="15">
      <c r="A349" s="104" t="s">
        <v>2871</v>
      </c>
      <c r="B349" s="102" t="s">
        <v>2872</v>
      </c>
      <c r="C349" s="102">
        <v>3</v>
      </c>
      <c r="D349" s="106">
        <v>0.0008524400035278396</v>
      </c>
      <c r="E349" s="106">
        <v>3.4489123419591823</v>
      </c>
      <c r="F349" s="102" t="s">
        <v>3369</v>
      </c>
      <c r="G349" s="102" t="b">
        <v>0</v>
      </c>
      <c r="H349" s="102" t="b">
        <v>0</v>
      </c>
      <c r="I349" s="102" t="b">
        <v>0</v>
      </c>
      <c r="J349" s="102" t="b">
        <v>0</v>
      </c>
      <c r="K349" s="102" t="b">
        <v>0</v>
      </c>
      <c r="L349" s="102" t="b">
        <v>0</v>
      </c>
    </row>
    <row r="350" spans="1:12" ht="15">
      <c r="A350" s="104" t="s">
        <v>2873</v>
      </c>
      <c r="B350" s="102" t="s">
        <v>2874</v>
      </c>
      <c r="C350" s="102">
        <v>3</v>
      </c>
      <c r="D350" s="106">
        <v>0.0008524400035278396</v>
      </c>
      <c r="E350" s="106">
        <v>3.4489123419591823</v>
      </c>
      <c r="F350" s="102" t="s">
        <v>3369</v>
      </c>
      <c r="G350" s="102" t="b">
        <v>1</v>
      </c>
      <c r="H350" s="102" t="b">
        <v>0</v>
      </c>
      <c r="I350" s="102" t="b">
        <v>0</v>
      </c>
      <c r="J350" s="102" t="b">
        <v>0</v>
      </c>
      <c r="K350" s="102" t="b">
        <v>0</v>
      </c>
      <c r="L350" s="102" t="b">
        <v>0</v>
      </c>
    </row>
    <row r="351" spans="1:12" ht="15">
      <c r="A351" s="104" t="s">
        <v>2351</v>
      </c>
      <c r="B351" s="102" t="s">
        <v>2514</v>
      </c>
      <c r="C351" s="102">
        <v>3</v>
      </c>
      <c r="D351" s="106">
        <v>0.0008524400035278396</v>
      </c>
      <c r="E351" s="106">
        <v>1.1912337670899977</v>
      </c>
      <c r="F351" s="102" t="s">
        <v>3369</v>
      </c>
      <c r="G351" s="102" t="b">
        <v>0</v>
      </c>
      <c r="H351" s="102" t="b">
        <v>0</v>
      </c>
      <c r="I351" s="102" t="b">
        <v>0</v>
      </c>
      <c r="J351" s="102" t="b">
        <v>0</v>
      </c>
      <c r="K351" s="102" t="b">
        <v>0</v>
      </c>
      <c r="L351" s="102" t="b">
        <v>0</v>
      </c>
    </row>
    <row r="352" spans="1:12" ht="15">
      <c r="A352" s="104" t="s">
        <v>2379</v>
      </c>
      <c r="B352" s="102" t="s">
        <v>2599</v>
      </c>
      <c r="C352" s="102">
        <v>3</v>
      </c>
      <c r="D352" s="106">
        <v>0.0007490879793813594</v>
      </c>
      <c r="E352" s="106">
        <v>2.1626056031159075</v>
      </c>
      <c r="F352" s="102" t="s">
        <v>3369</v>
      </c>
      <c r="G352" s="102" t="b">
        <v>0</v>
      </c>
      <c r="H352" s="102" t="b">
        <v>0</v>
      </c>
      <c r="I352" s="102" t="b">
        <v>0</v>
      </c>
      <c r="J352" s="102" t="b">
        <v>0</v>
      </c>
      <c r="K352" s="102" t="b">
        <v>1</v>
      </c>
      <c r="L352" s="102" t="b">
        <v>0</v>
      </c>
    </row>
    <row r="353" spans="1:12" ht="15">
      <c r="A353" s="104" t="s">
        <v>2402</v>
      </c>
      <c r="B353" s="102" t="s">
        <v>2876</v>
      </c>
      <c r="C353" s="102">
        <v>3</v>
      </c>
      <c r="D353" s="106">
        <v>0.0007490879793813594</v>
      </c>
      <c r="E353" s="106">
        <v>2.6250036010148636</v>
      </c>
      <c r="F353" s="102" t="s">
        <v>3369</v>
      </c>
      <c r="G353" s="102" t="b">
        <v>0</v>
      </c>
      <c r="H353" s="102" t="b">
        <v>0</v>
      </c>
      <c r="I353" s="102" t="b">
        <v>0</v>
      </c>
      <c r="J353" s="102" t="b">
        <v>0</v>
      </c>
      <c r="K353" s="102" t="b">
        <v>0</v>
      </c>
      <c r="L353" s="102" t="b">
        <v>0</v>
      </c>
    </row>
    <row r="354" spans="1:12" ht="15">
      <c r="A354" s="104" t="s">
        <v>2356</v>
      </c>
      <c r="B354" s="102" t="s">
        <v>2543</v>
      </c>
      <c r="C354" s="102">
        <v>3</v>
      </c>
      <c r="D354" s="106">
        <v>0.0006886309208820411</v>
      </c>
      <c r="E354" s="106">
        <v>1.7076731749083096</v>
      </c>
      <c r="F354" s="102" t="s">
        <v>3369</v>
      </c>
      <c r="G354" s="102" t="b">
        <v>0</v>
      </c>
      <c r="H354" s="102" t="b">
        <v>0</v>
      </c>
      <c r="I354" s="102" t="b">
        <v>0</v>
      </c>
      <c r="J354" s="102" t="b">
        <v>0</v>
      </c>
      <c r="K354" s="102" t="b">
        <v>0</v>
      </c>
      <c r="L354" s="102" t="b">
        <v>0</v>
      </c>
    </row>
    <row r="355" spans="1:12" ht="15">
      <c r="A355" s="104" t="s">
        <v>2350</v>
      </c>
      <c r="B355" s="102" t="s">
        <v>2356</v>
      </c>
      <c r="C355" s="102">
        <v>3</v>
      </c>
      <c r="D355" s="106">
        <v>0.0006886309208820411</v>
      </c>
      <c r="E355" s="106">
        <v>0.34526063167397686</v>
      </c>
      <c r="F355" s="102" t="s">
        <v>3369</v>
      </c>
      <c r="G355" s="102" t="b">
        <v>0</v>
      </c>
      <c r="H355" s="102" t="b">
        <v>0</v>
      </c>
      <c r="I355" s="102" t="b">
        <v>0</v>
      </c>
      <c r="J355" s="102" t="b">
        <v>0</v>
      </c>
      <c r="K355" s="102" t="b">
        <v>0</v>
      </c>
      <c r="L355" s="102" t="b">
        <v>0</v>
      </c>
    </row>
    <row r="356" spans="1:12" ht="15">
      <c r="A356" s="104" t="s">
        <v>2351</v>
      </c>
      <c r="B356" s="102" t="s">
        <v>2349</v>
      </c>
      <c r="C356" s="102">
        <v>3</v>
      </c>
      <c r="D356" s="106">
        <v>0.0006886309208820411</v>
      </c>
      <c r="E356" s="106">
        <v>-0.1989159971557881</v>
      </c>
      <c r="F356" s="102" t="s">
        <v>3369</v>
      </c>
      <c r="G356" s="102" t="b">
        <v>0</v>
      </c>
      <c r="H356" s="102" t="b">
        <v>0</v>
      </c>
      <c r="I356" s="102" t="b">
        <v>0</v>
      </c>
      <c r="J356" s="102" t="b">
        <v>0</v>
      </c>
      <c r="K356" s="102" t="b">
        <v>0</v>
      </c>
      <c r="L356" s="102" t="b">
        <v>0</v>
      </c>
    </row>
    <row r="357" spans="1:12" ht="15">
      <c r="A357" s="104" t="s">
        <v>2470</v>
      </c>
      <c r="B357" s="102" t="s">
        <v>2381</v>
      </c>
      <c r="C357" s="102">
        <v>3</v>
      </c>
      <c r="D357" s="106">
        <v>0.0006886309208820411</v>
      </c>
      <c r="E357" s="106">
        <v>1.8615756074519263</v>
      </c>
      <c r="F357" s="102" t="s">
        <v>3369</v>
      </c>
      <c r="G357" s="102" t="b">
        <v>0</v>
      </c>
      <c r="H357" s="102" t="b">
        <v>0</v>
      </c>
      <c r="I357" s="102" t="b">
        <v>0</v>
      </c>
      <c r="J357" s="102" t="b">
        <v>0</v>
      </c>
      <c r="K357" s="102" t="b">
        <v>0</v>
      </c>
      <c r="L357" s="102" t="b">
        <v>0</v>
      </c>
    </row>
    <row r="358" spans="1:12" ht="15">
      <c r="A358" s="104" t="s">
        <v>2349</v>
      </c>
      <c r="B358" s="102" t="s">
        <v>2382</v>
      </c>
      <c r="C358" s="102">
        <v>3</v>
      </c>
      <c r="D358" s="106">
        <v>0.0006886309208820411</v>
      </c>
      <c r="E358" s="106">
        <v>0.6296609591275364</v>
      </c>
      <c r="F358" s="102" t="s">
        <v>3369</v>
      </c>
      <c r="G358" s="102" t="b">
        <v>0</v>
      </c>
      <c r="H358" s="102" t="b">
        <v>0</v>
      </c>
      <c r="I358" s="102" t="b">
        <v>0</v>
      </c>
      <c r="J358" s="102" t="b">
        <v>0</v>
      </c>
      <c r="K358" s="102" t="b">
        <v>0</v>
      </c>
      <c r="L358" s="102" t="b">
        <v>0</v>
      </c>
    </row>
    <row r="359" spans="1:12" ht="15">
      <c r="A359" s="104" t="s">
        <v>2350</v>
      </c>
      <c r="B359" s="102" t="s">
        <v>2362</v>
      </c>
      <c r="C359" s="102">
        <v>3</v>
      </c>
      <c r="D359" s="106">
        <v>0.0008524400035278396</v>
      </c>
      <c r="E359" s="106">
        <v>0.4752201696573276</v>
      </c>
      <c r="F359" s="102" t="s">
        <v>3369</v>
      </c>
      <c r="G359" s="102" t="b">
        <v>0</v>
      </c>
      <c r="H359" s="102" t="b">
        <v>0</v>
      </c>
      <c r="I359" s="102" t="b">
        <v>0</v>
      </c>
      <c r="J359" s="102" t="b">
        <v>0</v>
      </c>
      <c r="K359" s="102" t="b">
        <v>0</v>
      </c>
      <c r="L359" s="102" t="b">
        <v>0</v>
      </c>
    </row>
    <row r="360" spans="1:12" ht="15">
      <c r="A360" s="104" t="s">
        <v>2362</v>
      </c>
      <c r="B360" s="102" t="s">
        <v>2365</v>
      </c>
      <c r="C360" s="102">
        <v>3</v>
      </c>
      <c r="D360" s="106">
        <v>0.0008524400035278396</v>
      </c>
      <c r="E360" s="106">
        <v>1.0967298238478198</v>
      </c>
      <c r="F360" s="102" t="s">
        <v>3369</v>
      </c>
      <c r="G360" s="102" t="b">
        <v>0</v>
      </c>
      <c r="H360" s="102" t="b">
        <v>0</v>
      </c>
      <c r="I360" s="102" t="b">
        <v>0</v>
      </c>
      <c r="J360" s="102" t="b">
        <v>0</v>
      </c>
      <c r="K360" s="102" t="b">
        <v>0</v>
      </c>
      <c r="L360" s="102" t="b">
        <v>0</v>
      </c>
    </row>
    <row r="361" spans="1:12" ht="15">
      <c r="A361" s="104" t="s">
        <v>2446</v>
      </c>
      <c r="B361" s="102" t="s">
        <v>2457</v>
      </c>
      <c r="C361" s="102">
        <v>3</v>
      </c>
      <c r="D361" s="106">
        <v>0.0008524400035278396</v>
      </c>
      <c r="E361" s="106">
        <v>2.2100302530440454</v>
      </c>
      <c r="F361" s="102" t="s">
        <v>3369</v>
      </c>
      <c r="G361" s="102" t="b">
        <v>0</v>
      </c>
      <c r="H361" s="102" t="b">
        <v>0</v>
      </c>
      <c r="I361" s="102" t="b">
        <v>0</v>
      </c>
      <c r="J361" s="102" t="b">
        <v>0</v>
      </c>
      <c r="K361" s="102" t="b">
        <v>0</v>
      </c>
      <c r="L361" s="102" t="b">
        <v>0</v>
      </c>
    </row>
    <row r="362" spans="1:12" ht="15">
      <c r="A362" s="104" t="s">
        <v>2382</v>
      </c>
      <c r="B362" s="102" t="s">
        <v>2364</v>
      </c>
      <c r="C362" s="102">
        <v>3</v>
      </c>
      <c r="D362" s="106">
        <v>0.0007490879793813594</v>
      </c>
      <c r="E362" s="106">
        <v>1.2875443397242072</v>
      </c>
      <c r="F362" s="102" t="s">
        <v>3369</v>
      </c>
      <c r="G362" s="102" t="b">
        <v>0</v>
      </c>
      <c r="H362" s="102" t="b">
        <v>0</v>
      </c>
      <c r="I362" s="102" t="b">
        <v>0</v>
      </c>
      <c r="J362" s="102" t="b">
        <v>0</v>
      </c>
      <c r="K362" s="102" t="b">
        <v>0</v>
      </c>
      <c r="L362" s="102" t="b">
        <v>0</v>
      </c>
    </row>
    <row r="363" spans="1:12" ht="15">
      <c r="A363" s="104" t="s">
        <v>2393</v>
      </c>
      <c r="B363" s="102" t="s">
        <v>2398</v>
      </c>
      <c r="C363" s="102">
        <v>3</v>
      </c>
      <c r="D363" s="106">
        <v>0.0008524400035278396</v>
      </c>
      <c r="E363" s="106">
        <v>1.719207720646995</v>
      </c>
      <c r="F363" s="102" t="s">
        <v>3369</v>
      </c>
      <c r="G363" s="102" t="b">
        <v>0</v>
      </c>
      <c r="H363" s="102" t="b">
        <v>0</v>
      </c>
      <c r="I363" s="102" t="b">
        <v>0</v>
      </c>
      <c r="J363" s="102" t="b">
        <v>0</v>
      </c>
      <c r="K363" s="102" t="b">
        <v>0</v>
      </c>
      <c r="L363" s="102" t="b">
        <v>0</v>
      </c>
    </row>
    <row r="364" spans="1:12" ht="15">
      <c r="A364" s="104" t="s">
        <v>2474</v>
      </c>
      <c r="B364" s="102" t="s">
        <v>1655</v>
      </c>
      <c r="C364" s="102">
        <v>3</v>
      </c>
      <c r="D364" s="106">
        <v>0.0006886309208820411</v>
      </c>
      <c r="E364" s="106">
        <v>2.7597021749123196</v>
      </c>
      <c r="F364" s="102" t="s">
        <v>3369</v>
      </c>
      <c r="G364" s="102" t="b">
        <v>0</v>
      </c>
      <c r="H364" s="102" t="b">
        <v>0</v>
      </c>
      <c r="I364" s="102" t="b">
        <v>0</v>
      </c>
      <c r="J364" s="102" t="b">
        <v>0</v>
      </c>
      <c r="K364" s="102" t="b">
        <v>0</v>
      </c>
      <c r="L364" s="102" t="b">
        <v>0</v>
      </c>
    </row>
    <row r="365" spans="1:12" ht="15">
      <c r="A365" s="104" t="s">
        <v>2578</v>
      </c>
      <c r="B365" s="102" t="s">
        <v>2436</v>
      </c>
      <c r="C365" s="102">
        <v>3</v>
      </c>
      <c r="D365" s="106">
        <v>0.0008524400035278396</v>
      </c>
      <c r="E365" s="106">
        <v>2.4119287757060124</v>
      </c>
      <c r="F365" s="102" t="s">
        <v>3369</v>
      </c>
      <c r="G365" s="102" t="b">
        <v>0</v>
      </c>
      <c r="H365" s="102" t="b">
        <v>0</v>
      </c>
      <c r="I365" s="102" t="b">
        <v>0</v>
      </c>
      <c r="J365" s="102" t="b">
        <v>0</v>
      </c>
      <c r="K365" s="102" t="b">
        <v>0</v>
      </c>
      <c r="L365" s="102" t="b">
        <v>0</v>
      </c>
    </row>
    <row r="366" spans="1:12" ht="15">
      <c r="A366" s="104" t="s">
        <v>2436</v>
      </c>
      <c r="B366" s="102" t="s">
        <v>2619</v>
      </c>
      <c r="C366" s="102">
        <v>3</v>
      </c>
      <c r="D366" s="106">
        <v>0.0008524400035278396</v>
      </c>
      <c r="E366" s="106">
        <v>2.55805681138425</v>
      </c>
      <c r="F366" s="102" t="s">
        <v>3369</v>
      </c>
      <c r="G366" s="102" t="b">
        <v>0</v>
      </c>
      <c r="H366" s="102" t="b">
        <v>0</v>
      </c>
      <c r="I366" s="102" t="b">
        <v>0</v>
      </c>
      <c r="J366" s="102" t="b">
        <v>0</v>
      </c>
      <c r="K366" s="102" t="b">
        <v>0</v>
      </c>
      <c r="L366" s="102" t="b">
        <v>0</v>
      </c>
    </row>
    <row r="367" spans="1:12" ht="15">
      <c r="A367" s="104" t="s">
        <v>2682</v>
      </c>
      <c r="B367" s="102" t="s">
        <v>2494</v>
      </c>
      <c r="C367" s="102">
        <v>3</v>
      </c>
      <c r="D367" s="106">
        <v>0.0007490879793813594</v>
      </c>
      <c r="E367" s="106">
        <v>2.7041848470624883</v>
      </c>
      <c r="F367" s="102" t="s">
        <v>3369</v>
      </c>
      <c r="G367" s="102" t="b">
        <v>0</v>
      </c>
      <c r="H367" s="102" t="b">
        <v>0</v>
      </c>
      <c r="I367" s="102" t="b">
        <v>0</v>
      </c>
      <c r="J367" s="102" t="b">
        <v>0</v>
      </c>
      <c r="K367" s="102" t="b">
        <v>0</v>
      </c>
      <c r="L367" s="102" t="b">
        <v>0</v>
      </c>
    </row>
    <row r="368" spans="1:12" ht="15">
      <c r="A368" s="104" t="s">
        <v>2351</v>
      </c>
      <c r="B368" s="102" t="s">
        <v>2884</v>
      </c>
      <c r="C368" s="102">
        <v>3</v>
      </c>
      <c r="D368" s="106">
        <v>0.0006886309208820411</v>
      </c>
      <c r="E368" s="106">
        <v>1.66835502180966</v>
      </c>
      <c r="F368" s="102" t="s">
        <v>3369</v>
      </c>
      <c r="G368" s="102" t="b">
        <v>0</v>
      </c>
      <c r="H368" s="102" t="b">
        <v>0</v>
      </c>
      <c r="I368" s="102" t="b">
        <v>0</v>
      </c>
      <c r="J368" s="102" t="b">
        <v>0</v>
      </c>
      <c r="K368" s="102" t="b">
        <v>0</v>
      </c>
      <c r="L368" s="102" t="b">
        <v>0</v>
      </c>
    </row>
    <row r="369" spans="1:12" ht="15">
      <c r="A369" s="104" t="s">
        <v>2387</v>
      </c>
      <c r="B369" s="102" t="s">
        <v>2348</v>
      </c>
      <c r="C369" s="102">
        <v>3</v>
      </c>
      <c r="D369" s="106">
        <v>0.0008524400035278396</v>
      </c>
      <c r="E369" s="106">
        <v>0.6722111579707712</v>
      </c>
      <c r="F369" s="102" t="s">
        <v>3369</v>
      </c>
      <c r="G369" s="102" t="b">
        <v>0</v>
      </c>
      <c r="H369" s="102" t="b">
        <v>0</v>
      </c>
      <c r="I369" s="102" t="b">
        <v>0</v>
      </c>
      <c r="J369" s="102" t="b">
        <v>0</v>
      </c>
      <c r="K369" s="102" t="b">
        <v>0</v>
      </c>
      <c r="L369" s="102" t="b">
        <v>0</v>
      </c>
    </row>
    <row r="370" spans="1:12" ht="15">
      <c r="A370" s="104" t="s">
        <v>2351</v>
      </c>
      <c r="B370" s="102" t="s">
        <v>2387</v>
      </c>
      <c r="C370" s="102">
        <v>3</v>
      </c>
      <c r="D370" s="106">
        <v>0.0008524400035278396</v>
      </c>
      <c r="E370" s="106">
        <v>0.747536267857285</v>
      </c>
      <c r="F370" s="102" t="s">
        <v>3369</v>
      </c>
      <c r="G370" s="102" t="b">
        <v>0</v>
      </c>
      <c r="H370" s="102" t="b">
        <v>0</v>
      </c>
      <c r="I370" s="102" t="b">
        <v>0</v>
      </c>
      <c r="J370" s="102" t="b">
        <v>0</v>
      </c>
      <c r="K370" s="102" t="b">
        <v>0</v>
      </c>
      <c r="L370" s="102" t="b">
        <v>0</v>
      </c>
    </row>
    <row r="371" spans="1:12" ht="15">
      <c r="A371" s="104" t="s">
        <v>2544</v>
      </c>
      <c r="B371" s="102" t="s">
        <v>2387</v>
      </c>
      <c r="C371" s="102">
        <v>3</v>
      </c>
      <c r="D371" s="106">
        <v>0.0008524400035278396</v>
      </c>
      <c r="E371" s="106">
        <v>2.102124855734526</v>
      </c>
      <c r="F371" s="102" t="s">
        <v>3369</v>
      </c>
      <c r="G371" s="102" t="b">
        <v>0</v>
      </c>
      <c r="H371" s="102" t="b">
        <v>0</v>
      </c>
      <c r="I371" s="102" t="b">
        <v>0</v>
      </c>
      <c r="J371" s="102" t="b">
        <v>0</v>
      </c>
      <c r="K371" s="102" t="b">
        <v>0</v>
      </c>
      <c r="L371" s="102" t="b">
        <v>0</v>
      </c>
    </row>
    <row r="372" spans="1:12" ht="15">
      <c r="A372" s="104" t="s">
        <v>2351</v>
      </c>
      <c r="B372" s="102" t="s">
        <v>2365</v>
      </c>
      <c r="C372" s="102">
        <v>3</v>
      </c>
      <c r="D372" s="106">
        <v>0.0007490879793813594</v>
      </c>
      <c r="E372" s="106">
        <v>0.49226376275397893</v>
      </c>
      <c r="F372" s="102" t="s">
        <v>3369</v>
      </c>
      <c r="G372" s="102" t="b">
        <v>0</v>
      </c>
      <c r="H372" s="102" t="b">
        <v>0</v>
      </c>
      <c r="I372" s="102" t="b">
        <v>0</v>
      </c>
      <c r="J372" s="102" t="b">
        <v>0</v>
      </c>
      <c r="K372" s="102" t="b">
        <v>0</v>
      </c>
      <c r="L372" s="102" t="b">
        <v>0</v>
      </c>
    </row>
    <row r="373" spans="1:12" ht="15">
      <c r="A373" s="104" t="s">
        <v>2357</v>
      </c>
      <c r="B373" s="102" t="s">
        <v>2354</v>
      </c>
      <c r="C373" s="102">
        <v>3</v>
      </c>
      <c r="D373" s="106">
        <v>0.0006886309208820411</v>
      </c>
      <c r="E373" s="106">
        <v>0.8184844669341583</v>
      </c>
      <c r="F373" s="102" t="s">
        <v>3369</v>
      </c>
      <c r="G373" s="102" t="b">
        <v>0</v>
      </c>
      <c r="H373" s="102" t="b">
        <v>0</v>
      </c>
      <c r="I373" s="102" t="b">
        <v>0</v>
      </c>
      <c r="J373" s="102" t="b">
        <v>0</v>
      </c>
      <c r="K373" s="102" t="b">
        <v>0</v>
      </c>
      <c r="L373" s="102" t="b">
        <v>0</v>
      </c>
    </row>
    <row r="374" spans="1:12" ht="15">
      <c r="A374" s="104" t="s">
        <v>2351</v>
      </c>
      <c r="B374" s="102" t="s">
        <v>2480</v>
      </c>
      <c r="C374" s="102">
        <v>3</v>
      </c>
      <c r="D374" s="106">
        <v>0.0006886309208820411</v>
      </c>
      <c r="E374" s="106">
        <v>1.1454762765293225</v>
      </c>
      <c r="F374" s="102" t="s">
        <v>3369</v>
      </c>
      <c r="G374" s="102" t="b">
        <v>0</v>
      </c>
      <c r="H374" s="102" t="b">
        <v>0</v>
      </c>
      <c r="I374" s="102" t="b">
        <v>0</v>
      </c>
      <c r="J374" s="102" t="b">
        <v>0</v>
      </c>
      <c r="K374" s="102" t="b">
        <v>0</v>
      </c>
      <c r="L374" s="102" t="b">
        <v>0</v>
      </c>
    </row>
    <row r="375" spans="1:12" ht="15">
      <c r="A375" s="104" t="s">
        <v>2432</v>
      </c>
      <c r="B375" s="102" t="s">
        <v>2888</v>
      </c>
      <c r="C375" s="102">
        <v>3</v>
      </c>
      <c r="D375" s="106">
        <v>0.0006886309208820411</v>
      </c>
      <c r="E375" s="106">
        <v>2.7499423376231635</v>
      </c>
      <c r="F375" s="102" t="s">
        <v>3369</v>
      </c>
      <c r="G375" s="102" t="b">
        <v>0</v>
      </c>
      <c r="H375" s="102" t="b">
        <v>0</v>
      </c>
      <c r="I375" s="102" t="b">
        <v>0</v>
      </c>
      <c r="J375" s="102" t="b">
        <v>0</v>
      </c>
      <c r="K375" s="102" t="b">
        <v>0</v>
      </c>
      <c r="L375" s="102" t="b">
        <v>0</v>
      </c>
    </row>
    <row r="376" spans="1:12" ht="15">
      <c r="A376" s="104" t="s">
        <v>2357</v>
      </c>
      <c r="B376" s="102" t="s">
        <v>2351</v>
      </c>
      <c r="C376" s="102">
        <v>3</v>
      </c>
      <c r="D376" s="106">
        <v>0.0006886309208820411</v>
      </c>
      <c r="E376" s="106">
        <v>0.3553739266573106</v>
      </c>
      <c r="F376" s="102" t="s">
        <v>3369</v>
      </c>
      <c r="G376" s="102" t="b">
        <v>0</v>
      </c>
      <c r="H376" s="102" t="b">
        <v>0</v>
      </c>
      <c r="I376" s="102" t="b">
        <v>0</v>
      </c>
      <c r="J376" s="102" t="b">
        <v>0</v>
      </c>
      <c r="K376" s="102" t="b">
        <v>0</v>
      </c>
      <c r="L376" s="102" t="b">
        <v>0</v>
      </c>
    </row>
    <row r="377" spans="1:12" ht="15">
      <c r="A377" s="104" t="s">
        <v>2357</v>
      </c>
      <c r="B377" s="102" t="s">
        <v>2685</v>
      </c>
      <c r="C377" s="102">
        <v>3</v>
      </c>
      <c r="D377" s="106">
        <v>0.0007490879793813594</v>
      </c>
      <c r="E377" s="106">
        <v>1.9188550120517212</v>
      </c>
      <c r="F377" s="102" t="s">
        <v>3369</v>
      </c>
      <c r="G377" s="102" t="b">
        <v>0</v>
      </c>
      <c r="H377" s="102" t="b">
        <v>0</v>
      </c>
      <c r="I377" s="102" t="b">
        <v>0</v>
      </c>
      <c r="J377" s="102" t="b">
        <v>0</v>
      </c>
      <c r="K377" s="102" t="b">
        <v>0</v>
      </c>
      <c r="L377" s="102" t="b">
        <v>0</v>
      </c>
    </row>
    <row r="378" spans="1:12" ht="15">
      <c r="A378" s="104" t="s">
        <v>2403</v>
      </c>
      <c r="B378" s="102" t="s">
        <v>2348</v>
      </c>
      <c r="C378" s="102">
        <v>3</v>
      </c>
      <c r="D378" s="106">
        <v>0.0007490879793813594</v>
      </c>
      <c r="E378" s="106">
        <v>0.7861545102776082</v>
      </c>
      <c r="F378" s="102" t="s">
        <v>3369</v>
      </c>
      <c r="G378" s="102" t="b">
        <v>0</v>
      </c>
      <c r="H378" s="102" t="b">
        <v>0</v>
      </c>
      <c r="I378" s="102" t="b">
        <v>0</v>
      </c>
      <c r="J378" s="102" t="b">
        <v>0</v>
      </c>
      <c r="K378" s="102" t="b">
        <v>0</v>
      </c>
      <c r="L378" s="102" t="b">
        <v>0</v>
      </c>
    </row>
    <row r="379" spans="1:12" ht="15">
      <c r="A379" s="104" t="s">
        <v>2385</v>
      </c>
      <c r="B379" s="102" t="s">
        <v>2451</v>
      </c>
      <c r="C379" s="102">
        <v>3</v>
      </c>
      <c r="D379" s="106">
        <v>0.0006886309208820411</v>
      </c>
      <c r="E379" s="106">
        <v>1.8742381511208523</v>
      </c>
      <c r="F379" s="102" t="s">
        <v>3369</v>
      </c>
      <c r="G379" s="102" t="b">
        <v>0</v>
      </c>
      <c r="H379" s="102" t="b">
        <v>0</v>
      </c>
      <c r="I379" s="102" t="b">
        <v>0</v>
      </c>
      <c r="J379" s="102" t="b">
        <v>0</v>
      </c>
      <c r="K379" s="102" t="b">
        <v>0</v>
      </c>
      <c r="L379" s="102" t="b">
        <v>0</v>
      </c>
    </row>
    <row r="380" spans="1:12" ht="15">
      <c r="A380" s="104" t="s">
        <v>2349</v>
      </c>
      <c r="B380" s="102" t="s">
        <v>2496</v>
      </c>
      <c r="C380" s="102">
        <v>3</v>
      </c>
      <c r="D380" s="106">
        <v>0.0006886309208820411</v>
      </c>
      <c r="E380" s="106">
        <v>1.1225764810304308</v>
      </c>
      <c r="F380" s="102" t="s">
        <v>3369</v>
      </c>
      <c r="G380" s="102" t="b">
        <v>0</v>
      </c>
      <c r="H380" s="102" t="b">
        <v>0</v>
      </c>
      <c r="I380" s="102" t="b">
        <v>0</v>
      </c>
      <c r="J380" s="102" t="b">
        <v>0</v>
      </c>
      <c r="K380" s="102" t="b">
        <v>1</v>
      </c>
      <c r="L380" s="102" t="b">
        <v>0</v>
      </c>
    </row>
    <row r="381" spans="1:12" ht="15">
      <c r="A381" s="104" t="s">
        <v>2356</v>
      </c>
      <c r="B381" s="102" t="s">
        <v>2894</v>
      </c>
      <c r="C381" s="102">
        <v>3</v>
      </c>
      <c r="D381" s="106">
        <v>0.0006886309208820411</v>
      </c>
      <c r="E381" s="106">
        <v>2.133641907180591</v>
      </c>
      <c r="F381" s="102" t="s">
        <v>3369</v>
      </c>
      <c r="G381" s="102" t="b">
        <v>0</v>
      </c>
      <c r="H381" s="102" t="b">
        <v>0</v>
      </c>
      <c r="I381" s="102" t="b">
        <v>0</v>
      </c>
      <c r="J381" s="102" t="b">
        <v>0</v>
      </c>
      <c r="K381" s="102" t="b">
        <v>0</v>
      </c>
      <c r="L381" s="102" t="b">
        <v>0</v>
      </c>
    </row>
    <row r="382" spans="1:12" ht="15">
      <c r="A382" s="104" t="s">
        <v>2565</v>
      </c>
      <c r="B382" s="102" t="s">
        <v>2349</v>
      </c>
      <c r="C382" s="102">
        <v>3</v>
      </c>
      <c r="D382" s="106">
        <v>0.0006886309208820411</v>
      </c>
      <c r="E382" s="106">
        <v>1.2136645376991395</v>
      </c>
      <c r="F382" s="102" t="s">
        <v>3369</v>
      </c>
      <c r="G382" s="102" t="b">
        <v>0</v>
      </c>
      <c r="H382" s="102" t="b">
        <v>0</v>
      </c>
      <c r="I382" s="102" t="b">
        <v>0</v>
      </c>
      <c r="J382" s="102" t="b">
        <v>0</v>
      </c>
      <c r="K382" s="102" t="b">
        <v>0</v>
      </c>
      <c r="L382" s="102" t="b">
        <v>0</v>
      </c>
    </row>
    <row r="383" spans="1:12" ht="15">
      <c r="A383" s="104" t="s">
        <v>2768</v>
      </c>
      <c r="B383" s="102" t="s">
        <v>2551</v>
      </c>
      <c r="C383" s="102">
        <v>3</v>
      </c>
      <c r="D383" s="106">
        <v>0.0007490879793813594</v>
      </c>
      <c r="E383" s="106">
        <v>2.955996820056288</v>
      </c>
      <c r="F383" s="102" t="s">
        <v>3369</v>
      </c>
      <c r="G383" s="102" t="b">
        <v>0</v>
      </c>
      <c r="H383" s="102" t="b">
        <v>1</v>
      </c>
      <c r="I383" s="102" t="b">
        <v>0</v>
      </c>
      <c r="J383" s="102" t="b">
        <v>0</v>
      </c>
      <c r="K383" s="102" t="b">
        <v>0</v>
      </c>
      <c r="L383" s="102" t="b">
        <v>0</v>
      </c>
    </row>
    <row r="384" spans="1:12" ht="15">
      <c r="A384" s="104" t="s">
        <v>2459</v>
      </c>
      <c r="B384" s="102" t="s">
        <v>2386</v>
      </c>
      <c r="C384" s="102">
        <v>3</v>
      </c>
      <c r="D384" s="106">
        <v>0.0007490879793813594</v>
      </c>
      <c r="E384" s="106">
        <v>1.857847734932683</v>
      </c>
      <c r="F384" s="102" t="s">
        <v>3369</v>
      </c>
      <c r="G384" s="102" t="b">
        <v>0</v>
      </c>
      <c r="H384" s="102" t="b">
        <v>0</v>
      </c>
      <c r="I384" s="102" t="b">
        <v>0</v>
      </c>
      <c r="J384" s="102" t="b">
        <v>0</v>
      </c>
      <c r="K384" s="102" t="b">
        <v>0</v>
      </c>
      <c r="L384" s="102" t="b">
        <v>0</v>
      </c>
    </row>
    <row r="385" spans="1:12" ht="15">
      <c r="A385" s="104" t="s">
        <v>2474</v>
      </c>
      <c r="B385" s="102" t="s">
        <v>2350</v>
      </c>
      <c r="C385" s="102">
        <v>3</v>
      </c>
      <c r="D385" s="106">
        <v>0.0007490879793813594</v>
      </c>
      <c r="E385" s="106">
        <v>1.0672959400786892</v>
      </c>
      <c r="F385" s="102" t="s">
        <v>3369</v>
      </c>
      <c r="G385" s="102" t="b">
        <v>0</v>
      </c>
      <c r="H385" s="102" t="b">
        <v>0</v>
      </c>
      <c r="I385" s="102" t="b">
        <v>0</v>
      </c>
      <c r="J385" s="102" t="b">
        <v>0</v>
      </c>
      <c r="K385" s="102" t="b">
        <v>0</v>
      </c>
      <c r="L385" s="102" t="b">
        <v>0</v>
      </c>
    </row>
    <row r="386" spans="1:12" ht="15">
      <c r="A386" s="104" t="s">
        <v>2774</v>
      </c>
      <c r="B386" s="102" t="s">
        <v>2493</v>
      </c>
      <c r="C386" s="102">
        <v>3</v>
      </c>
      <c r="D386" s="106">
        <v>0.0008524400035278396</v>
      </c>
      <c r="E386" s="106">
        <v>2.8010948600705445</v>
      </c>
      <c r="F386" s="102" t="s">
        <v>3369</v>
      </c>
      <c r="G386" s="102" t="b">
        <v>0</v>
      </c>
      <c r="H386" s="102" t="b">
        <v>0</v>
      </c>
      <c r="I386" s="102" t="b">
        <v>0</v>
      </c>
      <c r="J386" s="102" t="b">
        <v>0</v>
      </c>
      <c r="K386" s="102" t="b">
        <v>0</v>
      </c>
      <c r="L386" s="102" t="b">
        <v>0</v>
      </c>
    </row>
    <row r="387" spans="1:12" ht="15">
      <c r="A387" s="104" t="s">
        <v>2471</v>
      </c>
      <c r="B387" s="102" t="s">
        <v>2622</v>
      </c>
      <c r="C387" s="102">
        <v>3</v>
      </c>
      <c r="D387" s="106">
        <v>0.0008524400035278396</v>
      </c>
      <c r="E387" s="106">
        <v>2.5458223549672385</v>
      </c>
      <c r="F387" s="102" t="s">
        <v>3369</v>
      </c>
      <c r="G387" s="102" t="b">
        <v>0</v>
      </c>
      <c r="H387" s="102" t="b">
        <v>0</v>
      </c>
      <c r="I387" s="102" t="b">
        <v>0</v>
      </c>
      <c r="J387" s="102" t="b">
        <v>0</v>
      </c>
      <c r="K387" s="102" t="b">
        <v>0</v>
      </c>
      <c r="L387" s="102" t="b">
        <v>0</v>
      </c>
    </row>
    <row r="388" spans="1:12" ht="15">
      <c r="A388" s="104" t="s">
        <v>2424</v>
      </c>
      <c r="B388" s="102" t="s">
        <v>2386</v>
      </c>
      <c r="C388" s="102">
        <v>3</v>
      </c>
      <c r="D388" s="106">
        <v>0.0008524400035278396</v>
      </c>
      <c r="E388" s="106">
        <v>1.7956998281838386</v>
      </c>
      <c r="F388" s="102" t="s">
        <v>3369</v>
      </c>
      <c r="G388" s="102" t="b">
        <v>0</v>
      </c>
      <c r="H388" s="102" t="b">
        <v>1</v>
      </c>
      <c r="I388" s="102" t="b">
        <v>0</v>
      </c>
      <c r="J388" s="102" t="b">
        <v>0</v>
      </c>
      <c r="K388" s="102" t="b">
        <v>0</v>
      </c>
      <c r="L388" s="102" t="b">
        <v>0</v>
      </c>
    </row>
    <row r="389" spans="1:12" ht="15">
      <c r="A389" s="104" t="s">
        <v>2471</v>
      </c>
      <c r="B389" s="102" t="s">
        <v>2424</v>
      </c>
      <c r="C389" s="102">
        <v>3</v>
      </c>
      <c r="D389" s="106">
        <v>0.0008524400035278396</v>
      </c>
      <c r="E389" s="106">
        <v>2.1198536226949574</v>
      </c>
      <c r="F389" s="102" t="s">
        <v>3369</v>
      </c>
      <c r="G389" s="102" t="b">
        <v>0</v>
      </c>
      <c r="H389" s="102" t="b">
        <v>0</v>
      </c>
      <c r="I389" s="102" t="b">
        <v>0</v>
      </c>
      <c r="J389" s="102" t="b">
        <v>0</v>
      </c>
      <c r="K389" s="102" t="b">
        <v>1</v>
      </c>
      <c r="L389" s="102" t="b">
        <v>0</v>
      </c>
    </row>
    <row r="390" spans="1:12" ht="15">
      <c r="A390" s="104" t="s">
        <v>2424</v>
      </c>
      <c r="B390" s="102" t="s">
        <v>2622</v>
      </c>
      <c r="C390" s="102">
        <v>3</v>
      </c>
      <c r="D390" s="106">
        <v>0.0008524400035278396</v>
      </c>
      <c r="E390" s="106">
        <v>2.4489123419591823</v>
      </c>
      <c r="F390" s="102" t="s">
        <v>3369</v>
      </c>
      <c r="G390" s="102" t="b">
        <v>0</v>
      </c>
      <c r="H390" s="102" t="b">
        <v>1</v>
      </c>
      <c r="I390" s="102" t="b">
        <v>0</v>
      </c>
      <c r="J390" s="102" t="b">
        <v>0</v>
      </c>
      <c r="K390" s="102" t="b">
        <v>0</v>
      </c>
      <c r="L390" s="102" t="b">
        <v>0</v>
      </c>
    </row>
    <row r="391" spans="1:12" ht="15">
      <c r="A391" s="104" t="s">
        <v>2357</v>
      </c>
      <c r="B391" s="102" t="s">
        <v>2445</v>
      </c>
      <c r="C391" s="102">
        <v>3</v>
      </c>
      <c r="D391" s="106">
        <v>0.0008524400035278396</v>
      </c>
      <c r="E391" s="106">
        <v>1.471696980709502</v>
      </c>
      <c r="F391" s="102" t="s">
        <v>3369</v>
      </c>
      <c r="G391" s="102" t="b">
        <v>0</v>
      </c>
      <c r="H391" s="102" t="b">
        <v>0</v>
      </c>
      <c r="I391" s="102" t="b">
        <v>0</v>
      </c>
      <c r="J391" s="102" t="b">
        <v>0</v>
      </c>
      <c r="K391" s="102" t="b">
        <v>0</v>
      </c>
      <c r="L391" s="102" t="b">
        <v>0</v>
      </c>
    </row>
    <row r="392" spans="1:12" ht="15">
      <c r="A392" s="104" t="s">
        <v>2908</v>
      </c>
      <c r="B392" s="102" t="s">
        <v>2909</v>
      </c>
      <c r="C392" s="102">
        <v>3</v>
      </c>
      <c r="D392" s="106">
        <v>0.0008524400035278396</v>
      </c>
      <c r="E392" s="106">
        <v>3.4489123419591823</v>
      </c>
      <c r="F392" s="102" t="s">
        <v>3369</v>
      </c>
      <c r="G392" s="102" t="b">
        <v>0</v>
      </c>
      <c r="H392" s="102" t="b">
        <v>0</v>
      </c>
      <c r="I392" s="102" t="b">
        <v>0</v>
      </c>
      <c r="J392" s="102" t="b">
        <v>0</v>
      </c>
      <c r="K392" s="102" t="b">
        <v>0</v>
      </c>
      <c r="L392" s="102" t="b">
        <v>0</v>
      </c>
    </row>
    <row r="393" spans="1:12" ht="15">
      <c r="A393" s="104" t="s">
        <v>2776</v>
      </c>
      <c r="B393" s="102" t="s">
        <v>2500</v>
      </c>
      <c r="C393" s="102">
        <v>3</v>
      </c>
      <c r="D393" s="106">
        <v>0.0008524400035278396</v>
      </c>
      <c r="E393" s="106">
        <v>2.8010948600705445</v>
      </c>
      <c r="F393" s="102" t="s">
        <v>3369</v>
      </c>
      <c r="G393" s="102" t="b">
        <v>0</v>
      </c>
      <c r="H393" s="102" t="b">
        <v>0</v>
      </c>
      <c r="I393" s="102" t="b">
        <v>0</v>
      </c>
      <c r="J393" s="102" t="b">
        <v>0</v>
      </c>
      <c r="K393" s="102" t="b">
        <v>0</v>
      </c>
      <c r="L393" s="102" t="b">
        <v>0</v>
      </c>
    </row>
    <row r="394" spans="1:12" ht="15">
      <c r="A394" s="104" t="s">
        <v>2913</v>
      </c>
      <c r="B394" s="102" t="s">
        <v>2914</v>
      </c>
      <c r="C394" s="102">
        <v>3</v>
      </c>
      <c r="D394" s="106">
        <v>0.0008524400035278396</v>
      </c>
      <c r="E394" s="106">
        <v>3.4489123419591823</v>
      </c>
      <c r="F394" s="102" t="s">
        <v>3369</v>
      </c>
      <c r="G394" s="102" t="b">
        <v>0</v>
      </c>
      <c r="H394" s="102" t="b">
        <v>0</v>
      </c>
      <c r="I394" s="102" t="b">
        <v>0</v>
      </c>
      <c r="J394" s="102" t="b">
        <v>0</v>
      </c>
      <c r="K394" s="102" t="b">
        <v>0</v>
      </c>
      <c r="L394" s="102" t="b">
        <v>0</v>
      </c>
    </row>
    <row r="395" spans="1:12" ht="15">
      <c r="A395" s="104" t="s">
        <v>2414</v>
      </c>
      <c r="B395" s="102" t="s">
        <v>2348</v>
      </c>
      <c r="C395" s="102">
        <v>3</v>
      </c>
      <c r="D395" s="106">
        <v>0.0006886309208820411</v>
      </c>
      <c r="E395" s="106">
        <v>0.8567355845633153</v>
      </c>
      <c r="F395" s="102" t="s">
        <v>3369</v>
      </c>
      <c r="G395" s="102" t="b">
        <v>0</v>
      </c>
      <c r="H395" s="102" t="b">
        <v>0</v>
      </c>
      <c r="I395" s="102" t="b">
        <v>0</v>
      </c>
      <c r="J395" s="102" t="b">
        <v>0</v>
      </c>
      <c r="K395" s="102" t="b">
        <v>0</v>
      </c>
      <c r="L395" s="102" t="b">
        <v>0</v>
      </c>
    </row>
    <row r="396" spans="1:12" ht="15">
      <c r="A396" s="104" t="s">
        <v>2689</v>
      </c>
      <c r="B396" s="102" t="s">
        <v>2349</v>
      </c>
      <c r="C396" s="102">
        <v>3</v>
      </c>
      <c r="D396" s="106">
        <v>0.0008524400035278396</v>
      </c>
      <c r="E396" s="106">
        <v>1.3597925733773775</v>
      </c>
      <c r="F396" s="102" t="s">
        <v>3369</v>
      </c>
      <c r="G396" s="102" t="b">
        <v>0</v>
      </c>
      <c r="H396" s="102" t="b">
        <v>0</v>
      </c>
      <c r="I396" s="102" t="b">
        <v>0</v>
      </c>
      <c r="J396" s="102" t="b">
        <v>0</v>
      </c>
      <c r="K396" s="102" t="b">
        <v>0</v>
      </c>
      <c r="L396" s="102" t="b">
        <v>0</v>
      </c>
    </row>
    <row r="397" spans="1:12" ht="15">
      <c r="A397" s="104" t="s">
        <v>2564</v>
      </c>
      <c r="B397" s="102" t="s">
        <v>2412</v>
      </c>
      <c r="C397" s="102">
        <v>3</v>
      </c>
      <c r="D397" s="106">
        <v>0.0007490879793813594</v>
      </c>
      <c r="E397" s="106">
        <v>2.3539368287283255</v>
      </c>
      <c r="F397" s="102" t="s">
        <v>3369</v>
      </c>
      <c r="G397" s="102" t="b">
        <v>0</v>
      </c>
      <c r="H397" s="102" t="b">
        <v>0</v>
      </c>
      <c r="I397" s="102" t="b">
        <v>0</v>
      </c>
      <c r="J397" s="102" t="b">
        <v>0</v>
      </c>
      <c r="K397" s="102" t="b">
        <v>0</v>
      </c>
      <c r="L397" s="102" t="b">
        <v>0</v>
      </c>
    </row>
    <row r="398" spans="1:12" ht="15">
      <c r="A398" s="104" t="s">
        <v>2412</v>
      </c>
      <c r="B398" s="102" t="s">
        <v>2691</v>
      </c>
      <c r="C398" s="102">
        <v>3</v>
      </c>
      <c r="D398" s="106">
        <v>0.0007490879793813594</v>
      </c>
      <c r="E398" s="106">
        <v>2.473735925684214</v>
      </c>
      <c r="F398" s="102" t="s">
        <v>3369</v>
      </c>
      <c r="G398" s="102" t="b">
        <v>0</v>
      </c>
      <c r="H398" s="102" t="b">
        <v>0</v>
      </c>
      <c r="I398" s="102" t="b">
        <v>0</v>
      </c>
      <c r="J398" s="102" t="b">
        <v>0</v>
      </c>
      <c r="K398" s="102" t="b">
        <v>0</v>
      </c>
      <c r="L398" s="102" t="b">
        <v>0</v>
      </c>
    </row>
    <row r="399" spans="1:12" ht="15">
      <c r="A399" s="104" t="s">
        <v>2350</v>
      </c>
      <c r="B399" s="102" t="s">
        <v>2923</v>
      </c>
      <c r="C399" s="102">
        <v>3</v>
      </c>
      <c r="D399" s="106">
        <v>0.0007490879793813594</v>
      </c>
      <c r="E399" s="106">
        <v>1.6315673705172515</v>
      </c>
      <c r="F399" s="102" t="s">
        <v>3369</v>
      </c>
      <c r="G399" s="102" t="b">
        <v>0</v>
      </c>
      <c r="H399" s="102" t="b">
        <v>0</v>
      </c>
      <c r="I399" s="102" t="b">
        <v>0</v>
      </c>
      <c r="J399" s="102" t="b">
        <v>0</v>
      </c>
      <c r="K399" s="102" t="b">
        <v>0</v>
      </c>
      <c r="L399" s="102" t="b">
        <v>0</v>
      </c>
    </row>
    <row r="400" spans="1:12" ht="15">
      <c r="A400" s="104" t="s">
        <v>2692</v>
      </c>
      <c r="B400" s="102" t="s">
        <v>2423</v>
      </c>
      <c r="C400" s="102">
        <v>3</v>
      </c>
      <c r="D400" s="106">
        <v>0.0008524400035278396</v>
      </c>
      <c r="E400" s="106">
        <v>2.5000648644065633</v>
      </c>
      <c r="F400" s="102" t="s">
        <v>3369</v>
      </c>
      <c r="G400" s="102" t="b">
        <v>0</v>
      </c>
      <c r="H400" s="102" t="b">
        <v>0</v>
      </c>
      <c r="I400" s="102" t="b">
        <v>0</v>
      </c>
      <c r="J400" s="102" t="b">
        <v>0</v>
      </c>
      <c r="K400" s="102" t="b">
        <v>0</v>
      </c>
      <c r="L400" s="102" t="b">
        <v>0</v>
      </c>
    </row>
    <row r="401" spans="1:12" ht="15">
      <c r="A401" s="104" t="s">
        <v>2434</v>
      </c>
      <c r="B401" s="102" t="s">
        <v>2532</v>
      </c>
      <c r="C401" s="102">
        <v>3</v>
      </c>
      <c r="D401" s="106">
        <v>0.0006886309208820411</v>
      </c>
      <c r="E401" s="106">
        <v>2.3539368287283255</v>
      </c>
      <c r="F401" s="102" t="s">
        <v>3369</v>
      </c>
      <c r="G401" s="102" t="b">
        <v>0</v>
      </c>
      <c r="H401" s="102" t="b">
        <v>0</v>
      </c>
      <c r="I401" s="102" t="b">
        <v>0</v>
      </c>
      <c r="J401" s="102" t="b">
        <v>0</v>
      </c>
      <c r="K401" s="102" t="b">
        <v>1</v>
      </c>
      <c r="L401" s="102" t="b">
        <v>0</v>
      </c>
    </row>
    <row r="402" spans="1:12" ht="15">
      <c r="A402" s="104" t="s">
        <v>2402</v>
      </c>
      <c r="B402" s="102" t="s">
        <v>2694</v>
      </c>
      <c r="C402" s="102">
        <v>3</v>
      </c>
      <c r="D402" s="106">
        <v>0.0008524400035278396</v>
      </c>
      <c r="E402" s="106">
        <v>2.403154851398507</v>
      </c>
      <c r="F402" s="102" t="s">
        <v>3369</v>
      </c>
      <c r="G402" s="102" t="b">
        <v>0</v>
      </c>
      <c r="H402" s="102" t="b">
        <v>0</v>
      </c>
      <c r="I402" s="102" t="b">
        <v>0</v>
      </c>
      <c r="J402" s="102" t="b">
        <v>0</v>
      </c>
      <c r="K402" s="102" t="b">
        <v>0</v>
      </c>
      <c r="L402" s="102" t="b">
        <v>0</v>
      </c>
    </row>
    <row r="403" spans="1:12" ht="15">
      <c r="A403" s="104" t="s">
        <v>2783</v>
      </c>
      <c r="B403" s="102" t="s">
        <v>2469</v>
      </c>
      <c r="C403" s="102">
        <v>3</v>
      </c>
      <c r="D403" s="106">
        <v>0.0008524400035278396</v>
      </c>
      <c r="E403" s="106">
        <v>2.72191361402292</v>
      </c>
      <c r="F403" s="102" t="s">
        <v>3369</v>
      </c>
      <c r="G403" s="102" t="b">
        <v>0</v>
      </c>
      <c r="H403" s="102" t="b">
        <v>1</v>
      </c>
      <c r="I403" s="102" t="b">
        <v>0</v>
      </c>
      <c r="J403" s="102" t="b">
        <v>0</v>
      </c>
      <c r="K403" s="102" t="b">
        <v>0</v>
      </c>
      <c r="L403" s="102" t="b">
        <v>0</v>
      </c>
    </row>
    <row r="404" spans="1:12" ht="15">
      <c r="A404" s="104" t="s">
        <v>2469</v>
      </c>
      <c r="B404" s="102" t="s">
        <v>2933</v>
      </c>
      <c r="C404" s="102">
        <v>3</v>
      </c>
      <c r="D404" s="106">
        <v>0.0008524400035278396</v>
      </c>
      <c r="E404" s="106">
        <v>2.8468523506312198</v>
      </c>
      <c r="F404" s="102" t="s">
        <v>3369</v>
      </c>
      <c r="G404" s="102" t="b">
        <v>0</v>
      </c>
      <c r="H404" s="102" t="b">
        <v>0</v>
      </c>
      <c r="I404" s="102" t="b">
        <v>0</v>
      </c>
      <c r="J404" s="102" t="b">
        <v>0</v>
      </c>
      <c r="K404" s="102" t="b">
        <v>1</v>
      </c>
      <c r="L404" s="102" t="b">
        <v>0</v>
      </c>
    </row>
    <row r="405" spans="1:12" ht="15">
      <c r="A405" s="104" t="s">
        <v>2678</v>
      </c>
      <c r="B405" s="102" t="s">
        <v>2612</v>
      </c>
      <c r="C405" s="102">
        <v>3</v>
      </c>
      <c r="D405" s="106">
        <v>0.0008524400035278396</v>
      </c>
      <c r="E405" s="106">
        <v>2.9260335966788444</v>
      </c>
      <c r="F405" s="102" t="s">
        <v>3369</v>
      </c>
      <c r="G405" s="102" t="b">
        <v>0</v>
      </c>
      <c r="H405" s="102" t="b">
        <v>0</v>
      </c>
      <c r="I405" s="102" t="b">
        <v>0</v>
      </c>
      <c r="J405" s="102" t="b">
        <v>0</v>
      </c>
      <c r="K405" s="102" t="b">
        <v>0</v>
      </c>
      <c r="L405" s="102" t="b">
        <v>0</v>
      </c>
    </row>
    <row r="406" spans="1:12" ht="15">
      <c r="A406" s="104" t="s">
        <v>2478</v>
      </c>
      <c r="B406" s="102" t="s">
        <v>2695</v>
      </c>
      <c r="C406" s="102">
        <v>3</v>
      </c>
      <c r="D406" s="106">
        <v>0.0008524400035278396</v>
      </c>
      <c r="E406" s="106">
        <v>2.6627921619042634</v>
      </c>
      <c r="F406" s="102" t="s">
        <v>3369</v>
      </c>
      <c r="G406" s="102" t="b">
        <v>0</v>
      </c>
      <c r="H406" s="102" t="b">
        <v>0</v>
      </c>
      <c r="I406" s="102" t="b">
        <v>0</v>
      </c>
      <c r="J406" s="102" t="b">
        <v>0</v>
      </c>
      <c r="K406" s="102" t="b">
        <v>0</v>
      </c>
      <c r="L406" s="102" t="b">
        <v>0</v>
      </c>
    </row>
    <row r="407" spans="1:12" ht="15">
      <c r="A407" s="104" t="s">
        <v>2478</v>
      </c>
      <c r="B407" s="102" t="s">
        <v>2584</v>
      </c>
      <c r="C407" s="102">
        <v>3</v>
      </c>
      <c r="D407" s="106">
        <v>0.0008524400035278396</v>
      </c>
      <c r="E407" s="106">
        <v>2.516664126226025</v>
      </c>
      <c r="F407" s="102" t="s">
        <v>3369</v>
      </c>
      <c r="G407" s="102" t="b">
        <v>0</v>
      </c>
      <c r="H407" s="102" t="b">
        <v>0</v>
      </c>
      <c r="I407" s="102" t="b">
        <v>0</v>
      </c>
      <c r="J407" s="102" t="b">
        <v>0</v>
      </c>
      <c r="K407" s="102" t="b">
        <v>0</v>
      </c>
      <c r="L407" s="102" t="b">
        <v>0</v>
      </c>
    </row>
    <row r="408" spans="1:12" ht="15">
      <c r="A408" s="104" t="s">
        <v>2501</v>
      </c>
      <c r="B408" s="102" t="s">
        <v>2448</v>
      </c>
      <c r="C408" s="102">
        <v>3</v>
      </c>
      <c r="D408" s="106">
        <v>0.0008524400035278396</v>
      </c>
      <c r="E408" s="106">
        <v>2.257026815720269</v>
      </c>
      <c r="F408" s="102" t="s">
        <v>3369</v>
      </c>
      <c r="G408" s="102" t="b">
        <v>0</v>
      </c>
      <c r="H408" s="102" t="b">
        <v>0</v>
      </c>
      <c r="I408" s="102" t="b">
        <v>0</v>
      </c>
      <c r="J408" s="102" t="b">
        <v>0</v>
      </c>
      <c r="K408" s="102" t="b">
        <v>0</v>
      </c>
      <c r="L408" s="102" t="b">
        <v>0</v>
      </c>
    </row>
    <row r="409" spans="1:12" ht="15">
      <c r="A409" s="104" t="s">
        <v>2785</v>
      </c>
      <c r="B409" s="102" t="s">
        <v>2383</v>
      </c>
      <c r="C409" s="102">
        <v>3</v>
      </c>
      <c r="D409" s="106">
        <v>0.0007490879793813594</v>
      </c>
      <c r="E409" s="106">
        <v>2.386121512099727</v>
      </c>
      <c r="F409" s="102" t="s">
        <v>3369</v>
      </c>
      <c r="G409" s="102" t="b">
        <v>0</v>
      </c>
      <c r="H409" s="102" t="b">
        <v>0</v>
      </c>
      <c r="I409" s="102" t="b">
        <v>0</v>
      </c>
      <c r="J409" s="102" t="b">
        <v>0</v>
      </c>
      <c r="K409" s="102" t="b">
        <v>0</v>
      </c>
      <c r="L409" s="102" t="b">
        <v>0</v>
      </c>
    </row>
    <row r="410" spans="1:12" ht="15">
      <c r="A410" s="104" t="s">
        <v>2361</v>
      </c>
      <c r="B410" s="102" t="s">
        <v>2501</v>
      </c>
      <c r="C410" s="102">
        <v>3</v>
      </c>
      <c r="D410" s="106">
        <v>0.0008524400035278396</v>
      </c>
      <c r="E410" s="106">
        <v>1.7861545102776082</v>
      </c>
      <c r="F410" s="102" t="s">
        <v>3369</v>
      </c>
      <c r="G410" s="102" t="b">
        <v>0</v>
      </c>
      <c r="H410" s="102" t="b">
        <v>0</v>
      </c>
      <c r="I410" s="102" t="b">
        <v>0</v>
      </c>
      <c r="J410" s="102" t="b">
        <v>0</v>
      </c>
      <c r="K410" s="102" t="b">
        <v>0</v>
      </c>
      <c r="L410" s="102" t="b">
        <v>0</v>
      </c>
    </row>
    <row r="411" spans="1:12" ht="15">
      <c r="A411" s="104" t="s">
        <v>2938</v>
      </c>
      <c r="B411" s="102" t="s">
        <v>2939</v>
      </c>
      <c r="C411" s="102">
        <v>3</v>
      </c>
      <c r="D411" s="106">
        <v>0.0008524400035278396</v>
      </c>
      <c r="E411" s="106">
        <v>3.4489123419591823</v>
      </c>
      <c r="F411" s="102" t="s">
        <v>3369</v>
      </c>
      <c r="G411" s="102" t="b">
        <v>0</v>
      </c>
      <c r="H411" s="102" t="b">
        <v>0</v>
      </c>
      <c r="I411" s="102" t="b">
        <v>0</v>
      </c>
      <c r="J411" s="102" t="b">
        <v>0</v>
      </c>
      <c r="K411" s="102" t="b">
        <v>0</v>
      </c>
      <c r="L411" s="102" t="b">
        <v>0</v>
      </c>
    </row>
    <row r="412" spans="1:12" ht="15">
      <c r="A412" s="104" t="s">
        <v>2786</v>
      </c>
      <c r="B412" s="102" t="s">
        <v>2787</v>
      </c>
      <c r="C412" s="102">
        <v>3</v>
      </c>
      <c r="D412" s="106">
        <v>0.0006886309208820411</v>
      </c>
      <c r="E412" s="106">
        <v>3.1990348687425825</v>
      </c>
      <c r="F412" s="102" t="s">
        <v>3369</v>
      </c>
      <c r="G412" s="102" t="b">
        <v>0</v>
      </c>
      <c r="H412" s="102" t="b">
        <v>0</v>
      </c>
      <c r="I412" s="102" t="b">
        <v>0</v>
      </c>
      <c r="J412" s="102" t="b">
        <v>0</v>
      </c>
      <c r="K412" s="102" t="b">
        <v>0</v>
      </c>
      <c r="L412" s="102" t="b">
        <v>0</v>
      </c>
    </row>
    <row r="413" spans="1:12" ht="15">
      <c r="A413" s="104" t="s">
        <v>2405</v>
      </c>
      <c r="B413" s="102" t="s">
        <v>2521</v>
      </c>
      <c r="C413" s="102">
        <v>3</v>
      </c>
      <c r="D413" s="106">
        <v>0.0008524400035278396</v>
      </c>
      <c r="E413" s="106">
        <v>2.199034868742582</v>
      </c>
      <c r="F413" s="102" t="s">
        <v>3369</v>
      </c>
      <c r="G413" s="102" t="b">
        <v>0</v>
      </c>
      <c r="H413" s="102" t="b">
        <v>0</v>
      </c>
      <c r="I413" s="102" t="b">
        <v>0</v>
      </c>
      <c r="J413" s="102" t="b">
        <v>0</v>
      </c>
      <c r="K413" s="102" t="b">
        <v>1</v>
      </c>
      <c r="L413" s="102" t="b">
        <v>0</v>
      </c>
    </row>
    <row r="414" spans="1:12" ht="15">
      <c r="A414" s="104" t="s">
        <v>2405</v>
      </c>
      <c r="B414" s="102" t="s">
        <v>2406</v>
      </c>
      <c r="C414" s="102">
        <v>3</v>
      </c>
      <c r="D414" s="106">
        <v>0.0008524400035278396</v>
      </c>
      <c r="E414" s="106">
        <v>1.823371254781697</v>
      </c>
      <c r="F414" s="102" t="s">
        <v>3369</v>
      </c>
      <c r="G414" s="102" t="b">
        <v>0</v>
      </c>
      <c r="H414" s="102" t="b">
        <v>0</v>
      </c>
      <c r="I414" s="102" t="b">
        <v>0</v>
      </c>
      <c r="J414" s="102" t="b">
        <v>0</v>
      </c>
      <c r="K414" s="102" t="b">
        <v>1</v>
      </c>
      <c r="L414" s="102" t="b">
        <v>0</v>
      </c>
    </row>
    <row r="415" spans="1:12" ht="15">
      <c r="A415" s="104" t="s">
        <v>2354</v>
      </c>
      <c r="B415" s="102" t="s">
        <v>2357</v>
      </c>
      <c r="C415" s="102">
        <v>3</v>
      </c>
      <c r="D415" s="106">
        <v>0.0006886309208820411</v>
      </c>
      <c r="E415" s="106">
        <v>0.8469730047455958</v>
      </c>
      <c r="F415" s="102" t="s">
        <v>3369</v>
      </c>
      <c r="G415" s="102" t="b">
        <v>0</v>
      </c>
      <c r="H415" s="102" t="b">
        <v>0</v>
      </c>
      <c r="I415" s="102" t="b">
        <v>0</v>
      </c>
      <c r="J415" s="102" t="b">
        <v>0</v>
      </c>
      <c r="K415" s="102" t="b">
        <v>0</v>
      </c>
      <c r="L415" s="102" t="b">
        <v>0</v>
      </c>
    </row>
    <row r="416" spans="1:12" ht="15">
      <c r="A416" s="104" t="s">
        <v>2580</v>
      </c>
      <c r="B416" s="102" t="s">
        <v>2541</v>
      </c>
      <c r="C416" s="102">
        <v>3</v>
      </c>
      <c r="D416" s="106">
        <v>0.0006886309208820411</v>
      </c>
      <c r="E416" s="106">
        <v>2.955996820056288</v>
      </c>
      <c r="F416" s="102" t="s">
        <v>3369</v>
      </c>
      <c r="G416" s="102" t="b">
        <v>0</v>
      </c>
      <c r="H416" s="102" t="b">
        <v>0</v>
      </c>
      <c r="I416" s="102" t="b">
        <v>0</v>
      </c>
      <c r="J416" s="102" t="b">
        <v>0</v>
      </c>
      <c r="K416" s="102" t="b">
        <v>0</v>
      </c>
      <c r="L416" s="102" t="b">
        <v>0</v>
      </c>
    </row>
    <row r="417" spans="1:12" ht="15">
      <c r="A417" s="104" t="s">
        <v>2375</v>
      </c>
      <c r="B417" s="102" t="s">
        <v>2942</v>
      </c>
      <c r="C417" s="102">
        <v>3</v>
      </c>
      <c r="D417" s="106">
        <v>0.0006886309208820411</v>
      </c>
      <c r="E417" s="106">
        <v>2.4489123419591823</v>
      </c>
      <c r="F417" s="102" t="s">
        <v>3369</v>
      </c>
      <c r="G417" s="102" t="b">
        <v>0</v>
      </c>
      <c r="H417" s="102" t="b">
        <v>0</v>
      </c>
      <c r="I417" s="102" t="b">
        <v>0</v>
      </c>
      <c r="J417" s="102" t="b">
        <v>0</v>
      </c>
      <c r="K417" s="102" t="b">
        <v>0</v>
      </c>
      <c r="L417" s="102" t="b">
        <v>0</v>
      </c>
    </row>
    <row r="418" spans="1:12" ht="15">
      <c r="A418" s="104" t="s">
        <v>2942</v>
      </c>
      <c r="B418" s="102" t="s">
        <v>2375</v>
      </c>
      <c r="C418" s="102">
        <v>3</v>
      </c>
      <c r="D418" s="106">
        <v>0.0006886309208820411</v>
      </c>
      <c r="E418" s="106">
        <v>2.434671902844572</v>
      </c>
      <c r="F418" s="102" t="s">
        <v>3369</v>
      </c>
      <c r="G418" s="102" t="b">
        <v>0</v>
      </c>
      <c r="H418" s="102" t="b">
        <v>0</v>
      </c>
      <c r="I418" s="102" t="b">
        <v>0</v>
      </c>
      <c r="J418" s="102" t="b">
        <v>0</v>
      </c>
      <c r="K418" s="102" t="b">
        <v>0</v>
      </c>
      <c r="L418" s="102" t="b">
        <v>0</v>
      </c>
    </row>
    <row r="419" spans="1:12" ht="15">
      <c r="A419" s="104" t="s">
        <v>2943</v>
      </c>
      <c r="B419" s="102" t="s">
        <v>2375</v>
      </c>
      <c r="C419" s="102">
        <v>3</v>
      </c>
      <c r="D419" s="106">
        <v>0.0006886309208820411</v>
      </c>
      <c r="E419" s="106">
        <v>2.434671902844572</v>
      </c>
      <c r="F419" s="102" t="s">
        <v>3369</v>
      </c>
      <c r="G419" s="102" t="b">
        <v>0</v>
      </c>
      <c r="H419" s="102" t="b">
        <v>0</v>
      </c>
      <c r="I419" s="102" t="b">
        <v>0</v>
      </c>
      <c r="J419" s="102" t="b">
        <v>0</v>
      </c>
      <c r="K419" s="102" t="b">
        <v>0</v>
      </c>
      <c r="L419" s="102" t="b">
        <v>0</v>
      </c>
    </row>
    <row r="420" spans="1:12" ht="15">
      <c r="A420" s="104" t="s">
        <v>2375</v>
      </c>
      <c r="B420" s="102" t="s">
        <v>2944</v>
      </c>
      <c r="C420" s="102">
        <v>3</v>
      </c>
      <c r="D420" s="106">
        <v>0.0006886309208820411</v>
      </c>
      <c r="E420" s="106">
        <v>2.4489123419591823</v>
      </c>
      <c r="F420" s="102" t="s">
        <v>3369</v>
      </c>
      <c r="G420" s="102" t="b">
        <v>0</v>
      </c>
      <c r="H420" s="102" t="b">
        <v>0</v>
      </c>
      <c r="I420" s="102" t="b">
        <v>0</v>
      </c>
      <c r="J420" s="102" t="b">
        <v>0</v>
      </c>
      <c r="K420" s="102" t="b">
        <v>0</v>
      </c>
      <c r="L420" s="102" t="b">
        <v>0</v>
      </c>
    </row>
    <row r="421" spans="1:12" ht="15">
      <c r="A421" s="104" t="s">
        <v>2944</v>
      </c>
      <c r="B421" s="102" t="s">
        <v>2945</v>
      </c>
      <c r="C421" s="102">
        <v>3</v>
      </c>
      <c r="D421" s="106">
        <v>0.0006886309208820411</v>
      </c>
      <c r="E421" s="106">
        <v>3.4489123419591823</v>
      </c>
      <c r="F421" s="102" t="s">
        <v>3369</v>
      </c>
      <c r="G421" s="102" t="b">
        <v>0</v>
      </c>
      <c r="H421" s="102" t="b">
        <v>0</v>
      </c>
      <c r="I421" s="102" t="b">
        <v>0</v>
      </c>
      <c r="J421" s="102" t="b">
        <v>0</v>
      </c>
      <c r="K421" s="102" t="b">
        <v>0</v>
      </c>
      <c r="L421" s="102" t="b">
        <v>0</v>
      </c>
    </row>
    <row r="422" spans="1:12" ht="15">
      <c r="A422" s="104" t="s">
        <v>2945</v>
      </c>
      <c r="B422" s="102" t="s">
        <v>2375</v>
      </c>
      <c r="C422" s="102">
        <v>3</v>
      </c>
      <c r="D422" s="106">
        <v>0.0006886309208820411</v>
      </c>
      <c r="E422" s="106">
        <v>2.434671902844572</v>
      </c>
      <c r="F422" s="102" t="s">
        <v>3369</v>
      </c>
      <c r="G422" s="102" t="b">
        <v>0</v>
      </c>
      <c r="H422" s="102" t="b">
        <v>0</v>
      </c>
      <c r="I422" s="102" t="b">
        <v>0</v>
      </c>
      <c r="J422" s="102" t="b">
        <v>0</v>
      </c>
      <c r="K422" s="102" t="b">
        <v>0</v>
      </c>
      <c r="L422" s="102" t="b">
        <v>0</v>
      </c>
    </row>
    <row r="423" spans="1:12" ht="15">
      <c r="A423" s="104" t="s">
        <v>2502</v>
      </c>
      <c r="B423" s="102" t="s">
        <v>2947</v>
      </c>
      <c r="C423" s="102">
        <v>3</v>
      </c>
      <c r="D423" s="106">
        <v>0.0008524400035278396</v>
      </c>
      <c r="E423" s="106">
        <v>2.9260335966788444</v>
      </c>
      <c r="F423" s="102" t="s">
        <v>3369</v>
      </c>
      <c r="G423" s="102" t="b">
        <v>0</v>
      </c>
      <c r="H423" s="102" t="b">
        <v>0</v>
      </c>
      <c r="I423" s="102" t="b">
        <v>0</v>
      </c>
      <c r="J423" s="102" t="b">
        <v>0</v>
      </c>
      <c r="K423" s="102" t="b">
        <v>0</v>
      </c>
      <c r="L423" s="102" t="b">
        <v>0</v>
      </c>
    </row>
    <row r="424" spans="1:12" ht="15">
      <c r="A424" s="104" t="s">
        <v>2349</v>
      </c>
      <c r="B424" s="102" t="s">
        <v>2440</v>
      </c>
      <c r="C424" s="102">
        <v>3</v>
      </c>
      <c r="D424" s="106">
        <v>0.0006886309208820411</v>
      </c>
      <c r="E424" s="106">
        <v>0.9976377444221308</v>
      </c>
      <c r="F424" s="102" t="s">
        <v>3369</v>
      </c>
      <c r="G424" s="102" t="b">
        <v>0</v>
      </c>
      <c r="H424" s="102" t="b">
        <v>0</v>
      </c>
      <c r="I424" s="102" t="b">
        <v>0</v>
      </c>
      <c r="J424" s="102" t="b">
        <v>0</v>
      </c>
      <c r="K424" s="102" t="b">
        <v>0</v>
      </c>
      <c r="L424" s="102" t="b">
        <v>0</v>
      </c>
    </row>
    <row r="425" spans="1:12" ht="15">
      <c r="A425" s="104" t="s">
        <v>2573</v>
      </c>
      <c r="B425" s="102" t="s">
        <v>2362</v>
      </c>
      <c r="C425" s="102">
        <v>3</v>
      </c>
      <c r="D425" s="106">
        <v>0.0007490879793813594</v>
      </c>
      <c r="E425" s="106">
        <v>1.9915351454352768</v>
      </c>
      <c r="F425" s="102" t="s">
        <v>3369</v>
      </c>
      <c r="G425" s="102" t="b">
        <v>0</v>
      </c>
      <c r="H425" s="102" t="b">
        <v>0</v>
      </c>
      <c r="I425" s="102" t="b">
        <v>0</v>
      </c>
      <c r="J425" s="102" t="b">
        <v>0</v>
      </c>
      <c r="K425" s="102" t="b">
        <v>0</v>
      </c>
      <c r="L425" s="102" t="b">
        <v>0</v>
      </c>
    </row>
    <row r="426" spans="1:12" ht="15">
      <c r="A426" s="104" t="s">
        <v>2381</v>
      </c>
      <c r="B426" s="102" t="s">
        <v>2399</v>
      </c>
      <c r="C426" s="102">
        <v>3</v>
      </c>
      <c r="D426" s="106">
        <v>0.0008524400035278396</v>
      </c>
      <c r="E426" s="106">
        <v>1.6495717925056006</v>
      </c>
      <c r="F426" s="102" t="s">
        <v>3369</v>
      </c>
      <c r="G426" s="102" t="b">
        <v>0</v>
      </c>
      <c r="H426" s="102" t="b">
        <v>0</v>
      </c>
      <c r="I426" s="102" t="b">
        <v>0</v>
      </c>
      <c r="J426" s="102" t="b">
        <v>0</v>
      </c>
      <c r="K426" s="102" t="b">
        <v>0</v>
      </c>
      <c r="L426" s="102" t="b">
        <v>0</v>
      </c>
    </row>
    <row r="427" spans="1:12" ht="15">
      <c r="A427" s="104" t="s">
        <v>2403</v>
      </c>
      <c r="B427" s="102" t="s">
        <v>2354</v>
      </c>
      <c r="C427" s="102">
        <v>3</v>
      </c>
      <c r="D427" s="106">
        <v>0.0007490879793813594</v>
      </c>
      <c r="E427" s="106">
        <v>1.302784306280944</v>
      </c>
      <c r="F427" s="102" t="s">
        <v>3369</v>
      </c>
      <c r="G427" s="102" t="b">
        <v>0</v>
      </c>
      <c r="H427" s="102" t="b">
        <v>0</v>
      </c>
      <c r="I427" s="102" t="b">
        <v>0</v>
      </c>
      <c r="J427" s="102" t="b">
        <v>0</v>
      </c>
      <c r="K427" s="102" t="b">
        <v>0</v>
      </c>
      <c r="L427" s="102" t="b">
        <v>0</v>
      </c>
    </row>
    <row r="428" spans="1:12" ht="15">
      <c r="A428" s="104" t="s">
        <v>2955</v>
      </c>
      <c r="B428" s="102" t="s">
        <v>2956</v>
      </c>
      <c r="C428" s="102">
        <v>3</v>
      </c>
      <c r="D428" s="106">
        <v>0.0008524400035278396</v>
      </c>
      <c r="E428" s="106">
        <v>3.4489123419591823</v>
      </c>
      <c r="F428" s="102" t="s">
        <v>3369</v>
      </c>
      <c r="G428" s="102" t="b">
        <v>0</v>
      </c>
      <c r="H428" s="102" t="b">
        <v>0</v>
      </c>
      <c r="I428" s="102" t="b">
        <v>0</v>
      </c>
      <c r="J428" s="102" t="b">
        <v>0</v>
      </c>
      <c r="K428" s="102" t="b">
        <v>0</v>
      </c>
      <c r="L428" s="102" t="b">
        <v>0</v>
      </c>
    </row>
    <row r="429" spans="1:12" ht="15">
      <c r="A429" s="104" t="s">
        <v>2476</v>
      </c>
      <c r="B429" s="102" t="s">
        <v>2399</v>
      </c>
      <c r="C429" s="102">
        <v>3</v>
      </c>
      <c r="D429" s="106">
        <v>0.0008524400035278396</v>
      </c>
      <c r="E429" s="106">
        <v>2.080935556664588</v>
      </c>
      <c r="F429" s="102" t="s">
        <v>3369</v>
      </c>
      <c r="G429" s="102" t="b">
        <v>0</v>
      </c>
      <c r="H429" s="102" t="b">
        <v>1</v>
      </c>
      <c r="I429" s="102" t="b">
        <v>0</v>
      </c>
      <c r="J429" s="102" t="b">
        <v>0</v>
      </c>
      <c r="K429" s="102" t="b">
        <v>0</v>
      </c>
      <c r="L429" s="102" t="b">
        <v>0</v>
      </c>
    </row>
    <row r="430" spans="1:12" ht="15">
      <c r="A430" s="104" t="s">
        <v>2587</v>
      </c>
      <c r="B430" s="102" t="s">
        <v>2470</v>
      </c>
      <c r="C430" s="102">
        <v>3</v>
      </c>
      <c r="D430" s="106">
        <v>0.0008524400035278396</v>
      </c>
      <c r="E430" s="106">
        <v>2.6250036010148636</v>
      </c>
      <c r="F430" s="102" t="s">
        <v>3369</v>
      </c>
      <c r="G430" s="102" t="b">
        <v>0</v>
      </c>
      <c r="H430" s="102" t="b">
        <v>0</v>
      </c>
      <c r="I430" s="102" t="b">
        <v>0</v>
      </c>
      <c r="J430" s="102" t="b">
        <v>0</v>
      </c>
      <c r="K430" s="102" t="b">
        <v>0</v>
      </c>
      <c r="L430" s="102" t="b">
        <v>0</v>
      </c>
    </row>
    <row r="431" spans="1:12" ht="15">
      <c r="A431" s="104" t="s">
        <v>2794</v>
      </c>
      <c r="B431" s="102" t="s">
        <v>2417</v>
      </c>
      <c r="C431" s="102">
        <v>3</v>
      </c>
      <c r="D431" s="106">
        <v>0.0008524400035278396</v>
      </c>
      <c r="E431" s="106">
        <v>2.570645938692271</v>
      </c>
      <c r="F431" s="102" t="s">
        <v>3369</v>
      </c>
      <c r="G431" s="102" t="b">
        <v>0</v>
      </c>
      <c r="H431" s="102" t="b">
        <v>0</v>
      </c>
      <c r="I431" s="102" t="b">
        <v>0</v>
      </c>
      <c r="J431" s="102" t="b">
        <v>0</v>
      </c>
      <c r="K431" s="102" t="b">
        <v>0</v>
      </c>
      <c r="L431" s="102" t="b">
        <v>0</v>
      </c>
    </row>
    <row r="432" spans="1:12" ht="15">
      <c r="A432" s="104" t="s">
        <v>2354</v>
      </c>
      <c r="B432" s="102" t="s">
        <v>2348</v>
      </c>
      <c r="C432" s="102">
        <v>2</v>
      </c>
      <c r="D432" s="106">
        <v>0.0004993919862542396</v>
      </c>
      <c r="E432" s="106">
        <v>0.14024123524376397</v>
      </c>
      <c r="F432" s="102" t="s">
        <v>3369</v>
      </c>
      <c r="G432" s="102" t="b">
        <v>0</v>
      </c>
      <c r="H432" s="102" t="b">
        <v>0</v>
      </c>
      <c r="I432" s="102" t="b">
        <v>0</v>
      </c>
      <c r="J432" s="102" t="b">
        <v>0</v>
      </c>
      <c r="K432" s="102" t="b">
        <v>0</v>
      </c>
      <c r="L432" s="102" t="b">
        <v>0</v>
      </c>
    </row>
    <row r="433" spans="1:12" ht="15">
      <c r="A433" s="104" t="s">
        <v>2349</v>
      </c>
      <c r="B433" s="102" t="s">
        <v>2351</v>
      </c>
      <c r="C433" s="102">
        <v>2</v>
      </c>
      <c r="D433" s="106">
        <v>0.0004993919862542396</v>
      </c>
      <c r="E433" s="106">
        <v>-0.36172335831635505</v>
      </c>
      <c r="F433" s="102" t="s">
        <v>3369</v>
      </c>
      <c r="G433" s="102" t="b">
        <v>0</v>
      </c>
      <c r="H433" s="102" t="b">
        <v>0</v>
      </c>
      <c r="I433" s="102" t="b">
        <v>0</v>
      </c>
      <c r="J433" s="102" t="b">
        <v>0</v>
      </c>
      <c r="K433" s="102" t="b">
        <v>0</v>
      </c>
      <c r="L433" s="102" t="b">
        <v>0</v>
      </c>
    </row>
    <row r="434" spans="1:12" ht="15">
      <c r="A434" s="104" t="s">
        <v>2379</v>
      </c>
      <c r="B434" s="102" t="s">
        <v>2633</v>
      </c>
      <c r="C434" s="102">
        <v>2</v>
      </c>
      <c r="D434" s="106">
        <v>0.0004993919862542396</v>
      </c>
      <c r="E434" s="106">
        <v>2.065695590107851</v>
      </c>
      <c r="F434" s="102" t="s">
        <v>3369</v>
      </c>
      <c r="G434" s="102" t="b">
        <v>0</v>
      </c>
      <c r="H434" s="102" t="b">
        <v>0</v>
      </c>
      <c r="I434" s="102" t="b">
        <v>0</v>
      </c>
      <c r="J434" s="102" t="b">
        <v>0</v>
      </c>
      <c r="K434" s="102" t="b">
        <v>0</v>
      </c>
      <c r="L434" s="102" t="b">
        <v>0</v>
      </c>
    </row>
    <row r="435" spans="1:12" ht="15">
      <c r="A435" s="104" t="s">
        <v>2959</v>
      </c>
      <c r="B435" s="102" t="s">
        <v>2800</v>
      </c>
      <c r="C435" s="102">
        <v>2</v>
      </c>
      <c r="D435" s="106">
        <v>0.0004993919862542396</v>
      </c>
      <c r="E435" s="106">
        <v>3.4489123419591823</v>
      </c>
      <c r="F435" s="102" t="s">
        <v>3369</v>
      </c>
      <c r="G435" s="102" t="b">
        <v>0</v>
      </c>
      <c r="H435" s="102" t="b">
        <v>0</v>
      </c>
      <c r="I435" s="102" t="b">
        <v>0</v>
      </c>
      <c r="J435" s="102" t="b">
        <v>0</v>
      </c>
      <c r="K435" s="102" t="b">
        <v>0</v>
      </c>
      <c r="L435" s="102" t="b">
        <v>0</v>
      </c>
    </row>
    <row r="436" spans="1:12" ht="15">
      <c r="A436" s="104" t="s">
        <v>2800</v>
      </c>
      <c r="B436" s="102" t="s">
        <v>2700</v>
      </c>
      <c r="C436" s="102">
        <v>2</v>
      </c>
      <c r="D436" s="106">
        <v>0.0004993919862542396</v>
      </c>
      <c r="E436" s="106">
        <v>3.147882346295201</v>
      </c>
      <c r="F436" s="102" t="s">
        <v>3369</v>
      </c>
      <c r="G436" s="102" t="b">
        <v>0</v>
      </c>
      <c r="H436" s="102" t="b">
        <v>0</v>
      </c>
      <c r="I436" s="102" t="b">
        <v>0</v>
      </c>
      <c r="J436" s="102" t="b">
        <v>0</v>
      </c>
      <c r="K436" s="102" t="b">
        <v>0</v>
      </c>
      <c r="L436" s="102" t="b">
        <v>0</v>
      </c>
    </row>
    <row r="437" spans="1:12" ht="15">
      <c r="A437" s="104" t="s">
        <v>2961</v>
      </c>
      <c r="B437" s="102" t="s">
        <v>2406</v>
      </c>
      <c r="C437" s="102">
        <v>2</v>
      </c>
      <c r="D437" s="106">
        <v>0.0004993919862542396</v>
      </c>
      <c r="E437" s="106">
        <v>2.6472799957260156</v>
      </c>
      <c r="F437" s="102" t="s">
        <v>3369</v>
      </c>
      <c r="G437" s="102" t="b">
        <v>0</v>
      </c>
      <c r="H437" s="102" t="b">
        <v>0</v>
      </c>
      <c r="I437" s="102" t="b">
        <v>0</v>
      </c>
      <c r="J437" s="102" t="b">
        <v>0</v>
      </c>
      <c r="K437" s="102" t="b">
        <v>1</v>
      </c>
      <c r="L437" s="102" t="b">
        <v>0</v>
      </c>
    </row>
    <row r="438" spans="1:12" ht="15">
      <c r="A438" s="104" t="s">
        <v>2962</v>
      </c>
      <c r="B438" s="102" t="s">
        <v>2419</v>
      </c>
      <c r="C438" s="102">
        <v>2</v>
      </c>
      <c r="D438" s="106">
        <v>0.0005682933356852263</v>
      </c>
      <c r="E438" s="106">
        <v>2.7499423376231635</v>
      </c>
      <c r="F438" s="102" t="s">
        <v>3369</v>
      </c>
      <c r="G438" s="102" t="b">
        <v>0</v>
      </c>
      <c r="H438" s="102" t="b">
        <v>0</v>
      </c>
      <c r="I438" s="102" t="b">
        <v>0</v>
      </c>
      <c r="J438" s="102" t="b">
        <v>0</v>
      </c>
      <c r="K438" s="102" t="b">
        <v>0</v>
      </c>
      <c r="L438" s="102" t="b">
        <v>0</v>
      </c>
    </row>
    <row r="439" spans="1:12" ht="15">
      <c r="A439" s="104" t="s">
        <v>2803</v>
      </c>
      <c r="B439" s="102" t="s">
        <v>2702</v>
      </c>
      <c r="C439" s="102">
        <v>2</v>
      </c>
      <c r="D439" s="106">
        <v>0.0005682933356852263</v>
      </c>
      <c r="E439" s="106">
        <v>3.147882346295201</v>
      </c>
      <c r="F439" s="102" t="s">
        <v>3369</v>
      </c>
      <c r="G439" s="102" t="b">
        <v>0</v>
      </c>
      <c r="H439" s="102" t="b">
        <v>0</v>
      </c>
      <c r="I439" s="102" t="b">
        <v>0</v>
      </c>
      <c r="J439" s="102" t="b">
        <v>0</v>
      </c>
      <c r="K439" s="102" t="b">
        <v>0</v>
      </c>
      <c r="L439" s="102" t="b">
        <v>0</v>
      </c>
    </row>
    <row r="440" spans="1:12" ht="15">
      <c r="A440" s="104" t="s">
        <v>2702</v>
      </c>
      <c r="B440" s="102" t="s">
        <v>2963</v>
      </c>
      <c r="C440" s="102">
        <v>2</v>
      </c>
      <c r="D440" s="106">
        <v>0.0005682933356852263</v>
      </c>
      <c r="E440" s="106">
        <v>3.3239736053508824</v>
      </c>
      <c r="F440" s="102" t="s">
        <v>3369</v>
      </c>
      <c r="G440" s="102" t="b">
        <v>0</v>
      </c>
      <c r="H440" s="102" t="b">
        <v>0</v>
      </c>
      <c r="I440" s="102" t="b">
        <v>0</v>
      </c>
      <c r="J440" s="102" t="b">
        <v>0</v>
      </c>
      <c r="K440" s="102" t="b">
        <v>0</v>
      </c>
      <c r="L440" s="102" t="b">
        <v>0</v>
      </c>
    </row>
    <row r="441" spans="1:12" ht="15">
      <c r="A441" s="104" t="s">
        <v>2963</v>
      </c>
      <c r="B441" s="102" t="s">
        <v>2964</v>
      </c>
      <c r="C441" s="102">
        <v>2</v>
      </c>
      <c r="D441" s="106">
        <v>0.0005682933356852263</v>
      </c>
      <c r="E441" s="106">
        <v>3.6250036010148636</v>
      </c>
      <c r="F441" s="102" t="s">
        <v>3369</v>
      </c>
      <c r="G441" s="102" t="b">
        <v>0</v>
      </c>
      <c r="H441" s="102" t="b">
        <v>0</v>
      </c>
      <c r="I441" s="102" t="b">
        <v>0</v>
      </c>
      <c r="J441" s="102" t="b">
        <v>0</v>
      </c>
      <c r="K441" s="102" t="b">
        <v>0</v>
      </c>
      <c r="L441" s="102" t="b">
        <v>0</v>
      </c>
    </row>
    <row r="442" spans="1:12" ht="15">
      <c r="A442" s="104" t="s">
        <v>2587</v>
      </c>
      <c r="B442" s="102" t="s">
        <v>2588</v>
      </c>
      <c r="C442" s="102">
        <v>2</v>
      </c>
      <c r="D442" s="106">
        <v>0.0004993919862542396</v>
      </c>
      <c r="E442" s="106">
        <v>2.6707610915755384</v>
      </c>
      <c r="F442" s="102" t="s">
        <v>3369</v>
      </c>
      <c r="G442" s="102" t="b">
        <v>0</v>
      </c>
      <c r="H442" s="102" t="b">
        <v>0</v>
      </c>
      <c r="I442" s="102" t="b">
        <v>0</v>
      </c>
      <c r="J442" s="102" t="b">
        <v>0</v>
      </c>
      <c r="K442" s="102" t="b">
        <v>0</v>
      </c>
      <c r="L442" s="102" t="b">
        <v>0</v>
      </c>
    </row>
    <row r="443" spans="1:12" ht="15">
      <c r="A443" s="104" t="s">
        <v>2368</v>
      </c>
      <c r="B443" s="102" t="s">
        <v>2368</v>
      </c>
      <c r="C443" s="102">
        <v>2</v>
      </c>
      <c r="D443" s="106">
        <v>0.0005682933356852263</v>
      </c>
      <c r="E443" s="106">
        <v>1.090660144208836</v>
      </c>
      <c r="F443" s="102" t="s">
        <v>3369</v>
      </c>
      <c r="G443" s="102" t="b">
        <v>0</v>
      </c>
      <c r="H443" s="102" t="b">
        <v>0</v>
      </c>
      <c r="I443" s="102" t="b">
        <v>0</v>
      </c>
      <c r="J443" s="102" t="b">
        <v>0</v>
      </c>
      <c r="K443" s="102" t="b">
        <v>0</v>
      </c>
      <c r="L443" s="102" t="b">
        <v>0</v>
      </c>
    </row>
    <row r="444" spans="1:12" ht="15">
      <c r="A444" s="104" t="s">
        <v>2636</v>
      </c>
      <c r="B444" s="102" t="s">
        <v>2436</v>
      </c>
      <c r="C444" s="102">
        <v>2</v>
      </c>
      <c r="D444" s="106">
        <v>0.0005682933356852263</v>
      </c>
      <c r="E444" s="106">
        <v>2.381965552328569</v>
      </c>
      <c r="F444" s="102" t="s">
        <v>3369</v>
      </c>
      <c r="G444" s="102" t="b">
        <v>0</v>
      </c>
      <c r="H444" s="102" t="b">
        <v>0</v>
      </c>
      <c r="I444" s="102" t="b">
        <v>0</v>
      </c>
      <c r="J444" s="102" t="b">
        <v>0</v>
      </c>
      <c r="K444" s="102" t="b">
        <v>0</v>
      </c>
      <c r="L444" s="102" t="b">
        <v>0</v>
      </c>
    </row>
    <row r="445" spans="1:12" ht="15">
      <c r="A445" s="104" t="s">
        <v>2805</v>
      </c>
      <c r="B445" s="102" t="s">
        <v>2426</v>
      </c>
      <c r="C445" s="102">
        <v>2</v>
      </c>
      <c r="D445" s="106">
        <v>0.0005682933356852263</v>
      </c>
      <c r="E445" s="106">
        <v>2.573851078567482</v>
      </c>
      <c r="F445" s="102" t="s">
        <v>3369</v>
      </c>
      <c r="G445" s="102" t="b">
        <v>0</v>
      </c>
      <c r="H445" s="102" t="b">
        <v>0</v>
      </c>
      <c r="I445" s="102" t="b">
        <v>0</v>
      </c>
      <c r="J445" s="102" t="b">
        <v>0</v>
      </c>
      <c r="K445" s="102" t="b">
        <v>0</v>
      </c>
      <c r="L445" s="102" t="b">
        <v>0</v>
      </c>
    </row>
    <row r="446" spans="1:12" ht="15">
      <c r="A446" s="104" t="s">
        <v>2426</v>
      </c>
      <c r="B446" s="102" t="s">
        <v>2806</v>
      </c>
      <c r="C446" s="102">
        <v>2</v>
      </c>
      <c r="D446" s="106">
        <v>0.0005682933356852263</v>
      </c>
      <c r="E446" s="106">
        <v>2.6038143019449254</v>
      </c>
      <c r="F446" s="102" t="s">
        <v>3369</v>
      </c>
      <c r="G446" s="102" t="b">
        <v>0</v>
      </c>
      <c r="H446" s="102" t="b">
        <v>0</v>
      </c>
      <c r="I446" s="102" t="b">
        <v>0</v>
      </c>
      <c r="J446" s="102" t="b">
        <v>0</v>
      </c>
      <c r="K446" s="102" t="b">
        <v>0</v>
      </c>
      <c r="L446" s="102" t="b">
        <v>0</v>
      </c>
    </row>
    <row r="447" spans="1:12" ht="15">
      <c r="A447" s="104" t="s">
        <v>2437</v>
      </c>
      <c r="B447" s="102" t="s">
        <v>2436</v>
      </c>
      <c r="C447" s="102">
        <v>2</v>
      </c>
      <c r="D447" s="106">
        <v>0.0005682933356852263</v>
      </c>
      <c r="E447" s="106">
        <v>1.966992204357751</v>
      </c>
      <c r="F447" s="102" t="s">
        <v>3369</v>
      </c>
      <c r="G447" s="102" t="b">
        <v>0</v>
      </c>
      <c r="H447" s="102" t="b">
        <v>0</v>
      </c>
      <c r="I447" s="102" t="b">
        <v>0</v>
      </c>
      <c r="J447" s="102" t="b">
        <v>0</v>
      </c>
      <c r="K447" s="102" t="b">
        <v>0</v>
      </c>
      <c r="L447" s="102" t="b">
        <v>0</v>
      </c>
    </row>
    <row r="448" spans="1:12" ht="15">
      <c r="A448" s="104" t="s">
        <v>2419</v>
      </c>
      <c r="B448" s="102" t="s">
        <v>2966</v>
      </c>
      <c r="C448" s="102">
        <v>2</v>
      </c>
      <c r="D448" s="106">
        <v>0.0005682933356852263</v>
      </c>
      <c r="E448" s="106">
        <v>2.7499423376231635</v>
      </c>
      <c r="F448" s="102" t="s">
        <v>3369</v>
      </c>
      <c r="G448" s="102" t="b">
        <v>0</v>
      </c>
      <c r="H448" s="102" t="b">
        <v>0</v>
      </c>
      <c r="I448" s="102" t="b">
        <v>0</v>
      </c>
      <c r="J448" s="102" t="b">
        <v>0</v>
      </c>
      <c r="K448" s="102" t="b">
        <v>0</v>
      </c>
      <c r="L448" s="102" t="b">
        <v>0</v>
      </c>
    </row>
    <row r="449" spans="1:12" ht="15">
      <c r="A449" s="104" t="s">
        <v>2437</v>
      </c>
      <c r="B449" s="102" t="s">
        <v>2552</v>
      </c>
      <c r="C449" s="102">
        <v>2</v>
      </c>
      <c r="D449" s="106">
        <v>0.0005682933356852263</v>
      </c>
      <c r="E449" s="106">
        <v>2.2680222000217323</v>
      </c>
      <c r="F449" s="102" t="s">
        <v>3369</v>
      </c>
      <c r="G449" s="102" t="b">
        <v>0</v>
      </c>
      <c r="H449" s="102" t="b">
        <v>0</v>
      </c>
      <c r="I449" s="102" t="b">
        <v>0</v>
      </c>
      <c r="J449" s="102" t="b">
        <v>0</v>
      </c>
      <c r="K449" s="102" t="b">
        <v>0</v>
      </c>
      <c r="L449" s="102" t="b">
        <v>0</v>
      </c>
    </row>
    <row r="450" spans="1:12" ht="15">
      <c r="A450" s="104" t="s">
        <v>2552</v>
      </c>
      <c r="B450" s="102" t="s">
        <v>2552</v>
      </c>
      <c r="C450" s="102">
        <v>2</v>
      </c>
      <c r="D450" s="106">
        <v>0.0005682933356852263</v>
      </c>
      <c r="E450" s="106">
        <v>2.5368675123143123</v>
      </c>
      <c r="F450" s="102" t="s">
        <v>3369</v>
      </c>
      <c r="G450" s="102" t="b">
        <v>0</v>
      </c>
      <c r="H450" s="102" t="b">
        <v>0</v>
      </c>
      <c r="I450" s="102" t="b">
        <v>0</v>
      </c>
      <c r="J450" s="102" t="b">
        <v>0</v>
      </c>
      <c r="K450" s="102" t="b">
        <v>0</v>
      </c>
      <c r="L450" s="102" t="b">
        <v>0</v>
      </c>
    </row>
    <row r="451" spans="1:12" ht="15">
      <c r="A451" s="104" t="s">
        <v>2437</v>
      </c>
      <c r="B451" s="102" t="s">
        <v>2379</v>
      </c>
      <c r="C451" s="102">
        <v>2</v>
      </c>
      <c r="D451" s="106">
        <v>0.0005682933356852263</v>
      </c>
      <c r="E451" s="106">
        <v>1.66596220869377</v>
      </c>
      <c r="F451" s="102" t="s">
        <v>3369</v>
      </c>
      <c r="G451" s="102" t="b">
        <v>0</v>
      </c>
      <c r="H451" s="102" t="b">
        <v>0</v>
      </c>
      <c r="I451" s="102" t="b">
        <v>0</v>
      </c>
      <c r="J451" s="102" t="b">
        <v>0</v>
      </c>
      <c r="K451" s="102" t="b">
        <v>0</v>
      </c>
      <c r="L451" s="102" t="b">
        <v>0</v>
      </c>
    </row>
    <row r="452" spans="1:12" ht="15">
      <c r="A452" s="104" t="s">
        <v>2408</v>
      </c>
      <c r="B452" s="102" t="s">
        <v>2437</v>
      </c>
      <c r="C452" s="102">
        <v>2</v>
      </c>
      <c r="D452" s="106">
        <v>0.0005682933356852263</v>
      </c>
      <c r="E452" s="106">
        <v>1.8256630515612817</v>
      </c>
      <c r="F452" s="102" t="s">
        <v>3369</v>
      </c>
      <c r="G452" s="102" t="b">
        <v>0</v>
      </c>
      <c r="H452" s="102" t="b">
        <v>1</v>
      </c>
      <c r="I452" s="102" t="b">
        <v>0</v>
      </c>
      <c r="J452" s="102" t="b">
        <v>0</v>
      </c>
      <c r="K452" s="102" t="b">
        <v>0</v>
      </c>
      <c r="L452" s="102" t="b">
        <v>0</v>
      </c>
    </row>
    <row r="453" spans="1:12" ht="15">
      <c r="A453" s="104" t="s">
        <v>2349</v>
      </c>
      <c r="B453" s="102" t="s">
        <v>2437</v>
      </c>
      <c r="C453" s="102">
        <v>2</v>
      </c>
      <c r="D453" s="106">
        <v>0.0005682933356852263</v>
      </c>
      <c r="E453" s="106">
        <v>0.7545996957358365</v>
      </c>
      <c r="F453" s="102" t="s">
        <v>3369</v>
      </c>
      <c r="G453" s="102" t="b">
        <v>0</v>
      </c>
      <c r="H453" s="102" t="b">
        <v>0</v>
      </c>
      <c r="I453" s="102" t="b">
        <v>0</v>
      </c>
      <c r="J453" s="102" t="b">
        <v>0</v>
      </c>
      <c r="K453" s="102" t="b">
        <v>0</v>
      </c>
      <c r="L453" s="102" t="b">
        <v>0</v>
      </c>
    </row>
    <row r="454" spans="1:12" ht="15">
      <c r="A454" s="104" t="s">
        <v>2453</v>
      </c>
      <c r="B454" s="102" t="s">
        <v>2350</v>
      </c>
      <c r="C454" s="102">
        <v>2</v>
      </c>
      <c r="D454" s="106">
        <v>0.0004993919862542396</v>
      </c>
      <c r="E454" s="106">
        <v>0.8186540138743962</v>
      </c>
      <c r="F454" s="102" t="s">
        <v>3369</v>
      </c>
      <c r="G454" s="102" t="b">
        <v>0</v>
      </c>
      <c r="H454" s="102" t="b">
        <v>0</v>
      </c>
      <c r="I454" s="102" t="b">
        <v>0</v>
      </c>
      <c r="J454" s="102" t="b">
        <v>0</v>
      </c>
      <c r="K454" s="102" t="b">
        <v>0</v>
      </c>
      <c r="L454" s="102" t="b">
        <v>0</v>
      </c>
    </row>
    <row r="455" spans="1:12" ht="15">
      <c r="A455" s="104" t="s">
        <v>2355</v>
      </c>
      <c r="B455" s="102" t="s">
        <v>2409</v>
      </c>
      <c r="C455" s="102">
        <v>2</v>
      </c>
      <c r="D455" s="106">
        <v>0.0004993919862542396</v>
      </c>
      <c r="E455" s="106">
        <v>1.2257626593224076</v>
      </c>
      <c r="F455" s="102" t="s">
        <v>3369</v>
      </c>
      <c r="G455" s="102" t="b">
        <v>0</v>
      </c>
      <c r="H455" s="102" t="b">
        <v>0</v>
      </c>
      <c r="I455" s="102" t="b">
        <v>0</v>
      </c>
      <c r="J455" s="102" t="b">
        <v>0</v>
      </c>
      <c r="K455" s="102" t="b">
        <v>0</v>
      </c>
      <c r="L455" s="102" t="b">
        <v>0</v>
      </c>
    </row>
    <row r="456" spans="1:12" ht="15">
      <c r="A456" s="104" t="s">
        <v>2708</v>
      </c>
      <c r="B456" s="102" t="s">
        <v>2482</v>
      </c>
      <c r="C456" s="102">
        <v>2</v>
      </c>
      <c r="D456" s="106">
        <v>0.0005682933356852263</v>
      </c>
      <c r="E456" s="106">
        <v>2.6707610915755384</v>
      </c>
      <c r="F456" s="102" t="s">
        <v>3369</v>
      </c>
      <c r="G456" s="102" t="b">
        <v>0</v>
      </c>
      <c r="H456" s="102" t="b">
        <v>0</v>
      </c>
      <c r="I456" s="102" t="b">
        <v>0</v>
      </c>
      <c r="J456" s="102" t="b">
        <v>0</v>
      </c>
      <c r="K456" s="102" t="b">
        <v>1</v>
      </c>
      <c r="L456" s="102" t="b">
        <v>0</v>
      </c>
    </row>
    <row r="457" spans="1:12" ht="15">
      <c r="A457" s="104" t="s">
        <v>2427</v>
      </c>
      <c r="B457" s="102" t="s">
        <v>2483</v>
      </c>
      <c r="C457" s="102">
        <v>2</v>
      </c>
      <c r="D457" s="106">
        <v>0.0005682933356852263</v>
      </c>
      <c r="E457" s="106">
        <v>2.0967298238478196</v>
      </c>
      <c r="F457" s="102" t="s">
        <v>3369</v>
      </c>
      <c r="G457" s="102" t="b">
        <v>0</v>
      </c>
      <c r="H457" s="102" t="b">
        <v>0</v>
      </c>
      <c r="I457" s="102" t="b">
        <v>0</v>
      </c>
      <c r="J457" s="102" t="b">
        <v>0</v>
      </c>
      <c r="K457" s="102" t="b">
        <v>0</v>
      </c>
      <c r="L457" s="102" t="b">
        <v>0</v>
      </c>
    </row>
    <row r="458" spans="1:12" ht="15">
      <c r="A458" s="104" t="s">
        <v>2504</v>
      </c>
      <c r="B458" s="102" t="s">
        <v>2483</v>
      </c>
      <c r="C458" s="102">
        <v>2</v>
      </c>
      <c r="D458" s="106">
        <v>0.0005682933356852263</v>
      </c>
      <c r="E458" s="106">
        <v>2.318578573464176</v>
      </c>
      <c r="F458" s="102" t="s">
        <v>3369</v>
      </c>
      <c r="G458" s="102" t="b">
        <v>0</v>
      </c>
      <c r="H458" s="102" t="b">
        <v>0</v>
      </c>
      <c r="I458" s="102" t="b">
        <v>0</v>
      </c>
      <c r="J458" s="102" t="b">
        <v>0</v>
      </c>
      <c r="K458" s="102" t="b">
        <v>0</v>
      </c>
      <c r="L458" s="102" t="b">
        <v>0</v>
      </c>
    </row>
    <row r="459" spans="1:12" ht="15">
      <c r="A459" s="104" t="s">
        <v>2504</v>
      </c>
      <c r="B459" s="102" t="s">
        <v>2975</v>
      </c>
      <c r="C459" s="102">
        <v>2</v>
      </c>
      <c r="D459" s="106">
        <v>0.0005682933356852263</v>
      </c>
      <c r="E459" s="106">
        <v>2.9717910872395197</v>
      </c>
      <c r="F459" s="102" t="s">
        <v>3369</v>
      </c>
      <c r="G459" s="102" t="b">
        <v>0</v>
      </c>
      <c r="H459" s="102" t="b">
        <v>0</v>
      </c>
      <c r="I459" s="102" t="b">
        <v>0</v>
      </c>
      <c r="J459" s="102" t="b">
        <v>0</v>
      </c>
      <c r="K459" s="102" t="b">
        <v>0</v>
      </c>
      <c r="L459" s="102" t="b">
        <v>0</v>
      </c>
    </row>
    <row r="460" spans="1:12" ht="15">
      <c r="A460" s="104" t="s">
        <v>2504</v>
      </c>
      <c r="B460" s="102" t="s">
        <v>2427</v>
      </c>
      <c r="C460" s="102">
        <v>2</v>
      </c>
      <c r="D460" s="106">
        <v>0.0005682933356852263</v>
      </c>
      <c r="E460" s="106">
        <v>2.0967298238478196</v>
      </c>
      <c r="F460" s="102" t="s">
        <v>3369</v>
      </c>
      <c r="G460" s="102" t="b">
        <v>0</v>
      </c>
      <c r="H460" s="102" t="b">
        <v>0</v>
      </c>
      <c r="I460" s="102" t="b">
        <v>0</v>
      </c>
      <c r="J460" s="102" t="b">
        <v>0</v>
      </c>
      <c r="K460" s="102" t="b">
        <v>0</v>
      </c>
      <c r="L460" s="102" t="b">
        <v>0</v>
      </c>
    </row>
    <row r="461" spans="1:12" ht="15">
      <c r="A461" s="104" t="s">
        <v>2641</v>
      </c>
      <c r="B461" s="102" t="s">
        <v>2439</v>
      </c>
      <c r="C461" s="102">
        <v>2</v>
      </c>
      <c r="D461" s="106">
        <v>0.0005682933356852263</v>
      </c>
      <c r="E461" s="106">
        <v>2.381965552328569</v>
      </c>
      <c r="F461" s="102" t="s">
        <v>3369</v>
      </c>
      <c r="G461" s="102" t="b">
        <v>0</v>
      </c>
      <c r="H461" s="102" t="b">
        <v>0</v>
      </c>
      <c r="I461" s="102" t="b">
        <v>0</v>
      </c>
      <c r="J461" s="102" t="b">
        <v>0</v>
      </c>
      <c r="K461" s="102" t="b">
        <v>0</v>
      </c>
      <c r="L461" s="102" t="b">
        <v>0</v>
      </c>
    </row>
    <row r="462" spans="1:12" ht="15">
      <c r="A462" s="104" t="s">
        <v>2439</v>
      </c>
      <c r="B462" s="102" t="s">
        <v>2505</v>
      </c>
      <c r="C462" s="102">
        <v>2</v>
      </c>
      <c r="D462" s="106">
        <v>0.0005682933356852263</v>
      </c>
      <c r="E462" s="106">
        <v>2.1266930472252628</v>
      </c>
      <c r="F462" s="102" t="s">
        <v>3369</v>
      </c>
      <c r="G462" s="102" t="b">
        <v>0</v>
      </c>
      <c r="H462" s="102" t="b">
        <v>0</v>
      </c>
      <c r="I462" s="102" t="b">
        <v>0</v>
      </c>
      <c r="J462" s="102" t="b">
        <v>0</v>
      </c>
      <c r="K462" s="102" t="b">
        <v>0</v>
      </c>
      <c r="L462" s="102" t="b">
        <v>0</v>
      </c>
    </row>
    <row r="463" spans="1:12" ht="15">
      <c r="A463" s="104" t="s">
        <v>2439</v>
      </c>
      <c r="B463" s="102" t="s">
        <v>2428</v>
      </c>
      <c r="C463" s="102">
        <v>2</v>
      </c>
      <c r="D463" s="106">
        <v>0.0005682933356852263</v>
      </c>
      <c r="E463" s="106">
        <v>1.9048442976089066</v>
      </c>
      <c r="F463" s="102" t="s">
        <v>3369</v>
      </c>
      <c r="G463" s="102" t="b">
        <v>0</v>
      </c>
      <c r="H463" s="102" t="b">
        <v>0</v>
      </c>
      <c r="I463" s="102" t="b">
        <v>0</v>
      </c>
      <c r="J463" s="102" t="b">
        <v>0</v>
      </c>
      <c r="K463" s="102" t="b">
        <v>0</v>
      </c>
      <c r="L463" s="102" t="b">
        <v>0</v>
      </c>
    </row>
    <row r="464" spans="1:12" ht="15">
      <c r="A464" s="104" t="s">
        <v>2710</v>
      </c>
      <c r="B464" s="102" t="s">
        <v>2505</v>
      </c>
      <c r="C464" s="102">
        <v>2</v>
      </c>
      <c r="D464" s="106">
        <v>0.0005682933356852263</v>
      </c>
      <c r="E464" s="106">
        <v>2.6707610915755384</v>
      </c>
      <c r="F464" s="102" t="s">
        <v>3369</v>
      </c>
      <c r="G464" s="102" t="b">
        <v>0</v>
      </c>
      <c r="H464" s="102" t="b">
        <v>0</v>
      </c>
      <c r="I464" s="102" t="b">
        <v>0</v>
      </c>
      <c r="J464" s="102" t="b">
        <v>0</v>
      </c>
      <c r="K464" s="102" t="b">
        <v>0</v>
      </c>
      <c r="L464" s="102" t="b">
        <v>0</v>
      </c>
    </row>
    <row r="465" spans="1:12" ht="15">
      <c r="A465" s="104" t="s">
        <v>2439</v>
      </c>
      <c r="B465" s="102" t="s">
        <v>2710</v>
      </c>
      <c r="C465" s="102">
        <v>2</v>
      </c>
      <c r="D465" s="106">
        <v>0.0005682933356852263</v>
      </c>
      <c r="E465" s="106">
        <v>2.4788755653366255</v>
      </c>
      <c r="F465" s="102" t="s">
        <v>3369</v>
      </c>
      <c r="G465" s="102" t="b">
        <v>0</v>
      </c>
      <c r="H465" s="102" t="b">
        <v>0</v>
      </c>
      <c r="I465" s="102" t="b">
        <v>0</v>
      </c>
      <c r="J465" s="102" t="b">
        <v>0</v>
      </c>
      <c r="K465" s="102" t="b">
        <v>0</v>
      </c>
      <c r="L465" s="102" t="b">
        <v>0</v>
      </c>
    </row>
    <row r="466" spans="1:12" ht="15">
      <c r="A466" s="104" t="s">
        <v>2461</v>
      </c>
      <c r="B466" s="102" t="s">
        <v>2414</v>
      </c>
      <c r="C466" s="102">
        <v>2</v>
      </c>
      <c r="D466" s="106">
        <v>0.0004993919862542396</v>
      </c>
      <c r="E466" s="106">
        <v>2.001754310616963</v>
      </c>
      <c r="F466" s="102" t="s">
        <v>3369</v>
      </c>
      <c r="G466" s="102" t="b">
        <v>0</v>
      </c>
      <c r="H466" s="102" t="b">
        <v>0</v>
      </c>
      <c r="I466" s="102" t="b">
        <v>0</v>
      </c>
      <c r="J466" s="102" t="b">
        <v>0</v>
      </c>
      <c r="K466" s="102" t="b">
        <v>0</v>
      </c>
      <c r="L466" s="102" t="b">
        <v>0</v>
      </c>
    </row>
    <row r="467" spans="1:12" ht="15">
      <c r="A467" s="104" t="s">
        <v>2814</v>
      </c>
      <c r="B467" s="102" t="s">
        <v>2980</v>
      </c>
      <c r="C467" s="102">
        <v>2</v>
      </c>
      <c r="D467" s="106">
        <v>0.0005682933356852263</v>
      </c>
      <c r="E467" s="106">
        <v>3.4489123419591823</v>
      </c>
      <c r="F467" s="102" t="s">
        <v>3369</v>
      </c>
      <c r="G467" s="102" t="b">
        <v>0</v>
      </c>
      <c r="H467" s="102" t="b">
        <v>0</v>
      </c>
      <c r="I467" s="102" t="b">
        <v>0</v>
      </c>
      <c r="J467" s="102" t="b">
        <v>0</v>
      </c>
      <c r="K467" s="102" t="b">
        <v>0</v>
      </c>
      <c r="L467" s="102" t="b">
        <v>0</v>
      </c>
    </row>
    <row r="468" spans="1:12" ht="15">
      <c r="A468" s="104" t="s">
        <v>2366</v>
      </c>
      <c r="B468" s="102" t="s">
        <v>2380</v>
      </c>
      <c r="C468" s="102">
        <v>2</v>
      </c>
      <c r="D468" s="106">
        <v>0.0005682933356852263</v>
      </c>
      <c r="E468" s="106">
        <v>1.1414163040459693</v>
      </c>
      <c r="F468" s="102" t="s">
        <v>3369</v>
      </c>
      <c r="G468" s="102" t="b">
        <v>0</v>
      </c>
      <c r="H468" s="102" t="b">
        <v>0</v>
      </c>
      <c r="I468" s="102" t="b">
        <v>0</v>
      </c>
      <c r="J468" s="102" t="b">
        <v>0</v>
      </c>
      <c r="K468" s="102" t="b">
        <v>0</v>
      </c>
      <c r="L468" s="102" t="b">
        <v>0</v>
      </c>
    </row>
    <row r="469" spans="1:12" ht="15">
      <c r="A469" s="104" t="s">
        <v>2472</v>
      </c>
      <c r="B469" s="102" t="s">
        <v>2366</v>
      </c>
      <c r="C469" s="102">
        <v>2</v>
      </c>
      <c r="D469" s="106">
        <v>0.0005682933356852263</v>
      </c>
      <c r="E469" s="106">
        <v>1.5728870504648653</v>
      </c>
      <c r="F469" s="102" t="s">
        <v>3369</v>
      </c>
      <c r="G469" s="102" t="b">
        <v>0</v>
      </c>
      <c r="H469" s="102" t="b">
        <v>0</v>
      </c>
      <c r="I469" s="102" t="b">
        <v>0</v>
      </c>
      <c r="J469" s="102" t="b">
        <v>0</v>
      </c>
      <c r="K469" s="102" t="b">
        <v>0</v>
      </c>
      <c r="L469" s="102" t="b">
        <v>0</v>
      </c>
    </row>
    <row r="470" spans="1:12" ht="15">
      <c r="A470" s="104" t="s">
        <v>2366</v>
      </c>
      <c r="B470" s="102" t="s">
        <v>2472</v>
      </c>
      <c r="C470" s="102">
        <v>2</v>
      </c>
      <c r="D470" s="106">
        <v>0.0005682933356852263</v>
      </c>
      <c r="E470" s="106">
        <v>1.5624216167867004</v>
      </c>
      <c r="F470" s="102" t="s">
        <v>3369</v>
      </c>
      <c r="G470" s="102" t="b">
        <v>0</v>
      </c>
      <c r="H470" s="102" t="b">
        <v>0</v>
      </c>
      <c r="I470" s="102" t="b">
        <v>0</v>
      </c>
      <c r="J470" s="102" t="b">
        <v>0</v>
      </c>
      <c r="K470" s="102" t="b">
        <v>0</v>
      </c>
      <c r="L470" s="102" t="b">
        <v>0</v>
      </c>
    </row>
    <row r="471" spans="1:12" ht="15">
      <c r="A471" s="104" t="s">
        <v>2357</v>
      </c>
      <c r="B471" s="102" t="s">
        <v>2380</v>
      </c>
      <c r="C471" s="102">
        <v>2</v>
      </c>
      <c r="D471" s="106">
        <v>0.0005682933356852263</v>
      </c>
      <c r="E471" s="106">
        <v>0.9793357594331027</v>
      </c>
      <c r="F471" s="102" t="s">
        <v>3369</v>
      </c>
      <c r="G471" s="102" t="b">
        <v>0</v>
      </c>
      <c r="H471" s="102" t="b">
        <v>0</v>
      </c>
      <c r="I471" s="102" t="b">
        <v>0</v>
      </c>
      <c r="J471" s="102" t="b">
        <v>0</v>
      </c>
      <c r="K471" s="102" t="b">
        <v>0</v>
      </c>
      <c r="L471" s="102" t="b">
        <v>0</v>
      </c>
    </row>
    <row r="472" spans="1:12" ht="15">
      <c r="A472" s="104" t="s">
        <v>2642</v>
      </c>
      <c r="B472" s="102" t="s">
        <v>2366</v>
      </c>
      <c r="C472" s="102">
        <v>2</v>
      </c>
      <c r="D472" s="106">
        <v>0.0005682933356852263</v>
      </c>
      <c r="E472" s="106">
        <v>1.9153097312870715</v>
      </c>
      <c r="F472" s="102" t="s">
        <v>3369</v>
      </c>
      <c r="G472" s="102" t="b">
        <v>0</v>
      </c>
      <c r="H472" s="102" t="b">
        <v>0</v>
      </c>
      <c r="I472" s="102" t="b">
        <v>0</v>
      </c>
      <c r="J472" s="102" t="b">
        <v>0</v>
      </c>
      <c r="K472" s="102" t="b">
        <v>0</v>
      </c>
      <c r="L472" s="102" t="b">
        <v>0</v>
      </c>
    </row>
    <row r="473" spans="1:12" ht="15">
      <c r="A473" s="104" t="s">
        <v>2360</v>
      </c>
      <c r="B473" s="102" t="s">
        <v>2357</v>
      </c>
      <c r="C473" s="102">
        <v>2</v>
      </c>
      <c r="D473" s="106">
        <v>0.0004993919862542396</v>
      </c>
      <c r="E473" s="106">
        <v>0.7982810808458715</v>
      </c>
      <c r="F473" s="102" t="s">
        <v>3369</v>
      </c>
      <c r="G473" s="102" t="b">
        <v>0</v>
      </c>
      <c r="H473" s="102" t="b">
        <v>1</v>
      </c>
      <c r="I473" s="102" t="b">
        <v>0</v>
      </c>
      <c r="J473" s="102" t="b">
        <v>0</v>
      </c>
      <c r="K473" s="102" t="b">
        <v>0</v>
      </c>
      <c r="L473" s="102" t="b">
        <v>0</v>
      </c>
    </row>
    <row r="474" spans="1:12" ht="15">
      <c r="A474" s="104" t="s">
        <v>2360</v>
      </c>
      <c r="B474" s="102" t="s">
        <v>2452</v>
      </c>
      <c r="C474" s="102">
        <v>2</v>
      </c>
      <c r="D474" s="106">
        <v>0.0005682933356852263</v>
      </c>
      <c r="E474" s="106">
        <v>1.4696675635498015</v>
      </c>
      <c r="F474" s="102" t="s">
        <v>3369</v>
      </c>
      <c r="G474" s="102" t="b">
        <v>0</v>
      </c>
      <c r="H474" s="102" t="b">
        <v>1</v>
      </c>
      <c r="I474" s="102" t="b">
        <v>0</v>
      </c>
      <c r="J474" s="102" t="b">
        <v>0</v>
      </c>
      <c r="K474" s="102" t="b">
        <v>0</v>
      </c>
      <c r="L474" s="102" t="b">
        <v>0</v>
      </c>
    </row>
    <row r="475" spans="1:12" ht="15">
      <c r="A475" s="104" t="s">
        <v>2360</v>
      </c>
      <c r="B475" s="102" t="s">
        <v>2594</v>
      </c>
      <c r="C475" s="102">
        <v>2</v>
      </c>
      <c r="D475" s="106">
        <v>0.0004993919862542396</v>
      </c>
      <c r="E475" s="106">
        <v>1.8054596654729949</v>
      </c>
      <c r="F475" s="102" t="s">
        <v>3369</v>
      </c>
      <c r="G475" s="102" t="b">
        <v>0</v>
      </c>
      <c r="H475" s="102" t="b">
        <v>1</v>
      </c>
      <c r="I475" s="102" t="b">
        <v>0</v>
      </c>
      <c r="J475" s="102" t="b">
        <v>0</v>
      </c>
      <c r="K475" s="102" t="b">
        <v>0</v>
      </c>
      <c r="L475" s="102" t="b">
        <v>0</v>
      </c>
    </row>
    <row r="476" spans="1:12" ht="15">
      <c r="A476" s="104" t="s">
        <v>2525</v>
      </c>
      <c r="B476" s="102" t="s">
        <v>2556</v>
      </c>
      <c r="C476" s="102">
        <v>2</v>
      </c>
      <c r="D476" s="106">
        <v>0.0005682933356852263</v>
      </c>
      <c r="E476" s="106">
        <v>2.6038143019449254</v>
      </c>
      <c r="F476" s="102" t="s">
        <v>3369</v>
      </c>
      <c r="G476" s="102" t="b">
        <v>0</v>
      </c>
      <c r="H476" s="102" t="b">
        <v>0</v>
      </c>
      <c r="I476" s="102" t="b">
        <v>0</v>
      </c>
      <c r="J476" s="102" t="b">
        <v>0</v>
      </c>
      <c r="K476" s="102" t="b">
        <v>0</v>
      </c>
      <c r="L476" s="102" t="b">
        <v>0</v>
      </c>
    </row>
    <row r="477" spans="1:12" ht="15">
      <c r="A477" s="104" t="s">
        <v>2507</v>
      </c>
      <c r="B477" s="102" t="s">
        <v>2525</v>
      </c>
      <c r="C477" s="102">
        <v>2</v>
      </c>
      <c r="D477" s="106">
        <v>0.0005682933356852263</v>
      </c>
      <c r="E477" s="106">
        <v>2.369731095911557</v>
      </c>
      <c r="F477" s="102" t="s">
        <v>3369</v>
      </c>
      <c r="G477" s="102" t="b">
        <v>0</v>
      </c>
      <c r="H477" s="102" t="b">
        <v>0</v>
      </c>
      <c r="I477" s="102" t="b">
        <v>0</v>
      </c>
      <c r="J477" s="102" t="b">
        <v>0</v>
      </c>
      <c r="K477" s="102" t="b">
        <v>0</v>
      </c>
      <c r="L477" s="102" t="b">
        <v>0</v>
      </c>
    </row>
    <row r="478" spans="1:12" ht="15">
      <c r="A478" s="104" t="s">
        <v>2395</v>
      </c>
      <c r="B478" s="102" t="s">
        <v>2391</v>
      </c>
      <c r="C478" s="102">
        <v>2</v>
      </c>
      <c r="D478" s="106">
        <v>0.0004993919862542396</v>
      </c>
      <c r="E478" s="106">
        <v>1.5431164615913138</v>
      </c>
      <c r="F478" s="102" t="s">
        <v>3369</v>
      </c>
      <c r="G478" s="102" t="b">
        <v>0</v>
      </c>
      <c r="H478" s="102" t="b">
        <v>0</v>
      </c>
      <c r="I478" s="102" t="b">
        <v>0</v>
      </c>
      <c r="J478" s="102" t="b">
        <v>0</v>
      </c>
      <c r="K478" s="102" t="b">
        <v>0</v>
      </c>
      <c r="L478" s="102" t="b">
        <v>0</v>
      </c>
    </row>
    <row r="479" spans="1:12" ht="15">
      <c r="A479" s="104" t="s">
        <v>2462</v>
      </c>
      <c r="B479" s="102" t="s">
        <v>2989</v>
      </c>
      <c r="C479" s="102">
        <v>2</v>
      </c>
      <c r="D479" s="106">
        <v>0.0005682933356852263</v>
      </c>
      <c r="E479" s="106">
        <v>2.8468523506312198</v>
      </c>
      <c r="F479" s="102" t="s">
        <v>3369</v>
      </c>
      <c r="G479" s="102" t="b">
        <v>0</v>
      </c>
      <c r="H479" s="102" t="b">
        <v>0</v>
      </c>
      <c r="I479" s="102" t="b">
        <v>0</v>
      </c>
      <c r="J479" s="102" t="b">
        <v>0</v>
      </c>
      <c r="K479" s="102" t="b">
        <v>0</v>
      </c>
      <c r="L479" s="102" t="b">
        <v>0</v>
      </c>
    </row>
    <row r="480" spans="1:12" ht="15">
      <c r="A480" s="104" t="s">
        <v>2991</v>
      </c>
      <c r="B480" s="102" t="s">
        <v>2992</v>
      </c>
      <c r="C480" s="102">
        <v>2</v>
      </c>
      <c r="D480" s="106">
        <v>0.0004993919862542396</v>
      </c>
      <c r="E480" s="106">
        <v>3.6250036010148636</v>
      </c>
      <c r="F480" s="102" t="s">
        <v>3369</v>
      </c>
      <c r="G480" s="102" t="b">
        <v>0</v>
      </c>
      <c r="H480" s="102" t="b">
        <v>0</v>
      </c>
      <c r="I480" s="102" t="b">
        <v>0</v>
      </c>
      <c r="J480" s="102" t="b">
        <v>0</v>
      </c>
      <c r="K480" s="102" t="b">
        <v>0</v>
      </c>
      <c r="L480" s="102" t="b">
        <v>0</v>
      </c>
    </row>
    <row r="481" spans="1:12" ht="15">
      <c r="A481" s="104" t="s">
        <v>2996</v>
      </c>
      <c r="B481" s="102" t="s">
        <v>2997</v>
      </c>
      <c r="C481" s="102">
        <v>2</v>
      </c>
      <c r="D481" s="106">
        <v>0.0005682933356852263</v>
      </c>
      <c r="E481" s="106">
        <v>3.6250036010148636</v>
      </c>
      <c r="F481" s="102" t="s">
        <v>3369</v>
      </c>
      <c r="G481" s="102" t="b">
        <v>0</v>
      </c>
      <c r="H481" s="102" t="b">
        <v>0</v>
      </c>
      <c r="I481" s="102" t="b">
        <v>0</v>
      </c>
      <c r="J481" s="102" t="b">
        <v>0</v>
      </c>
      <c r="K481" s="102" t="b">
        <v>0</v>
      </c>
      <c r="L481" s="102" t="b">
        <v>0</v>
      </c>
    </row>
    <row r="482" spans="1:12" ht="15">
      <c r="A482" s="104" t="s">
        <v>2647</v>
      </c>
      <c r="B482" s="102" t="s">
        <v>2824</v>
      </c>
      <c r="C482" s="102">
        <v>2</v>
      </c>
      <c r="D482" s="106">
        <v>0.0004993919862542396</v>
      </c>
      <c r="E482" s="106">
        <v>3.050972333287145</v>
      </c>
      <c r="F482" s="102" t="s">
        <v>3369</v>
      </c>
      <c r="G482" s="102" t="b">
        <v>0</v>
      </c>
      <c r="H482" s="102" t="b">
        <v>0</v>
      </c>
      <c r="I482" s="102" t="b">
        <v>0</v>
      </c>
      <c r="J482" s="102" t="b">
        <v>0</v>
      </c>
      <c r="K482" s="102" t="b">
        <v>0</v>
      </c>
      <c r="L482" s="102" t="b">
        <v>0</v>
      </c>
    </row>
    <row r="483" spans="1:12" ht="15">
      <c r="A483" s="104" t="s">
        <v>2395</v>
      </c>
      <c r="B483" s="102" t="s">
        <v>2557</v>
      </c>
      <c r="C483" s="102">
        <v>2</v>
      </c>
      <c r="D483" s="106">
        <v>0.0004993919862542396</v>
      </c>
      <c r="E483" s="106">
        <v>2.0597462575946497</v>
      </c>
      <c r="F483" s="102" t="s">
        <v>3369</v>
      </c>
      <c r="G483" s="102" t="b">
        <v>0</v>
      </c>
      <c r="H483" s="102" t="b">
        <v>0</v>
      </c>
      <c r="I483" s="102" t="b">
        <v>0</v>
      </c>
      <c r="J483" s="102" t="b">
        <v>0</v>
      </c>
      <c r="K483" s="102" t="b">
        <v>0</v>
      </c>
      <c r="L483" s="102" t="b">
        <v>0</v>
      </c>
    </row>
    <row r="484" spans="1:12" ht="15">
      <c r="A484" s="104" t="s">
        <v>3004</v>
      </c>
      <c r="B484" s="102" t="s">
        <v>3005</v>
      </c>
      <c r="C484" s="102">
        <v>2</v>
      </c>
      <c r="D484" s="106">
        <v>0.0005682933356852263</v>
      </c>
      <c r="E484" s="106">
        <v>3.6250036010148636</v>
      </c>
      <c r="F484" s="102" t="s">
        <v>3369</v>
      </c>
      <c r="G484" s="102" t="b">
        <v>0</v>
      </c>
      <c r="H484" s="102" t="b">
        <v>0</v>
      </c>
      <c r="I484" s="102" t="b">
        <v>0</v>
      </c>
      <c r="J484" s="102" t="b">
        <v>0</v>
      </c>
      <c r="K484" s="102" t="b">
        <v>0</v>
      </c>
      <c r="L484" s="102" t="b">
        <v>0</v>
      </c>
    </row>
    <row r="485" spans="1:12" ht="15">
      <c r="A485" s="104" t="s">
        <v>2722</v>
      </c>
      <c r="B485" s="102" t="s">
        <v>2415</v>
      </c>
      <c r="C485" s="102">
        <v>2</v>
      </c>
      <c r="D485" s="106">
        <v>0.0004993919862542396</v>
      </c>
      <c r="E485" s="106">
        <v>2.3945546796365895</v>
      </c>
      <c r="F485" s="102" t="s">
        <v>3369</v>
      </c>
      <c r="G485" s="102" t="b">
        <v>0</v>
      </c>
      <c r="H485" s="102" t="b">
        <v>0</v>
      </c>
      <c r="I485" s="102" t="b">
        <v>0</v>
      </c>
      <c r="J485" s="102" t="b">
        <v>0</v>
      </c>
      <c r="K485" s="102" t="b">
        <v>0</v>
      </c>
      <c r="L485" s="102" t="b">
        <v>0</v>
      </c>
    </row>
    <row r="486" spans="1:12" ht="15">
      <c r="A486" s="104" t="s">
        <v>2369</v>
      </c>
      <c r="B486" s="102" t="s">
        <v>2552</v>
      </c>
      <c r="C486" s="102">
        <v>2</v>
      </c>
      <c r="D486" s="106">
        <v>0.0004993919862542396</v>
      </c>
      <c r="E486" s="106">
        <v>1.8378975079782935</v>
      </c>
      <c r="F486" s="102" t="s">
        <v>3369</v>
      </c>
      <c r="G486" s="102" t="b">
        <v>0</v>
      </c>
      <c r="H486" s="102" t="b">
        <v>0</v>
      </c>
      <c r="I486" s="102" t="b">
        <v>0</v>
      </c>
      <c r="J486" s="102" t="b">
        <v>0</v>
      </c>
      <c r="K486" s="102" t="b">
        <v>0</v>
      </c>
      <c r="L486" s="102" t="b">
        <v>0</v>
      </c>
    </row>
    <row r="487" spans="1:12" ht="15">
      <c r="A487" s="104" t="s">
        <v>2462</v>
      </c>
      <c r="B487" s="102" t="s">
        <v>2718</v>
      </c>
      <c r="C487" s="102">
        <v>2</v>
      </c>
      <c r="D487" s="106">
        <v>0.0004993919862542396</v>
      </c>
      <c r="E487" s="106">
        <v>2.5458223549672385</v>
      </c>
      <c r="F487" s="102" t="s">
        <v>3369</v>
      </c>
      <c r="G487" s="102" t="b">
        <v>0</v>
      </c>
      <c r="H487" s="102" t="b">
        <v>0</v>
      </c>
      <c r="I487" s="102" t="b">
        <v>0</v>
      </c>
      <c r="J487" s="102" t="b">
        <v>1</v>
      </c>
      <c r="K487" s="102" t="b">
        <v>0</v>
      </c>
      <c r="L487" s="102" t="b">
        <v>0</v>
      </c>
    </row>
    <row r="488" spans="1:12" ht="15">
      <c r="A488" s="104" t="s">
        <v>2523</v>
      </c>
      <c r="B488" s="102" t="s">
        <v>2350</v>
      </c>
      <c r="C488" s="102">
        <v>2</v>
      </c>
      <c r="D488" s="106">
        <v>0.0004993919862542396</v>
      </c>
      <c r="E488" s="106">
        <v>1.0295073791892893</v>
      </c>
      <c r="F488" s="102" t="s">
        <v>3369</v>
      </c>
      <c r="G488" s="102" t="b">
        <v>0</v>
      </c>
      <c r="H488" s="102" t="b">
        <v>0</v>
      </c>
      <c r="I488" s="102" t="b">
        <v>0</v>
      </c>
      <c r="J488" s="102" t="b">
        <v>0</v>
      </c>
      <c r="K488" s="102" t="b">
        <v>0</v>
      </c>
      <c r="L488" s="102" t="b">
        <v>0</v>
      </c>
    </row>
    <row r="489" spans="1:12" ht="15">
      <c r="A489" s="104" t="s">
        <v>2350</v>
      </c>
      <c r="B489" s="102" t="s">
        <v>2726</v>
      </c>
      <c r="C489" s="102">
        <v>2</v>
      </c>
      <c r="D489" s="106">
        <v>0.0004993919862542396</v>
      </c>
      <c r="E489" s="106">
        <v>1.3305373748532705</v>
      </c>
      <c r="F489" s="102" t="s">
        <v>3369</v>
      </c>
      <c r="G489" s="102" t="b">
        <v>0</v>
      </c>
      <c r="H489" s="102" t="b">
        <v>0</v>
      </c>
      <c r="I489" s="102" t="b">
        <v>0</v>
      </c>
      <c r="J489" s="102" t="b">
        <v>0</v>
      </c>
      <c r="K489" s="102" t="b">
        <v>0</v>
      </c>
      <c r="L489" s="102" t="b">
        <v>0</v>
      </c>
    </row>
    <row r="490" spans="1:12" ht="15">
      <c r="A490" s="104" t="s">
        <v>3014</v>
      </c>
      <c r="B490" s="102" t="s">
        <v>2369</v>
      </c>
      <c r="C490" s="102">
        <v>2</v>
      </c>
      <c r="D490" s="106">
        <v>0.0004993919862542396</v>
      </c>
      <c r="E490" s="106">
        <v>2.3578318726118495</v>
      </c>
      <c r="F490" s="102" t="s">
        <v>3369</v>
      </c>
      <c r="G490" s="102" t="b">
        <v>0</v>
      </c>
      <c r="H490" s="102" t="b">
        <v>0</v>
      </c>
      <c r="I490" s="102" t="b">
        <v>0</v>
      </c>
      <c r="J490" s="102" t="b">
        <v>0</v>
      </c>
      <c r="K490" s="102" t="b">
        <v>0</v>
      </c>
      <c r="L490" s="102" t="b">
        <v>0</v>
      </c>
    </row>
    <row r="491" spans="1:12" ht="15">
      <c r="A491" s="104" t="s">
        <v>2727</v>
      </c>
      <c r="B491" s="102" t="s">
        <v>3021</v>
      </c>
      <c r="C491" s="102">
        <v>2</v>
      </c>
      <c r="D491" s="106">
        <v>0.0005682933356852263</v>
      </c>
      <c r="E491" s="106">
        <v>3.3239736053508824</v>
      </c>
      <c r="F491" s="102" t="s">
        <v>3369</v>
      </c>
      <c r="G491" s="102" t="b">
        <v>0</v>
      </c>
      <c r="H491" s="102" t="b">
        <v>0</v>
      </c>
      <c r="I491" s="102" t="b">
        <v>0</v>
      </c>
      <c r="J491" s="102" t="b">
        <v>0</v>
      </c>
      <c r="K491" s="102" t="b">
        <v>0</v>
      </c>
      <c r="L491" s="102" t="b">
        <v>0</v>
      </c>
    </row>
    <row r="492" spans="1:12" ht="15">
      <c r="A492" s="104" t="s">
        <v>2530</v>
      </c>
      <c r="B492" s="102" t="s">
        <v>2562</v>
      </c>
      <c r="C492" s="102">
        <v>2</v>
      </c>
      <c r="D492" s="106">
        <v>0.0004993919862542396</v>
      </c>
      <c r="E492" s="106">
        <v>2.4788755653366255</v>
      </c>
      <c r="F492" s="102" t="s">
        <v>3369</v>
      </c>
      <c r="G492" s="102" t="b">
        <v>0</v>
      </c>
      <c r="H492" s="102" t="b">
        <v>0</v>
      </c>
      <c r="I492" s="102" t="b">
        <v>0</v>
      </c>
      <c r="J492" s="102" t="b">
        <v>0</v>
      </c>
      <c r="K492" s="102" t="b">
        <v>0</v>
      </c>
      <c r="L492" s="102" t="b">
        <v>0</v>
      </c>
    </row>
    <row r="493" spans="1:12" ht="15">
      <c r="A493" s="104" t="s">
        <v>2653</v>
      </c>
      <c r="B493" s="102" t="s">
        <v>2653</v>
      </c>
      <c r="C493" s="102">
        <v>2</v>
      </c>
      <c r="D493" s="106">
        <v>0.0005682933356852263</v>
      </c>
      <c r="E493" s="106">
        <v>2.829123583670788</v>
      </c>
      <c r="F493" s="102" t="s">
        <v>3369</v>
      </c>
      <c r="G493" s="102" t="b">
        <v>0</v>
      </c>
      <c r="H493" s="102" t="b">
        <v>0</v>
      </c>
      <c r="I493" s="102" t="b">
        <v>0</v>
      </c>
      <c r="J493" s="102" t="b">
        <v>0</v>
      </c>
      <c r="K493" s="102" t="b">
        <v>0</v>
      </c>
      <c r="L493" s="102" t="b">
        <v>0</v>
      </c>
    </row>
    <row r="494" spans="1:12" ht="15">
      <c r="A494" s="104" t="s">
        <v>2831</v>
      </c>
      <c r="B494" s="102" t="s">
        <v>2488</v>
      </c>
      <c r="C494" s="102">
        <v>2</v>
      </c>
      <c r="D494" s="106">
        <v>0.0005682933356852263</v>
      </c>
      <c r="E494" s="106">
        <v>2.7499423376231635</v>
      </c>
      <c r="F494" s="102" t="s">
        <v>3369</v>
      </c>
      <c r="G494" s="102" t="b">
        <v>1</v>
      </c>
      <c r="H494" s="102" t="b">
        <v>0</v>
      </c>
      <c r="I494" s="102" t="b">
        <v>0</v>
      </c>
      <c r="J494" s="102" t="b">
        <v>0</v>
      </c>
      <c r="K494" s="102" t="b">
        <v>0</v>
      </c>
      <c r="L494" s="102" t="b">
        <v>0</v>
      </c>
    </row>
    <row r="495" spans="1:12" ht="15">
      <c r="A495" s="104" t="s">
        <v>2565</v>
      </c>
      <c r="B495" s="102" t="s">
        <v>2351</v>
      </c>
      <c r="C495" s="102">
        <v>2</v>
      </c>
      <c r="D495" s="106">
        <v>0.0004993919862542396</v>
      </c>
      <c r="E495" s="106">
        <v>1.1195144625981395</v>
      </c>
      <c r="F495" s="102" t="s">
        <v>3369</v>
      </c>
      <c r="G495" s="102" t="b">
        <v>0</v>
      </c>
      <c r="H495" s="102" t="b">
        <v>0</v>
      </c>
      <c r="I495" s="102" t="b">
        <v>0</v>
      </c>
      <c r="J495" s="102" t="b">
        <v>0</v>
      </c>
      <c r="K495" s="102" t="b">
        <v>0</v>
      </c>
      <c r="L495" s="102" t="b">
        <v>0</v>
      </c>
    </row>
    <row r="496" spans="1:12" ht="15">
      <c r="A496" s="104" t="s">
        <v>2351</v>
      </c>
      <c r="B496" s="102" t="s">
        <v>2385</v>
      </c>
      <c r="C496" s="102">
        <v>2</v>
      </c>
      <c r="D496" s="106">
        <v>0.0004993919862542396</v>
      </c>
      <c r="E496" s="106">
        <v>0.5714450088016038</v>
      </c>
      <c r="F496" s="102" t="s">
        <v>3369</v>
      </c>
      <c r="G496" s="102" t="b">
        <v>0</v>
      </c>
      <c r="H496" s="102" t="b">
        <v>0</v>
      </c>
      <c r="I496" s="102" t="b">
        <v>0</v>
      </c>
      <c r="J496" s="102" t="b">
        <v>0</v>
      </c>
      <c r="K496" s="102" t="b">
        <v>0</v>
      </c>
      <c r="L496" s="102" t="b">
        <v>0</v>
      </c>
    </row>
    <row r="497" spans="1:12" ht="15">
      <c r="A497" s="104" t="s">
        <v>2602</v>
      </c>
      <c r="B497" s="102" t="s">
        <v>2731</v>
      </c>
      <c r="C497" s="102">
        <v>2</v>
      </c>
      <c r="D497" s="106">
        <v>0.0005682933356852263</v>
      </c>
      <c r="E497" s="106">
        <v>2.8468523506312198</v>
      </c>
      <c r="F497" s="102" t="s">
        <v>3369</v>
      </c>
      <c r="G497" s="102" t="b">
        <v>0</v>
      </c>
      <c r="H497" s="102" t="b">
        <v>0</v>
      </c>
      <c r="I497" s="102" t="b">
        <v>0</v>
      </c>
      <c r="J497" s="102" t="b">
        <v>0</v>
      </c>
      <c r="K497" s="102" t="b">
        <v>0</v>
      </c>
      <c r="L497" s="102" t="b">
        <v>0</v>
      </c>
    </row>
    <row r="498" spans="1:12" ht="15">
      <c r="A498" s="104" t="s">
        <v>2410</v>
      </c>
      <c r="B498" s="102" t="s">
        <v>2361</v>
      </c>
      <c r="C498" s="102">
        <v>2</v>
      </c>
      <c r="D498" s="106">
        <v>0.0004993919862542396</v>
      </c>
      <c r="E498" s="106">
        <v>1.3185785734641762</v>
      </c>
      <c r="F498" s="102" t="s">
        <v>3369</v>
      </c>
      <c r="G498" s="102" t="b">
        <v>0</v>
      </c>
      <c r="H498" s="102" t="b">
        <v>0</v>
      </c>
      <c r="I498" s="102" t="b">
        <v>0</v>
      </c>
      <c r="J498" s="102" t="b">
        <v>0</v>
      </c>
      <c r="K498" s="102" t="b">
        <v>0</v>
      </c>
      <c r="L498" s="102" t="b">
        <v>0</v>
      </c>
    </row>
    <row r="499" spans="1:12" ht="15">
      <c r="A499" s="104" t="s">
        <v>2383</v>
      </c>
      <c r="B499" s="102" t="s">
        <v>2566</v>
      </c>
      <c r="C499" s="102">
        <v>2</v>
      </c>
      <c r="D499" s="106">
        <v>0.0004993919862542396</v>
      </c>
      <c r="E499" s="106">
        <v>2.050972333287145</v>
      </c>
      <c r="F499" s="102" t="s">
        <v>3369</v>
      </c>
      <c r="G499" s="102" t="b">
        <v>0</v>
      </c>
      <c r="H499" s="102" t="b">
        <v>0</v>
      </c>
      <c r="I499" s="102" t="b">
        <v>0</v>
      </c>
      <c r="J499" s="102" t="b">
        <v>0</v>
      </c>
      <c r="K499" s="102" t="b">
        <v>0</v>
      </c>
      <c r="L499" s="102" t="b">
        <v>0</v>
      </c>
    </row>
    <row r="500" spans="1:12" ht="15">
      <c r="A500" s="104" t="s">
        <v>2566</v>
      </c>
      <c r="B500" s="102" t="s">
        <v>2732</v>
      </c>
      <c r="C500" s="102">
        <v>2</v>
      </c>
      <c r="D500" s="106">
        <v>0.0004993919862542396</v>
      </c>
      <c r="E500" s="106">
        <v>2.7799055610006067</v>
      </c>
      <c r="F500" s="102" t="s">
        <v>3369</v>
      </c>
      <c r="G500" s="102" t="b">
        <v>0</v>
      </c>
      <c r="H500" s="102" t="b">
        <v>0</v>
      </c>
      <c r="I500" s="102" t="b">
        <v>0</v>
      </c>
      <c r="J500" s="102" t="b">
        <v>0</v>
      </c>
      <c r="K500" s="102" t="b">
        <v>0</v>
      </c>
      <c r="L500" s="102" t="b">
        <v>0</v>
      </c>
    </row>
    <row r="501" spans="1:12" ht="15">
      <c r="A501" s="104" t="s">
        <v>2732</v>
      </c>
      <c r="B501" s="102" t="s">
        <v>2732</v>
      </c>
      <c r="C501" s="102">
        <v>2</v>
      </c>
      <c r="D501" s="106">
        <v>0.0004993919862542396</v>
      </c>
      <c r="E501" s="106">
        <v>3.022943609686901</v>
      </c>
      <c r="F501" s="102" t="s">
        <v>3369</v>
      </c>
      <c r="G501" s="102" t="b">
        <v>0</v>
      </c>
      <c r="H501" s="102" t="b">
        <v>0</v>
      </c>
      <c r="I501" s="102" t="b">
        <v>0</v>
      </c>
      <c r="J501" s="102" t="b">
        <v>0</v>
      </c>
      <c r="K501" s="102" t="b">
        <v>0</v>
      </c>
      <c r="L501" s="102" t="b">
        <v>0</v>
      </c>
    </row>
    <row r="502" spans="1:12" ht="15">
      <c r="A502" s="104" t="s">
        <v>2416</v>
      </c>
      <c r="B502" s="102" t="s">
        <v>3038</v>
      </c>
      <c r="C502" s="102">
        <v>2</v>
      </c>
      <c r="D502" s="106">
        <v>0.0005682933356852263</v>
      </c>
      <c r="E502" s="106">
        <v>2.6955846753005708</v>
      </c>
      <c r="F502" s="102" t="s">
        <v>3369</v>
      </c>
      <c r="G502" s="102" t="b">
        <v>0</v>
      </c>
      <c r="H502" s="102" t="b">
        <v>0</v>
      </c>
      <c r="I502" s="102" t="b">
        <v>0</v>
      </c>
      <c r="J502" s="102" t="b">
        <v>0</v>
      </c>
      <c r="K502" s="102" t="b">
        <v>0</v>
      </c>
      <c r="L502" s="102" t="b">
        <v>0</v>
      </c>
    </row>
    <row r="503" spans="1:12" ht="15">
      <c r="A503" s="104" t="s">
        <v>2416</v>
      </c>
      <c r="B503" s="102" t="s">
        <v>2534</v>
      </c>
      <c r="C503" s="102">
        <v>2</v>
      </c>
      <c r="D503" s="106">
        <v>0.0004993919862542396</v>
      </c>
      <c r="E503" s="106">
        <v>2.0935246839726083</v>
      </c>
      <c r="F503" s="102" t="s">
        <v>3369</v>
      </c>
      <c r="G503" s="102" t="b">
        <v>0</v>
      </c>
      <c r="H503" s="102" t="b">
        <v>0</v>
      </c>
      <c r="I503" s="102" t="b">
        <v>0</v>
      </c>
      <c r="J503" s="102" t="b">
        <v>0</v>
      </c>
      <c r="K503" s="102" t="b">
        <v>0</v>
      </c>
      <c r="L503" s="102" t="b">
        <v>0</v>
      </c>
    </row>
    <row r="504" spans="1:12" ht="15">
      <c r="A504" s="104" t="s">
        <v>2734</v>
      </c>
      <c r="B504" s="102" t="s">
        <v>2735</v>
      </c>
      <c r="C504" s="102">
        <v>2</v>
      </c>
      <c r="D504" s="106">
        <v>0.0005682933356852263</v>
      </c>
      <c r="E504" s="106">
        <v>3.022943609686901</v>
      </c>
      <c r="F504" s="102" t="s">
        <v>3369</v>
      </c>
      <c r="G504" s="102" t="b">
        <v>0</v>
      </c>
      <c r="H504" s="102" t="b">
        <v>0</v>
      </c>
      <c r="I504" s="102" t="b">
        <v>0</v>
      </c>
      <c r="J504" s="102" t="b">
        <v>1</v>
      </c>
      <c r="K504" s="102" t="b">
        <v>0</v>
      </c>
      <c r="L504" s="102" t="b">
        <v>0</v>
      </c>
    </row>
    <row r="505" spans="1:12" ht="15">
      <c r="A505" s="104" t="s">
        <v>2724</v>
      </c>
      <c r="B505" s="102" t="s">
        <v>3040</v>
      </c>
      <c r="C505" s="102">
        <v>2</v>
      </c>
      <c r="D505" s="106">
        <v>0.0004993919862542396</v>
      </c>
      <c r="E505" s="106">
        <v>3.3239736053508824</v>
      </c>
      <c r="F505" s="102" t="s">
        <v>3369</v>
      </c>
      <c r="G505" s="102" t="b">
        <v>0</v>
      </c>
      <c r="H505" s="102" t="b">
        <v>0</v>
      </c>
      <c r="I505" s="102" t="b">
        <v>0</v>
      </c>
      <c r="J505" s="102" t="b">
        <v>0</v>
      </c>
      <c r="K505" s="102" t="b">
        <v>0</v>
      </c>
      <c r="L505" s="102" t="b">
        <v>0</v>
      </c>
    </row>
    <row r="506" spans="1:12" ht="15">
      <c r="A506" s="104" t="s">
        <v>2660</v>
      </c>
      <c r="B506" s="102" t="s">
        <v>2837</v>
      </c>
      <c r="C506" s="102">
        <v>2</v>
      </c>
      <c r="D506" s="106">
        <v>0.0005682933356852263</v>
      </c>
      <c r="E506" s="106">
        <v>3.050972333287145</v>
      </c>
      <c r="F506" s="102" t="s">
        <v>3369</v>
      </c>
      <c r="G506" s="102" t="b">
        <v>0</v>
      </c>
      <c r="H506" s="102" t="b">
        <v>0</v>
      </c>
      <c r="I506" s="102" t="b">
        <v>0</v>
      </c>
      <c r="J506" s="102" t="b">
        <v>0</v>
      </c>
      <c r="K506" s="102" t="b">
        <v>0</v>
      </c>
      <c r="L506" s="102" t="b">
        <v>0</v>
      </c>
    </row>
    <row r="507" spans="1:12" ht="15">
      <c r="A507" s="104" t="s">
        <v>2350</v>
      </c>
      <c r="B507" s="102" t="s">
        <v>2659</v>
      </c>
      <c r="C507" s="102">
        <v>2</v>
      </c>
      <c r="D507" s="106">
        <v>0.0005682933356852263</v>
      </c>
      <c r="E507" s="106">
        <v>1.233627361845214</v>
      </c>
      <c r="F507" s="102" t="s">
        <v>3369</v>
      </c>
      <c r="G507" s="102" t="b">
        <v>0</v>
      </c>
      <c r="H507" s="102" t="b">
        <v>0</v>
      </c>
      <c r="I507" s="102" t="b">
        <v>0</v>
      </c>
      <c r="J507" s="102" t="b">
        <v>0</v>
      </c>
      <c r="K507" s="102" t="b">
        <v>0</v>
      </c>
      <c r="L507" s="102" t="b">
        <v>0</v>
      </c>
    </row>
    <row r="508" spans="1:12" ht="15">
      <c r="A508" s="104" t="s">
        <v>2839</v>
      </c>
      <c r="B508" s="102" t="s">
        <v>2838</v>
      </c>
      <c r="C508" s="102">
        <v>2</v>
      </c>
      <c r="D508" s="106">
        <v>0.0005682933356852263</v>
      </c>
      <c r="E508" s="106">
        <v>3.272821082903501</v>
      </c>
      <c r="F508" s="102" t="s">
        <v>3369</v>
      </c>
      <c r="G508" s="102" t="b">
        <v>0</v>
      </c>
      <c r="H508" s="102" t="b">
        <v>0</v>
      </c>
      <c r="I508" s="102" t="b">
        <v>0</v>
      </c>
      <c r="J508" s="102" t="b">
        <v>0</v>
      </c>
      <c r="K508" s="102" t="b">
        <v>0</v>
      </c>
      <c r="L508" s="102" t="b">
        <v>0</v>
      </c>
    </row>
    <row r="509" spans="1:12" ht="15">
      <c r="A509" s="104" t="s">
        <v>2535</v>
      </c>
      <c r="B509" s="102" t="s">
        <v>2535</v>
      </c>
      <c r="C509" s="102">
        <v>2</v>
      </c>
      <c r="D509" s="106">
        <v>0.0005682933356852263</v>
      </c>
      <c r="E509" s="106">
        <v>2.4208836183589386</v>
      </c>
      <c r="F509" s="102" t="s">
        <v>3369</v>
      </c>
      <c r="G509" s="102" t="b">
        <v>0</v>
      </c>
      <c r="H509" s="102" t="b">
        <v>0</v>
      </c>
      <c r="I509" s="102" t="b">
        <v>0</v>
      </c>
      <c r="J509" s="102" t="b">
        <v>0</v>
      </c>
      <c r="K509" s="102" t="b">
        <v>0</v>
      </c>
      <c r="L509" s="102" t="b">
        <v>0</v>
      </c>
    </row>
    <row r="510" spans="1:12" ht="15">
      <c r="A510" s="104" t="s">
        <v>3042</v>
      </c>
      <c r="B510" s="102" t="s">
        <v>2535</v>
      </c>
      <c r="C510" s="102">
        <v>2</v>
      </c>
      <c r="D510" s="106">
        <v>0.0005682933356852263</v>
      </c>
      <c r="E510" s="106">
        <v>3.022943609686901</v>
      </c>
      <c r="F510" s="102" t="s">
        <v>3369</v>
      </c>
      <c r="G510" s="102" t="b">
        <v>0</v>
      </c>
      <c r="H510" s="102" t="b">
        <v>0</v>
      </c>
      <c r="I510" s="102" t="b">
        <v>0</v>
      </c>
      <c r="J510" s="102" t="b">
        <v>0</v>
      </c>
      <c r="K510" s="102" t="b">
        <v>0</v>
      </c>
      <c r="L510" s="102" t="b">
        <v>0</v>
      </c>
    </row>
    <row r="511" spans="1:12" ht="15">
      <c r="A511" s="104" t="s">
        <v>2535</v>
      </c>
      <c r="B511" s="102" t="s">
        <v>2662</v>
      </c>
      <c r="C511" s="102">
        <v>2</v>
      </c>
      <c r="D511" s="106">
        <v>0.0005682933356852263</v>
      </c>
      <c r="E511" s="106">
        <v>2.625003601014863</v>
      </c>
      <c r="F511" s="102" t="s">
        <v>3369</v>
      </c>
      <c r="G511" s="102" t="b">
        <v>0</v>
      </c>
      <c r="H511" s="102" t="b">
        <v>0</v>
      </c>
      <c r="I511" s="102" t="b">
        <v>0</v>
      </c>
      <c r="J511" s="102" t="b">
        <v>0</v>
      </c>
      <c r="K511" s="102" t="b">
        <v>0</v>
      </c>
      <c r="L511" s="102" t="b">
        <v>0</v>
      </c>
    </row>
    <row r="512" spans="1:12" ht="15">
      <c r="A512" s="104" t="s">
        <v>2840</v>
      </c>
      <c r="B512" s="102" t="s">
        <v>2353</v>
      </c>
      <c r="C512" s="102">
        <v>2</v>
      </c>
      <c r="D512" s="106">
        <v>0.0004993919862542396</v>
      </c>
      <c r="E512" s="106">
        <v>2.068701100247576</v>
      </c>
      <c r="F512" s="102" t="s">
        <v>3369</v>
      </c>
      <c r="G512" s="102" t="b">
        <v>0</v>
      </c>
      <c r="H512" s="102" t="b">
        <v>0</v>
      </c>
      <c r="I512" s="102" t="b">
        <v>0</v>
      </c>
      <c r="J512" s="102" t="b">
        <v>0</v>
      </c>
      <c r="K512" s="102" t="b">
        <v>0</v>
      </c>
      <c r="L512" s="102" t="b">
        <v>0</v>
      </c>
    </row>
    <row r="513" spans="1:12" ht="15">
      <c r="A513" s="104" t="s">
        <v>2377</v>
      </c>
      <c r="B513" s="102" t="s">
        <v>2490</v>
      </c>
      <c r="C513" s="102">
        <v>2</v>
      </c>
      <c r="D513" s="106">
        <v>0.0004993919862542396</v>
      </c>
      <c r="E513" s="106">
        <v>1.7499423376231633</v>
      </c>
      <c r="F513" s="102" t="s">
        <v>3369</v>
      </c>
      <c r="G513" s="102" t="b">
        <v>0</v>
      </c>
      <c r="H513" s="102" t="b">
        <v>0</v>
      </c>
      <c r="I513" s="102" t="b">
        <v>0</v>
      </c>
      <c r="J513" s="102" t="b">
        <v>0</v>
      </c>
      <c r="K513" s="102" t="b">
        <v>0</v>
      </c>
      <c r="L513" s="102" t="b">
        <v>0</v>
      </c>
    </row>
    <row r="514" spans="1:12" ht="15">
      <c r="A514" s="104" t="s">
        <v>2536</v>
      </c>
      <c r="B514" s="102" t="s">
        <v>2384</v>
      </c>
      <c r="C514" s="102">
        <v>2</v>
      </c>
      <c r="D514" s="106">
        <v>0.0004993919862542396</v>
      </c>
      <c r="E514" s="106">
        <v>1.892609841191895</v>
      </c>
      <c r="F514" s="102" t="s">
        <v>3369</v>
      </c>
      <c r="G514" s="102" t="b">
        <v>0</v>
      </c>
      <c r="H514" s="102" t="b">
        <v>0</v>
      </c>
      <c r="I514" s="102" t="b">
        <v>0</v>
      </c>
      <c r="J514" s="102" t="b">
        <v>0</v>
      </c>
      <c r="K514" s="102" t="b">
        <v>0</v>
      </c>
      <c r="L514" s="102" t="b">
        <v>0</v>
      </c>
    </row>
    <row r="515" spans="1:12" ht="15">
      <c r="A515" s="104" t="s">
        <v>2353</v>
      </c>
      <c r="B515" s="102" t="s">
        <v>2536</v>
      </c>
      <c r="C515" s="102">
        <v>2</v>
      </c>
      <c r="D515" s="106">
        <v>0.0005682933356852263</v>
      </c>
      <c r="E515" s="106">
        <v>1.5624216167867004</v>
      </c>
      <c r="F515" s="102" t="s">
        <v>3369</v>
      </c>
      <c r="G515" s="102" t="b">
        <v>0</v>
      </c>
      <c r="H515" s="102" t="b">
        <v>0</v>
      </c>
      <c r="I515" s="102" t="b">
        <v>0</v>
      </c>
      <c r="J515" s="102" t="b">
        <v>0</v>
      </c>
      <c r="K515" s="102" t="b">
        <v>0</v>
      </c>
      <c r="L515" s="102" t="b">
        <v>0</v>
      </c>
    </row>
    <row r="516" spans="1:12" ht="15">
      <c r="A516" s="104" t="s">
        <v>2351</v>
      </c>
      <c r="B516" s="102" t="s">
        <v>2663</v>
      </c>
      <c r="C516" s="102">
        <v>2</v>
      </c>
      <c r="D516" s="106">
        <v>0.0004993919862542396</v>
      </c>
      <c r="E516" s="106">
        <v>1.2704150131376224</v>
      </c>
      <c r="F516" s="102" t="s">
        <v>3369</v>
      </c>
      <c r="G516" s="102" t="b">
        <v>0</v>
      </c>
      <c r="H516" s="102" t="b">
        <v>0</v>
      </c>
      <c r="I516" s="102" t="b">
        <v>0</v>
      </c>
      <c r="J516" s="102" t="b">
        <v>0</v>
      </c>
      <c r="K516" s="102" t="b">
        <v>0</v>
      </c>
      <c r="L516" s="102" t="b">
        <v>0</v>
      </c>
    </row>
    <row r="517" spans="1:12" ht="15">
      <c r="A517" s="104" t="s">
        <v>3046</v>
      </c>
      <c r="B517" s="102" t="s">
        <v>2442</v>
      </c>
      <c r="C517" s="102">
        <v>2</v>
      </c>
      <c r="D517" s="106">
        <v>0.0004993919862542396</v>
      </c>
      <c r="E517" s="106">
        <v>2.7799055610006067</v>
      </c>
      <c r="F517" s="102" t="s">
        <v>3369</v>
      </c>
      <c r="G517" s="102" t="b">
        <v>0</v>
      </c>
      <c r="H517" s="102" t="b">
        <v>0</v>
      </c>
      <c r="I517" s="102" t="b">
        <v>0</v>
      </c>
      <c r="J517" s="102" t="b">
        <v>0</v>
      </c>
      <c r="K517" s="102" t="b">
        <v>0</v>
      </c>
      <c r="L517" s="102" t="b">
        <v>0</v>
      </c>
    </row>
    <row r="518" spans="1:12" ht="15">
      <c r="A518" s="104" t="s">
        <v>2377</v>
      </c>
      <c r="B518" s="102" t="s">
        <v>2567</v>
      </c>
      <c r="C518" s="102">
        <v>2</v>
      </c>
      <c r="D518" s="106">
        <v>0.0004993919862542396</v>
      </c>
      <c r="E518" s="106">
        <v>1.9048442976089066</v>
      </c>
      <c r="F518" s="102" t="s">
        <v>3369</v>
      </c>
      <c r="G518" s="102" t="b">
        <v>0</v>
      </c>
      <c r="H518" s="102" t="b">
        <v>0</v>
      </c>
      <c r="I518" s="102" t="b">
        <v>0</v>
      </c>
      <c r="J518" s="102" t="b">
        <v>0</v>
      </c>
      <c r="K518" s="102" t="b">
        <v>0</v>
      </c>
      <c r="L518" s="102" t="b">
        <v>0</v>
      </c>
    </row>
    <row r="519" spans="1:12" ht="15">
      <c r="A519" s="104" t="s">
        <v>2364</v>
      </c>
      <c r="B519" s="102" t="s">
        <v>2353</v>
      </c>
      <c r="C519" s="102">
        <v>2</v>
      </c>
      <c r="D519" s="106">
        <v>0.0004993919862542396</v>
      </c>
      <c r="E519" s="106">
        <v>0.746481805513657</v>
      </c>
      <c r="F519" s="102" t="s">
        <v>3369</v>
      </c>
      <c r="G519" s="102" t="b">
        <v>0</v>
      </c>
      <c r="H519" s="102" t="b">
        <v>0</v>
      </c>
      <c r="I519" s="102" t="b">
        <v>0</v>
      </c>
      <c r="J519" s="102" t="b">
        <v>0</v>
      </c>
      <c r="K519" s="102" t="b">
        <v>0</v>
      </c>
      <c r="L519" s="102" t="b">
        <v>0</v>
      </c>
    </row>
    <row r="520" spans="1:12" ht="15">
      <c r="A520" s="104" t="s">
        <v>2668</v>
      </c>
      <c r="B520" s="102" t="s">
        <v>3050</v>
      </c>
      <c r="C520" s="102">
        <v>2</v>
      </c>
      <c r="D520" s="106">
        <v>0.0005682933356852263</v>
      </c>
      <c r="E520" s="106">
        <v>3.2270635923428257</v>
      </c>
      <c r="F520" s="102" t="s">
        <v>3369</v>
      </c>
      <c r="G520" s="102" t="b">
        <v>0</v>
      </c>
      <c r="H520" s="102" t="b">
        <v>0</v>
      </c>
      <c r="I520" s="102" t="b">
        <v>0</v>
      </c>
      <c r="J520" s="102" t="b">
        <v>0</v>
      </c>
      <c r="K520" s="102" t="b">
        <v>0</v>
      </c>
      <c r="L520" s="102" t="b">
        <v>0</v>
      </c>
    </row>
    <row r="521" spans="1:12" ht="15">
      <c r="A521" s="104" t="s">
        <v>2475</v>
      </c>
      <c r="B521" s="102" t="s">
        <v>2350</v>
      </c>
      <c r="C521" s="102">
        <v>2</v>
      </c>
      <c r="D521" s="106">
        <v>0.0005682933356852263</v>
      </c>
      <c r="E521" s="106">
        <v>0.8912046810230079</v>
      </c>
      <c r="F521" s="102" t="s">
        <v>3369</v>
      </c>
      <c r="G521" s="102" t="b">
        <v>0</v>
      </c>
      <c r="H521" s="102" t="b">
        <v>0</v>
      </c>
      <c r="I521" s="102" t="b">
        <v>0</v>
      </c>
      <c r="J521" s="102" t="b">
        <v>0</v>
      </c>
      <c r="K521" s="102" t="b">
        <v>0</v>
      </c>
      <c r="L521" s="102" t="b">
        <v>0</v>
      </c>
    </row>
    <row r="522" spans="1:12" ht="15">
      <c r="A522" s="104" t="s">
        <v>2537</v>
      </c>
      <c r="B522" s="102" t="s">
        <v>2537</v>
      </c>
      <c r="C522" s="102">
        <v>2</v>
      </c>
      <c r="D522" s="106">
        <v>0.0005682933356852263</v>
      </c>
      <c r="E522" s="106">
        <v>2.4788755653366255</v>
      </c>
      <c r="F522" s="102" t="s">
        <v>3369</v>
      </c>
      <c r="G522" s="102" t="b">
        <v>0</v>
      </c>
      <c r="H522" s="102" t="b">
        <v>0</v>
      </c>
      <c r="I522" s="102" t="b">
        <v>0</v>
      </c>
      <c r="J522" s="102" t="b">
        <v>0</v>
      </c>
      <c r="K522" s="102" t="b">
        <v>0</v>
      </c>
      <c r="L522" s="102" t="b">
        <v>0</v>
      </c>
    </row>
    <row r="523" spans="1:12" ht="15">
      <c r="A523" s="104" t="s">
        <v>3056</v>
      </c>
      <c r="B523" s="102" t="s">
        <v>2537</v>
      </c>
      <c r="C523" s="102">
        <v>2</v>
      </c>
      <c r="D523" s="106">
        <v>0.0005682933356852263</v>
      </c>
      <c r="E523" s="106">
        <v>3.080935556664588</v>
      </c>
      <c r="F523" s="102" t="s">
        <v>3369</v>
      </c>
      <c r="G523" s="102" t="b">
        <v>0</v>
      </c>
      <c r="H523" s="102" t="b">
        <v>0</v>
      </c>
      <c r="I523" s="102" t="b">
        <v>0</v>
      </c>
      <c r="J523" s="102" t="b">
        <v>0</v>
      </c>
      <c r="K523" s="102" t="b">
        <v>0</v>
      </c>
      <c r="L523" s="102" t="b">
        <v>0</v>
      </c>
    </row>
    <row r="524" spans="1:12" ht="15">
      <c r="A524" s="104" t="s">
        <v>3057</v>
      </c>
      <c r="B524" s="102" t="s">
        <v>3058</v>
      </c>
      <c r="C524" s="102">
        <v>2</v>
      </c>
      <c r="D524" s="106">
        <v>0.0005682933356852263</v>
      </c>
      <c r="E524" s="106">
        <v>3.6250036010148636</v>
      </c>
      <c r="F524" s="102" t="s">
        <v>3369</v>
      </c>
      <c r="G524" s="102" t="b">
        <v>0</v>
      </c>
      <c r="H524" s="102" t="b">
        <v>0</v>
      </c>
      <c r="I524" s="102" t="b">
        <v>0</v>
      </c>
      <c r="J524" s="102" t="b">
        <v>0</v>
      </c>
      <c r="K524" s="102" t="b">
        <v>0</v>
      </c>
      <c r="L524" s="102" t="b">
        <v>0</v>
      </c>
    </row>
    <row r="525" spans="1:12" ht="15">
      <c r="A525" s="104" t="s">
        <v>2744</v>
      </c>
      <c r="B525" s="102" t="s">
        <v>2744</v>
      </c>
      <c r="C525" s="102">
        <v>2</v>
      </c>
      <c r="D525" s="106">
        <v>0.0004993919862542396</v>
      </c>
      <c r="E525" s="106">
        <v>3.022943609686901</v>
      </c>
      <c r="F525" s="102" t="s">
        <v>3369</v>
      </c>
      <c r="G525" s="102" t="b">
        <v>0</v>
      </c>
      <c r="H525" s="102" t="b">
        <v>0</v>
      </c>
      <c r="I525" s="102" t="b">
        <v>0</v>
      </c>
      <c r="J525" s="102" t="b">
        <v>0</v>
      </c>
      <c r="K525" s="102" t="b">
        <v>0</v>
      </c>
      <c r="L525" s="102" t="b">
        <v>0</v>
      </c>
    </row>
    <row r="526" spans="1:12" ht="15">
      <c r="A526" s="104" t="s">
        <v>2851</v>
      </c>
      <c r="B526" s="102" t="s">
        <v>2852</v>
      </c>
      <c r="C526" s="102">
        <v>2</v>
      </c>
      <c r="D526" s="106">
        <v>0.0004993919862542396</v>
      </c>
      <c r="E526" s="106">
        <v>3.272821082903501</v>
      </c>
      <c r="F526" s="102" t="s">
        <v>3369</v>
      </c>
      <c r="G526" s="102" t="b">
        <v>0</v>
      </c>
      <c r="H526" s="102" t="b">
        <v>0</v>
      </c>
      <c r="I526" s="102" t="b">
        <v>0</v>
      </c>
      <c r="J526" s="102" t="b">
        <v>0</v>
      </c>
      <c r="K526" s="102" t="b">
        <v>0</v>
      </c>
      <c r="L526" s="102" t="b">
        <v>0</v>
      </c>
    </row>
    <row r="527" spans="1:12" ht="15">
      <c r="A527" s="104" t="s">
        <v>2852</v>
      </c>
      <c r="B527" s="102" t="s">
        <v>2349</v>
      </c>
      <c r="C527" s="102">
        <v>2</v>
      </c>
      <c r="D527" s="106">
        <v>0.0004993919862542396</v>
      </c>
      <c r="E527" s="106">
        <v>1.4055500639380527</v>
      </c>
      <c r="F527" s="102" t="s">
        <v>3369</v>
      </c>
      <c r="G527" s="102" t="b">
        <v>0</v>
      </c>
      <c r="H527" s="102" t="b">
        <v>0</v>
      </c>
      <c r="I527" s="102" t="b">
        <v>0</v>
      </c>
      <c r="J527" s="102" t="b">
        <v>0</v>
      </c>
      <c r="K527" s="102" t="b">
        <v>0</v>
      </c>
      <c r="L527" s="102" t="b">
        <v>0</v>
      </c>
    </row>
    <row r="528" spans="1:12" ht="15">
      <c r="A528" s="104" t="s">
        <v>2397</v>
      </c>
      <c r="B528" s="102" t="s">
        <v>2349</v>
      </c>
      <c r="C528" s="102">
        <v>2</v>
      </c>
      <c r="D528" s="106">
        <v>0.0004993919862542396</v>
      </c>
      <c r="E528" s="106">
        <v>0.5604520239237959</v>
      </c>
      <c r="F528" s="102" t="s">
        <v>3369</v>
      </c>
      <c r="G528" s="102" t="b">
        <v>0</v>
      </c>
      <c r="H528" s="102" t="b">
        <v>0</v>
      </c>
      <c r="I528" s="102" t="b">
        <v>0</v>
      </c>
      <c r="J528" s="102" t="b">
        <v>0</v>
      </c>
      <c r="K528" s="102" t="b">
        <v>0</v>
      </c>
      <c r="L528" s="102" t="b">
        <v>0</v>
      </c>
    </row>
    <row r="529" spans="1:12" ht="15">
      <c r="A529" s="104" t="s">
        <v>3062</v>
      </c>
      <c r="B529" s="102" t="s">
        <v>3063</v>
      </c>
      <c r="C529" s="102">
        <v>2</v>
      </c>
      <c r="D529" s="106">
        <v>0.0005682933356852263</v>
      </c>
      <c r="E529" s="106">
        <v>3.6250036010148636</v>
      </c>
      <c r="F529" s="102" t="s">
        <v>3369</v>
      </c>
      <c r="G529" s="102" t="b">
        <v>0</v>
      </c>
      <c r="H529" s="102" t="b">
        <v>0</v>
      </c>
      <c r="I529" s="102" t="b">
        <v>0</v>
      </c>
      <c r="J529" s="102" t="b">
        <v>0</v>
      </c>
      <c r="K529" s="102" t="b">
        <v>0</v>
      </c>
      <c r="L529" s="102" t="b">
        <v>0</v>
      </c>
    </row>
    <row r="530" spans="1:12" ht="15">
      <c r="A530" s="104" t="s">
        <v>2854</v>
      </c>
      <c r="B530" s="102" t="s">
        <v>2479</v>
      </c>
      <c r="C530" s="102">
        <v>2</v>
      </c>
      <c r="D530" s="106">
        <v>0.0004993919862542396</v>
      </c>
      <c r="E530" s="106">
        <v>3.272821082903501</v>
      </c>
      <c r="F530" s="102" t="s">
        <v>3369</v>
      </c>
      <c r="G530" s="102" t="b">
        <v>0</v>
      </c>
      <c r="H530" s="102" t="b">
        <v>0</v>
      </c>
      <c r="I530" s="102" t="b">
        <v>0</v>
      </c>
      <c r="J530" s="102" t="b">
        <v>0</v>
      </c>
      <c r="K530" s="102" t="b">
        <v>0</v>
      </c>
      <c r="L530" s="102" t="b">
        <v>0</v>
      </c>
    </row>
    <row r="531" spans="1:12" ht="15">
      <c r="A531" s="104" t="s">
        <v>2412</v>
      </c>
      <c r="B531" s="102" t="s">
        <v>2383</v>
      </c>
      <c r="C531" s="102">
        <v>2</v>
      </c>
      <c r="D531" s="106">
        <v>0.0004993919862542396</v>
      </c>
      <c r="E531" s="106">
        <v>1.581641322993734</v>
      </c>
      <c r="F531" s="102" t="s">
        <v>3369</v>
      </c>
      <c r="G531" s="102" t="b">
        <v>0</v>
      </c>
      <c r="H531" s="102" t="b">
        <v>0</v>
      </c>
      <c r="I531" s="102" t="b">
        <v>0</v>
      </c>
      <c r="J531" s="102" t="b">
        <v>0</v>
      </c>
      <c r="K531" s="102" t="b">
        <v>0</v>
      </c>
      <c r="L531" s="102" t="b">
        <v>0</v>
      </c>
    </row>
    <row r="532" spans="1:12" ht="15">
      <c r="A532" s="104" t="s">
        <v>2383</v>
      </c>
      <c r="B532" s="102" t="s">
        <v>2412</v>
      </c>
      <c r="C532" s="102">
        <v>2</v>
      </c>
      <c r="D532" s="106">
        <v>0.0004993919862542396</v>
      </c>
      <c r="E532" s="106">
        <v>1.6250036010148634</v>
      </c>
      <c r="F532" s="102" t="s">
        <v>3369</v>
      </c>
      <c r="G532" s="102" t="b">
        <v>0</v>
      </c>
      <c r="H532" s="102" t="b">
        <v>0</v>
      </c>
      <c r="I532" s="102" t="b">
        <v>0</v>
      </c>
      <c r="J532" s="102" t="b">
        <v>0</v>
      </c>
      <c r="K532" s="102" t="b">
        <v>0</v>
      </c>
      <c r="L532" s="102" t="b">
        <v>0</v>
      </c>
    </row>
    <row r="533" spans="1:12" ht="15">
      <c r="A533" s="104" t="s">
        <v>2416</v>
      </c>
      <c r="B533" s="102" t="s">
        <v>2350</v>
      </c>
      <c r="C533" s="102">
        <v>2</v>
      </c>
      <c r="D533" s="106">
        <v>0.0004993919862542396</v>
      </c>
      <c r="E533" s="106">
        <v>0.702148444802959</v>
      </c>
      <c r="F533" s="102" t="s">
        <v>3369</v>
      </c>
      <c r="G533" s="102" t="b">
        <v>0</v>
      </c>
      <c r="H533" s="102" t="b">
        <v>0</v>
      </c>
      <c r="I533" s="102" t="b">
        <v>0</v>
      </c>
      <c r="J533" s="102" t="b">
        <v>0</v>
      </c>
      <c r="K533" s="102" t="b">
        <v>0</v>
      </c>
      <c r="L533" s="102" t="b">
        <v>0</v>
      </c>
    </row>
    <row r="534" spans="1:12" ht="15">
      <c r="A534" s="104" t="s">
        <v>2379</v>
      </c>
      <c r="B534" s="102" t="s">
        <v>2350</v>
      </c>
      <c r="C534" s="102">
        <v>2</v>
      </c>
      <c r="D534" s="106">
        <v>0.0004993919862542396</v>
      </c>
      <c r="E534" s="106">
        <v>0.4701993682822768</v>
      </c>
      <c r="F534" s="102" t="s">
        <v>3369</v>
      </c>
      <c r="G534" s="102" t="b">
        <v>0</v>
      </c>
      <c r="H534" s="102" t="b">
        <v>0</v>
      </c>
      <c r="I534" s="102" t="b">
        <v>0</v>
      </c>
      <c r="J534" s="102" t="b">
        <v>0</v>
      </c>
      <c r="K534" s="102" t="b">
        <v>0</v>
      </c>
      <c r="L534" s="102" t="b">
        <v>0</v>
      </c>
    </row>
    <row r="535" spans="1:12" ht="15">
      <c r="A535" s="104" t="s">
        <v>2538</v>
      </c>
      <c r="B535" s="102" t="s">
        <v>2606</v>
      </c>
      <c r="C535" s="102">
        <v>2</v>
      </c>
      <c r="D535" s="106">
        <v>0.0004993919862542396</v>
      </c>
      <c r="E535" s="106">
        <v>2.5458223549672385</v>
      </c>
      <c r="F535" s="102" t="s">
        <v>3369</v>
      </c>
      <c r="G535" s="102" t="b">
        <v>0</v>
      </c>
      <c r="H535" s="102" t="b">
        <v>0</v>
      </c>
      <c r="I535" s="102" t="b">
        <v>0</v>
      </c>
      <c r="J535" s="102" t="b">
        <v>0</v>
      </c>
      <c r="K535" s="102" t="b">
        <v>1</v>
      </c>
      <c r="L535" s="102" t="b">
        <v>0</v>
      </c>
    </row>
    <row r="536" spans="1:12" ht="15">
      <c r="A536" s="104" t="s">
        <v>3066</v>
      </c>
      <c r="B536" s="102" t="s">
        <v>2349</v>
      </c>
      <c r="C536" s="102">
        <v>2</v>
      </c>
      <c r="D536" s="106">
        <v>0.0004993919862542396</v>
      </c>
      <c r="E536" s="106">
        <v>1.581641322993734</v>
      </c>
      <c r="F536" s="102" t="s">
        <v>3369</v>
      </c>
      <c r="G536" s="102" t="b">
        <v>0</v>
      </c>
      <c r="H536" s="102" t="b">
        <v>0</v>
      </c>
      <c r="I536" s="102" t="b">
        <v>0</v>
      </c>
      <c r="J536" s="102" t="b">
        <v>0</v>
      </c>
      <c r="K536" s="102" t="b">
        <v>0</v>
      </c>
      <c r="L536" s="102" t="b">
        <v>0</v>
      </c>
    </row>
    <row r="537" spans="1:12" ht="15">
      <c r="A537" s="104" t="s">
        <v>2349</v>
      </c>
      <c r="B537" s="102" t="s">
        <v>2418</v>
      </c>
      <c r="C537" s="102">
        <v>2</v>
      </c>
      <c r="D537" s="106">
        <v>0.0004993919862542396</v>
      </c>
      <c r="E537" s="106">
        <v>0.6702788100358005</v>
      </c>
      <c r="F537" s="102" t="s">
        <v>3369</v>
      </c>
      <c r="G537" s="102" t="b">
        <v>0</v>
      </c>
      <c r="H537" s="102" t="b">
        <v>0</v>
      </c>
      <c r="I537" s="102" t="b">
        <v>0</v>
      </c>
      <c r="J537" s="102" t="b">
        <v>0</v>
      </c>
      <c r="K537" s="102" t="b">
        <v>0</v>
      </c>
      <c r="L537" s="102" t="b">
        <v>0</v>
      </c>
    </row>
    <row r="538" spans="1:12" ht="15">
      <c r="A538" s="104" t="s">
        <v>2456</v>
      </c>
      <c r="B538" s="102" t="s">
        <v>2572</v>
      </c>
      <c r="C538" s="102">
        <v>2</v>
      </c>
      <c r="D538" s="106">
        <v>0.0005682933356852263</v>
      </c>
      <c r="E538" s="106">
        <v>2.3349689896523453</v>
      </c>
      <c r="F538" s="102" t="s">
        <v>3369</v>
      </c>
      <c r="G538" s="102" t="b">
        <v>0</v>
      </c>
      <c r="H538" s="102" t="b">
        <v>0</v>
      </c>
      <c r="I538" s="102" t="b">
        <v>0</v>
      </c>
      <c r="J538" s="102" t="b">
        <v>0</v>
      </c>
      <c r="K538" s="102" t="b">
        <v>0</v>
      </c>
      <c r="L538" s="102" t="b">
        <v>0</v>
      </c>
    </row>
    <row r="539" spans="1:12" ht="15">
      <c r="A539" s="104" t="s">
        <v>2443</v>
      </c>
      <c r="B539" s="102" t="s">
        <v>3067</v>
      </c>
      <c r="C539" s="102">
        <v>2</v>
      </c>
      <c r="D539" s="106">
        <v>0.0005682933356852263</v>
      </c>
      <c r="E539" s="106">
        <v>2.7799055610006067</v>
      </c>
      <c r="F539" s="102" t="s">
        <v>3369</v>
      </c>
      <c r="G539" s="102" t="b">
        <v>0</v>
      </c>
      <c r="H539" s="102" t="b">
        <v>0</v>
      </c>
      <c r="I539" s="102" t="b">
        <v>0</v>
      </c>
      <c r="J539" s="102" t="b">
        <v>0</v>
      </c>
      <c r="K539" s="102" t="b">
        <v>0</v>
      </c>
      <c r="L539" s="102" t="b">
        <v>0</v>
      </c>
    </row>
    <row r="540" spans="1:12" ht="15">
      <c r="A540" s="104" t="s">
        <v>2456</v>
      </c>
      <c r="B540" s="102" t="s">
        <v>2607</v>
      </c>
      <c r="C540" s="102">
        <v>2</v>
      </c>
      <c r="D540" s="106">
        <v>0.0005682933356852263</v>
      </c>
      <c r="E540" s="106">
        <v>2.3349689896523453</v>
      </c>
      <c r="F540" s="102" t="s">
        <v>3369</v>
      </c>
      <c r="G540" s="102" t="b">
        <v>0</v>
      </c>
      <c r="H540" s="102" t="b">
        <v>0</v>
      </c>
      <c r="I540" s="102" t="b">
        <v>0</v>
      </c>
      <c r="J540" s="102" t="b">
        <v>0</v>
      </c>
      <c r="K540" s="102" t="b">
        <v>0</v>
      </c>
      <c r="L540" s="102" t="b">
        <v>0</v>
      </c>
    </row>
    <row r="541" spans="1:12" ht="15">
      <c r="A541" s="104" t="s">
        <v>2607</v>
      </c>
      <c r="B541" s="102" t="s">
        <v>2456</v>
      </c>
      <c r="C541" s="102">
        <v>2</v>
      </c>
      <c r="D541" s="106">
        <v>0.0005682933356852263</v>
      </c>
      <c r="E541" s="106">
        <v>2.5110602487080267</v>
      </c>
      <c r="F541" s="102" t="s">
        <v>3369</v>
      </c>
      <c r="G541" s="102" t="b">
        <v>0</v>
      </c>
      <c r="H541" s="102" t="b">
        <v>0</v>
      </c>
      <c r="I541" s="102" t="b">
        <v>0</v>
      </c>
      <c r="J541" s="102" t="b">
        <v>0</v>
      </c>
      <c r="K541" s="102" t="b">
        <v>0</v>
      </c>
      <c r="L541" s="102" t="b">
        <v>0</v>
      </c>
    </row>
    <row r="542" spans="1:12" ht="15">
      <c r="A542" s="104" t="s">
        <v>2433</v>
      </c>
      <c r="B542" s="102" t="s">
        <v>2353</v>
      </c>
      <c r="C542" s="102">
        <v>2</v>
      </c>
      <c r="D542" s="106">
        <v>0.0005682933356852263</v>
      </c>
      <c r="E542" s="106">
        <v>1.1936398368558763</v>
      </c>
      <c r="F542" s="102" t="s">
        <v>3369</v>
      </c>
      <c r="G542" s="102" t="b">
        <v>0</v>
      </c>
      <c r="H542" s="102" t="b">
        <v>0</v>
      </c>
      <c r="I542" s="102" t="b">
        <v>0</v>
      </c>
      <c r="J542" s="102" t="b">
        <v>0</v>
      </c>
      <c r="K542" s="102" t="b">
        <v>0</v>
      </c>
      <c r="L542" s="102" t="b">
        <v>0</v>
      </c>
    </row>
    <row r="543" spans="1:12" ht="15">
      <c r="A543" s="104" t="s">
        <v>2593</v>
      </c>
      <c r="B543" s="102" t="s">
        <v>2376</v>
      </c>
      <c r="C543" s="102">
        <v>2</v>
      </c>
      <c r="D543" s="106">
        <v>0.0004993919862542396</v>
      </c>
      <c r="E543" s="106">
        <v>1.97179108723952</v>
      </c>
      <c r="F543" s="102" t="s">
        <v>3369</v>
      </c>
      <c r="G543" s="102" t="b">
        <v>0</v>
      </c>
      <c r="H543" s="102" t="b">
        <v>0</v>
      </c>
      <c r="I543" s="102" t="b">
        <v>0</v>
      </c>
      <c r="J543" s="102" t="b">
        <v>0</v>
      </c>
      <c r="K543" s="102" t="b">
        <v>0</v>
      </c>
      <c r="L543" s="102" t="b">
        <v>0</v>
      </c>
    </row>
    <row r="544" spans="1:12" ht="15">
      <c r="A544" s="104" t="s">
        <v>2376</v>
      </c>
      <c r="B544" s="102" t="s">
        <v>3074</v>
      </c>
      <c r="C544" s="102">
        <v>2</v>
      </c>
      <c r="D544" s="106">
        <v>0.0004993919862542396</v>
      </c>
      <c r="E544" s="106">
        <v>2.4489123419591823</v>
      </c>
      <c r="F544" s="102" t="s">
        <v>3369</v>
      </c>
      <c r="G544" s="102" t="b">
        <v>0</v>
      </c>
      <c r="H544" s="102" t="b">
        <v>0</v>
      </c>
      <c r="I544" s="102" t="b">
        <v>0</v>
      </c>
      <c r="J544" s="102" t="b">
        <v>0</v>
      </c>
      <c r="K544" s="102" t="b">
        <v>0</v>
      </c>
      <c r="L544" s="102" t="b">
        <v>0</v>
      </c>
    </row>
    <row r="545" spans="1:12" ht="15">
      <c r="A545" s="104" t="s">
        <v>3074</v>
      </c>
      <c r="B545" s="102" t="s">
        <v>2359</v>
      </c>
      <c r="C545" s="102">
        <v>2</v>
      </c>
      <c r="D545" s="106">
        <v>0.0004993919862542396</v>
      </c>
      <c r="E545" s="106">
        <v>2.218463420580908</v>
      </c>
      <c r="F545" s="102" t="s">
        <v>3369</v>
      </c>
      <c r="G545" s="102" t="b">
        <v>0</v>
      </c>
      <c r="H545" s="102" t="b">
        <v>0</v>
      </c>
      <c r="I545" s="102" t="b">
        <v>0</v>
      </c>
      <c r="J545" s="102" t="b">
        <v>0</v>
      </c>
      <c r="K545" s="102" t="b">
        <v>0</v>
      </c>
      <c r="L545" s="102" t="b">
        <v>0</v>
      </c>
    </row>
    <row r="546" spans="1:12" ht="15">
      <c r="A546" s="104" t="s">
        <v>3075</v>
      </c>
      <c r="B546" s="102" t="s">
        <v>2858</v>
      </c>
      <c r="C546" s="102">
        <v>2</v>
      </c>
      <c r="D546" s="106">
        <v>0.0004993919862542396</v>
      </c>
      <c r="E546" s="106">
        <v>3.4489123419591823</v>
      </c>
      <c r="F546" s="102" t="s">
        <v>3369</v>
      </c>
      <c r="G546" s="102" t="b">
        <v>0</v>
      </c>
      <c r="H546" s="102" t="b">
        <v>0</v>
      </c>
      <c r="I546" s="102" t="b">
        <v>0</v>
      </c>
      <c r="J546" s="102" t="b">
        <v>0</v>
      </c>
      <c r="K546" s="102" t="b">
        <v>0</v>
      </c>
      <c r="L546" s="102" t="b">
        <v>0</v>
      </c>
    </row>
    <row r="547" spans="1:12" ht="15">
      <c r="A547" s="104" t="s">
        <v>2510</v>
      </c>
      <c r="B547" s="102" t="s">
        <v>2489</v>
      </c>
      <c r="C547" s="102">
        <v>2</v>
      </c>
      <c r="D547" s="106">
        <v>0.0004993919862542396</v>
      </c>
      <c r="E547" s="106">
        <v>2.272821082903501</v>
      </c>
      <c r="F547" s="102" t="s">
        <v>3369</v>
      </c>
      <c r="G547" s="102" t="b">
        <v>0</v>
      </c>
      <c r="H547" s="102" t="b">
        <v>0</v>
      </c>
      <c r="I547" s="102" t="b">
        <v>0</v>
      </c>
      <c r="J547" s="102" t="b">
        <v>0</v>
      </c>
      <c r="K547" s="102" t="b">
        <v>0</v>
      </c>
      <c r="L547" s="102" t="b">
        <v>0</v>
      </c>
    </row>
    <row r="548" spans="1:12" ht="15">
      <c r="A548" s="104" t="s">
        <v>2675</v>
      </c>
      <c r="B548" s="102" t="s">
        <v>2381</v>
      </c>
      <c r="C548" s="102">
        <v>2</v>
      </c>
      <c r="D548" s="106">
        <v>0.0004993919862542396</v>
      </c>
      <c r="E548" s="106">
        <v>2.065695590107851</v>
      </c>
      <c r="F548" s="102" t="s">
        <v>3369</v>
      </c>
      <c r="G548" s="102" t="b">
        <v>1</v>
      </c>
      <c r="H548" s="102" t="b">
        <v>0</v>
      </c>
      <c r="I548" s="102" t="b">
        <v>0</v>
      </c>
      <c r="J548" s="102" t="b">
        <v>0</v>
      </c>
      <c r="K548" s="102" t="b">
        <v>0</v>
      </c>
      <c r="L548" s="102" t="b">
        <v>0</v>
      </c>
    </row>
    <row r="549" spans="1:12" ht="15">
      <c r="A549" s="104" t="s">
        <v>2442</v>
      </c>
      <c r="B549" s="102" t="s">
        <v>2348</v>
      </c>
      <c r="C549" s="102">
        <v>2</v>
      </c>
      <c r="D549" s="106">
        <v>0.0004993919862542396</v>
      </c>
      <c r="E549" s="106">
        <v>0.76496521120767</v>
      </c>
      <c r="F549" s="102" t="s">
        <v>3369</v>
      </c>
      <c r="G549" s="102" t="b">
        <v>0</v>
      </c>
      <c r="H549" s="102" t="b">
        <v>0</v>
      </c>
      <c r="I549" s="102" t="b">
        <v>0</v>
      </c>
      <c r="J549" s="102" t="b">
        <v>0</v>
      </c>
      <c r="K549" s="102" t="b">
        <v>0</v>
      </c>
      <c r="L549" s="102" t="b">
        <v>0</v>
      </c>
    </row>
    <row r="550" spans="1:12" ht="15">
      <c r="A550" s="104" t="s">
        <v>2749</v>
      </c>
      <c r="B550" s="102" t="s">
        <v>2749</v>
      </c>
      <c r="C550" s="102">
        <v>2</v>
      </c>
      <c r="D550" s="106">
        <v>0.0005682933356852263</v>
      </c>
      <c r="E550" s="106">
        <v>3.022943609686901</v>
      </c>
      <c r="F550" s="102" t="s">
        <v>3369</v>
      </c>
      <c r="G550" s="102" t="b">
        <v>0</v>
      </c>
      <c r="H550" s="102" t="b">
        <v>0</v>
      </c>
      <c r="I550" s="102" t="b">
        <v>0</v>
      </c>
      <c r="J550" s="102" t="b">
        <v>0</v>
      </c>
      <c r="K550" s="102" t="b">
        <v>0</v>
      </c>
      <c r="L550" s="102" t="b">
        <v>0</v>
      </c>
    </row>
    <row r="551" spans="1:12" ht="15">
      <c r="A551" s="104" t="s">
        <v>2447</v>
      </c>
      <c r="B551" s="102" t="s">
        <v>2729</v>
      </c>
      <c r="C551" s="102">
        <v>2</v>
      </c>
      <c r="D551" s="106">
        <v>0.0005682933356852263</v>
      </c>
      <c r="E551" s="106">
        <v>2.4788755653366255</v>
      </c>
      <c r="F551" s="102" t="s">
        <v>3369</v>
      </c>
      <c r="G551" s="102" t="b">
        <v>0</v>
      </c>
      <c r="H551" s="102" t="b">
        <v>0</v>
      </c>
      <c r="I551" s="102" t="b">
        <v>0</v>
      </c>
      <c r="J551" s="102" t="b">
        <v>1</v>
      </c>
      <c r="K551" s="102" t="b">
        <v>0</v>
      </c>
      <c r="L551" s="102" t="b">
        <v>0</v>
      </c>
    </row>
    <row r="552" spans="1:12" ht="15">
      <c r="A552" s="104" t="s">
        <v>2447</v>
      </c>
      <c r="B552" s="102" t="s">
        <v>2512</v>
      </c>
      <c r="C552" s="102">
        <v>2</v>
      </c>
      <c r="D552" s="106">
        <v>0.0005682933356852263</v>
      </c>
      <c r="E552" s="106">
        <v>2.1266930472252628</v>
      </c>
      <c r="F552" s="102" t="s">
        <v>3369</v>
      </c>
      <c r="G552" s="102" t="b">
        <v>0</v>
      </c>
      <c r="H552" s="102" t="b">
        <v>0</v>
      </c>
      <c r="I552" s="102" t="b">
        <v>0</v>
      </c>
      <c r="J552" s="102" t="b">
        <v>0</v>
      </c>
      <c r="K552" s="102" t="b">
        <v>0</v>
      </c>
      <c r="L552" s="102" t="b">
        <v>0</v>
      </c>
    </row>
    <row r="553" spans="1:12" ht="15">
      <c r="A553" s="104" t="s">
        <v>2676</v>
      </c>
      <c r="B553" s="102" t="s">
        <v>2512</v>
      </c>
      <c r="C553" s="102">
        <v>2</v>
      </c>
      <c r="D553" s="106">
        <v>0.0005682933356852263</v>
      </c>
      <c r="E553" s="106">
        <v>2.573851078567482</v>
      </c>
      <c r="F553" s="102" t="s">
        <v>3369</v>
      </c>
      <c r="G553" s="102" t="b">
        <v>0</v>
      </c>
      <c r="H553" s="102" t="b">
        <v>0</v>
      </c>
      <c r="I553" s="102" t="b">
        <v>0</v>
      </c>
      <c r="J553" s="102" t="b">
        <v>0</v>
      </c>
      <c r="K553" s="102" t="b">
        <v>0</v>
      </c>
      <c r="L553" s="102" t="b">
        <v>0</v>
      </c>
    </row>
    <row r="554" spans="1:12" ht="15">
      <c r="A554" s="104" t="s">
        <v>2447</v>
      </c>
      <c r="B554" s="102" t="s">
        <v>3086</v>
      </c>
      <c r="C554" s="102">
        <v>2</v>
      </c>
      <c r="D554" s="106">
        <v>0.0005682933356852263</v>
      </c>
      <c r="E554" s="106">
        <v>2.7799055610006067</v>
      </c>
      <c r="F554" s="102" t="s">
        <v>3369</v>
      </c>
      <c r="G554" s="102" t="b">
        <v>0</v>
      </c>
      <c r="H554" s="102" t="b">
        <v>0</v>
      </c>
      <c r="I554" s="102" t="b">
        <v>0</v>
      </c>
      <c r="J554" s="102" t="b">
        <v>0</v>
      </c>
      <c r="K554" s="102" t="b">
        <v>0</v>
      </c>
      <c r="L554" s="102" t="b">
        <v>0</v>
      </c>
    </row>
    <row r="555" spans="1:12" ht="15">
      <c r="A555" s="104" t="s">
        <v>2352</v>
      </c>
      <c r="B555" s="102" t="s">
        <v>2436</v>
      </c>
      <c r="C555" s="102">
        <v>2</v>
      </c>
      <c r="D555" s="106">
        <v>0.0004993919862542396</v>
      </c>
      <c r="E555" s="106">
        <v>1.0202377163109762</v>
      </c>
      <c r="F555" s="102" t="s">
        <v>3369</v>
      </c>
      <c r="G555" s="102" t="b">
        <v>0</v>
      </c>
      <c r="H555" s="102" t="b">
        <v>0</v>
      </c>
      <c r="I555" s="102" t="b">
        <v>0</v>
      </c>
      <c r="J555" s="102" t="b">
        <v>0</v>
      </c>
      <c r="K555" s="102" t="b">
        <v>0</v>
      </c>
      <c r="L555" s="102" t="b">
        <v>0</v>
      </c>
    </row>
    <row r="556" spans="1:12" ht="15">
      <c r="A556" s="104" t="s">
        <v>2436</v>
      </c>
      <c r="B556" s="102" t="s">
        <v>2359</v>
      </c>
      <c r="C556" s="102">
        <v>2</v>
      </c>
      <c r="D556" s="106">
        <v>0.0004993919862542396</v>
      </c>
      <c r="E556" s="106">
        <v>1.3733653805666515</v>
      </c>
      <c r="F556" s="102" t="s">
        <v>3369</v>
      </c>
      <c r="G556" s="102" t="b">
        <v>0</v>
      </c>
      <c r="H556" s="102" t="b">
        <v>0</v>
      </c>
      <c r="I556" s="102" t="b">
        <v>0</v>
      </c>
      <c r="J556" s="102" t="b">
        <v>0</v>
      </c>
      <c r="K556" s="102" t="b">
        <v>0</v>
      </c>
      <c r="L556" s="102" t="b">
        <v>0</v>
      </c>
    </row>
    <row r="557" spans="1:12" ht="15">
      <c r="A557" s="104" t="s">
        <v>2751</v>
      </c>
      <c r="B557" s="102" t="s">
        <v>2752</v>
      </c>
      <c r="C557" s="102">
        <v>2</v>
      </c>
      <c r="D557" s="106">
        <v>0.0004993919862542396</v>
      </c>
      <c r="E557" s="106">
        <v>3.022943609686901</v>
      </c>
      <c r="F557" s="102" t="s">
        <v>3369</v>
      </c>
      <c r="G557" s="102" t="b">
        <v>0</v>
      </c>
      <c r="H557" s="102" t="b">
        <v>0</v>
      </c>
      <c r="I557" s="102" t="b">
        <v>0</v>
      </c>
      <c r="J557" s="102" t="b">
        <v>0</v>
      </c>
      <c r="K557" s="102" t="b">
        <v>0</v>
      </c>
      <c r="L557" s="102" t="b">
        <v>0</v>
      </c>
    </row>
    <row r="558" spans="1:12" ht="15">
      <c r="A558" s="104" t="s">
        <v>2752</v>
      </c>
      <c r="B558" s="102" t="s">
        <v>3087</v>
      </c>
      <c r="C558" s="102">
        <v>2</v>
      </c>
      <c r="D558" s="106">
        <v>0.0004993919862542396</v>
      </c>
      <c r="E558" s="106">
        <v>3.3239736053508824</v>
      </c>
      <c r="F558" s="102" t="s">
        <v>3369</v>
      </c>
      <c r="G558" s="102" t="b">
        <v>0</v>
      </c>
      <c r="H558" s="102" t="b">
        <v>0</v>
      </c>
      <c r="I558" s="102" t="b">
        <v>0</v>
      </c>
      <c r="J558" s="102" t="b">
        <v>0</v>
      </c>
      <c r="K558" s="102" t="b">
        <v>0</v>
      </c>
      <c r="L558" s="102" t="b">
        <v>0</v>
      </c>
    </row>
    <row r="559" spans="1:12" ht="15">
      <c r="A559" s="104" t="s">
        <v>3087</v>
      </c>
      <c r="B559" s="102" t="s">
        <v>3088</v>
      </c>
      <c r="C559" s="102">
        <v>2</v>
      </c>
      <c r="D559" s="106">
        <v>0.0004993919862542396</v>
      </c>
      <c r="E559" s="106">
        <v>3.6250036010148636</v>
      </c>
      <c r="F559" s="102" t="s">
        <v>3369</v>
      </c>
      <c r="G559" s="102" t="b">
        <v>0</v>
      </c>
      <c r="H559" s="102" t="b">
        <v>0</v>
      </c>
      <c r="I559" s="102" t="b">
        <v>0</v>
      </c>
      <c r="J559" s="102" t="b">
        <v>0</v>
      </c>
      <c r="K559" s="102" t="b">
        <v>0</v>
      </c>
      <c r="L559" s="102" t="b">
        <v>0</v>
      </c>
    </row>
    <row r="560" spans="1:12" ht="15">
      <c r="A560" s="104" t="s">
        <v>3088</v>
      </c>
      <c r="B560" s="102" t="s">
        <v>2352</v>
      </c>
      <c r="C560" s="102">
        <v>2</v>
      </c>
      <c r="D560" s="106">
        <v>0.0004993919862542396</v>
      </c>
      <c r="E560" s="106">
        <v>1.8807106178921873</v>
      </c>
      <c r="F560" s="102" t="s">
        <v>3369</v>
      </c>
      <c r="G560" s="102" t="b">
        <v>0</v>
      </c>
      <c r="H560" s="102" t="b">
        <v>0</v>
      </c>
      <c r="I560" s="102" t="b">
        <v>0</v>
      </c>
      <c r="J560" s="102" t="b">
        <v>0</v>
      </c>
      <c r="K560" s="102" t="b">
        <v>0</v>
      </c>
      <c r="L560" s="102" t="b">
        <v>0</v>
      </c>
    </row>
    <row r="561" spans="1:12" ht="15">
      <c r="A561" s="104" t="s">
        <v>2352</v>
      </c>
      <c r="B561" s="102" t="s">
        <v>2651</v>
      </c>
      <c r="C561" s="102">
        <v>2</v>
      </c>
      <c r="D561" s="106">
        <v>0.0004993919862542396</v>
      </c>
      <c r="E561" s="106">
        <v>1.4673957476531954</v>
      </c>
      <c r="F561" s="102" t="s">
        <v>3369</v>
      </c>
      <c r="G561" s="102" t="b">
        <v>0</v>
      </c>
      <c r="H561" s="102" t="b">
        <v>0</v>
      </c>
      <c r="I561" s="102" t="b">
        <v>0</v>
      </c>
      <c r="J561" s="102" t="b">
        <v>0</v>
      </c>
      <c r="K561" s="102" t="b">
        <v>0</v>
      </c>
      <c r="L561" s="102" t="b">
        <v>0</v>
      </c>
    </row>
    <row r="562" spans="1:12" ht="15">
      <c r="A562" s="104" t="s">
        <v>2651</v>
      </c>
      <c r="B562" s="102" t="s">
        <v>2365</v>
      </c>
      <c r="C562" s="102">
        <v>2</v>
      </c>
      <c r="D562" s="106">
        <v>0.0004993919862542396</v>
      </c>
      <c r="E562" s="106">
        <v>2.0967298238478196</v>
      </c>
      <c r="F562" s="102" t="s">
        <v>3369</v>
      </c>
      <c r="G562" s="102" t="b">
        <v>0</v>
      </c>
      <c r="H562" s="102" t="b">
        <v>0</v>
      </c>
      <c r="I562" s="102" t="b">
        <v>0</v>
      </c>
      <c r="J562" s="102" t="b">
        <v>0</v>
      </c>
      <c r="K562" s="102" t="b">
        <v>0</v>
      </c>
      <c r="L562" s="102" t="b">
        <v>0</v>
      </c>
    </row>
    <row r="563" spans="1:12" ht="15">
      <c r="A563" s="104" t="s">
        <v>2365</v>
      </c>
      <c r="B563" s="102" t="s">
        <v>2352</v>
      </c>
      <c r="C563" s="102">
        <v>2</v>
      </c>
      <c r="D563" s="106">
        <v>0.0004993919862542396</v>
      </c>
      <c r="E563" s="106">
        <v>0.538287937069981</v>
      </c>
      <c r="F563" s="102" t="s">
        <v>3369</v>
      </c>
      <c r="G563" s="102" t="b">
        <v>0</v>
      </c>
      <c r="H563" s="102" t="b">
        <v>0</v>
      </c>
      <c r="I563" s="102" t="b">
        <v>0</v>
      </c>
      <c r="J563" s="102" t="b">
        <v>0</v>
      </c>
      <c r="K563" s="102" t="b">
        <v>0</v>
      </c>
      <c r="L563" s="102" t="b">
        <v>0</v>
      </c>
    </row>
    <row r="564" spans="1:12" ht="15">
      <c r="A564" s="104" t="s">
        <v>2387</v>
      </c>
      <c r="B564" s="102" t="s">
        <v>2387</v>
      </c>
      <c r="C564" s="102">
        <v>2</v>
      </c>
      <c r="D564" s="106">
        <v>0.0004993919862542396</v>
      </c>
      <c r="E564" s="106">
        <v>1.4141502356999702</v>
      </c>
      <c r="F564" s="102" t="s">
        <v>3369</v>
      </c>
      <c r="G564" s="102" t="b">
        <v>0</v>
      </c>
      <c r="H564" s="102" t="b">
        <v>0</v>
      </c>
      <c r="I564" s="102" t="b">
        <v>0</v>
      </c>
      <c r="J564" s="102" t="b">
        <v>0</v>
      </c>
      <c r="K564" s="102" t="b">
        <v>0</v>
      </c>
      <c r="L564" s="102" t="b">
        <v>0</v>
      </c>
    </row>
    <row r="565" spans="1:12" ht="15">
      <c r="A565" s="104" t="s">
        <v>2352</v>
      </c>
      <c r="B565" s="102" t="s">
        <v>2366</v>
      </c>
      <c r="C565" s="102">
        <v>2</v>
      </c>
      <c r="D565" s="106">
        <v>0.0004993919862542396</v>
      </c>
      <c r="E565" s="106">
        <v>0.5535818952694788</v>
      </c>
      <c r="F565" s="102" t="s">
        <v>3369</v>
      </c>
      <c r="G565" s="102" t="b">
        <v>0</v>
      </c>
      <c r="H565" s="102" t="b">
        <v>0</v>
      </c>
      <c r="I565" s="102" t="b">
        <v>0</v>
      </c>
      <c r="J565" s="102" t="b">
        <v>0</v>
      </c>
      <c r="K565" s="102" t="b">
        <v>0</v>
      </c>
      <c r="L565" s="102" t="b">
        <v>0</v>
      </c>
    </row>
    <row r="566" spans="1:12" ht="15">
      <c r="A566" s="104" t="s">
        <v>2435</v>
      </c>
      <c r="B566" s="102" t="s">
        <v>2435</v>
      </c>
      <c r="C566" s="102">
        <v>2</v>
      </c>
      <c r="D566" s="106">
        <v>0.0004993919862542396</v>
      </c>
      <c r="E566" s="106">
        <v>1.9348075209863498</v>
      </c>
      <c r="F566" s="102" t="s">
        <v>3369</v>
      </c>
      <c r="G566" s="102" t="b">
        <v>0</v>
      </c>
      <c r="H566" s="102" t="b">
        <v>0</v>
      </c>
      <c r="I566" s="102" t="b">
        <v>0</v>
      </c>
      <c r="J566" s="102" t="b">
        <v>0</v>
      </c>
      <c r="K566" s="102" t="b">
        <v>0</v>
      </c>
      <c r="L566" s="102" t="b">
        <v>0</v>
      </c>
    </row>
    <row r="567" spans="1:12" ht="15">
      <c r="A567" s="104" t="s">
        <v>2433</v>
      </c>
      <c r="B567" s="102" t="s">
        <v>2352</v>
      </c>
      <c r="C567" s="102">
        <v>2</v>
      </c>
      <c r="D567" s="106">
        <v>0.0004993919862542396</v>
      </c>
      <c r="E567" s="106">
        <v>1.0056493545004872</v>
      </c>
      <c r="F567" s="102" t="s">
        <v>3369</v>
      </c>
      <c r="G567" s="102" t="b">
        <v>0</v>
      </c>
      <c r="H567" s="102" t="b">
        <v>0</v>
      </c>
      <c r="I567" s="102" t="b">
        <v>0</v>
      </c>
      <c r="J567" s="102" t="b">
        <v>0</v>
      </c>
      <c r="K567" s="102" t="b">
        <v>0</v>
      </c>
      <c r="L567" s="102" t="b">
        <v>0</v>
      </c>
    </row>
    <row r="568" spans="1:12" ht="15">
      <c r="A568" s="104" t="s">
        <v>2569</v>
      </c>
      <c r="B568" s="102" t="s">
        <v>2569</v>
      </c>
      <c r="C568" s="102">
        <v>2</v>
      </c>
      <c r="D568" s="106">
        <v>0.0004993919862542396</v>
      </c>
      <c r="E568" s="106">
        <v>2.6038143019449254</v>
      </c>
      <c r="F568" s="102" t="s">
        <v>3369</v>
      </c>
      <c r="G568" s="102" t="b">
        <v>0</v>
      </c>
      <c r="H568" s="102" t="b">
        <v>1</v>
      </c>
      <c r="I568" s="102" t="b">
        <v>0</v>
      </c>
      <c r="J568" s="102" t="b">
        <v>0</v>
      </c>
      <c r="K568" s="102" t="b">
        <v>1</v>
      </c>
      <c r="L568" s="102" t="b">
        <v>0</v>
      </c>
    </row>
    <row r="569" spans="1:12" ht="15">
      <c r="A569" s="104" t="s">
        <v>2387</v>
      </c>
      <c r="B569" s="102" t="s">
        <v>2366</v>
      </c>
      <c r="C569" s="102">
        <v>2</v>
      </c>
      <c r="D569" s="106">
        <v>0.0004993919862542396</v>
      </c>
      <c r="E569" s="106">
        <v>1.1993063876522725</v>
      </c>
      <c r="F569" s="102" t="s">
        <v>3369</v>
      </c>
      <c r="G569" s="102" t="b">
        <v>0</v>
      </c>
      <c r="H569" s="102" t="b">
        <v>0</v>
      </c>
      <c r="I569" s="102" t="b">
        <v>0</v>
      </c>
      <c r="J569" s="102" t="b">
        <v>0</v>
      </c>
      <c r="K569" s="102" t="b">
        <v>0</v>
      </c>
      <c r="L569" s="102" t="b">
        <v>0</v>
      </c>
    </row>
    <row r="570" spans="1:12" ht="15">
      <c r="A570" s="104" t="s">
        <v>2610</v>
      </c>
      <c r="B570" s="102" t="s">
        <v>2752</v>
      </c>
      <c r="C570" s="102">
        <v>2</v>
      </c>
      <c r="D570" s="106">
        <v>0.0004993919862542396</v>
      </c>
      <c r="E570" s="106">
        <v>2.8468523506312198</v>
      </c>
      <c r="F570" s="102" t="s">
        <v>3369</v>
      </c>
      <c r="G570" s="102" t="b">
        <v>0</v>
      </c>
      <c r="H570" s="102" t="b">
        <v>0</v>
      </c>
      <c r="I570" s="102" t="b">
        <v>0</v>
      </c>
      <c r="J570" s="102" t="b">
        <v>0</v>
      </c>
      <c r="K570" s="102" t="b">
        <v>0</v>
      </c>
      <c r="L570" s="102" t="b">
        <v>0</v>
      </c>
    </row>
    <row r="571" spans="1:12" ht="15">
      <c r="A571" s="104" t="s">
        <v>2752</v>
      </c>
      <c r="B571" s="102" t="s">
        <v>2352</v>
      </c>
      <c r="C571" s="102">
        <v>2</v>
      </c>
      <c r="D571" s="106">
        <v>0.0004993919862542396</v>
      </c>
      <c r="E571" s="106">
        <v>1.579680622228206</v>
      </c>
      <c r="F571" s="102" t="s">
        <v>3369</v>
      </c>
      <c r="G571" s="102" t="b">
        <v>0</v>
      </c>
      <c r="H571" s="102" t="b">
        <v>0</v>
      </c>
      <c r="I571" s="102" t="b">
        <v>0</v>
      </c>
      <c r="J571" s="102" t="b">
        <v>0</v>
      </c>
      <c r="K571" s="102" t="b">
        <v>0</v>
      </c>
      <c r="L571" s="102" t="b">
        <v>0</v>
      </c>
    </row>
    <row r="572" spans="1:12" ht="15">
      <c r="A572" s="104" t="s">
        <v>2359</v>
      </c>
      <c r="B572" s="102" t="s">
        <v>3089</v>
      </c>
      <c r="C572" s="102">
        <v>2</v>
      </c>
      <c r="D572" s="106">
        <v>0.0004993919862542396</v>
      </c>
      <c r="E572" s="106">
        <v>2.2447923593032573</v>
      </c>
      <c r="F572" s="102" t="s">
        <v>3369</v>
      </c>
      <c r="G572" s="102" t="b">
        <v>0</v>
      </c>
      <c r="H572" s="102" t="b">
        <v>0</v>
      </c>
      <c r="I572" s="102" t="b">
        <v>0</v>
      </c>
      <c r="J572" s="102" t="b">
        <v>0</v>
      </c>
      <c r="K572" s="102" t="b">
        <v>0</v>
      </c>
      <c r="L572" s="102" t="b">
        <v>0</v>
      </c>
    </row>
    <row r="573" spans="1:12" ht="15">
      <c r="A573" s="104" t="s">
        <v>3089</v>
      </c>
      <c r="B573" s="102" t="s">
        <v>2352</v>
      </c>
      <c r="C573" s="102">
        <v>2</v>
      </c>
      <c r="D573" s="106">
        <v>0.0004993919862542396</v>
      </c>
      <c r="E573" s="106">
        <v>1.8807106178921873</v>
      </c>
      <c r="F573" s="102" t="s">
        <v>3369</v>
      </c>
      <c r="G573" s="102" t="b">
        <v>0</v>
      </c>
      <c r="H573" s="102" t="b">
        <v>0</v>
      </c>
      <c r="I573" s="102" t="b">
        <v>0</v>
      </c>
      <c r="J573" s="102" t="b">
        <v>0</v>
      </c>
      <c r="K573" s="102" t="b">
        <v>0</v>
      </c>
      <c r="L573" s="102" t="b">
        <v>0</v>
      </c>
    </row>
    <row r="574" spans="1:12" ht="15">
      <c r="A574" s="104" t="s">
        <v>2359</v>
      </c>
      <c r="B574" s="102" t="s">
        <v>3090</v>
      </c>
      <c r="C574" s="102">
        <v>2</v>
      </c>
      <c r="D574" s="106">
        <v>0.0004993919862542396</v>
      </c>
      <c r="E574" s="106">
        <v>2.2447923593032573</v>
      </c>
      <c r="F574" s="102" t="s">
        <v>3369</v>
      </c>
      <c r="G574" s="102" t="b">
        <v>0</v>
      </c>
      <c r="H574" s="102" t="b">
        <v>0</v>
      </c>
      <c r="I574" s="102" t="b">
        <v>0</v>
      </c>
      <c r="J574" s="102" t="b">
        <v>0</v>
      </c>
      <c r="K574" s="102" t="b">
        <v>0</v>
      </c>
      <c r="L574" s="102" t="b">
        <v>0</v>
      </c>
    </row>
    <row r="575" spans="1:12" ht="15">
      <c r="A575" s="104" t="s">
        <v>3090</v>
      </c>
      <c r="B575" s="102" t="s">
        <v>2798</v>
      </c>
      <c r="C575" s="102">
        <v>2</v>
      </c>
      <c r="D575" s="106">
        <v>0.0004993919862542396</v>
      </c>
      <c r="E575" s="106">
        <v>3.4489123419591823</v>
      </c>
      <c r="F575" s="102" t="s">
        <v>3369</v>
      </c>
      <c r="G575" s="102" t="b">
        <v>0</v>
      </c>
      <c r="H575" s="102" t="b">
        <v>0</v>
      </c>
      <c r="I575" s="102" t="b">
        <v>0</v>
      </c>
      <c r="J575" s="102" t="b">
        <v>0</v>
      </c>
      <c r="K575" s="102" t="b">
        <v>0</v>
      </c>
      <c r="L575" s="102" t="b">
        <v>0</v>
      </c>
    </row>
    <row r="576" spans="1:12" ht="15">
      <c r="A576" s="104" t="s">
        <v>2798</v>
      </c>
      <c r="B576" s="102" t="s">
        <v>2352</v>
      </c>
      <c r="C576" s="102">
        <v>2</v>
      </c>
      <c r="D576" s="106">
        <v>0.0004993919862542396</v>
      </c>
      <c r="E576" s="106">
        <v>1.704619358836506</v>
      </c>
      <c r="F576" s="102" t="s">
        <v>3369</v>
      </c>
      <c r="G576" s="102" t="b">
        <v>0</v>
      </c>
      <c r="H576" s="102" t="b">
        <v>0</v>
      </c>
      <c r="I576" s="102" t="b">
        <v>0</v>
      </c>
      <c r="J576" s="102" t="b">
        <v>0</v>
      </c>
      <c r="K576" s="102" t="b">
        <v>0</v>
      </c>
      <c r="L576" s="102" t="b">
        <v>0</v>
      </c>
    </row>
    <row r="577" spans="1:12" ht="15">
      <c r="A577" s="104" t="s">
        <v>2751</v>
      </c>
      <c r="B577" s="102" t="s">
        <v>2352</v>
      </c>
      <c r="C577" s="102">
        <v>2</v>
      </c>
      <c r="D577" s="106">
        <v>0.0004993919862542396</v>
      </c>
      <c r="E577" s="106">
        <v>1.579680622228206</v>
      </c>
      <c r="F577" s="102" t="s">
        <v>3369</v>
      </c>
      <c r="G577" s="102" t="b">
        <v>0</v>
      </c>
      <c r="H577" s="102" t="b">
        <v>0</v>
      </c>
      <c r="I577" s="102" t="b">
        <v>0</v>
      </c>
      <c r="J577" s="102" t="b">
        <v>0</v>
      </c>
      <c r="K577" s="102" t="b">
        <v>0</v>
      </c>
      <c r="L577" s="102" t="b">
        <v>0</v>
      </c>
    </row>
    <row r="578" spans="1:12" ht="15">
      <c r="A578" s="104" t="s">
        <v>2359</v>
      </c>
      <c r="B578" s="102" t="s">
        <v>2863</v>
      </c>
      <c r="C578" s="102">
        <v>2</v>
      </c>
      <c r="D578" s="106">
        <v>0.0004993919862542396</v>
      </c>
      <c r="E578" s="106">
        <v>2.0687011002475764</v>
      </c>
      <c r="F578" s="102" t="s">
        <v>3369</v>
      </c>
      <c r="G578" s="102" t="b">
        <v>0</v>
      </c>
      <c r="H578" s="102" t="b">
        <v>0</v>
      </c>
      <c r="I578" s="102" t="b">
        <v>0</v>
      </c>
      <c r="J578" s="102" t="b">
        <v>0</v>
      </c>
      <c r="K578" s="102" t="b">
        <v>0</v>
      </c>
      <c r="L578" s="102" t="b">
        <v>0</v>
      </c>
    </row>
    <row r="579" spans="1:12" ht="15">
      <c r="A579" s="104" t="s">
        <v>2863</v>
      </c>
      <c r="B579" s="102" t="s">
        <v>2352</v>
      </c>
      <c r="C579" s="102">
        <v>2</v>
      </c>
      <c r="D579" s="106">
        <v>0.0004993919862542396</v>
      </c>
      <c r="E579" s="106">
        <v>1.704619358836506</v>
      </c>
      <c r="F579" s="102" t="s">
        <v>3369</v>
      </c>
      <c r="G579" s="102" t="b">
        <v>0</v>
      </c>
      <c r="H579" s="102" t="b">
        <v>0</v>
      </c>
      <c r="I579" s="102" t="b">
        <v>0</v>
      </c>
      <c r="J579" s="102" t="b">
        <v>0</v>
      </c>
      <c r="K579" s="102" t="b">
        <v>0</v>
      </c>
      <c r="L579" s="102" t="b">
        <v>0</v>
      </c>
    </row>
    <row r="580" spans="1:12" ht="15">
      <c r="A580" s="104" t="s">
        <v>2359</v>
      </c>
      <c r="B580" s="102" t="s">
        <v>3091</v>
      </c>
      <c r="C580" s="102">
        <v>2</v>
      </c>
      <c r="D580" s="106">
        <v>0.0004993919862542396</v>
      </c>
      <c r="E580" s="106">
        <v>2.2447923593032573</v>
      </c>
      <c r="F580" s="102" t="s">
        <v>3369</v>
      </c>
      <c r="G580" s="102" t="b">
        <v>0</v>
      </c>
      <c r="H580" s="102" t="b">
        <v>0</v>
      </c>
      <c r="I580" s="102" t="b">
        <v>0</v>
      </c>
      <c r="J580" s="102" t="b">
        <v>0</v>
      </c>
      <c r="K580" s="102" t="b">
        <v>0</v>
      </c>
      <c r="L580" s="102" t="b">
        <v>0</v>
      </c>
    </row>
    <row r="581" spans="1:12" ht="15">
      <c r="A581" s="104" t="s">
        <v>3091</v>
      </c>
      <c r="B581" s="102" t="s">
        <v>2352</v>
      </c>
      <c r="C581" s="102">
        <v>2</v>
      </c>
      <c r="D581" s="106">
        <v>0.0004993919862542396</v>
      </c>
      <c r="E581" s="106">
        <v>1.8807106178921873</v>
      </c>
      <c r="F581" s="102" t="s">
        <v>3369</v>
      </c>
      <c r="G581" s="102" t="b">
        <v>0</v>
      </c>
      <c r="H581" s="102" t="b">
        <v>0</v>
      </c>
      <c r="I581" s="102" t="b">
        <v>0</v>
      </c>
      <c r="J581" s="102" t="b">
        <v>0</v>
      </c>
      <c r="K581" s="102" t="b">
        <v>0</v>
      </c>
      <c r="L581" s="102" t="b">
        <v>0</v>
      </c>
    </row>
    <row r="582" spans="1:12" ht="15">
      <c r="A582" s="104" t="s">
        <v>2359</v>
      </c>
      <c r="B582" s="102" t="s">
        <v>2435</v>
      </c>
      <c r="C582" s="102">
        <v>2</v>
      </c>
      <c r="D582" s="106">
        <v>0.0004993919862542396</v>
      </c>
      <c r="E582" s="106">
        <v>1.3996943192890006</v>
      </c>
      <c r="F582" s="102" t="s">
        <v>3369</v>
      </c>
      <c r="G582" s="102" t="b">
        <v>0</v>
      </c>
      <c r="H582" s="102" t="b">
        <v>0</v>
      </c>
      <c r="I582" s="102" t="b">
        <v>0</v>
      </c>
      <c r="J582" s="102" t="b">
        <v>0</v>
      </c>
      <c r="K582" s="102" t="b">
        <v>0</v>
      </c>
      <c r="L582" s="102" t="b">
        <v>0</v>
      </c>
    </row>
    <row r="583" spans="1:12" ht="15">
      <c r="A583" s="104" t="s">
        <v>2435</v>
      </c>
      <c r="B583" s="102" t="s">
        <v>2361</v>
      </c>
      <c r="C583" s="102">
        <v>2</v>
      </c>
      <c r="D583" s="106">
        <v>0.0004993919862542396</v>
      </c>
      <c r="E583" s="106">
        <v>1.4277230428892442</v>
      </c>
      <c r="F583" s="102" t="s">
        <v>3369</v>
      </c>
      <c r="G583" s="102" t="b">
        <v>0</v>
      </c>
      <c r="H583" s="102" t="b">
        <v>0</v>
      </c>
      <c r="I583" s="102" t="b">
        <v>0</v>
      </c>
      <c r="J583" s="102" t="b">
        <v>0</v>
      </c>
      <c r="K583" s="102" t="b">
        <v>0</v>
      </c>
      <c r="L583" s="102" t="b">
        <v>0</v>
      </c>
    </row>
    <row r="584" spans="1:12" ht="15">
      <c r="A584" s="104" t="s">
        <v>2359</v>
      </c>
      <c r="B584" s="102" t="s">
        <v>2376</v>
      </c>
      <c r="C584" s="102">
        <v>2</v>
      </c>
      <c r="D584" s="106">
        <v>0.0004993919862542396</v>
      </c>
      <c r="E584" s="106">
        <v>1.0687011002475761</v>
      </c>
      <c r="F584" s="102" t="s">
        <v>3369</v>
      </c>
      <c r="G584" s="102" t="b">
        <v>0</v>
      </c>
      <c r="H584" s="102" t="b">
        <v>0</v>
      </c>
      <c r="I584" s="102" t="b">
        <v>0</v>
      </c>
      <c r="J584" s="102" t="b">
        <v>0</v>
      </c>
      <c r="K584" s="102" t="b">
        <v>0</v>
      </c>
      <c r="L584" s="102" t="b">
        <v>0</v>
      </c>
    </row>
    <row r="585" spans="1:12" ht="15">
      <c r="A585" s="104" t="s">
        <v>2376</v>
      </c>
      <c r="B585" s="102" t="s">
        <v>2361</v>
      </c>
      <c r="C585" s="102">
        <v>2</v>
      </c>
      <c r="D585" s="106">
        <v>0.0004993919862542396</v>
      </c>
      <c r="E585" s="106">
        <v>1.0967298238478198</v>
      </c>
      <c r="F585" s="102" t="s">
        <v>3369</v>
      </c>
      <c r="G585" s="102" t="b">
        <v>0</v>
      </c>
      <c r="H585" s="102" t="b">
        <v>0</v>
      </c>
      <c r="I585" s="102" t="b">
        <v>0</v>
      </c>
      <c r="J585" s="102" t="b">
        <v>0</v>
      </c>
      <c r="K585" s="102" t="b">
        <v>0</v>
      </c>
      <c r="L585" s="102" t="b">
        <v>0</v>
      </c>
    </row>
    <row r="586" spans="1:12" ht="15">
      <c r="A586" s="104" t="s">
        <v>2359</v>
      </c>
      <c r="B586" s="102" t="s">
        <v>2394</v>
      </c>
      <c r="C586" s="102">
        <v>2</v>
      </c>
      <c r="D586" s="106">
        <v>0.0004993919862542396</v>
      </c>
      <c r="E586" s="106">
        <v>1.2447923593032575</v>
      </c>
      <c r="F586" s="102" t="s">
        <v>3369</v>
      </c>
      <c r="G586" s="102" t="b">
        <v>0</v>
      </c>
      <c r="H586" s="102" t="b">
        <v>0</v>
      </c>
      <c r="I586" s="102" t="b">
        <v>0</v>
      </c>
      <c r="J586" s="102" t="b">
        <v>0</v>
      </c>
      <c r="K586" s="102" t="b">
        <v>0</v>
      </c>
      <c r="L586" s="102" t="b">
        <v>0</v>
      </c>
    </row>
    <row r="587" spans="1:12" ht="15">
      <c r="A587" s="104" t="s">
        <v>2390</v>
      </c>
      <c r="B587" s="102" t="s">
        <v>3092</v>
      </c>
      <c r="C587" s="102">
        <v>2</v>
      </c>
      <c r="D587" s="106">
        <v>0.0004993919862542396</v>
      </c>
      <c r="E587" s="106">
        <v>2.564305760661252</v>
      </c>
      <c r="F587" s="102" t="s">
        <v>3369</v>
      </c>
      <c r="G587" s="102" t="b">
        <v>0</v>
      </c>
      <c r="H587" s="102" t="b">
        <v>0</v>
      </c>
      <c r="I587" s="102" t="b">
        <v>0</v>
      </c>
      <c r="J587" s="102" t="b">
        <v>0</v>
      </c>
      <c r="K587" s="102" t="b">
        <v>0</v>
      </c>
      <c r="L587" s="102" t="b">
        <v>0</v>
      </c>
    </row>
    <row r="588" spans="1:12" ht="15">
      <c r="A588" s="104" t="s">
        <v>3092</v>
      </c>
      <c r="B588" s="102" t="s">
        <v>2671</v>
      </c>
      <c r="C588" s="102">
        <v>2</v>
      </c>
      <c r="D588" s="106">
        <v>0.0004993919862542396</v>
      </c>
      <c r="E588" s="106">
        <v>3.2270635923428257</v>
      </c>
      <c r="F588" s="102" t="s">
        <v>3369</v>
      </c>
      <c r="G588" s="102" t="b">
        <v>0</v>
      </c>
      <c r="H588" s="102" t="b">
        <v>0</v>
      </c>
      <c r="I588" s="102" t="b">
        <v>0</v>
      </c>
      <c r="J588" s="102" t="b">
        <v>0</v>
      </c>
      <c r="K588" s="102" t="b">
        <v>0</v>
      </c>
      <c r="L588" s="102" t="b">
        <v>0</v>
      </c>
    </row>
    <row r="589" spans="1:12" ht="15">
      <c r="A589" s="104" t="s">
        <v>2671</v>
      </c>
      <c r="B589" s="102" t="s">
        <v>3093</v>
      </c>
      <c r="C589" s="102">
        <v>2</v>
      </c>
      <c r="D589" s="106">
        <v>0.0004993919862542396</v>
      </c>
      <c r="E589" s="106">
        <v>3.2270635923428257</v>
      </c>
      <c r="F589" s="102" t="s">
        <v>3369</v>
      </c>
      <c r="G589" s="102" t="b">
        <v>0</v>
      </c>
      <c r="H589" s="102" t="b">
        <v>0</v>
      </c>
      <c r="I589" s="102" t="b">
        <v>0</v>
      </c>
      <c r="J589" s="102" t="b">
        <v>0</v>
      </c>
      <c r="K589" s="102" t="b">
        <v>0</v>
      </c>
      <c r="L589" s="102" t="b">
        <v>0</v>
      </c>
    </row>
    <row r="590" spans="1:12" ht="15">
      <c r="A590" s="104" t="s">
        <v>3093</v>
      </c>
      <c r="B590" s="102" t="s">
        <v>3094</v>
      </c>
      <c r="C590" s="102">
        <v>2</v>
      </c>
      <c r="D590" s="106">
        <v>0.0004993919862542396</v>
      </c>
      <c r="E590" s="106">
        <v>3.6250036010148636</v>
      </c>
      <c r="F590" s="102" t="s">
        <v>3369</v>
      </c>
      <c r="G590" s="102" t="b">
        <v>0</v>
      </c>
      <c r="H590" s="102" t="b">
        <v>0</v>
      </c>
      <c r="I590" s="102" t="b">
        <v>0</v>
      </c>
      <c r="J590" s="102" t="b">
        <v>0</v>
      </c>
      <c r="K590" s="102" t="b">
        <v>0</v>
      </c>
      <c r="L590" s="102" t="b">
        <v>0</v>
      </c>
    </row>
    <row r="591" spans="1:12" ht="15">
      <c r="A591" s="104" t="s">
        <v>3094</v>
      </c>
      <c r="B591" s="102" t="s">
        <v>3095</v>
      </c>
      <c r="C591" s="102">
        <v>2</v>
      </c>
      <c r="D591" s="106">
        <v>0.0004993919862542396</v>
      </c>
      <c r="E591" s="106">
        <v>3.6250036010148636</v>
      </c>
      <c r="F591" s="102" t="s">
        <v>3369</v>
      </c>
      <c r="G591" s="102" t="b">
        <v>0</v>
      </c>
      <c r="H591" s="102" t="b">
        <v>0</v>
      </c>
      <c r="I591" s="102" t="b">
        <v>0</v>
      </c>
      <c r="J591" s="102" t="b">
        <v>0</v>
      </c>
      <c r="K591" s="102" t="b">
        <v>0</v>
      </c>
      <c r="L591" s="102" t="b">
        <v>0</v>
      </c>
    </row>
    <row r="592" spans="1:12" ht="15">
      <c r="A592" s="104" t="s">
        <v>3095</v>
      </c>
      <c r="B592" s="102" t="s">
        <v>2359</v>
      </c>
      <c r="C592" s="102">
        <v>2</v>
      </c>
      <c r="D592" s="106">
        <v>0.0004993919862542396</v>
      </c>
      <c r="E592" s="106">
        <v>2.218463420580908</v>
      </c>
      <c r="F592" s="102" t="s">
        <v>3369</v>
      </c>
      <c r="G592" s="102" t="b">
        <v>0</v>
      </c>
      <c r="H592" s="102" t="b">
        <v>0</v>
      </c>
      <c r="I592" s="102" t="b">
        <v>0</v>
      </c>
      <c r="J592" s="102" t="b">
        <v>0</v>
      </c>
      <c r="K592" s="102" t="b">
        <v>0</v>
      </c>
      <c r="L592" s="102" t="b">
        <v>0</v>
      </c>
    </row>
    <row r="593" spans="1:12" ht="15">
      <c r="A593" s="104" t="s">
        <v>2359</v>
      </c>
      <c r="B593" s="102" t="s">
        <v>3096</v>
      </c>
      <c r="C593" s="102">
        <v>2</v>
      </c>
      <c r="D593" s="106">
        <v>0.0004993919862542396</v>
      </c>
      <c r="E593" s="106">
        <v>2.2447923593032573</v>
      </c>
      <c r="F593" s="102" t="s">
        <v>3369</v>
      </c>
      <c r="G593" s="102" t="b">
        <v>0</v>
      </c>
      <c r="H593" s="102" t="b">
        <v>0</v>
      </c>
      <c r="I593" s="102" t="b">
        <v>0</v>
      </c>
      <c r="J593" s="102" t="b">
        <v>0</v>
      </c>
      <c r="K593" s="102" t="b">
        <v>0</v>
      </c>
      <c r="L593" s="102" t="b">
        <v>0</v>
      </c>
    </row>
    <row r="594" spans="1:12" ht="15">
      <c r="A594" s="104" t="s">
        <v>3096</v>
      </c>
      <c r="B594" s="102" t="s">
        <v>2352</v>
      </c>
      <c r="C594" s="102">
        <v>2</v>
      </c>
      <c r="D594" s="106">
        <v>0.0004993919862542396</v>
      </c>
      <c r="E594" s="106">
        <v>1.8807106178921873</v>
      </c>
      <c r="F594" s="102" t="s">
        <v>3369</v>
      </c>
      <c r="G594" s="102" t="b">
        <v>0</v>
      </c>
      <c r="H594" s="102" t="b">
        <v>0</v>
      </c>
      <c r="I594" s="102" t="b">
        <v>0</v>
      </c>
      <c r="J594" s="102" t="b">
        <v>0</v>
      </c>
      <c r="K594" s="102" t="b">
        <v>0</v>
      </c>
      <c r="L594" s="102" t="b">
        <v>0</v>
      </c>
    </row>
    <row r="595" spans="1:12" ht="15">
      <c r="A595" s="104" t="s">
        <v>2611</v>
      </c>
      <c r="B595" s="102" t="s">
        <v>2611</v>
      </c>
      <c r="C595" s="102">
        <v>2</v>
      </c>
      <c r="D595" s="106">
        <v>0.0004993919862542396</v>
      </c>
      <c r="E595" s="106">
        <v>2.7499423376231635</v>
      </c>
      <c r="F595" s="102" t="s">
        <v>3369</v>
      </c>
      <c r="G595" s="102" t="b">
        <v>0</v>
      </c>
      <c r="H595" s="102" t="b">
        <v>1</v>
      </c>
      <c r="I595" s="102" t="b">
        <v>0</v>
      </c>
      <c r="J595" s="102" t="b">
        <v>0</v>
      </c>
      <c r="K595" s="102" t="b">
        <v>1</v>
      </c>
      <c r="L595" s="102" t="b">
        <v>0</v>
      </c>
    </row>
    <row r="596" spans="1:12" ht="15">
      <c r="A596" s="104" t="s">
        <v>2864</v>
      </c>
      <c r="B596" s="102" t="s">
        <v>2658</v>
      </c>
      <c r="C596" s="102">
        <v>2</v>
      </c>
      <c r="D596" s="106">
        <v>0.0004993919862542396</v>
      </c>
      <c r="E596" s="106">
        <v>3.050972333287145</v>
      </c>
      <c r="F596" s="102" t="s">
        <v>3369</v>
      </c>
      <c r="G596" s="102" t="b">
        <v>0</v>
      </c>
      <c r="H596" s="102" t="b">
        <v>0</v>
      </c>
      <c r="I596" s="102" t="b">
        <v>0</v>
      </c>
      <c r="J596" s="102" t="b">
        <v>0</v>
      </c>
      <c r="K596" s="102" t="b">
        <v>0</v>
      </c>
      <c r="L596" s="102" t="b">
        <v>0</v>
      </c>
    </row>
    <row r="597" spans="1:12" ht="15">
      <c r="A597" s="104" t="s">
        <v>2664</v>
      </c>
      <c r="B597" s="102" t="s">
        <v>2349</v>
      </c>
      <c r="C597" s="102">
        <v>2</v>
      </c>
      <c r="D597" s="106">
        <v>0.0005682933356852263</v>
      </c>
      <c r="E597" s="106">
        <v>1.1837013143216963</v>
      </c>
      <c r="F597" s="102" t="s">
        <v>3369</v>
      </c>
      <c r="G597" s="102" t="b">
        <v>0</v>
      </c>
      <c r="H597" s="102" t="b">
        <v>1</v>
      </c>
      <c r="I597" s="102" t="b">
        <v>0</v>
      </c>
      <c r="J597" s="102" t="b">
        <v>0</v>
      </c>
      <c r="K597" s="102" t="b">
        <v>0</v>
      </c>
      <c r="L597" s="102" t="b">
        <v>0</v>
      </c>
    </row>
    <row r="598" spans="1:12" ht="15">
      <c r="A598" s="104" t="s">
        <v>2349</v>
      </c>
      <c r="B598" s="102" t="s">
        <v>2409</v>
      </c>
      <c r="C598" s="102">
        <v>2</v>
      </c>
      <c r="D598" s="106">
        <v>0.0004993919862542396</v>
      </c>
      <c r="E598" s="106">
        <v>0.6702788100358005</v>
      </c>
      <c r="F598" s="102" t="s">
        <v>3369</v>
      </c>
      <c r="G598" s="102" t="b">
        <v>0</v>
      </c>
      <c r="H598" s="102" t="b">
        <v>0</v>
      </c>
      <c r="I598" s="102" t="b">
        <v>0</v>
      </c>
      <c r="J598" s="102" t="b">
        <v>0</v>
      </c>
      <c r="K598" s="102" t="b">
        <v>0</v>
      </c>
      <c r="L598" s="102" t="b">
        <v>0</v>
      </c>
    </row>
    <row r="599" spans="1:12" ht="15">
      <c r="A599" s="104" t="s">
        <v>3097</v>
      </c>
      <c r="B599" s="102" t="s">
        <v>2866</v>
      </c>
      <c r="C599" s="102">
        <v>2</v>
      </c>
      <c r="D599" s="106">
        <v>0.0005682933356852263</v>
      </c>
      <c r="E599" s="106">
        <v>3.4489123419591823</v>
      </c>
      <c r="F599" s="102" t="s">
        <v>3369</v>
      </c>
      <c r="G599" s="102" t="b">
        <v>0</v>
      </c>
      <c r="H599" s="102" t="b">
        <v>0</v>
      </c>
      <c r="I599" s="102" t="b">
        <v>0</v>
      </c>
      <c r="J599" s="102" t="b">
        <v>0</v>
      </c>
      <c r="K599" s="102" t="b">
        <v>0</v>
      </c>
      <c r="L599" s="102" t="b">
        <v>0</v>
      </c>
    </row>
    <row r="600" spans="1:12" ht="15">
      <c r="A600" s="104" t="s">
        <v>2366</v>
      </c>
      <c r="B600" s="102" t="s">
        <v>2352</v>
      </c>
      <c r="C600" s="102">
        <v>2</v>
      </c>
      <c r="D600" s="106">
        <v>0.0004993919862542396</v>
      </c>
      <c r="E600" s="106">
        <v>0.558491323158268</v>
      </c>
      <c r="F600" s="102" t="s">
        <v>3369</v>
      </c>
      <c r="G600" s="102" t="b">
        <v>0</v>
      </c>
      <c r="H600" s="102" t="b">
        <v>0</v>
      </c>
      <c r="I600" s="102" t="b">
        <v>0</v>
      </c>
      <c r="J600" s="102" t="b">
        <v>0</v>
      </c>
      <c r="K600" s="102" t="b">
        <v>0</v>
      </c>
      <c r="L600" s="102" t="b">
        <v>0</v>
      </c>
    </row>
    <row r="601" spans="1:12" ht="15">
      <c r="A601" s="104" t="s">
        <v>2364</v>
      </c>
      <c r="B601" s="102" t="s">
        <v>2348</v>
      </c>
      <c r="C601" s="102">
        <v>2</v>
      </c>
      <c r="D601" s="106">
        <v>0.0004993919862542396</v>
      </c>
      <c r="E601" s="106">
        <v>0.28784395648800765</v>
      </c>
      <c r="F601" s="102" t="s">
        <v>3369</v>
      </c>
      <c r="G601" s="102" t="b">
        <v>0</v>
      </c>
      <c r="H601" s="102" t="b">
        <v>0</v>
      </c>
      <c r="I601" s="102" t="b">
        <v>0</v>
      </c>
      <c r="J601" s="102" t="b">
        <v>0</v>
      </c>
      <c r="K601" s="102" t="b">
        <v>0</v>
      </c>
      <c r="L601" s="102" t="b">
        <v>0</v>
      </c>
    </row>
    <row r="602" spans="1:12" ht="15">
      <c r="A602" s="104" t="s">
        <v>2349</v>
      </c>
      <c r="B602" s="102" t="s">
        <v>2513</v>
      </c>
      <c r="C602" s="102">
        <v>2</v>
      </c>
      <c r="D602" s="106">
        <v>0.0004993919862542396</v>
      </c>
      <c r="E602" s="106">
        <v>0.9464852219747496</v>
      </c>
      <c r="F602" s="102" t="s">
        <v>3369</v>
      </c>
      <c r="G602" s="102" t="b">
        <v>0</v>
      </c>
      <c r="H602" s="102" t="b">
        <v>0</v>
      </c>
      <c r="I602" s="102" t="b">
        <v>0</v>
      </c>
      <c r="J602" s="102" t="b">
        <v>0</v>
      </c>
      <c r="K602" s="102" t="b">
        <v>0</v>
      </c>
      <c r="L602" s="102" t="b">
        <v>0</v>
      </c>
    </row>
    <row r="603" spans="1:12" ht="15">
      <c r="A603" s="104" t="s">
        <v>2352</v>
      </c>
      <c r="B603" s="102" t="s">
        <v>2367</v>
      </c>
      <c r="C603" s="102">
        <v>2</v>
      </c>
      <c r="D603" s="106">
        <v>0.0004993919862542396</v>
      </c>
      <c r="E603" s="106">
        <v>0.5753011449627149</v>
      </c>
      <c r="F603" s="102" t="s">
        <v>3369</v>
      </c>
      <c r="G603" s="102" t="b">
        <v>0</v>
      </c>
      <c r="H603" s="102" t="b">
        <v>0</v>
      </c>
      <c r="I603" s="102" t="b">
        <v>0</v>
      </c>
      <c r="J603" s="102" t="b">
        <v>0</v>
      </c>
      <c r="K603" s="102" t="b">
        <v>0</v>
      </c>
      <c r="L603" s="102" t="b">
        <v>0</v>
      </c>
    </row>
    <row r="604" spans="1:12" ht="15">
      <c r="A604" s="104" t="s">
        <v>2418</v>
      </c>
      <c r="B604" s="102" t="s">
        <v>2452</v>
      </c>
      <c r="C604" s="102">
        <v>2</v>
      </c>
      <c r="D604" s="106">
        <v>0.0005682933356852263</v>
      </c>
      <c r="E604" s="106">
        <v>1.882671318657715</v>
      </c>
      <c r="F604" s="102" t="s">
        <v>3369</v>
      </c>
      <c r="G604" s="102" t="b">
        <v>0</v>
      </c>
      <c r="H604" s="102" t="b">
        <v>0</v>
      </c>
      <c r="I604" s="102" t="b">
        <v>0</v>
      </c>
      <c r="J604" s="102" t="b">
        <v>0</v>
      </c>
      <c r="K604" s="102" t="b">
        <v>0</v>
      </c>
      <c r="L604" s="102" t="b">
        <v>0</v>
      </c>
    </row>
    <row r="605" spans="1:12" ht="15">
      <c r="A605" s="104" t="s">
        <v>2418</v>
      </c>
      <c r="B605" s="102" t="s">
        <v>3100</v>
      </c>
      <c r="C605" s="102">
        <v>2</v>
      </c>
      <c r="D605" s="106">
        <v>0.0005682933356852263</v>
      </c>
      <c r="E605" s="106">
        <v>2.6955846753005708</v>
      </c>
      <c r="F605" s="102" t="s">
        <v>3369</v>
      </c>
      <c r="G605" s="102" t="b">
        <v>0</v>
      </c>
      <c r="H605" s="102" t="b">
        <v>0</v>
      </c>
      <c r="I605" s="102" t="b">
        <v>0</v>
      </c>
      <c r="J605" s="102" t="b">
        <v>0</v>
      </c>
      <c r="K605" s="102" t="b">
        <v>0</v>
      </c>
      <c r="L605" s="102" t="b">
        <v>0</v>
      </c>
    </row>
    <row r="606" spans="1:12" ht="15">
      <c r="A606" s="104" t="s">
        <v>2453</v>
      </c>
      <c r="B606" s="102" t="s">
        <v>2356</v>
      </c>
      <c r="C606" s="102">
        <v>2</v>
      </c>
      <c r="D606" s="106">
        <v>0.0004993919862542396</v>
      </c>
      <c r="E606" s="106">
        <v>1.3496922464730516</v>
      </c>
      <c r="F606" s="102" t="s">
        <v>3369</v>
      </c>
      <c r="G606" s="102" t="b">
        <v>0</v>
      </c>
      <c r="H606" s="102" t="b">
        <v>0</v>
      </c>
      <c r="I606" s="102" t="b">
        <v>0</v>
      </c>
      <c r="J606" s="102" t="b">
        <v>0</v>
      </c>
      <c r="K606" s="102" t="b">
        <v>0</v>
      </c>
      <c r="L606" s="102" t="b">
        <v>0</v>
      </c>
    </row>
    <row r="607" spans="1:12" ht="15">
      <c r="A607" s="104" t="s">
        <v>2356</v>
      </c>
      <c r="B607" s="102" t="s">
        <v>2540</v>
      </c>
      <c r="C607" s="102">
        <v>2</v>
      </c>
      <c r="D607" s="106">
        <v>0.0004993919862542396</v>
      </c>
      <c r="E607" s="106">
        <v>1.5315819158526285</v>
      </c>
      <c r="F607" s="102" t="s">
        <v>3369</v>
      </c>
      <c r="G607" s="102" t="b">
        <v>0</v>
      </c>
      <c r="H607" s="102" t="b">
        <v>0</v>
      </c>
      <c r="I607" s="102" t="b">
        <v>0</v>
      </c>
      <c r="J607" s="102" t="b">
        <v>0</v>
      </c>
      <c r="K607" s="102" t="b">
        <v>0</v>
      </c>
      <c r="L607" s="102" t="b">
        <v>0</v>
      </c>
    </row>
    <row r="608" spans="1:12" ht="15">
      <c r="A608" s="104" t="s">
        <v>2540</v>
      </c>
      <c r="B608" s="102" t="s">
        <v>2348</v>
      </c>
      <c r="C608" s="102">
        <v>2</v>
      </c>
      <c r="D608" s="106">
        <v>0.0004993919862542396</v>
      </c>
      <c r="E608" s="106">
        <v>1.0080032598939646</v>
      </c>
      <c r="F608" s="102" t="s">
        <v>3369</v>
      </c>
      <c r="G608" s="102" t="b">
        <v>0</v>
      </c>
      <c r="H608" s="102" t="b">
        <v>0</v>
      </c>
      <c r="I608" s="102" t="b">
        <v>0</v>
      </c>
      <c r="J608" s="102" t="b">
        <v>0</v>
      </c>
      <c r="K608" s="102" t="b">
        <v>0</v>
      </c>
      <c r="L608" s="102" t="b">
        <v>0</v>
      </c>
    </row>
    <row r="609" spans="1:12" ht="15">
      <c r="A609" s="104" t="s">
        <v>2755</v>
      </c>
      <c r="B609" s="102" t="s">
        <v>2358</v>
      </c>
      <c r="C609" s="102">
        <v>2</v>
      </c>
      <c r="D609" s="106">
        <v>0.0004993919862542396</v>
      </c>
      <c r="E609" s="106">
        <v>1.8468523506312198</v>
      </c>
      <c r="F609" s="102" t="s">
        <v>3369</v>
      </c>
      <c r="G609" s="102" t="b">
        <v>0</v>
      </c>
      <c r="H609" s="102" t="b">
        <v>0</v>
      </c>
      <c r="I609" s="102" t="b">
        <v>0</v>
      </c>
      <c r="J609" s="102" t="b">
        <v>0</v>
      </c>
      <c r="K609" s="102" t="b">
        <v>0</v>
      </c>
      <c r="L609" s="102" t="b">
        <v>0</v>
      </c>
    </row>
    <row r="610" spans="1:12" ht="15">
      <c r="A610" s="104" t="s">
        <v>2349</v>
      </c>
      <c r="B610" s="102" t="s">
        <v>2591</v>
      </c>
      <c r="C610" s="102">
        <v>2</v>
      </c>
      <c r="D610" s="106">
        <v>0.0004993919862542396</v>
      </c>
      <c r="E610" s="106">
        <v>1.1225764810304308</v>
      </c>
      <c r="F610" s="102" t="s">
        <v>3369</v>
      </c>
      <c r="G610" s="102" t="b">
        <v>0</v>
      </c>
      <c r="H610" s="102" t="b">
        <v>0</v>
      </c>
      <c r="I610" s="102" t="b">
        <v>0</v>
      </c>
      <c r="J610" s="102" t="b">
        <v>0</v>
      </c>
      <c r="K610" s="102" t="b">
        <v>0</v>
      </c>
      <c r="L610" s="102" t="b">
        <v>0</v>
      </c>
    </row>
    <row r="611" spans="1:12" ht="15">
      <c r="A611" s="104" t="s">
        <v>2591</v>
      </c>
      <c r="B611" s="102" t="s">
        <v>2867</v>
      </c>
      <c r="C611" s="102">
        <v>2</v>
      </c>
      <c r="D611" s="106">
        <v>0.0004993919862542396</v>
      </c>
      <c r="E611" s="106">
        <v>2.9717910872395197</v>
      </c>
      <c r="F611" s="102" t="s">
        <v>3369</v>
      </c>
      <c r="G611" s="102" t="b">
        <v>0</v>
      </c>
      <c r="H611" s="102" t="b">
        <v>0</v>
      </c>
      <c r="I611" s="102" t="b">
        <v>0</v>
      </c>
      <c r="J611" s="102" t="b">
        <v>0</v>
      </c>
      <c r="K611" s="102" t="b">
        <v>0</v>
      </c>
      <c r="L611" s="102" t="b">
        <v>0</v>
      </c>
    </row>
    <row r="612" spans="1:12" ht="15">
      <c r="A612" s="104" t="s">
        <v>2867</v>
      </c>
      <c r="B612" s="102" t="s">
        <v>2349</v>
      </c>
      <c r="C612" s="102">
        <v>2</v>
      </c>
      <c r="D612" s="106">
        <v>0.0004993919862542396</v>
      </c>
      <c r="E612" s="106">
        <v>1.4055500639380527</v>
      </c>
      <c r="F612" s="102" t="s">
        <v>3369</v>
      </c>
      <c r="G612" s="102" t="b">
        <v>0</v>
      </c>
      <c r="H612" s="102" t="b">
        <v>0</v>
      </c>
      <c r="I612" s="102" t="b">
        <v>0</v>
      </c>
      <c r="J612" s="102" t="b">
        <v>0</v>
      </c>
      <c r="K612" s="102" t="b">
        <v>0</v>
      </c>
      <c r="L612" s="102" t="b">
        <v>0</v>
      </c>
    </row>
    <row r="613" spans="1:12" ht="15">
      <c r="A613" s="104" t="s">
        <v>2349</v>
      </c>
      <c r="B613" s="102" t="s">
        <v>3101</v>
      </c>
      <c r="C613" s="102">
        <v>2</v>
      </c>
      <c r="D613" s="106">
        <v>0.0004993919862542396</v>
      </c>
      <c r="E613" s="106">
        <v>1.5996977357500932</v>
      </c>
      <c r="F613" s="102" t="s">
        <v>3369</v>
      </c>
      <c r="G613" s="102" t="b">
        <v>0</v>
      </c>
      <c r="H613" s="102" t="b">
        <v>0</v>
      </c>
      <c r="I613" s="102" t="b">
        <v>0</v>
      </c>
      <c r="J613" s="102" t="b">
        <v>0</v>
      </c>
      <c r="K613" s="102" t="b">
        <v>0</v>
      </c>
      <c r="L613" s="102" t="b">
        <v>0</v>
      </c>
    </row>
    <row r="614" spans="1:12" ht="15">
      <c r="A614" s="104" t="s">
        <v>3101</v>
      </c>
      <c r="B614" s="102" t="s">
        <v>2591</v>
      </c>
      <c r="C614" s="102">
        <v>2</v>
      </c>
      <c r="D614" s="106">
        <v>0.0004993919862542396</v>
      </c>
      <c r="E614" s="106">
        <v>3.147882346295201</v>
      </c>
      <c r="F614" s="102" t="s">
        <v>3369</v>
      </c>
      <c r="G614" s="102" t="b">
        <v>0</v>
      </c>
      <c r="H614" s="102" t="b">
        <v>0</v>
      </c>
      <c r="I614" s="102" t="b">
        <v>0</v>
      </c>
      <c r="J614" s="102" t="b">
        <v>0</v>
      </c>
      <c r="K614" s="102" t="b">
        <v>0</v>
      </c>
      <c r="L614" s="102" t="b">
        <v>0</v>
      </c>
    </row>
    <row r="615" spans="1:12" ht="15">
      <c r="A615" s="104" t="s">
        <v>2591</v>
      </c>
      <c r="B615" s="102" t="s">
        <v>2348</v>
      </c>
      <c r="C615" s="102">
        <v>2</v>
      </c>
      <c r="D615" s="106">
        <v>0.0004993919862542396</v>
      </c>
      <c r="E615" s="106">
        <v>1.1329419965022645</v>
      </c>
      <c r="F615" s="102" t="s">
        <v>3369</v>
      </c>
      <c r="G615" s="102" t="b">
        <v>0</v>
      </c>
      <c r="H615" s="102" t="b">
        <v>0</v>
      </c>
      <c r="I615" s="102" t="b">
        <v>0</v>
      </c>
      <c r="J615" s="102" t="b">
        <v>0</v>
      </c>
      <c r="K615" s="102" t="b">
        <v>0</v>
      </c>
      <c r="L615" s="102" t="b">
        <v>0</v>
      </c>
    </row>
    <row r="616" spans="1:12" ht="15">
      <c r="A616" s="104" t="s">
        <v>2349</v>
      </c>
      <c r="B616" s="102" t="s">
        <v>2387</v>
      </c>
      <c r="C616" s="102">
        <v>2</v>
      </c>
      <c r="D616" s="106">
        <v>0.0004993919862542396</v>
      </c>
      <c r="E616" s="106">
        <v>0.5027877227420369</v>
      </c>
      <c r="F616" s="102" t="s">
        <v>3369</v>
      </c>
      <c r="G616" s="102" t="b">
        <v>0</v>
      </c>
      <c r="H616" s="102" t="b">
        <v>0</v>
      </c>
      <c r="I616" s="102" t="b">
        <v>0</v>
      </c>
      <c r="J616" s="102" t="b">
        <v>0</v>
      </c>
      <c r="K616" s="102" t="b">
        <v>0</v>
      </c>
      <c r="L616" s="102" t="b">
        <v>0</v>
      </c>
    </row>
    <row r="617" spans="1:12" ht="15">
      <c r="A617" s="104" t="s">
        <v>2387</v>
      </c>
      <c r="B617" s="102" t="s">
        <v>2367</v>
      </c>
      <c r="C617" s="102">
        <v>2</v>
      </c>
      <c r="D617" s="106">
        <v>0.0004993919862542396</v>
      </c>
      <c r="E617" s="106">
        <v>1.2210256373455086</v>
      </c>
      <c r="F617" s="102" t="s">
        <v>3369</v>
      </c>
      <c r="G617" s="102" t="b">
        <v>0</v>
      </c>
      <c r="H617" s="102" t="b">
        <v>0</v>
      </c>
      <c r="I617" s="102" t="b">
        <v>0</v>
      </c>
      <c r="J617" s="102" t="b">
        <v>0</v>
      </c>
      <c r="K617" s="102" t="b">
        <v>0</v>
      </c>
      <c r="L617" s="102" t="b">
        <v>0</v>
      </c>
    </row>
    <row r="618" spans="1:12" ht="15">
      <c r="A618" s="104" t="s">
        <v>2364</v>
      </c>
      <c r="B618" s="102" t="s">
        <v>2373</v>
      </c>
      <c r="C618" s="102">
        <v>2</v>
      </c>
      <c r="D618" s="106">
        <v>0.0004993919862542396</v>
      </c>
      <c r="E618" s="106">
        <v>1.0986643236250195</v>
      </c>
      <c r="F618" s="102" t="s">
        <v>3369</v>
      </c>
      <c r="G618" s="102" t="b">
        <v>0</v>
      </c>
      <c r="H618" s="102" t="b">
        <v>0</v>
      </c>
      <c r="I618" s="102" t="b">
        <v>0</v>
      </c>
      <c r="J618" s="102" t="b">
        <v>0</v>
      </c>
      <c r="K618" s="102" t="b">
        <v>0</v>
      </c>
      <c r="L618" s="102" t="b">
        <v>0</v>
      </c>
    </row>
    <row r="619" spans="1:12" ht="15">
      <c r="A619" s="104" t="s">
        <v>2373</v>
      </c>
      <c r="B619" s="102" t="s">
        <v>2352</v>
      </c>
      <c r="C619" s="102">
        <v>2</v>
      </c>
      <c r="D619" s="106">
        <v>0.0004993919862542396</v>
      </c>
      <c r="E619" s="106">
        <v>0.6903789197218958</v>
      </c>
      <c r="F619" s="102" t="s">
        <v>3369</v>
      </c>
      <c r="G619" s="102" t="b">
        <v>0</v>
      </c>
      <c r="H619" s="102" t="b">
        <v>0</v>
      </c>
      <c r="I619" s="102" t="b">
        <v>0</v>
      </c>
      <c r="J619" s="102" t="b">
        <v>0</v>
      </c>
      <c r="K619" s="102" t="b">
        <v>0</v>
      </c>
      <c r="L619" s="102" t="b">
        <v>0</v>
      </c>
    </row>
    <row r="620" spans="1:12" ht="15">
      <c r="A620" s="104" t="s">
        <v>2365</v>
      </c>
      <c r="B620" s="102" t="s">
        <v>3102</v>
      </c>
      <c r="C620" s="102">
        <v>2</v>
      </c>
      <c r="D620" s="106">
        <v>0.0004993919862542396</v>
      </c>
      <c r="E620" s="106">
        <v>2.2825809201926575</v>
      </c>
      <c r="F620" s="102" t="s">
        <v>3369</v>
      </c>
      <c r="G620" s="102" t="b">
        <v>0</v>
      </c>
      <c r="H620" s="102" t="b">
        <v>0</v>
      </c>
      <c r="I620" s="102" t="b">
        <v>0</v>
      </c>
      <c r="J620" s="102" t="b">
        <v>0</v>
      </c>
      <c r="K620" s="102" t="b">
        <v>0</v>
      </c>
      <c r="L620" s="102" t="b">
        <v>0</v>
      </c>
    </row>
    <row r="621" spans="1:12" ht="15">
      <c r="A621" s="104" t="s">
        <v>3102</v>
      </c>
      <c r="B621" s="102" t="s">
        <v>2376</v>
      </c>
      <c r="C621" s="102">
        <v>2</v>
      </c>
      <c r="D621" s="106">
        <v>0.0004993919862542396</v>
      </c>
      <c r="E621" s="106">
        <v>2.4489123419591823</v>
      </c>
      <c r="F621" s="102" t="s">
        <v>3369</v>
      </c>
      <c r="G621" s="102" t="b">
        <v>0</v>
      </c>
      <c r="H621" s="102" t="b">
        <v>0</v>
      </c>
      <c r="I621" s="102" t="b">
        <v>0</v>
      </c>
      <c r="J621" s="102" t="b">
        <v>0</v>
      </c>
      <c r="K621" s="102" t="b">
        <v>0</v>
      </c>
      <c r="L621" s="102" t="b">
        <v>0</v>
      </c>
    </row>
    <row r="622" spans="1:12" ht="15">
      <c r="A622" s="104" t="s">
        <v>2376</v>
      </c>
      <c r="B622" s="102" t="s">
        <v>2754</v>
      </c>
      <c r="C622" s="102">
        <v>2</v>
      </c>
      <c r="D622" s="106">
        <v>0.0004993919862542396</v>
      </c>
      <c r="E622" s="106">
        <v>2.147882346295201</v>
      </c>
      <c r="F622" s="102" t="s">
        <v>3369</v>
      </c>
      <c r="G622" s="102" t="b">
        <v>0</v>
      </c>
      <c r="H622" s="102" t="b">
        <v>0</v>
      </c>
      <c r="I622" s="102" t="b">
        <v>0</v>
      </c>
      <c r="J622" s="102" t="b">
        <v>0</v>
      </c>
      <c r="K622" s="102" t="b">
        <v>0</v>
      </c>
      <c r="L622" s="102" t="b">
        <v>0</v>
      </c>
    </row>
    <row r="623" spans="1:12" ht="15">
      <c r="A623" s="104" t="s">
        <v>2490</v>
      </c>
      <c r="B623" s="102" t="s">
        <v>2367</v>
      </c>
      <c r="C623" s="102">
        <v>2</v>
      </c>
      <c r="D623" s="106">
        <v>0.0004993919862542396</v>
      </c>
      <c r="E623" s="106">
        <v>1.6359989853163266</v>
      </c>
      <c r="F623" s="102" t="s">
        <v>3369</v>
      </c>
      <c r="G623" s="102" t="b">
        <v>0</v>
      </c>
      <c r="H623" s="102" t="b">
        <v>0</v>
      </c>
      <c r="I623" s="102" t="b">
        <v>0</v>
      </c>
      <c r="J623" s="102" t="b">
        <v>0</v>
      </c>
      <c r="K623" s="102" t="b">
        <v>0</v>
      </c>
      <c r="L623" s="102" t="b">
        <v>0</v>
      </c>
    </row>
    <row r="624" spans="1:12" ht="15">
      <c r="A624" s="104" t="s">
        <v>2367</v>
      </c>
      <c r="B624" s="102" t="s">
        <v>2351</v>
      </c>
      <c r="C624" s="102">
        <v>2</v>
      </c>
      <c r="D624" s="106">
        <v>0.0004993919862542396</v>
      </c>
      <c r="E624" s="106">
        <v>0.362552511284434</v>
      </c>
      <c r="F624" s="102" t="s">
        <v>3369</v>
      </c>
      <c r="G624" s="102" t="b">
        <v>0</v>
      </c>
      <c r="H624" s="102" t="b">
        <v>0</v>
      </c>
      <c r="I624" s="102" t="b">
        <v>0</v>
      </c>
      <c r="J624" s="102" t="b">
        <v>0</v>
      </c>
      <c r="K624" s="102" t="b">
        <v>0</v>
      </c>
      <c r="L624" s="102" t="b">
        <v>0</v>
      </c>
    </row>
    <row r="625" spans="1:12" ht="15">
      <c r="A625" s="104" t="s">
        <v>2367</v>
      </c>
      <c r="B625" s="102" t="s">
        <v>2349</v>
      </c>
      <c r="C625" s="102">
        <v>2</v>
      </c>
      <c r="D625" s="106">
        <v>0.0004993919862542396</v>
      </c>
      <c r="E625" s="106">
        <v>0.2806113273297527</v>
      </c>
      <c r="F625" s="102" t="s">
        <v>3369</v>
      </c>
      <c r="G625" s="102" t="b">
        <v>0</v>
      </c>
      <c r="H625" s="102" t="b">
        <v>0</v>
      </c>
      <c r="I625" s="102" t="b">
        <v>0</v>
      </c>
      <c r="J625" s="102" t="b">
        <v>0</v>
      </c>
      <c r="K625" s="102" t="b">
        <v>0</v>
      </c>
      <c r="L625" s="102" t="b">
        <v>0</v>
      </c>
    </row>
    <row r="626" spans="1:12" ht="15">
      <c r="A626" s="104" t="s">
        <v>2755</v>
      </c>
      <c r="B626" s="102" t="s">
        <v>2492</v>
      </c>
      <c r="C626" s="102">
        <v>2</v>
      </c>
      <c r="D626" s="106">
        <v>0.0004993919862542396</v>
      </c>
      <c r="E626" s="106">
        <v>2.6707610915755384</v>
      </c>
      <c r="F626" s="102" t="s">
        <v>3369</v>
      </c>
      <c r="G626" s="102" t="b">
        <v>0</v>
      </c>
      <c r="H626" s="102" t="b">
        <v>0</v>
      </c>
      <c r="I626" s="102" t="b">
        <v>0</v>
      </c>
      <c r="J626" s="102" t="b">
        <v>0</v>
      </c>
      <c r="K626" s="102" t="b">
        <v>0</v>
      </c>
      <c r="L626" s="102" t="b">
        <v>0</v>
      </c>
    </row>
    <row r="627" spans="1:12" ht="15">
      <c r="A627" s="104" t="s">
        <v>2492</v>
      </c>
      <c r="B627" s="102" t="s">
        <v>2513</v>
      </c>
      <c r="C627" s="102">
        <v>2</v>
      </c>
      <c r="D627" s="106">
        <v>0.0004993919862542396</v>
      </c>
      <c r="E627" s="106">
        <v>2.272821082903501</v>
      </c>
      <c r="F627" s="102" t="s">
        <v>3369</v>
      </c>
      <c r="G627" s="102" t="b">
        <v>0</v>
      </c>
      <c r="H627" s="102" t="b">
        <v>0</v>
      </c>
      <c r="I627" s="102" t="b">
        <v>0</v>
      </c>
      <c r="J627" s="102" t="b">
        <v>0</v>
      </c>
      <c r="K627" s="102" t="b">
        <v>0</v>
      </c>
      <c r="L627" s="102" t="b">
        <v>0</v>
      </c>
    </row>
    <row r="628" spans="1:12" ht="15">
      <c r="A628" s="104" t="s">
        <v>2357</v>
      </c>
      <c r="B628" s="102" t="s">
        <v>2359</v>
      </c>
      <c r="C628" s="102">
        <v>2</v>
      </c>
      <c r="D628" s="106">
        <v>0.0004993919862542396</v>
      </c>
      <c r="E628" s="106">
        <v>0.7341635812341224</v>
      </c>
      <c r="F628" s="102" t="s">
        <v>3369</v>
      </c>
      <c r="G628" s="102" t="b">
        <v>0</v>
      </c>
      <c r="H628" s="102" t="b">
        <v>0</v>
      </c>
      <c r="I628" s="102" t="b">
        <v>0</v>
      </c>
      <c r="J628" s="102" t="b">
        <v>0</v>
      </c>
      <c r="K628" s="102" t="b">
        <v>0</v>
      </c>
      <c r="L628" s="102" t="b">
        <v>0</v>
      </c>
    </row>
    <row r="629" spans="1:12" ht="15">
      <c r="A629" s="104" t="s">
        <v>2349</v>
      </c>
      <c r="B629" s="102" t="s">
        <v>2613</v>
      </c>
      <c r="C629" s="102">
        <v>2</v>
      </c>
      <c r="D629" s="106">
        <v>0.0005682933356852263</v>
      </c>
      <c r="E629" s="106">
        <v>1.1225764810304308</v>
      </c>
      <c r="F629" s="102" t="s">
        <v>3369</v>
      </c>
      <c r="G629" s="102" t="b">
        <v>0</v>
      </c>
      <c r="H629" s="102" t="b">
        <v>0</v>
      </c>
      <c r="I629" s="102" t="b">
        <v>0</v>
      </c>
      <c r="J629" s="102" t="b">
        <v>1</v>
      </c>
      <c r="K629" s="102" t="b">
        <v>0</v>
      </c>
      <c r="L629" s="102" t="b">
        <v>0</v>
      </c>
    </row>
    <row r="630" spans="1:12" ht="15">
      <c r="A630" s="104" t="s">
        <v>2506</v>
      </c>
      <c r="B630" s="102" t="s">
        <v>2362</v>
      </c>
      <c r="C630" s="102">
        <v>2</v>
      </c>
      <c r="D630" s="106">
        <v>0.0004993919862542396</v>
      </c>
      <c r="E630" s="106">
        <v>1.6393526273239143</v>
      </c>
      <c r="F630" s="102" t="s">
        <v>3369</v>
      </c>
      <c r="G630" s="102" t="b">
        <v>0</v>
      </c>
      <c r="H630" s="102" t="b">
        <v>0</v>
      </c>
      <c r="I630" s="102" t="b">
        <v>0</v>
      </c>
      <c r="J630" s="102" t="b">
        <v>0</v>
      </c>
      <c r="K630" s="102" t="b">
        <v>0</v>
      </c>
      <c r="L630" s="102" t="b">
        <v>0</v>
      </c>
    </row>
    <row r="631" spans="1:12" ht="15">
      <c r="A631" s="104" t="s">
        <v>2357</v>
      </c>
      <c r="B631" s="102" t="s">
        <v>2567</v>
      </c>
      <c r="C631" s="102">
        <v>2</v>
      </c>
      <c r="D631" s="106">
        <v>0.0004993919862542396</v>
      </c>
      <c r="E631" s="106">
        <v>1.5966357173178019</v>
      </c>
      <c r="F631" s="102" t="s">
        <v>3369</v>
      </c>
      <c r="G631" s="102" t="b">
        <v>0</v>
      </c>
      <c r="H631" s="102" t="b">
        <v>0</v>
      </c>
      <c r="I631" s="102" t="b">
        <v>0</v>
      </c>
      <c r="J631" s="102" t="b">
        <v>0</v>
      </c>
      <c r="K631" s="102" t="b">
        <v>0</v>
      </c>
      <c r="L631" s="102" t="b">
        <v>0</v>
      </c>
    </row>
    <row r="632" spans="1:12" ht="15">
      <c r="A632" s="104" t="s">
        <v>2353</v>
      </c>
      <c r="B632" s="102" t="s">
        <v>2359</v>
      </c>
      <c r="C632" s="102">
        <v>2</v>
      </c>
      <c r="D632" s="106">
        <v>0.0004993919862542396</v>
      </c>
      <c r="E632" s="106">
        <v>0.6330026910724076</v>
      </c>
      <c r="F632" s="102" t="s">
        <v>3369</v>
      </c>
      <c r="G632" s="102" t="b">
        <v>0</v>
      </c>
      <c r="H632" s="102" t="b">
        <v>0</v>
      </c>
      <c r="I632" s="102" t="b">
        <v>0</v>
      </c>
      <c r="J632" s="102" t="b">
        <v>0</v>
      </c>
      <c r="K632" s="102" t="b">
        <v>0</v>
      </c>
      <c r="L632" s="102" t="b">
        <v>0</v>
      </c>
    </row>
    <row r="633" spans="1:12" ht="15">
      <c r="A633" s="104" t="s">
        <v>2410</v>
      </c>
      <c r="B633" s="102" t="s">
        <v>2348</v>
      </c>
      <c r="C633" s="102">
        <v>2</v>
      </c>
      <c r="D633" s="106">
        <v>0.0004993919862542396</v>
      </c>
      <c r="E633" s="106">
        <v>0.6558207417826021</v>
      </c>
      <c r="F633" s="102" t="s">
        <v>3369</v>
      </c>
      <c r="G633" s="102" t="b">
        <v>0</v>
      </c>
      <c r="H633" s="102" t="b">
        <v>0</v>
      </c>
      <c r="I633" s="102" t="b">
        <v>0</v>
      </c>
      <c r="J633" s="102" t="b">
        <v>0</v>
      </c>
      <c r="K633" s="102" t="b">
        <v>0</v>
      </c>
      <c r="L633" s="102" t="b">
        <v>0</v>
      </c>
    </row>
    <row r="634" spans="1:12" ht="15">
      <c r="A634" s="104" t="s">
        <v>2349</v>
      </c>
      <c r="B634" s="102" t="s">
        <v>2540</v>
      </c>
      <c r="C634" s="102">
        <v>2</v>
      </c>
      <c r="D634" s="106">
        <v>0.0004993919862542396</v>
      </c>
      <c r="E634" s="106">
        <v>0.9976377444221308</v>
      </c>
      <c r="F634" s="102" t="s">
        <v>3369</v>
      </c>
      <c r="G634" s="102" t="b">
        <v>0</v>
      </c>
      <c r="H634" s="102" t="b">
        <v>0</v>
      </c>
      <c r="I634" s="102" t="b">
        <v>0</v>
      </c>
      <c r="J634" s="102" t="b">
        <v>0</v>
      </c>
      <c r="K634" s="102" t="b">
        <v>0</v>
      </c>
      <c r="L634" s="102" t="b">
        <v>0</v>
      </c>
    </row>
    <row r="635" spans="1:12" ht="15">
      <c r="A635" s="104" t="s">
        <v>2365</v>
      </c>
      <c r="B635" s="102" t="s">
        <v>3108</v>
      </c>
      <c r="C635" s="102">
        <v>2</v>
      </c>
      <c r="D635" s="106">
        <v>0.0004993919862542396</v>
      </c>
      <c r="E635" s="106">
        <v>2.2825809201926575</v>
      </c>
      <c r="F635" s="102" t="s">
        <v>3369</v>
      </c>
      <c r="G635" s="102" t="b">
        <v>0</v>
      </c>
      <c r="H635" s="102" t="b">
        <v>0</v>
      </c>
      <c r="I635" s="102" t="b">
        <v>0</v>
      </c>
      <c r="J635" s="102" t="b">
        <v>0</v>
      </c>
      <c r="K635" s="102" t="b">
        <v>0</v>
      </c>
      <c r="L635" s="102" t="b">
        <v>0</v>
      </c>
    </row>
    <row r="636" spans="1:12" ht="15">
      <c r="A636" s="104" t="s">
        <v>2869</v>
      </c>
      <c r="B636" s="102" t="s">
        <v>2492</v>
      </c>
      <c r="C636" s="102">
        <v>2</v>
      </c>
      <c r="D636" s="106">
        <v>0.0004993919862542396</v>
      </c>
      <c r="E636" s="106">
        <v>2.7956998281838388</v>
      </c>
      <c r="F636" s="102" t="s">
        <v>3369</v>
      </c>
      <c r="G636" s="102" t="b">
        <v>0</v>
      </c>
      <c r="H636" s="102" t="b">
        <v>0</v>
      </c>
      <c r="I636" s="102" t="b">
        <v>0</v>
      </c>
      <c r="J636" s="102" t="b">
        <v>0</v>
      </c>
      <c r="K636" s="102" t="b">
        <v>0</v>
      </c>
      <c r="L636" s="102" t="b">
        <v>0</v>
      </c>
    </row>
    <row r="637" spans="1:12" ht="15">
      <c r="A637" s="104" t="s">
        <v>2369</v>
      </c>
      <c r="B637" s="102" t="s">
        <v>2492</v>
      </c>
      <c r="C637" s="102">
        <v>2</v>
      </c>
      <c r="D637" s="106">
        <v>0.0004993919862542396</v>
      </c>
      <c r="E637" s="106">
        <v>1.7287530385532255</v>
      </c>
      <c r="F637" s="102" t="s">
        <v>3369</v>
      </c>
      <c r="G637" s="102" t="b">
        <v>0</v>
      </c>
      <c r="H637" s="102" t="b">
        <v>0</v>
      </c>
      <c r="I637" s="102" t="b">
        <v>0</v>
      </c>
      <c r="J637" s="102" t="b">
        <v>0</v>
      </c>
      <c r="K637" s="102" t="b">
        <v>0</v>
      </c>
      <c r="L637" s="102" t="b">
        <v>0</v>
      </c>
    </row>
    <row r="638" spans="1:12" ht="15">
      <c r="A638" s="104" t="s">
        <v>2492</v>
      </c>
      <c r="B638" s="102" t="s">
        <v>2381</v>
      </c>
      <c r="C638" s="102">
        <v>2</v>
      </c>
      <c r="D638" s="106">
        <v>0.0004993919862542396</v>
      </c>
      <c r="E638" s="106">
        <v>1.7646655944438698</v>
      </c>
      <c r="F638" s="102" t="s">
        <v>3369</v>
      </c>
      <c r="G638" s="102" t="b">
        <v>0</v>
      </c>
      <c r="H638" s="102" t="b">
        <v>0</v>
      </c>
      <c r="I638" s="102" t="b">
        <v>0</v>
      </c>
      <c r="J638" s="102" t="b">
        <v>0</v>
      </c>
      <c r="K638" s="102" t="b">
        <v>0</v>
      </c>
      <c r="L638" s="102" t="b">
        <v>0</v>
      </c>
    </row>
    <row r="639" spans="1:12" ht="15">
      <c r="A639" s="104" t="s">
        <v>2349</v>
      </c>
      <c r="B639" s="102" t="s">
        <v>2360</v>
      </c>
      <c r="C639" s="102">
        <v>2</v>
      </c>
      <c r="D639" s="106">
        <v>0.0004993919862542396</v>
      </c>
      <c r="E639" s="106">
        <v>0.2379698997325003</v>
      </c>
      <c r="F639" s="102" t="s">
        <v>3369</v>
      </c>
      <c r="G639" s="102" t="b">
        <v>0</v>
      </c>
      <c r="H639" s="102" t="b">
        <v>0</v>
      </c>
      <c r="I639" s="102" t="b">
        <v>0</v>
      </c>
      <c r="J639" s="102" t="b">
        <v>0</v>
      </c>
      <c r="K639" s="102" t="b">
        <v>1</v>
      </c>
      <c r="L639" s="102" t="b">
        <v>0</v>
      </c>
    </row>
    <row r="640" spans="1:12" ht="15">
      <c r="A640" s="104" t="s">
        <v>2870</v>
      </c>
      <c r="B640" s="102" t="s">
        <v>2381</v>
      </c>
      <c r="C640" s="102">
        <v>2</v>
      </c>
      <c r="D640" s="106">
        <v>0.0004993919862542396</v>
      </c>
      <c r="E640" s="106">
        <v>2.2875443397242075</v>
      </c>
      <c r="F640" s="102" t="s">
        <v>3369</v>
      </c>
      <c r="G640" s="102" t="b">
        <v>0</v>
      </c>
      <c r="H640" s="102" t="b">
        <v>0</v>
      </c>
      <c r="I640" s="102" t="b">
        <v>0</v>
      </c>
      <c r="J640" s="102" t="b">
        <v>0</v>
      </c>
      <c r="K640" s="102" t="b">
        <v>0</v>
      </c>
      <c r="L640" s="102" t="b">
        <v>0</v>
      </c>
    </row>
    <row r="641" spans="1:12" ht="15">
      <c r="A641" s="104" t="s">
        <v>2369</v>
      </c>
      <c r="B641" s="102" t="s">
        <v>2398</v>
      </c>
      <c r="C641" s="102">
        <v>2</v>
      </c>
      <c r="D641" s="106">
        <v>0.0004993919862542396</v>
      </c>
      <c r="E641" s="106">
        <v>1.360776253258631</v>
      </c>
      <c r="F641" s="102" t="s">
        <v>3369</v>
      </c>
      <c r="G641" s="102" t="b">
        <v>0</v>
      </c>
      <c r="H641" s="102" t="b">
        <v>0</v>
      </c>
      <c r="I641" s="102" t="b">
        <v>0</v>
      </c>
      <c r="J641" s="102" t="b">
        <v>0</v>
      </c>
      <c r="K641" s="102" t="b">
        <v>0</v>
      </c>
      <c r="L641" s="102" t="b">
        <v>0</v>
      </c>
    </row>
    <row r="642" spans="1:12" ht="15">
      <c r="A642" s="104" t="s">
        <v>2367</v>
      </c>
      <c r="B642" s="102" t="s">
        <v>3111</v>
      </c>
      <c r="C642" s="102">
        <v>2</v>
      </c>
      <c r="D642" s="106">
        <v>0.0005682933356852263</v>
      </c>
      <c r="E642" s="106">
        <v>2.3239736053508824</v>
      </c>
      <c r="F642" s="102" t="s">
        <v>3369</v>
      </c>
      <c r="G642" s="102" t="b">
        <v>0</v>
      </c>
      <c r="H642" s="102" t="b">
        <v>0</v>
      </c>
      <c r="I642" s="102" t="b">
        <v>0</v>
      </c>
      <c r="J642" s="102" t="b">
        <v>0</v>
      </c>
      <c r="K642" s="102" t="b">
        <v>0</v>
      </c>
      <c r="L642" s="102" t="b">
        <v>0</v>
      </c>
    </row>
    <row r="643" spans="1:12" ht="15">
      <c r="A643" s="104" t="s">
        <v>3112</v>
      </c>
      <c r="B643" s="102" t="s">
        <v>3113</v>
      </c>
      <c r="C643" s="102">
        <v>2</v>
      </c>
      <c r="D643" s="106">
        <v>0.0005682933356852263</v>
      </c>
      <c r="E643" s="106">
        <v>3.6250036010148636</v>
      </c>
      <c r="F643" s="102" t="s">
        <v>3369</v>
      </c>
      <c r="G643" s="102" t="b">
        <v>0</v>
      </c>
      <c r="H643" s="102" t="b">
        <v>0</v>
      </c>
      <c r="I643" s="102" t="b">
        <v>0</v>
      </c>
      <c r="J643" s="102" t="b">
        <v>0</v>
      </c>
      <c r="K643" s="102" t="b">
        <v>0</v>
      </c>
      <c r="L643" s="102" t="b">
        <v>0</v>
      </c>
    </row>
    <row r="644" spans="1:12" ht="15">
      <c r="A644" s="104" t="s">
        <v>3113</v>
      </c>
      <c r="B644" s="102" t="s">
        <v>3114</v>
      </c>
      <c r="C644" s="102">
        <v>2</v>
      </c>
      <c r="D644" s="106">
        <v>0.0005682933356852263</v>
      </c>
      <c r="E644" s="106">
        <v>3.6250036010148636</v>
      </c>
      <c r="F644" s="102" t="s">
        <v>3369</v>
      </c>
      <c r="G644" s="102" t="b">
        <v>0</v>
      </c>
      <c r="H644" s="102" t="b">
        <v>0</v>
      </c>
      <c r="I644" s="102" t="b">
        <v>0</v>
      </c>
      <c r="J644" s="102" t="b">
        <v>0</v>
      </c>
      <c r="K644" s="102" t="b">
        <v>0</v>
      </c>
      <c r="L644" s="102" t="b">
        <v>0</v>
      </c>
    </row>
    <row r="645" spans="1:12" ht="15">
      <c r="A645" s="104" t="s">
        <v>2352</v>
      </c>
      <c r="B645" s="102" t="s">
        <v>2352</v>
      </c>
      <c r="C645" s="102">
        <v>2</v>
      </c>
      <c r="D645" s="106">
        <v>0.0004993919862542396</v>
      </c>
      <c r="E645" s="106">
        <v>0.12104277320255673</v>
      </c>
      <c r="F645" s="102" t="s">
        <v>3369</v>
      </c>
      <c r="G645" s="102" t="b">
        <v>0</v>
      </c>
      <c r="H645" s="102" t="b">
        <v>0</v>
      </c>
      <c r="I645" s="102" t="b">
        <v>0</v>
      </c>
      <c r="J645" s="102" t="b">
        <v>0</v>
      </c>
      <c r="K645" s="102" t="b">
        <v>0</v>
      </c>
      <c r="L645" s="102" t="b">
        <v>0</v>
      </c>
    </row>
    <row r="646" spans="1:12" ht="15">
      <c r="A646" s="104" t="s">
        <v>2383</v>
      </c>
      <c r="B646" s="102" t="s">
        <v>2367</v>
      </c>
      <c r="C646" s="102">
        <v>2</v>
      </c>
      <c r="D646" s="106">
        <v>0.0004993919862542396</v>
      </c>
      <c r="E646" s="106">
        <v>1.238058976644289</v>
      </c>
      <c r="F646" s="102" t="s">
        <v>3369</v>
      </c>
      <c r="G646" s="102" t="b">
        <v>0</v>
      </c>
      <c r="H646" s="102" t="b">
        <v>0</v>
      </c>
      <c r="I646" s="102" t="b">
        <v>0</v>
      </c>
      <c r="J646" s="102" t="b">
        <v>0</v>
      </c>
      <c r="K646" s="102" t="b">
        <v>0</v>
      </c>
      <c r="L646" s="102" t="b">
        <v>0</v>
      </c>
    </row>
    <row r="647" spans="1:12" ht="15">
      <c r="A647" s="104" t="s">
        <v>2367</v>
      </c>
      <c r="B647" s="102" t="s">
        <v>2448</v>
      </c>
      <c r="C647" s="102">
        <v>2</v>
      </c>
      <c r="D647" s="106">
        <v>0.0004993919862542396</v>
      </c>
      <c r="E647" s="106">
        <v>1.4788755653366255</v>
      </c>
      <c r="F647" s="102" t="s">
        <v>3369</v>
      </c>
      <c r="G647" s="102" t="b">
        <v>0</v>
      </c>
      <c r="H647" s="102" t="b">
        <v>0</v>
      </c>
      <c r="I647" s="102" t="b">
        <v>0</v>
      </c>
      <c r="J647" s="102" t="b">
        <v>0</v>
      </c>
      <c r="K647" s="102" t="b">
        <v>0</v>
      </c>
      <c r="L647" s="102" t="b">
        <v>0</v>
      </c>
    </row>
    <row r="648" spans="1:12" ht="15">
      <c r="A648" s="104" t="s">
        <v>2730</v>
      </c>
      <c r="B648" s="102" t="s">
        <v>2495</v>
      </c>
      <c r="C648" s="102">
        <v>2</v>
      </c>
      <c r="D648" s="106">
        <v>0.0005682933356852263</v>
      </c>
      <c r="E648" s="106">
        <v>2.625003601014863</v>
      </c>
      <c r="F648" s="102" t="s">
        <v>3369</v>
      </c>
      <c r="G648" s="102" t="b">
        <v>0</v>
      </c>
      <c r="H648" s="102" t="b">
        <v>0</v>
      </c>
      <c r="I648" s="102" t="b">
        <v>0</v>
      </c>
      <c r="J648" s="102" t="b">
        <v>0</v>
      </c>
      <c r="K648" s="102" t="b">
        <v>0</v>
      </c>
      <c r="L648" s="102" t="b">
        <v>0</v>
      </c>
    </row>
    <row r="649" spans="1:12" ht="15">
      <c r="A649" s="104" t="s">
        <v>2350</v>
      </c>
      <c r="B649" s="102" t="s">
        <v>2438</v>
      </c>
      <c r="C649" s="102">
        <v>2</v>
      </c>
      <c r="D649" s="106">
        <v>0.0004993919862542396</v>
      </c>
      <c r="E649" s="106">
        <v>0.8912046810230079</v>
      </c>
      <c r="F649" s="102" t="s">
        <v>3369</v>
      </c>
      <c r="G649" s="102" t="b">
        <v>0</v>
      </c>
      <c r="H649" s="102" t="b">
        <v>0</v>
      </c>
      <c r="I649" s="102" t="b">
        <v>0</v>
      </c>
      <c r="J649" s="102" t="b">
        <v>0</v>
      </c>
      <c r="K649" s="102" t="b">
        <v>0</v>
      </c>
      <c r="L649" s="102" t="b">
        <v>0</v>
      </c>
    </row>
    <row r="650" spans="1:12" ht="15">
      <c r="A650" s="104" t="s">
        <v>2376</v>
      </c>
      <c r="B650" s="102" t="s">
        <v>2380</v>
      </c>
      <c r="C650" s="102">
        <v>2</v>
      </c>
      <c r="D650" s="106">
        <v>0.0005682933356852263</v>
      </c>
      <c r="E650" s="106">
        <v>1.2875443397242072</v>
      </c>
      <c r="F650" s="102" t="s">
        <v>3369</v>
      </c>
      <c r="G650" s="102" t="b">
        <v>0</v>
      </c>
      <c r="H650" s="102" t="b">
        <v>0</v>
      </c>
      <c r="I650" s="102" t="b">
        <v>0</v>
      </c>
      <c r="J650" s="102" t="b">
        <v>0</v>
      </c>
      <c r="K650" s="102" t="b">
        <v>0</v>
      </c>
      <c r="L650" s="102" t="b">
        <v>0</v>
      </c>
    </row>
    <row r="651" spans="1:12" ht="15">
      <c r="A651" s="104" t="s">
        <v>2610</v>
      </c>
      <c r="B651" s="102" t="s">
        <v>2352</v>
      </c>
      <c r="C651" s="102">
        <v>2</v>
      </c>
      <c r="D651" s="106">
        <v>0.0004993919862542396</v>
      </c>
      <c r="E651" s="106">
        <v>1.4035893631725247</v>
      </c>
      <c r="F651" s="102" t="s">
        <v>3369</v>
      </c>
      <c r="G651" s="102" t="b">
        <v>0</v>
      </c>
      <c r="H651" s="102" t="b">
        <v>0</v>
      </c>
      <c r="I651" s="102" t="b">
        <v>0</v>
      </c>
      <c r="J651" s="102" t="b">
        <v>0</v>
      </c>
      <c r="K651" s="102" t="b">
        <v>0</v>
      </c>
      <c r="L651" s="102" t="b">
        <v>0</v>
      </c>
    </row>
    <row r="652" spans="1:12" ht="15">
      <c r="A652" s="104" t="s">
        <v>3124</v>
      </c>
      <c r="B652" s="102" t="s">
        <v>2469</v>
      </c>
      <c r="C652" s="102">
        <v>2</v>
      </c>
      <c r="D652" s="106">
        <v>0.0004993919862542396</v>
      </c>
      <c r="E652" s="106">
        <v>2.8468523506312198</v>
      </c>
      <c r="F652" s="102" t="s">
        <v>3369</v>
      </c>
      <c r="G652" s="102" t="b">
        <v>0</v>
      </c>
      <c r="H652" s="102" t="b">
        <v>0</v>
      </c>
      <c r="I652" s="102" t="b">
        <v>0</v>
      </c>
      <c r="J652" s="102" t="b">
        <v>0</v>
      </c>
      <c r="K652" s="102" t="b">
        <v>0</v>
      </c>
      <c r="L652" s="102" t="b">
        <v>0</v>
      </c>
    </row>
    <row r="653" spans="1:12" ht="15">
      <c r="A653" s="104" t="s">
        <v>2469</v>
      </c>
      <c r="B653" s="102" t="s">
        <v>2515</v>
      </c>
      <c r="C653" s="102">
        <v>2</v>
      </c>
      <c r="D653" s="106">
        <v>0.0004993919862542396</v>
      </c>
      <c r="E653" s="106">
        <v>2.1936398368558763</v>
      </c>
      <c r="F653" s="102" t="s">
        <v>3369</v>
      </c>
      <c r="G653" s="102" t="b">
        <v>0</v>
      </c>
      <c r="H653" s="102" t="b">
        <v>0</v>
      </c>
      <c r="I653" s="102" t="b">
        <v>0</v>
      </c>
      <c r="J653" s="102" t="b">
        <v>0</v>
      </c>
      <c r="K653" s="102" t="b">
        <v>0</v>
      </c>
      <c r="L653" s="102" t="b">
        <v>0</v>
      </c>
    </row>
    <row r="654" spans="1:12" ht="15">
      <c r="A654" s="104" t="s">
        <v>2514</v>
      </c>
      <c r="B654" s="102" t="s">
        <v>2609</v>
      </c>
      <c r="C654" s="102">
        <v>2</v>
      </c>
      <c r="D654" s="106">
        <v>0.0005682933356852263</v>
      </c>
      <c r="E654" s="106">
        <v>2.5458223549672385</v>
      </c>
      <c r="F654" s="102" t="s">
        <v>3369</v>
      </c>
      <c r="G654" s="102" t="b">
        <v>0</v>
      </c>
      <c r="H654" s="102" t="b">
        <v>0</v>
      </c>
      <c r="I654" s="102" t="b">
        <v>0</v>
      </c>
      <c r="J654" s="102" t="b">
        <v>0</v>
      </c>
      <c r="K654" s="102" t="b">
        <v>0</v>
      </c>
      <c r="L654" s="102" t="b">
        <v>0</v>
      </c>
    </row>
    <row r="655" spans="1:12" ht="15">
      <c r="A655" s="104" t="s">
        <v>2609</v>
      </c>
      <c r="B655" s="102" t="s">
        <v>2348</v>
      </c>
      <c r="C655" s="102">
        <v>2</v>
      </c>
      <c r="D655" s="106">
        <v>0.0005682933356852263</v>
      </c>
      <c r="E655" s="106">
        <v>1.2121232425498893</v>
      </c>
      <c r="F655" s="102" t="s">
        <v>3369</v>
      </c>
      <c r="G655" s="102" t="b">
        <v>0</v>
      </c>
      <c r="H655" s="102" t="b">
        <v>0</v>
      </c>
      <c r="I655" s="102" t="b">
        <v>0</v>
      </c>
      <c r="J655" s="102" t="b">
        <v>0</v>
      </c>
      <c r="K655" s="102" t="b">
        <v>0</v>
      </c>
      <c r="L655" s="102" t="b">
        <v>0</v>
      </c>
    </row>
    <row r="656" spans="1:12" ht="15">
      <c r="A656" s="104" t="s">
        <v>2351</v>
      </c>
      <c r="B656" s="102" t="s">
        <v>2399</v>
      </c>
      <c r="C656" s="102">
        <v>2</v>
      </c>
      <c r="D656" s="106">
        <v>0.0004993919862542396</v>
      </c>
      <c r="E656" s="106">
        <v>0.6471657227397221</v>
      </c>
      <c r="F656" s="102" t="s">
        <v>3369</v>
      </c>
      <c r="G656" s="102" t="b">
        <v>0</v>
      </c>
      <c r="H656" s="102" t="b">
        <v>0</v>
      </c>
      <c r="I656" s="102" t="b">
        <v>0</v>
      </c>
      <c r="J656" s="102" t="b">
        <v>0</v>
      </c>
      <c r="K656" s="102" t="b">
        <v>0</v>
      </c>
      <c r="L656" s="102" t="b">
        <v>0</v>
      </c>
    </row>
    <row r="657" spans="1:12" ht="15">
      <c r="A657" s="104" t="s">
        <v>2876</v>
      </c>
      <c r="B657" s="102" t="s">
        <v>2410</v>
      </c>
      <c r="C657" s="102">
        <v>2</v>
      </c>
      <c r="D657" s="106">
        <v>0.0004993919862542396</v>
      </c>
      <c r="E657" s="106">
        <v>2.4946698325198575</v>
      </c>
      <c r="F657" s="102" t="s">
        <v>3369</v>
      </c>
      <c r="G657" s="102" t="b">
        <v>0</v>
      </c>
      <c r="H657" s="102" t="b">
        <v>0</v>
      </c>
      <c r="I657" s="102" t="b">
        <v>0</v>
      </c>
      <c r="J657" s="102" t="b">
        <v>0</v>
      </c>
      <c r="K657" s="102" t="b">
        <v>0</v>
      </c>
      <c r="L657" s="102" t="b">
        <v>0</v>
      </c>
    </row>
    <row r="658" spans="1:12" ht="15">
      <c r="A658" s="104" t="s">
        <v>2410</v>
      </c>
      <c r="B658" s="102" t="s">
        <v>2356</v>
      </c>
      <c r="C658" s="102">
        <v>2</v>
      </c>
      <c r="D658" s="106">
        <v>0.0004993919862542396</v>
      </c>
      <c r="E658" s="106">
        <v>1.2083630936765823</v>
      </c>
      <c r="F658" s="102" t="s">
        <v>3369</v>
      </c>
      <c r="G658" s="102" t="b">
        <v>0</v>
      </c>
      <c r="H658" s="102" t="b">
        <v>0</v>
      </c>
      <c r="I658" s="102" t="b">
        <v>0</v>
      </c>
      <c r="J658" s="102" t="b">
        <v>0</v>
      </c>
      <c r="K658" s="102" t="b">
        <v>0</v>
      </c>
      <c r="L658" s="102" t="b">
        <v>0</v>
      </c>
    </row>
    <row r="659" spans="1:12" ht="15">
      <c r="A659" s="104" t="s">
        <v>2356</v>
      </c>
      <c r="B659" s="102" t="s">
        <v>2410</v>
      </c>
      <c r="C659" s="102">
        <v>2</v>
      </c>
      <c r="D659" s="106">
        <v>0.0004993919862542396</v>
      </c>
      <c r="E659" s="106">
        <v>1.179399397741266</v>
      </c>
      <c r="F659" s="102" t="s">
        <v>3369</v>
      </c>
      <c r="G659" s="102" t="b">
        <v>0</v>
      </c>
      <c r="H659" s="102" t="b">
        <v>0</v>
      </c>
      <c r="I659" s="102" t="b">
        <v>0</v>
      </c>
      <c r="J659" s="102" t="b">
        <v>0</v>
      </c>
      <c r="K659" s="102" t="b">
        <v>0</v>
      </c>
      <c r="L659" s="102" t="b">
        <v>0</v>
      </c>
    </row>
    <row r="660" spans="1:12" ht="15">
      <c r="A660" s="104" t="s">
        <v>2349</v>
      </c>
      <c r="B660" s="102" t="s">
        <v>2526</v>
      </c>
      <c r="C660" s="102">
        <v>2</v>
      </c>
      <c r="D660" s="106">
        <v>0.0004993919862542396</v>
      </c>
      <c r="E660" s="106">
        <v>0.9976377444221308</v>
      </c>
      <c r="F660" s="102" t="s">
        <v>3369</v>
      </c>
      <c r="G660" s="102" t="b">
        <v>0</v>
      </c>
      <c r="H660" s="102" t="b">
        <v>0</v>
      </c>
      <c r="I660" s="102" t="b">
        <v>0</v>
      </c>
      <c r="J660" s="102" t="b">
        <v>0</v>
      </c>
      <c r="K660" s="102" t="b">
        <v>0</v>
      </c>
      <c r="L660" s="102" t="b">
        <v>0</v>
      </c>
    </row>
    <row r="661" spans="1:12" ht="15">
      <c r="A661" s="104" t="s">
        <v>2758</v>
      </c>
      <c r="B661" s="102" t="s">
        <v>2747</v>
      </c>
      <c r="C661" s="102">
        <v>2</v>
      </c>
      <c r="D661" s="106">
        <v>0.0004993919862542396</v>
      </c>
      <c r="E661" s="106">
        <v>3.022943609686901</v>
      </c>
      <c r="F661" s="102" t="s">
        <v>3369</v>
      </c>
      <c r="G661" s="102" t="b">
        <v>0</v>
      </c>
      <c r="H661" s="102" t="b">
        <v>0</v>
      </c>
      <c r="I661" s="102" t="b">
        <v>0</v>
      </c>
      <c r="J661" s="102" t="b">
        <v>0</v>
      </c>
      <c r="K661" s="102" t="b">
        <v>1</v>
      </c>
      <c r="L661" s="102" t="b">
        <v>0</v>
      </c>
    </row>
    <row r="662" spans="1:12" ht="15">
      <c r="A662" s="104" t="s">
        <v>3127</v>
      </c>
      <c r="B662" s="102" t="s">
        <v>3128</v>
      </c>
      <c r="C662" s="102">
        <v>2</v>
      </c>
      <c r="D662" s="106">
        <v>0.0004993919862542396</v>
      </c>
      <c r="E662" s="106">
        <v>3.6250036010148636</v>
      </c>
      <c r="F662" s="102" t="s">
        <v>3369</v>
      </c>
      <c r="G662" s="102" t="b">
        <v>0</v>
      </c>
      <c r="H662" s="102" t="b">
        <v>0</v>
      </c>
      <c r="I662" s="102" t="b">
        <v>0</v>
      </c>
      <c r="J662" s="102" t="b">
        <v>0</v>
      </c>
      <c r="K662" s="102" t="b">
        <v>0</v>
      </c>
      <c r="L662" s="102" t="b">
        <v>0</v>
      </c>
    </row>
    <row r="663" spans="1:12" ht="15">
      <c r="A663" s="104" t="s">
        <v>2349</v>
      </c>
      <c r="B663" s="102" t="s">
        <v>2616</v>
      </c>
      <c r="C663" s="102">
        <v>2</v>
      </c>
      <c r="D663" s="106">
        <v>0.0004993919862542396</v>
      </c>
      <c r="E663" s="106">
        <v>1.1225764810304308</v>
      </c>
      <c r="F663" s="102" t="s">
        <v>3369</v>
      </c>
      <c r="G663" s="102" t="b">
        <v>0</v>
      </c>
      <c r="H663" s="102" t="b">
        <v>0</v>
      </c>
      <c r="I663" s="102" t="b">
        <v>0</v>
      </c>
      <c r="J663" s="102" t="b">
        <v>0</v>
      </c>
      <c r="K663" s="102" t="b">
        <v>0</v>
      </c>
      <c r="L663" s="102" t="b">
        <v>0</v>
      </c>
    </row>
    <row r="664" spans="1:12" ht="15">
      <c r="A664" s="104" t="s">
        <v>2616</v>
      </c>
      <c r="B664" s="102" t="s">
        <v>3131</v>
      </c>
      <c r="C664" s="102">
        <v>2</v>
      </c>
      <c r="D664" s="106">
        <v>0.0004993919862542396</v>
      </c>
      <c r="E664" s="106">
        <v>3.147882346295201</v>
      </c>
      <c r="F664" s="102" t="s">
        <v>3369</v>
      </c>
      <c r="G664" s="102" t="b">
        <v>0</v>
      </c>
      <c r="H664" s="102" t="b">
        <v>0</v>
      </c>
      <c r="I664" s="102" t="b">
        <v>0</v>
      </c>
      <c r="J664" s="102" t="b">
        <v>0</v>
      </c>
      <c r="K664" s="102" t="b">
        <v>0</v>
      </c>
      <c r="L664" s="102" t="b">
        <v>0</v>
      </c>
    </row>
    <row r="665" spans="1:12" ht="15">
      <c r="A665" s="104" t="s">
        <v>3132</v>
      </c>
      <c r="B665" s="102" t="s">
        <v>2349</v>
      </c>
      <c r="C665" s="102">
        <v>2</v>
      </c>
      <c r="D665" s="106">
        <v>0.0004993919862542396</v>
      </c>
      <c r="E665" s="106">
        <v>1.581641322993734</v>
      </c>
      <c r="F665" s="102" t="s">
        <v>3369</v>
      </c>
      <c r="G665" s="102" t="b">
        <v>0</v>
      </c>
      <c r="H665" s="102" t="b">
        <v>0</v>
      </c>
      <c r="I665" s="102" t="b">
        <v>0</v>
      </c>
      <c r="J665" s="102" t="b">
        <v>0</v>
      </c>
      <c r="K665" s="102" t="b">
        <v>0</v>
      </c>
      <c r="L665" s="102" t="b">
        <v>0</v>
      </c>
    </row>
    <row r="666" spans="1:12" ht="15">
      <c r="A666" s="104" t="s">
        <v>2357</v>
      </c>
      <c r="B666" s="102" t="s">
        <v>2398</v>
      </c>
      <c r="C666" s="102">
        <v>2</v>
      </c>
      <c r="D666" s="106">
        <v>0.0004993919862542396</v>
      </c>
      <c r="E666" s="106">
        <v>1.1195144625981395</v>
      </c>
      <c r="F666" s="102" t="s">
        <v>3369</v>
      </c>
      <c r="G666" s="102" t="b">
        <v>0</v>
      </c>
      <c r="H666" s="102" t="b">
        <v>0</v>
      </c>
      <c r="I666" s="102" t="b">
        <v>0</v>
      </c>
      <c r="J666" s="102" t="b">
        <v>0</v>
      </c>
      <c r="K666" s="102" t="b">
        <v>0</v>
      </c>
      <c r="L666" s="102" t="b">
        <v>0</v>
      </c>
    </row>
    <row r="667" spans="1:12" ht="15">
      <c r="A667" s="104" t="s">
        <v>3133</v>
      </c>
      <c r="B667" s="102" t="s">
        <v>2365</v>
      </c>
      <c r="C667" s="102">
        <v>2</v>
      </c>
      <c r="D667" s="106">
        <v>0.0005682933356852263</v>
      </c>
      <c r="E667" s="106">
        <v>2.272821082903501</v>
      </c>
      <c r="F667" s="102" t="s">
        <v>3369</v>
      </c>
      <c r="G667" s="102" t="b">
        <v>0</v>
      </c>
      <c r="H667" s="102" t="b">
        <v>0</v>
      </c>
      <c r="I667" s="102" t="b">
        <v>0</v>
      </c>
      <c r="J667" s="102" t="b">
        <v>0</v>
      </c>
      <c r="K667" s="102" t="b">
        <v>0</v>
      </c>
      <c r="L667" s="102" t="b">
        <v>0</v>
      </c>
    </row>
    <row r="668" spans="1:12" ht="15">
      <c r="A668" s="104" t="s">
        <v>2365</v>
      </c>
      <c r="B668" s="102" t="s">
        <v>2357</v>
      </c>
      <c r="C668" s="102">
        <v>2</v>
      </c>
      <c r="D668" s="106">
        <v>0.0004993919862542396</v>
      </c>
      <c r="E668" s="106">
        <v>0.7982810808458715</v>
      </c>
      <c r="F668" s="102" t="s">
        <v>3369</v>
      </c>
      <c r="G668" s="102" t="b">
        <v>0</v>
      </c>
      <c r="H668" s="102" t="b">
        <v>0</v>
      </c>
      <c r="I668" s="102" t="b">
        <v>0</v>
      </c>
      <c r="J668" s="102" t="b">
        <v>0</v>
      </c>
      <c r="K668" s="102" t="b">
        <v>0</v>
      </c>
      <c r="L668" s="102" t="b">
        <v>0</v>
      </c>
    </row>
    <row r="669" spans="1:12" ht="15">
      <c r="A669" s="104" t="s">
        <v>2497</v>
      </c>
      <c r="B669" s="102" t="s">
        <v>2355</v>
      </c>
      <c r="C669" s="102">
        <v>2</v>
      </c>
      <c r="D669" s="106">
        <v>0.0005682933356852263</v>
      </c>
      <c r="E669" s="106">
        <v>1.4208836183589386</v>
      </c>
      <c r="F669" s="102" t="s">
        <v>3369</v>
      </c>
      <c r="G669" s="102" t="b">
        <v>0</v>
      </c>
      <c r="H669" s="102" t="b">
        <v>0</v>
      </c>
      <c r="I669" s="102" t="b">
        <v>0</v>
      </c>
      <c r="J669" s="102" t="b">
        <v>0</v>
      </c>
      <c r="K669" s="102" t="b">
        <v>0</v>
      </c>
      <c r="L669" s="102" t="b">
        <v>0</v>
      </c>
    </row>
    <row r="670" spans="1:12" ht="15">
      <c r="A670" s="104" t="s">
        <v>2409</v>
      </c>
      <c r="B670" s="102" t="s">
        <v>2497</v>
      </c>
      <c r="C670" s="102">
        <v>2</v>
      </c>
      <c r="D670" s="106">
        <v>0.0005682933356852263</v>
      </c>
      <c r="E670" s="106">
        <v>1.9717910872395197</v>
      </c>
      <c r="F670" s="102" t="s">
        <v>3369</v>
      </c>
      <c r="G670" s="102" t="b">
        <v>0</v>
      </c>
      <c r="H670" s="102" t="b">
        <v>0</v>
      </c>
      <c r="I670" s="102" t="b">
        <v>0</v>
      </c>
      <c r="J670" s="102" t="b">
        <v>0</v>
      </c>
      <c r="K670" s="102" t="b">
        <v>0</v>
      </c>
      <c r="L670" s="102" t="b">
        <v>0</v>
      </c>
    </row>
    <row r="671" spans="1:12" ht="15">
      <c r="A671" s="104" t="s">
        <v>2470</v>
      </c>
      <c r="B671" s="102" t="s">
        <v>3137</v>
      </c>
      <c r="C671" s="102">
        <v>2</v>
      </c>
      <c r="D671" s="106">
        <v>0.0004993919862542396</v>
      </c>
      <c r="E671" s="106">
        <v>2.8468523506312198</v>
      </c>
      <c r="F671" s="102" t="s">
        <v>3369</v>
      </c>
      <c r="G671" s="102" t="b">
        <v>0</v>
      </c>
      <c r="H671" s="102" t="b">
        <v>0</v>
      </c>
      <c r="I671" s="102" t="b">
        <v>0</v>
      </c>
      <c r="J671" s="102" t="b">
        <v>0</v>
      </c>
      <c r="K671" s="102" t="b">
        <v>0</v>
      </c>
      <c r="L671" s="102" t="b">
        <v>0</v>
      </c>
    </row>
    <row r="672" spans="1:12" ht="15">
      <c r="A672" s="104" t="s">
        <v>3137</v>
      </c>
      <c r="B672" s="102" t="s">
        <v>2401</v>
      </c>
      <c r="C672" s="102">
        <v>2</v>
      </c>
      <c r="D672" s="106">
        <v>0.0004993919862542396</v>
      </c>
      <c r="E672" s="106">
        <v>2.6472799957260156</v>
      </c>
      <c r="F672" s="102" t="s">
        <v>3369</v>
      </c>
      <c r="G672" s="102" t="b">
        <v>0</v>
      </c>
      <c r="H672" s="102" t="b">
        <v>0</v>
      </c>
      <c r="I672" s="102" t="b">
        <v>0</v>
      </c>
      <c r="J672" s="102" t="b">
        <v>0</v>
      </c>
      <c r="K672" s="102" t="b">
        <v>0</v>
      </c>
      <c r="L672" s="102" t="b">
        <v>0</v>
      </c>
    </row>
    <row r="673" spans="1:12" ht="15">
      <c r="A673" s="104" t="s">
        <v>2401</v>
      </c>
      <c r="B673" s="102" t="s">
        <v>2484</v>
      </c>
      <c r="C673" s="102">
        <v>2</v>
      </c>
      <c r="D673" s="106">
        <v>0.0004993919862542396</v>
      </c>
      <c r="E673" s="106">
        <v>1.9483099913899968</v>
      </c>
      <c r="F673" s="102" t="s">
        <v>3369</v>
      </c>
      <c r="G673" s="102" t="b">
        <v>0</v>
      </c>
      <c r="H673" s="102" t="b">
        <v>0</v>
      </c>
      <c r="I673" s="102" t="b">
        <v>0</v>
      </c>
      <c r="J673" s="102" t="b">
        <v>0</v>
      </c>
      <c r="K673" s="102" t="b">
        <v>0</v>
      </c>
      <c r="L673" s="102" t="b">
        <v>0</v>
      </c>
    </row>
    <row r="674" spans="1:12" ht="15">
      <c r="A674" s="104" t="s">
        <v>2381</v>
      </c>
      <c r="B674" s="102" t="s">
        <v>2575</v>
      </c>
      <c r="C674" s="102">
        <v>2</v>
      </c>
      <c r="D674" s="106">
        <v>0.0004993919862542396</v>
      </c>
      <c r="E674" s="106">
        <v>1.9506017881695816</v>
      </c>
      <c r="F674" s="102" t="s">
        <v>3369</v>
      </c>
      <c r="G674" s="102" t="b">
        <v>0</v>
      </c>
      <c r="H674" s="102" t="b">
        <v>0</v>
      </c>
      <c r="I674" s="102" t="b">
        <v>0</v>
      </c>
      <c r="J674" s="102" t="b">
        <v>0</v>
      </c>
      <c r="K674" s="102" t="b">
        <v>0</v>
      </c>
      <c r="L674" s="102" t="b">
        <v>0</v>
      </c>
    </row>
    <row r="675" spans="1:12" ht="15">
      <c r="A675" s="104" t="s">
        <v>2470</v>
      </c>
      <c r="B675" s="102" t="s">
        <v>2575</v>
      </c>
      <c r="C675" s="102">
        <v>2</v>
      </c>
      <c r="D675" s="106">
        <v>0.0004993919862542396</v>
      </c>
      <c r="E675" s="106">
        <v>2.302784306280944</v>
      </c>
      <c r="F675" s="102" t="s">
        <v>3369</v>
      </c>
      <c r="G675" s="102" t="b">
        <v>0</v>
      </c>
      <c r="H675" s="102" t="b">
        <v>0</v>
      </c>
      <c r="I675" s="102" t="b">
        <v>0</v>
      </c>
      <c r="J675" s="102" t="b">
        <v>0</v>
      </c>
      <c r="K675" s="102" t="b">
        <v>0</v>
      </c>
      <c r="L675" s="102" t="b">
        <v>0</v>
      </c>
    </row>
    <row r="676" spans="1:12" ht="15">
      <c r="A676" s="104" t="s">
        <v>2575</v>
      </c>
      <c r="B676" s="102" t="s">
        <v>2401</v>
      </c>
      <c r="C676" s="102">
        <v>2</v>
      </c>
      <c r="D676" s="106">
        <v>0.0004993919862542396</v>
      </c>
      <c r="E676" s="106">
        <v>2.10321195137574</v>
      </c>
      <c r="F676" s="102" t="s">
        <v>3369</v>
      </c>
      <c r="G676" s="102" t="b">
        <v>0</v>
      </c>
      <c r="H676" s="102" t="b">
        <v>0</v>
      </c>
      <c r="I676" s="102" t="b">
        <v>0</v>
      </c>
      <c r="J676" s="102" t="b">
        <v>0</v>
      </c>
      <c r="K676" s="102" t="b">
        <v>0</v>
      </c>
      <c r="L676" s="102" t="b">
        <v>0</v>
      </c>
    </row>
    <row r="677" spans="1:12" ht="15">
      <c r="A677" s="104" t="s">
        <v>2401</v>
      </c>
      <c r="B677" s="102" t="s">
        <v>2348</v>
      </c>
      <c r="C677" s="102">
        <v>2</v>
      </c>
      <c r="D677" s="106">
        <v>0.0004993919862542396</v>
      </c>
      <c r="E677" s="106">
        <v>0.6323396459330791</v>
      </c>
      <c r="F677" s="102" t="s">
        <v>3369</v>
      </c>
      <c r="G677" s="102" t="b">
        <v>0</v>
      </c>
      <c r="H677" s="102" t="b">
        <v>0</v>
      </c>
      <c r="I677" s="102" t="b">
        <v>0</v>
      </c>
      <c r="J677" s="102" t="b">
        <v>0</v>
      </c>
      <c r="K677" s="102" t="b">
        <v>0</v>
      </c>
      <c r="L677" s="102" t="b">
        <v>0</v>
      </c>
    </row>
    <row r="678" spans="1:12" ht="15">
      <c r="A678" s="104" t="s">
        <v>2484</v>
      </c>
      <c r="B678" s="102" t="s">
        <v>3138</v>
      </c>
      <c r="C678" s="102">
        <v>2</v>
      </c>
      <c r="D678" s="106">
        <v>0.0004993919862542396</v>
      </c>
      <c r="E678" s="106">
        <v>2.9260335966788444</v>
      </c>
      <c r="F678" s="102" t="s">
        <v>3369</v>
      </c>
      <c r="G678" s="102" t="b">
        <v>0</v>
      </c>
      <c r="H678" s="102" t="b">
        <v>0</v>
      </c>
      <c r="I678" s="102" t="b">
        <v>0</v>
      </c>
      <c r="J678" s="102" t="b">
        <v>0</v>
      </c>
      <c r="K678" s="102" t="b">
        <v>0</v>
      </c>
      <c r="L678" s="102" t="b">
        <v>0</v>
      </c>
    </row>
    <row r="679" spans="1:12" ht="15">
      <c r="A679" s="104" t="s">
        <v>3138</v>
      </c>
      <c r="B679" s="102" t="s">
        <v>3139</v>
      </c>
      <c r="C679" s="102">
        <v>2</v>
      </c>
      <c r="D679" s="106">
        <v>0.0004993919862542396</v>
      </c>
      <c r="E679" s="106">
        <v>3.6250036010148636</v>
      </c>
      <c r="F679" s="102" t="s">
        <v>3369</v>
      </c>
      <c r="G679" s="102" t="b">
        <v>0</v>
      </c>
      <c r="H679" s="102" t="b">
        <v>0</v>
      </c>
      <c r="I679" s="102" t="b">
        <v>0</v>
      </c>
      <c r="J679" s="102" t="b">
        <v>0</v>
      </c>
      <c r="K679" s="102" t="b">
        <v>0</v>
      </c>
      <c r="L679" s="102" t="b">
        <v>0</v>
      </c>
    </row>
    <row r="680" spans="1:12" ht="15">
      <c r="A680" s="104" t="s">
        <v>2382</v>
      </c>
      <c r="B680" s="102" t="s">
        <v>2362</v>
      </c>
      <c r="C680" s="102">
        <v>2</v>
      </c>
      <c r="D680" s="106">
        <v>0.0004993919862542396</v>
      </c>
      <c r="E680" s="106">
        <v>1.1311971388642832</v>
      </c>
      <c r="F680" s="102" t="s">
        <v>3369</v>
      </c>
      <c r="G680" s="102" t="b">
        <v>0</v>
      </c>
      <c r="H680" s="102" t="b">
        <v>0</v>
      </c>
      <c r="I680" s="102" t="b">
        <v>0</v>
      </c>
      <c r="J680" s="102" t="b">
        <v>0</v>
      </c>
      <c r="K680" s="102" t="b">
        <v>0</v>
      </c>
      <c r="L680" s="102" t="b">
        <v>0</v>
      </c>
    </row>
    <row r="681" spans="1:12" ht="15">
      <c r="A681" s="104" t="s">
        <v>2357</v>
      </c>
      <c r="B681" s="102" t="s">
        <v>2382</v>
      </c>
      <c r="C681" s="102">
        <v>2</v>
      </c>
      <c r="D681" s="106">
        <v>0.0004993919862542396</v>
      </c>
      <c r="E681" s="106">
        <v>0.9945757259898396</v>
      </c>
      <c r="F681" s="102" t="s">
        <v>3369</v>
      </c>
      <c r="G681" s="102" t="b">
        <v>0</v>
      </c>
      <c r="H681" s="102" t="b">
        <v>0</v>
      </c>
      <c r="I681" s="102" t="b">
        <v>0</v>
      </c>
      <c r="J681" s="102" t="b">
        <v>0</v>
      </c>
      <c r="K681" s="102" t="b">
        <v>0</v>
      </c>
      <c r="L681" s="102" t="b">
        <v>0</v>
      </c>
    </row>
    <row r="682" spans="1:12" ht="15">
      <c r="A682" s="104" t="s">
        <v>2385</v>
      </c>
      <c r="B682" s="102" t="s">
        <v>2385</v>
      </c>
      <c r="C682" s="102">
        <v>2</v>
      </c>
      <c r="D682" s="106">
        <v>0.0004993919862542396</v>
      </c>
      <c r="E682" s="106">
        <v>1.4141502356999702</v>
      </c>
      <c r="F682" s="102" t="s">
        <v>3369</v>
      </c>
      <c r="G682" s="102" t="b">
        <v>0</v>
      </c>
      <c r="H682" s="102" t="b">
        <v>0</v>
      </c>
      <c r="I682" s="102" t="b">
        <v>0</v>
      </c>
      <c r="J682" s="102" t="b">
        <v>0</v>
      </c>
      <c r="K682" s="102" t="b">
        <v>0</v>
      </c>
      <c r="L682" s="102" t="b">
        <v>0</v>
      </c>
    </row>
    <row r="683" spans="1:12" ht="15">
      <c r="A683" s="104" t="s">
        <v>2385</v>
      </c>
      <c r="B683" s="102" t="s">
        <v>3141</v>
      </c>
      <c r="C683" s="102">
        <v>2</v>
      </c>
      <c r="D683" s="106">
        <v>0.0004993919862542396</v>
      </c>
      <c r="E683" s="106">
        <v>2.5110602487080267</v>
      </c>
      <c r="F683" s="102" t="s">
        <v>3369</v>
      </c>
      <c r="G683" s="102" t="b">
        <v>0</v>
      </c>
      <c r="H683" s="102" t="b">
        <v>0</v>
      </c>
      <c r="I683" s="102" t="b">
        <v>0</v>
      </c>
      <c r="J683" s="102" t="b">
        <v>0</v>
      </c>
      <c r="K683" s="102" t="b">
        <v>0</v>
      </c>
      <c r="L683" s="102" t="b">
        <v>0</v>
      </c>
    </row>
    <row r="684" spans="1:12" ht="15">
      <c r="A684" s="104" t="s">
        <v>2468</v>
      </c>
      <c r="B684" s="102" t="s">
        <v>2457</v>
      </c>
      <c r="C684" s="102">
        <v>2</v>
      </c>
      <c r="D684" s="106">
        <v>0.0005682933356852263</v>
      </c>
      <c r="E684" s="106">
        <v>2.106489661136976</v>
      </c>
      <c r="F684" s="102" t="s">
        <v>3369</v>
      </c>
      <c r="G684" s="102" t="b">
        <v>0</v>
      </c>
      <c r="H684" s="102" t="b">
        <v>0</v>
      </c>
      <c r="I684" s="102" t="b">
        <v>0</v>
      </c>
      <c r="J684" s="102" t="b">
        <v>0</v>
      </c>
      <c r="K684" s="102" t="b">
        <v>0</v>
      </c>
      <c r="L684" s="102" t="b">
        <v>0</v>
      </c>
    </row>
    <row r="685" spans="1:12" ht="15">
      <c r="A685" s="104" t="s">
        <v>2350</v>
      </c>
      <c r="B685" s="102" t="s">
        <v>2457</v>
      </c>
      <c r="C685" s="102">
        <v>2</v>
      </c>
      <c r="D685" s="106">
        <v>0.0005682933356852263</v>
      </c>
      <c r="E685" s="106">
        <v>0.853416120133608</v>
      </c>
      <c r="F685" s="102" t="s">
        <v>3369</v>
      </c>
      <c r="G685" s="102" t="b">
        <v>0</v>
      </c>
      <c r="H685" s="102" t="b">
        <v>0</v>
      </c>
      <c r="I685" s="102" t="b">
        <v>0</v>
      </c>
      <c r="J685" s="102" t="b">
        <v>0</v>
      </c>
      <c r="K685" s="102" t="b">
        <v>0</v>
      </c>
      <c r="L685" s="102" t="b">
        <v>0</v>
      </c>
    </row>
    <row r="686" spans="1:12" ht="15">
      <c r="A686" s="104" t="s">
        <v>2382</v>
      </c>
      <c r="B686" s="102" t="s">
        <v>2433</v>
      </c>
      <c r="C686" s="102">
        <v>2</v>
      </c>
      <c r="D686" s="106">
        <v>0.0005682933356852263</v>
      </c>
      <c r="E686" s="106">
        <v>1.5885743353881885</v>
      </c>
      <c r="F686" s="102" t="s">
        <v>3369</v>
      </c>
      <c r="G686" s="102" t="b">
        <v>0</v>
      </c>
      <c r="H686" s="102" t="b">
        <v>0</v>
      </c>
      <c r="I686" s="102" t="b">
        <v>0</v>
      </c>
      <c r="J686" s="102" t="b">
        <v>0</v>
      </c>
      <c r="K686" s="102" t="b">
        <v>0</v>
      </c>
      <c r="L686" s="102" t="b">
        <v>0</v>
      </c>
    </row>
    <row r="687" spans="1:12" ht="15">
      <c r="A687" s="104" t="s">
        <v>2364</v>
      </c>
      <c r="B687" s="102" t="s">
        <v>2382</v>
      </c>
      <c r="C687" s="102">
        <v>2</v>
      </c>
      <c r="D687" s="106">
        <v>0.0004993919862542396</v>
      </c>
      <c r="E687" s="106">
        <v>1.1566562706027061</v>
      </c>
      <c r="F687" s="102" t="s">
        <v>3369</v>
      </c>
      <c r="G687" s="102" t="b">
        <v>0</v>
      </c>
      <c r="H687" s="102" t="b">
        <v>0</v>
      </c>
      <c r="I687" s="102" t="b">
        <v>0</v>
      </c>
      <c r="J687" s="102" t="b">
        <v>0</v>
      </c>
      <c r="K687" s="102" t="b">
        <v>0</v>
      </c>
      <c r="L687" s="102" t="b">
        <v>0</v>
      </c>
    </row>
    <row r="688" spans="1:12" ht="15">
      <c r="A688" s="104" t="s">
        <v>2433</v>
      </c>
      <c r="B688" s="102" t="s">
        <v>2382</v>
      </c>
      <c r="C688" s="102">
        <v>2</v>
      </c>
      <c r="D688" s="106">
        <v>0.0005682933356852263</v>
      </c>
      <c r="E688" s="106">
        <v>1.6038143019449254</v>
      </c>
      <c r="F688" s="102" t="s">
        <v>3369</v>
      </c>
      <c r="G688" s="102" t="b">
        <v>0</v>
      </c>
      <c r="H688" s="102" t="b">
        <v>0</v>
      </c>
      <c r="I688" s="102" t="b">
        <v>0</v>
      </c>
      <c r="J688" s="102" t="b">
        <v>0</v>
      </c>
      <c r="K688" s="102" t="b">
        <v>0</v>
      </c>
      <c r="L688" s="102" t="b">
        <v>0</v>
      </c>
    </row>
    <row r="689" spans="1:12" ht="15">
      <c r="A689" s="104" t="s">
        <v>2453</v>
      </c>
      <c r="B689" s="102" t="s">
        <v>2382</v>
      </c>
      <c r="C689" s="102">
        <v>2</v>
      </c>
      <c r="D689" s="106">
        <v>0.0005682933356852263</v>
      </c>
      <c r="E689" s="106">
        <v>1.66596220869377</v>
      </c>
      <c r="F689" s="102" t="s">
        <v>3369</v>
      </c>
      <c r="G689" s="102" t="b">
        <v>0</v>
      </c>
      <c r="H689" s="102" t="b">
        <v>0</v>
      </c>
      <c r="I689" s="102" t="b">
        <v>0</v>
      </c>
      <c r="J689" s="102" t="b">
        <v>0</v>
      </c>
      <c r="K689" s="102" t="b">
        <v>0</v>
      </c>
      <c r="L689" s="102" t="b">
        <v>0</v>
      </c>
    </row>
    <row r="690" spans="1:12" ht="15">
      <c r="A690" s="104" t="s">
        <v>2493</v>
      </c>
      <c r="B690" s="102" t="s">
        <v>2373</v>
      </c>
      <c r="C690" s="102">
        <v>2</v>
      </c>
      <c r="D690" s="106">
        <v>0.0004993919862542396</v>
      </c>
      <c r="E690" s="106">
        <v>1.7219136140229199</v>
      </c>
      <c r="F690" s="102" t="s">
        <v>3369</v>
      </c>
      <c r="G690" s="102" t="b">
        <v>0</v>
      </c>
      <c r="H690" s="102" t="b">
        <v>0</v>
      </c>
      <c r="I690" s="102" t="b">
        <v>0</v>
      </c>
      <c r="J690" s="102" t="b">
        <v>0</v>
      </c>
      <c r="K690" s="102" t="b">
        <v>0</v>
      </c>
      <c r="L690" s="102" t="b">
        <v>0</v>
      </c>
    </row>
    <row r="691" spans="1:12" ht="15">
      <c r="A691" s="104" t="s">
        <v>3146</v>
      </c>
      <c r="B691" s="102" t="s">
        <v>2360</v>
      </c>
      <c r="C691" s="102">
        <v>2</v>
      </c>
      <c r="D691" s="106">
        <v>0.0004993919862542396</v>
      </c>
      <c r="E691" s="106">
        <v>2.2632757649972706</v>
      </c>
      <c r="F691" s="102" t="s">
        <v>3369</v>
      </c>
      <c r="G691" s="102" t="b">
        <v>0</v>
      </c>
      <c r="H691" s="102" t="b">
        <v>0</v>
      </c>
      <c r="I691" s="102" t="b">
        <v>0</v>
      </c>
      <c r="J691" s="102" t="b">
        <v>0</v>
      </c>
      <c r="K691" s="102" t="b">
        <v>1</v>
      </c>
      <c r="L691" s="102" t="b">
        <v>0</v>
      </c>
    </row>
    <row r="692" spans="1:12" ht="15">
      <c r="A692" s="104" t="s">
        <v>2760</v>
      </c>
      <c r="B692" s="102" t="s">
        <v>2393</v>
      </c>
      <c r="C692" s="102">
        <v>2</v>
      </c>
      <c r="D692" s="106">
        <v>0.0005682933356852263</v>
      </c>
      <c r="E692" s="106">
        <v>2.2825809201926575</v>
      </c>
      <c r="F692" s="102" t="s">
        <v>3369</v>
      </c>
      <c r="G692" s="102" t="b">
        <v>0</v>
      </c>
      <c r="H692" s="102" t="b">
        <v>0</v>
      </c>
      <c r="I692" s="102" t="b">
        <v>0</v>
      </c>
      <c r="J692" s="102" t="b">
        <v>0</v>
      </c>
      <c r="K692" s="102" t="b">
        <v>0</v>
      </c>
      <c r="L692" s="102" t="b">
        <v>0</v>
      </c>
    </row>
    <row r="693" spans="1:12" ht="15">
      <c r="A693" s="104" t="s">
        <v>2393</v>
      </c>
      <c r="B693" s="102" t="s">
        <v>2452</v>
      </c>
      <c r="C693" s="102">
        <v>2</v>
      </c>
      <c r="D693" s="106">
        <v>0.0005682933356852263</v>
      </c>
      <c r="E693" s="106">
        <v>1.7513924040183961</v>
      </c>
      <c r="F693" s="102" t="s">
        <v>3369</v>
      </c>
      <c r="G693" s="102" t="b">
        <v>0</v>
      </c>
      <c r="H693" s="102" t="b">
        <v>0</v>
      </c>
      <c r="I693" s="102" t="b">
        <v>0</v>
      </c>
      <c r="J693" s="102" t="b">
        <v>0</v>
      </c>
      <c r="K693" s="102" t="b">
        <v>0</v>
      </c>
      <c r="L693" s="102" t="b">
        <v>0</v>
      </c>
    </row>
    <row r="694" spans="1:12" ht="15">
      <c r="A694" s="104" t="s">
        <v>2452</v>
      </c>
      <c r="B694" s="102" t="s">
        <v>2393</v>
      </c>
      <c r="C694" s="102">
        <v>2</v>
      </c>
      <c r="D694" s="106">
        <v>0.0005682933356852263</v>
      </c>
      <c r="E694" s="106">
        <v>1.7706975592137828</v>
      </c>
      <c r="F694" s="102" t="s">
        <v>3369</v>
      </c>
      <c r="G694" s="102" t="b">
        <v>0</v>
      </c>
      <c r="H694" s="102" t="b">
        <v>0</v>
      </c>
      <c r="I694" s="102" t="b">
        <v>0</v>
      </c>
      <c r="J694" s="102" t="b">
        <v>0</v>
      </c>
      <c r="K694" s="102" t="b">
        <v>0</v>
      </c>
      <c r="L694" s="102" t="b">
        <v>0</v>
      </c>
    </row>
    <row r="695" spans="1:12" ht="15">
      <c r="A695" s="104" t="s">
        <v>2393</v>
      </c>
      <c r="B695" s="102" t="s">
        <v>2349</v>
      </c>
      <c r="C695" s="102">
        <v>2</v>
      </c>
      <c r="D695" s="106">
        <v>0.0004993919862542396</v>
      </c>
      <c r="E695" s="106">
        <v>0.5209434826401222</v>
      </c>
      <c r="F695" s="102" t="s">
        <v>3369</v>
      </c>
      <c r="G695" s="102" t="b">
        <v>0</v>
      </c>
      <c r="H695" s="102" t="b">
        <v>0</v>
      </c>
      <c r="I695" s="102" t="b">
        <v>0</v>
      </c>
      <c r="J695" s="102" t="b">
        <v>0</v>
      </c>
      <c r="K695" s="102" t="b">
        <v>0</v>
      </c>
      <c r="L695" s="102" t="b">
        <v>0</v>
      </c>
    </row>
    <row r="696" spans="1:12" ht="15">
      <c r="A696" s="104" t="s">
        <v>2350</v>
      </c>
      <c r="B696" s="102" t="s">
        <v>2763</v>
      </c>
      <c r="C696" s="102">
        <v>2</v>
      </c>
      <c r="D696" s="106">
        <v>0.0004993919862542396</v>
      </c>
      <c r="E696" s="106">
        <v>1.3305373748532705</v>
      </c>
      <c r="F696" s="102" t="s">
        <v>3369</v>
      </c>
      <c r="G696" s="102" t="b">
        <v>0</v>
      </c>
      <c r="H696" s="102" t="b">
        <v>0</v>
      </c>
      <c r="I696" s="102" t="b">
        <v>0</v>
      </c>
      <c r="J696" s="102" t="b">
        <v>0</v>
      </c>
      <c r="K696" s="102" t="b">
        <v>0</v>
      </c>
      <c r="L696" s="102" t="b">
        <v>0</v>
      </c>
    </row>
    <row r="697" spans="1:12" ht="15">
      <c r="A697" s="104" t="s">
        <v>2578</v>
      </c>
      <c r="B697" s="102" t="s">
        <v>2355</v>
      </c>
      <c r="C697" s="102">
        <v>2</v>
      </c>
      <c r="D697" s="106">
        <v>0.0005682933356852263</v>
      </c>
      <c r="E697" s="106">
        <v>1.575785578344682</v>
      </c>
      <c r="F697" s="102" t="s">
        <v>3369</v>
      </c>
      <c r="G697" s="102" t="b">
        <v>0</v>
      </c>
      <c r="H697" s="102" t="b">
        <v>0</v>
      </c>
      <c r="I697" s="102" t="b">
        <v>0</v>
      </c>
      <c r="J697" s="102" t="b">
        <v>0</v>
      </c>
      <c r="K697" s="102" t="b">
        <v>0</v>
      </c>
      <c r="L697" s="102" t="b">
        <v>0</v>
      </c>
    </row>
    <row r="698" spans="1:12" ht="15">
      <c r="A698" s="104" t="s">
        <v>2494</v>
      </c>
      <c r="B698" s="102" t="s">
        <v>2436</v>
      </c>
      <c r="C698" s="102">
        <v>2</v>
      </c>
      <c r="D698" s="106">
        <v>0.0005682933356852263</v>
      </c>
      <c r="E698" s="106">
        <v>2.080935556664588</v>
      </c>
      <c r="F698" s="102" t="s">
        <v>3369</v>
      </c>
      <c r="G698" s="102" t="b">
        <v>0</v>
      </c>
      <c r="H698" s="102" t="b">
        <v>0</v>
      </c>
      <c r="I698" s="102" t="b">
        <v>0</v>
      </c>
      <c r="J698" s="102" t="b">
        <v>0</v>
      </c>
      <c r="K698" s="102" t="b">
        <v>0</v>
      </c>
      <c r="L698" s="102" t="b">
        <v>0</v>
      </c>
    </row>
    <row r="699" spans="1:12" ht="15">
      <c r="A699" s="104" t="s">
        <v>2494</v>
      </c>
      <c r="B699" s="102" t="s">
        <v>2417</v>
      </c>
      <c r="C699" s="102">
        <v>2</v>
      </c>
      <c r="D699" s="106">
        <v>0.0005682933356852263</v>
      </c>
      <c r="E699" s="106">
        <v>1.9966146709645518</v>
      </c>
      <c r="F699" s="102" t="s">
        <v>3369</v>
      </c>
      <c r="G699" s="102" t="b">
        <v>0</v>
      </c>
      <c r="H699" s="102" t="b">
        <v>0</v>
      </c>
      <c r="I699" s="102" t="b">
        <v>0</v>
      </c>
      <c r="J699" s="102" t="b">
        <v>0</v>
      </c>
      <c r="K699" s="102" t="b">
        <v>0</v>
      </c>
      <c r="L699" s="102" t="b">
        <v>0</v>
      </c>
    </row>
    <row r="700" spans="1:12" ht="15">
      <c r="A700" s="104" t="s">
        <v>2494</v>
      </c>
      <c r="B700" s="102" t="s">
        <v>2682</v>
      </c>
      <c r="C700" s="102">
        <v>2</v>
      </c>
      <c r="D700" s="106">
        <v>0.0004993919862542396</v>
      </c>
      <c r="E700" s="106">
        <v>2.528093588006807</v>
      </c>
      <c r="F700" s="102" t="s">
        <v>3369</v>
      </c>
      <c r="G700" s="102" t="b">
        <v>0</v>
      </c>
      <c r="H700" s="102" t="b">
        <v>0</v>
      </c>
      <c r="I700" s="102" t="b">
        <v>0</v>
      </c>
      <c r="J700" s="102" t="b">
        <v>0</v>
      </c>
      <c r="K700" s="102" t="b">
        <v>0</v>
      </c>
      <c r="L700" s="102" t="b">
        <v>0</v>
      </c>
    </row>
    <row r="701" spans="1:12" ht="15">
      <c r="A701" s="104" t="s">
        <v>2369</v>
      </c>
      <c r="B701" s="102" t="s">
        <v>2381</v>
      </c>
      <c r="C701" s="102">
        <v>2</v>
      </c>
      <c r="D701" s="106">
        <v>0.0004993919862542396</v>
      </c>
      <c r="E701" s="106">
        <v>1.2205975500935942</v>
      </c>
      <c r="F701" s="102" t="s">
        <v>3369</v>
      </c>
      <c r="G701" s="102" t="b">
        <v>0</v>
      </c>
      <c r="H701" s="102" t="b">
        <v>0</v>
      </c>
      <c r="I701" s="102" t="b">
        <v>0</v>
      </c>
      <c r="J701" s="102" t="b">
        <v>0</v>
      </c>
      <c r="K701" s="102" t="b">
        <v>0</v>
      </c>
      <c r="L701" s="102" t="b">
        <v>0</v>
      </c>
    </row>
    <row r="702" spans="1:12" ht="15">
      <c r="A702" s="104" t="s">
        <v>2381</v>
      </c>
      <c r="B702" s="102" t="s">
        <v>2870</v>
      </c>
      <c r="C702" s="102">
        <v>2</v>
      </c>
      <c r="D702" s="106">
        <v>0.0004993919862542396</v>
      </c>
      <c r="E702" s="106">
        <v>2.318578573464176</v>
      </c>
      <c r="F702" s="102" t="s">
        <v>3369</v>
      </c>
      <c r="G702" s="102" t="b">
        <v>0</v>
      </c>
      <c r="H702" s="102" t="b">
        <v>0</v>
      </c>
      <c r="I702" s="102" t="b">
        <v>0</v>
      </c>
      <c r="J702" s="102" t="b">
        <v>0</v>
      </c>
      <c r="K702" s="102" t="b">
        <v>0</v>
      </c>
      <c r="L702" s="102" t="b">
        <v>0</v>
      </c>
    </row>
    <row r="703" spans="1:12" ht="15">
      <c r="A703" s="104" t="s">
        <v>2492</v>
      </c>
      <c r="B703" s="102" t="s">
        <v>2398</v>
      </c>
      <c r="C703" s="102">
        <v>2</v>
      </c>
      <c r="D703" s="106">
        <v>0.0004993919862542396</v>
      </c>
      <c r="E703" s="106">
        <v>1.9048442976089066</v>
      </c>
      <c r="F703" s="102" t="s">
        <v>3369</v>
      </c>
      <c r="G703" s="102" t="b">
        <v>0</v>
      </c>
      <c r="H703" s="102" t="b">
        <v>0</v>
      </c>
      <c r="I703" s="102" t="b">
        <v>0</v>
      </c>
      <c r="J703" s="102" t="b">
        <v>0</v>
      </c>
      <c r="K703" s="102" t="b">
        <v>0</v>
      </c>
      <c r="L703" s="102" t="b">
        <v>0</v>
      </c>
    </row>
    <row r="704" spans="1:12" ht="15">
      <c r="A704" s="104" t="s">
        <v>2396</v>
      </c>
      <c r="B704" s="102" t="s">
        <v>2395</v>
      </c>
      <c r="C704" s="102">
        <v>2</v>
      </c>
      <c r="D704" s="106">
        <v>0.0005682933356852263</v>
      </c>
      <c r="E704" s="106">
        <v>1.6038143019449254</v>
      </c>
      <c r="F704" s="102" t="s">
        <v>3369</v>
      </c>
      <c r="G704" s="102" t="b">
        <v>0</v>
      </c>
      <c r="H704" s="102" t="b">
        <v>0</v>
      </c>
      <c r="I704" s="102" t="b">
        <v>0</v>
      </c>
      <c r="J704" s="102" t="b">
        <v>0</v>
      </c>
      <c r="K704" s="102" t="b">
        <v>0</v>
      </c>
      <c r="L704" s="102" t="b">
        <v>0</v>
      </c>
    </row>
    <row r="705" spans="1:12" ht="15">
      <c r="A705" s="104" t="s">
        <v>2396</v>
      </c>
      <c r="B705" s="102" t="s">
        <v>3152</v>
      </c>
      <c r="C705" s="102">
        <v>2</v>
      </c>
      <c r="D705" s="106">
        <v>0.0005682933356852263</v>
      </c>
      <c r="E705" s="106">
        <v>2.6038143019449254</v>
      </c>
      <c r="F705" s="102" t="s">
        <v>3369</v>
      </c>
      <c r="G705" s="102" t="b">
        <v>0</v>
      </c>
      <c r="H705" s="102" t="b">
        <v>0</v>
      </c>
      <c r="I705" s="102" t="b">
        <v>0</v>
      </c>
      <c r="J705" s="102" t="b">
        <v>0</v>
      </c>
      <c r="K705" s="102" t="b">
        <v>0</v>
      </c>
      <c r="L705" s="102" t="b">
        <v>0</v>
      </c>
    </row>
    <row r="706" spans="1:12" ht="15">
      <c r="A706" s="104" t="s">
        <v>2348</v>
      </c>
      <c r="B706" s="102" t="s">
        <v>3154</v>
      </c>
      <c r="C706" s="102">
        <v>2</v>
      </c>
      <c r="D706" s="106">
        <v>0.0005682933356852263</v>
      </c>
      <c r="E706" s="106">
        <v>1.5661981143389567</v>
      </c>
      <c r="F706" s="102" t="s">
        <v>3369</v>
      </c>
      <c r="G706" s="102" t="b">
        <v>0</v>
      </c>
      <c r="H706" s="102" t="b">
        <v>0</v>
      </c>
      <c r="I706" s="102" t="b">
        <v>0</v>
      </c>
      <c r="J706" s="102" t="b">
        <v>0</v>
      </c>
      <c r="K706" s="102" t="b">
        <v>0</v>
      </c>
      <c r="L706" s="102" t="b">
        <v>0</v>
      </c>
    </row>
    <row r="707" spans="1:12" ht="15">
      <c r="A707" s="104" t="s">
        <v>2533</v>
      </c>
      <c r="B707" s="102" t="s">
        <v>2448</v>
      </c>
      <c r="C707" s="102">
        <v>2</v>
      </c>
      <c r="D707" s="106">
        <v>0.0005682933356852263</v>
      </c>
      <c r="E707" s="106">
        <v>2.177845569672644</v>
      </c>
      <c r="F707" s="102" t="s">
        <v>3369</v>
      </c>
      <c r="G707" s="102" t="b">
        <v>0</v>
      </c>
      <c r="H707" s="102" t="b">
        <v>0</v>
      </c>
      <c r="I707" s="102" t="b">
        <v>0</v>
      </c>
      <c r="J707" s="102" t="b">
        <v>0</v>
      </c>
      <c r="K707" s="102" t="b">
        <v>0</v>
      </c>
      <c r="L707" s="102" t="b">
        <v>0</v>
      </c>
    </row>
    <row r="708" spans="1:12" ht="15">
      <c r="A708" s="104" t="s">
        <v>2448</v>
      </c>
      <c r="B708" s="102" t="s">
        <v>2387</v>
      </c>
      <c r="C708" s="102">
        <v>2</v>
      </c>
      <c r="D708" s="106">
        <v>0.0005682933356852263</v>
      </c>
      <c r="E708" s="106">
        <v>1.7499423376231635</v>
      </c>
      <c r="F708" s="102" t="s">
        <v>3369</v>
      </c>
      <c r="G708" s="102" t="b">
        <v>0</v>
      </c>
      <c r="H708" s="102" t="b">
        <v>0</v>
      </c>
      <c r="I708" s="102" t="b">
        <v>0</v>
      </c>
      <c r="J708" s="102" t="b">
        <v>0</v>
      </c>
      <c r="K708" s="102" t="b">
        <v>0</v>
      </c>
      <c r="L708" s="102" t="b">
        <v>0</v>
      </c>
    </row>
    <row r="709" spans="1:12" ht="15">
      <c r="A709" s="104" t="s">
        <v>2544</v>
      </c>
      <c r="B709" s="102" t="s">
        <v>2448</v>
      </c>
      <c r="C709" s="102">
        <v>2</v>
      </c>
      <c r="D709" s="106">
        <v>0.0005682933356852263</v>
      </c>
      <c r="E709" s="106">
        <v>2.177845569672644</v>
      </c>
      <c r="F709" s="102" t="s">
        <v>3369</v>
      </c>
      <c r="G709" s="102" t="b">
        <v>0</v>
      </c>
      <c r="H709" s="102" t="b">
        <v>0</v>
      </c>
      <c r="I709" s="102" t="b">
        <v>0</v>
      </c>
      <c r="J709" s="102" t="b">
        <v>0</v>
      </c>
      <c r="K709" s="102" t="b">
        <v>0</v>
      </c>
      <c r="L709" s="102" t="b">
        <v>0</v>
      </c>
    </row>
    <row r="710" spans="1:12" ht="15">
      <c r="A710" s="104" t="s">
        <v>2544</v>
      </c>
      <c r="B710" s="102" t="s">
        <v>2486</v>
      </c>
      <c r="C710" s="102">
        <v>2</v>
      </c>
      <c r="D710" s="106">
        <v>0.0005682933356852263</v>
      </c>
      <c r="E710" s="106">
        <v>2.4208836183589386</v>
      </c>
      <c r="F710" s="102" t="s">
        <v>3369</v>
      </c>
      <c r="G710" s="102" t="b">
        <v>0</v>
      </c>
      <c r="H710" s="102" t="b">
        <v>0</v>
      </c>
      <c r="I710" s="102" t="b">
        <v>0</v>
      </c>
      <c r="J710" s="102" t="b">
        <v>0</v>
      </c>
      <c r="K710" s="102" t="b">
        <v>0</v>
      </c>
      <c r="L710" s="102" t="b">
        <v>0</v>
      </c>
    </row>
    <row r="711" spans="1:12" ht="15">
      <c r="A711" s="104" t="s">
        <v>3155</v>
      </c>
      <c r="B711" s="102" t="s">
        <v>3156</v>
      </c>
      <c r="C711" s="102">
        <v>2</v>
      </c>
      <c r="D711" s="106">
        <v>0.0004993919862542396</v>
      </c>
      <c r="E711" s="106">
        <v>3.6250036010148636</v>
      </c>
      <c r="F711" s="102" t="s">
        <v>3369</v>
      </c>
      <c r="G711" s="102" t="b">
        <v>0</v>
      </c>
      <c r="H711" s="102" t="b">
        <v>0</v>
      </c>
      <c r="I711" s="102" t="b">
        <v>0</v>
      </c>
      <c r="J711" s="102" t="b">
        <v>0</v>
      </c>
      <c r="K711" s="102" t="b">
        <v>0</v>
      </c>
      <c r="L711" s="102" t="b">
        <v>0</v>
      </c>
    </row>
    <row r="712" spans="1:12" ht="15">
      <c r="A712" s="104" t="s">
        <v>3156</v>
      </c>
      <c r="B712" s="102" t="s">
        <v>3157</v>
      </c>
      <c r="C712" s="102">
        <v>2</v>
      </c>
      <c r="D712" s="106">
        <v>0.0004993919862542396</v>
      </c>
      <c r="E712" s="106">
        <v>3.6250036010148636</v>
      </c>
      <c r="F712" s="102" t="s">
        <v>3369</v>
      </c>
      <c r="G712" s="102" t="b">
        <v>0</v>
      </c>
      <c r="H712" s="102" t="b">
        <v>0</v>
      </c>
      <c r="I712" s="102" t="b">
        <v>0</v>
      </c>
      <c r="J712" s="102" t="b">
        <v>0</v>
      </c>
      <c r="K712" s="102" t="b">
        <v>0</v>
      </c>
      <c r="L712" s="102" t="b">
        <v>0</v>
      </c>
    </row>
    <row r="713" spans="1:12" ht="15">
      <c r="A713" s="104" t="s">
        <v>3157</v>
      </c>
      <c r="B713" s="102" t="s">
        <v>3158</v>
      </c>
      <c r="C713" s="102">
        <v>2</v>
      </c>
      <c r="D713" s="106">
        <v>0.0004993919862542396</v>
      </c>
      <c r="E713" s="106">
        <v>3.6250036010148636</v>
      </c>
      <c r="F713" s="102" t="s">
        <v>3369</v>
      </c>
      <c r="G713" s="102" t="b">
        <v>0</v>
      </c>
      <c r="H713" s="102" t="b">
        <v>0</v>
      </c>
      <c r="I713" s="102" t="b">
        <v>0</v>
      </c>
      <c r="J713" s="102" t="b">
        <v>0</v>
      </c>
      <c r="K713" s="102" t="b">
        <v>0</v>
      </c>
      <c r="L713" s="102" t="b">
        <v>0</v>
      </c>
    </row>
    <row r="714" spans="1:12" ht="15">
      <c r="A714" s="104" t="s">
        <v>2350</v>
      </c>
      <c r="B714" s="102" t="s">
        <v>2379</v>
      </c>
      <c r="C714" s="102">
        <v>2</v>
      </c>
      <c r="D714" s="106">
        <v>0.0004993919862542396</v>
      </c>
      <c r="E714" s="106">
        <v>0.4854393348390137</v>
      </c>
      <c r="F714" s="102" t="s">
        <v>3369</v>
      </c>
      <c r="G714" s="102" t="b">
        <v>0</v>
      </c>
      <c r="H714" s="102" t="b">
        <v>0</v>
      </c>
      <c r="I714" s="102" t="b">
        <v>0</v>
      </c>
      <c r="J714" s="102" t="b">
        <v>0</v>
      </c>
      <c r="K714" s="102" t="b">
        <v>0</v>
      </c>
      <c r="L714" s="102" t="b">
        <v>0</v>
      </c>
    </row>
    <row r="715" spans="1:12" ht="15">
      <c r="A715" s="104" t="s">
        <v>3159</v>
      </c>
      <c r="B715" s="102" t="s">
        <v>2351</v>
      </c>
      <c r="C715" s="102">
        <v>2</v>
      </c>
      <c r="D715" s="106">
        <v>0.0004993919862542396</v>
      </c>
      <c r="E715" s="106">
        <v>1.6635825069484151</v>
      </c>
      <c r="F715" s="102" t="s">
        <v>3369</v>
      </c>
      <c r="G715" s="102" t="b">
        <v>0</v>
      </c>
      <c r="H715" s="102" t="b">
        <v>0</v>
      </c>
      <c r="I715" s="102" t="b">
        <v>0</v>
      </c>
      <c r="J715" s="102" t="b">
        <v>0</v>
      </c>
      <c r="K715" s="102" t="b">
        <v>0</v>
      </c>
      <c r="L715" s="102" t="b">
        <v>0</v>
      </c>
    </row>
    <row r="716" spans="1:12" ht="15">
      <c r="A716" s="104" t="s">
        <v>2351</v>
      </c>
      <c r="B716" s="102" t="s">
        <v>2609</v>
      </c>
      <c r="C716" s="102">
        <v>2</v>
      </c>
      <c r="D716" s="106">
        <v>0.0004993919862542396</v>
      </c>
      <c r="E716" s="106">
        <v>1.1912337670899977</v>
      </c>
      <c r="F716" s="102" t="s">
        <v>3369</v>
      </c>
      <c r="G716" s="102" t="b">
        <v>0</v>
      </c>
      <c r="H716" s="102" t="b">
        <v>0</v>
      </c>
      <c r="I716" s="102" t="b">
        <v>0</v>
      </c>
      <c r="J716" s="102" t="b">
        <v>0</v>
      </c>
      <c r="K716" s="102" t="b">
        <v>0</v>
      </c>
      <c r="L716" s="102" t="b">
        <v>0</v>
      </c>
    </row>
    <row r="717" spans="1:12" ht="15">
      <c r="A717" s="104" t="s">
        <v>2609</v>
      </c>
      <c r="B717" s="102" t="s">
        <v>2351</v>
      </c>
      <c r="C717" s="102">
        <v>2</v>
      </c>
      <c r="D717" s="106">
        <v>0.0004993919862542396</v>
      </c>
      <c r="E717" s="106">
        <v>1.2656424982763776</v>
      </c>
      <c r="F717" s="102" t="s">
        <v>3369</v>
      </c>
      <c r="G717" s="102" t="b">
        <v>0</v>
      </c>
      <c r="H717" s="102" t="b">
        <v>0</v>
      </c>
      <c r="I717" s="102" t="b">
        <v>0</v>
      </c>
      <c r="J717" s="102" t="b">
        <v>0</v>
      </c>
      <c r="K717" s="102" t="b">
        <v>0</v>
      </c>
      <c r="L717" s="102" t="b">
        <v>0</v>
      </c>
    </row>
    <row r="718" spans="1:12" ht="15">
      <c r="A718" s="104" t="s">
        <v>2468</v>
      </c>
      <c r="B718" s="102" t="s">
        <v>2468</v>
      </c>
      <c r="C718" s="102">
        <v>2</v>
      </c>
      <c r="D718" s="106">
        <v>0.0004993919862542396</v>
      </c>
      <c r="E718" s="106">
        <v>2.144278222026376</v>
      </c>
      <c r="F718" s="102" t="s">
        <v>3369</v>
      </c>
      <c r="G718" s="102" t="b">
        <v>0</v>
      </c>
      <c r="H718" s="102" t="b">
        <v>0</v>
      </c>
      <c r="I718" s="102" t="b">
        <v>0</v>
      </c>
      <c r="J718" s="102" t="b">
        <v>0</v>
      </c>
      <c r="K718" s="102" t="b">
        <v>0</v>
      </c>
      <c r="L718" s="102" t="b">
        <v>0</v>
      </c>
    </row>
    <row r="719" spans="1:12" ht="15">
      <c r="A719" s="104" t="s">
        <v>3161</v>
      </c>
      <c r="B719" s="102" t="s">
        <v>2841</v>
      </c>
      <c r="C719" s="102">
        <v>2</v>
      </c>
      <c r="D719" s="106">
        <v>0.0005682933356852263</v>
      </c>
      <c r="E719" s="106">
        <v>3.6250036010148636</v>
      </c>
      <c r="F719" s="102" t="s">
        <v>3369</v>
      </c>
      <c r="G719" s="102" t="b">
        <v>0</v>
      </c>
      <c r="H719" s="102" t="b">
        <v>0</v>
      </c>
      <c r="I719" s="102" t="b">
        <v>0</v>
      </c>
      <c r="J719" s="102" t="b">
        <v>0</v>
      </c>
      <c r="K719" s="102" t="b">
        <v>0</v>
      </c>
      <c r="L719" s="102" t="b">
        <v>0</v>
      </c>
    </row>
    <row r="720" spans="1:12" ht="15">
      <c r="A720" s="104" t="s">
        <v>3162</v>
      </c>
      <c r="B720" s="102" t="s">
        <v>3163</v>
      </c>
      <c r="C720" s="102">
        <v>2</v>
      </c>
      <c r="D720" s="106">
        <v>0.0005682933356852263</v>
      </c>
      <c r="E720" s="106">
        <v>3.6250036010148636</v>
      </c>
      <c r="F720" s="102" t="s">
        <v>3369</v>
      </c>
      <c r="G720" s="102" t="b">
        <v>0</v>
      </c>
      <c r="H720" s="102" t="b">
        <v>0</v>
      </c>
      <c r="I720" s="102" t="b">
        <v>0</v>
      </c>
      <c r="J720" s="102" t="b">
        <v>0</v>
      </c>
      <c r="K720" s="102" t="b">
        <v>0</v>
      </c>
      <c r="L720" s="102" t="b">
        <v>0</v>
      </c>
    </row>
    <row r="721" spans="1:12" ht="15">
      <c r="A721" s="104" t="s">
        <v>2449</v>
      </c>
      <c r="B721" s="102" t="s">
        <v>2365</v>
      </c>
      <c r="C721" s="102">
        <v>2</v>
      </c>
      <c r="D721" s="106">
        <v>0.0005682933356852263</v>
      </c>
      <c r="E721" s="106">
        <v>1.4277230428892442</v>
      </c>
      <c r="F721" s="102" t="s">
        <v>3369</v>
      </c>
      <c r="G721" s="102" t="b">
        <v>0</v>
      </c>
      <c r="H721" s="102" t="b">
        <v>0</v>
      </c>
      <c r="I721" s="102" t="b">
        <v>0</v>
      </c>
      <c r="J721" s="102" t="b">
        <v>0</v>
      </c>
      <c r="K721" s="102" t="b">
        <v>0</v>
      </c>
      <c r="L721" s="102" t="b">
        <v>0</v>
      </c>
    </row>
    <row r="722" spans="1:12" ht="15">
      <c r="A722" s="104" t="s">
        <v>2449</v>
      </c>
      <c r="B722" s="102" t="s">
        <v>3164</v>
      </c>
      <c r="C722" s="102">
        <v>2</v>
      </c>
      <c r="D722" s="106">
        <v>0.0005682933356852263</v>
      </c>
      <c r="E722" s="106">
        <v>2.7799055610006067</v>
      </c>
      <c r="F722" s="102" t="s">
        <v>3369</v>
      </c>
      <c r="G722" s="102" t="b">
        <v>0</v>
      </c>
      <c r="H722" s="102" t="b">
        <v>0</v>
      </c>
      <c r="I722" s="102" t="b">
        <v>0</v>
      </c>
      <c r="J722" s="102" t="b">
        <v>0</v>
      </c>
      <c r="K722" s="102" t="b">
        <v>0</v>
      </c>
      <c r="L722" s="102" t="b">
        <v>0</v>
      </c>
    </row>
    <row r="723" spans="1:12" ht="15">
      <c r="A723" s="104" t="s">
        <v>2350</v>
      </c>
      <c r="B723" s="102" t="s">
        <v>2564</v>
      </c>
      <c r="C723" s="102">
        <v>2</v>
      </c>
      <c r="D723" s="106">
        <v>0.0004993919862542396</v>
      </c>
      <c r="E723" s="106">
        <v>1.087499326166976</v>
      </c>
      <c r="F723" s="102" t="s">
        <v>3369</v>
      </c>
      <c r="G723" s="102" t="b">
        <v>0</v>
      </c>
      <c r="H723" s="102" t="b">
        <v>0</v>
      </c>
      <c r="I723" s="102" t="b">
        <v>0</v>
      </c>
      <c r="J723" s="102" t="b">
        <v>0</v>
      </c>
      <c r="K723" s="102" t="b">
        <v>0</v>
      </c>
      <c r="L723" s="102" t="b">
        <v>0</v>
      </c>
    </row>
    <row r="724" spans="1:12" ht="15">
      <c r="A724" s="104" t="s">
        <v>2351</v>
      </c>
      <c r="B724" s="102" t="s">
        <v>2360</v>
      </c>
      <c r="C724" s="102">
        <v>2</v>
      </c>
      <c r="D724" s="106">
        <v>0.0004993919862542396</v>
      </c>
      <c r="E724" s="106">
        <v>0.3066271857920672</v>
      </c>
      <c r="F724" s="102" t="s">
        <v>3369</v>
      </c>
      <c r="G724" s="102" t="b">
        <v>0</v>
      </c>
      <c r="H724" s="102" t="b">
        <v>0</v>
      </c>
      <c r="I724" s="102" t="b">
        <v>0</v>
      </c>
      <c r="J724" s="102" t="b">
        <v>0</v>
      </c>
      <c r="K724" s="102" t="b">
        <v>1</v>
      </c>
      <c r="L724" s="102" t="b">
        <v>0</v>
      </c>
    </row>
    <row r="725" spans="1:12" ht="15">
      <c r="A725" s="104" t="s">
        <v>2349</v>
      </c>
      <c r="B725" s="102" t="s">
        <v>2385</v>
      </c>
      <c r="C725" s="102">
        <v>2</v>
      </c>
      <c r="D725" s="106">
        <v>0.0004993919862542396</v>
      </c>
      <c r="E725" s="106">
        <v>0.5027877227420369</v>
      </c>
      <c r="F725" s="102" t="s">
        <v>3369</v>
      </c>
      <c r="G725" s="102" t="b">
        <v>0</v>
      </c>
      <c r="H725" s="102" t="b">
        <v>0</v>
      </c>
      <c r="I725" s="102" t="b">
        <v>0</v>
      </c>
      <c r="J725" s="102" t="b">
        <v>0</v>
      </c>
      <c r="K725" s="102" t="b">
        <v>0</v>
      </c>
      <c r="L725" s="102" t="b">
        <v>0</v>
      </c>
    </row>
    <row r="726" spans="1:12" ht="15">
      <c r="A726" s="104" t="s">
        <v>2430</v>
      </c>
      <c r="B726" s="102" t="s">
        <v>2430</v>
      </c>
      <c r="C726" s="102">
        <v>2</v>
      </c>
      <c r="D726" s="106">
        <v>0.0005682933356852263</v>
      </c>
      <c r="E726" s="106">
        <v>1.8748810742314634</v>
      </c>
      <c r="F726" s="102" t="s">
        <v>3369</v>
      </c>
      <c r="G726" s="102" t="b">
        <v>0</v>
      </c>
      <c r="H726" s="102" t="b">
        <v>0</v>
      </c>
      <c r="I726" s="102" t="b">
        <v>0</v>
      </c>
      <c r="J726" s="102" t="b">
        <v>0</v>
      </c>
      <c r="K726" s="102" t="b">
        <v>0</v>
      </c>
      <c r="L726" s="102" t="b">
        <v>0</v>
      </c>
    </row>
    <row r="727" spans="1:12" ht="15">
      <c r="A727" s="104" t="s">
        <v>2430</v>
      </c>
      <c r="B727" s="102" t="s">
        <v>2355</v>
      </c>
      <c r="C727" s="102">
        <v>2</v>
      </c>
      <c r="D727" s="106">
        <v>0.0005682933356852263</v>
      </c>
      <c r="E727" s="106">
        <v>1.2447923593032575</v>
      </c>
      <c r="F727" s="102" t="s">
        <v>3369</v>
      </c>
      <c r="G727" s="102" t="b">
        <v>0</v>
      </c>
      <c r="H727" s="102" t="b">
        <v>0</v>
      </c>
      <c r="I727" s="102" t="b">
        <v>0</v>
      </c>
      <c r="J727" s="102" t="b">
        <v>0</v>
      </c>
      <c r="K727" s="102" t="b">
        <v>0</v>
      </c>
      <c r="L727" s="102" t="b">
        <v>0</v>
      </c>
    </row>
    <row r="728" spans="1:12" ht="15">
      <c r="A728" s="104" t="s">
        <v>2364</v>
      </c>
      <c r="B728" s="102" t="s">
        <v>2430</v>
      </c>
      <c r="C728" s="102">
        <v>2</v>
      </c>
      <c r="D728" s="106">
        <v>0.0005682933356852263</v>
      </c>
      <c r="E728" s="106">
        <v>1.427723042889244</v>
      </c>
      <c r="F728" s="102" t="s">
        <v>3369</v>
      </c>
      <c r="G728" s="102" t="b">
        <v>0</v>
      </c>
      <c r="H728" s="102" t="b">
        <v>0</v>
      </c>
      <c r="I728" s="102" t="b">
        <v>0</v>
      </c>
      <c r="J728" s="102" t="b">
        <v>0</v>
      </c>
      <c r="K728" s="102" t="b">
        <v>0</v>
      </c>
      <c r="L728" s="102" t="b">
        <v>0</v>
      </c>
    </row>
    <row r="729" spans="1:12" ht="15">
      <c r="A729" s="104" t="s">
        <v>2430</v>
      </c>
      <c r="B729" s="102" t="s">
        <v>2364</v>
      </c>
      <c r="C729" s="102">
        <v>2</v>
      </c>
      <c r="D729" s="106">
        <v>0.0005682933356852263</v>
      </c>
      <c r="E729" s="106">
        <v>1.397759819511801</v>
      </c>
      <c r="F729" s="102" t="s">
        <v>3369</v>
      </c>
      <c r="G729" s="102" t="b">
        <v>0</v>
      </c>
      <c r="H729" s="102" t="b">
        <v>0</v>
      </c>
      <c r="I729" s="102" t="b">
        <v>0</v>
      </c>
      <c r="J729" s="102" t="b">
        <v>0</v>
      </c>
      <c r="K729" s="102" t="b">
        <v>0</v>
      </c>
      <c r="L729" s="102" t="b">
        <v>0</v>
      </c>
    </row>
    <row r="730" spans="1:12" ht="15">
      <c r="A730" s="104" t="s">
        <v>2349</v>
      </c>
      <c r="B730" s="102" t="s">
        <v>2891</v>
      </c>
      <c r="C730" s="102">
        <v>2</v>
      </c>
      <c r="D730" s="106">
        <v>0.0004993919862542396</v>
      </c>
      <c r="E730" s="106">
        <v>1.423606476694412</v>
      </c>
      <c r="F730" s="102" t="s">
        <v>3369</v>
      </c>
      <c r="G730" s="102" t="b">
        <v>0</v>
      </c>
      <c r="H730" s="102" t="b">
        <v>0</v>
      </c>
      <c r="I730" s="102" t="b">
        <v>0</v>
      </c>
      <c r="J730" s="102" t="b">
        <v>0</v>
      </c>
      <c r="K730" s="102" t="b">
        <v>0</v>
      </c>
      <c r="L730" s="102" t="b">
        <v>0</v>
      </c>
    </row>
    <row r="731" spans="1:12" ht="15">
      <c r="A731" s="104" t="s">
        <v>2357</v>
      </c>
      <c r="B731" s="102" t="s">
        <v>2348</v>
      </c>
      <c r="C731" s="102">
        <v>2</v>
      </c>
      <c r="D731" s="106">
        <v>0.0005682933356852263</v>
      </c>
      <c r="E731" s="106">
        <v>0.1257634118751411</v>
      </c>
      <c r="F731" s="102" t="s">
        <v>3369</v>
      </c>
      <c r="G731" s="102" t="b">
        <v>0</v>
      </c>
      <c r="H731" s="102" t="b">
        <v>0</v>
      </c>
      <c r="I731" s="102" t="b">
        <v>0</v>
      </c>
      <c r="J731" s="102" t="b">
        <v>0</v>
      </c>
      <c r="K731" s="102" t="b">
        <v>0</v>
      </c>
      <c r="L731" s="102" t="b">
        <v>0</v>
      </c>
    </row>
    <row r="732" spans="1:12" ht="15">
      <c r="A732" s="104" t="s">
        <v>2685</v>
      </c>
      <c r="B732" s="102" t="s">
        <v>2403</v>
      </c>
      <c r="C732" s="102">
        <v>2</v>
      </c>
      <c r="D732" s="106">
        <v>0.0005682933356852263</v>
      </c>
      <c r="E732" s="106">
        <v>2.4208836183589386</v>
      </c>
      <c r="F732" s="102" t="s">
        <v>3369</v>
      </c>
      <c r="G732" s="102" t="b">
        <v>0</v>
      </c>
      <c r="H732" s="102" t="b">
        <v>0</v>
      </c>
      <c r="I732" s="102" t="b">
        <v>0</v>
      </c>
      <c r="J732" s="102" t="b">
        <v>0</v>
      </c>
      <c r="K732" s="102" t="b">
        <v>0</v>
      </c>
      <c r="L732" s="102" t="b">
        <v>0</v>
      </c>
    </row>
    <row r="733" spans="1:12" ht="15">
      <c r="A733" s="104" t="s">
        <v>2357</v>
      </c>
      <c r="B733" s="102" t="s">
        <v>2463</v>
      </c>
      <c r="C733" s="102">
        <v>2</v>
      </c>
      <c r="D733" s="106">
        <v>0.0004993919862542396</v>
      </c>
      <c r="E733" s="106">
        <v>1.362552511284434</v>
      </c>
      <c r="F733" s="102" t="s">
        <v>3369</v>
      </c>
      <c r="G733" s="102" t="b">
        <v>0</v>
      </c>
      <c r="H733" s="102" t="b">
        <v>0</v>
      </c>
      <c r="I733" s="102" t="b">
        <v>0</v>
      </c>
      <c r="J733" s="102" t="b">
        <v>0</v>
      </c>
      <c r="K733" s="102" t="b">
        <v>0</v>
      </c>
      <c r="L733" s="102" t="b">
        <v>0</v>
      </c>
    </row>
    <row r="734" spans="1:12" ht="15">
      <c r="A734" s="104" t="s">
        <v>2454</v>
      </c>
      <c r="B734" s="102" t="s">
        <v>2586</v>
      </c>
      <c r="C734" s="102">
        <v>2</v>
      </c>
      <c r="D734" s="106">
        <v>0.0004993919862542396</v>
      </c>
      <c r="E734" s="106">
        <v>2.3697310959115576</v>
      </c>
      <c r="F734" s="102" t="s">
        <v>3369</v>
      </c>
      <c r="G734" s="102" t="b">
        <v>0</v>
      </c>
      <c r="H734" s="102" t="b">
        <v>0</v>
      </c>
      <c r="I734" s="102" t="b">
        <v>0</v>
      </c>
      <c r="J734" s="102" t="b">
        <v>0</v>
      </c>
      <c r="K734" s="102" t="b">
        <v>0</v>
      </c>
      <c r="L734" s="102" t="b">
        <v>0</v>
      </c>
    </row>
    <row r="735" spans="1:12" ht="15">
      <c r="A735" s="104" t="s">
        <v>2538</v>
      </c>
      <c r="B735" s="102" t="s">
        <v>2767</v>
      </c>
      <c r="C735" s="102">
        <v>2</v>
      </c>
      <c r="D735" s="106">
        <v>0.0004993919862542396</v>
      </c>
      <c r="E735" s="106">
        <v>2.72191361402292</v>
      </c>
      <c r="F735" s="102" t="s">
        <v>3369</v>
      </c>
      <c r="G735" s="102" t="b">
        <v>0</v>
      </c>
      <c r="H735" s="102" t="b">
        <v>0</v>
      </c>
      <c r="I735" s="102" t="b">
        <v>0</v>
      </c>
      <c r="J735" s="102" t="b">
        <v>0</v>
      </c>
      <c r="K735" s="102" t="b">
        <v>0</v>
      </c>
      <c r="L735" s="102" t="b">
        <v>0</v>
      </c>
    </row>
    <row r="736" spans="1:12" ht="15">
      <c r="A736" s="104" t="s">
        <v>3172</v>
      </c>
      <c r="B736" s="102" t="s">
        <v>2529</v>
      </c>
      <c r="C736" s="102">
        <v>2</v>
      </c>
      <c r="D736" s="106">
        <v>0.0004993919862542396</v>
      </c>
      <c r="E736" s="106">
        <v>3.022943609686901</v>
      </c>
      <c r="F736" s="102" t="s">
        <v>3369</v>
      </c>
      <c r="G736" s="102" t="b">
        <v>0</v>
      </c>
      <c r="H736" s="102" t="b">
        <v>1</v>
      </c>
      <c r="I736" s="102" t="b">
        <v>0</v>
      </c>
      <c r="J736" s="102" t="b">
        <v>0</v>
      </c>
      <c r="K736" s="102" t="b">
        <v>0</v>
      </c>
      <c r="L736" s="102" t="b">
        <v>0</v>
      </c>
    </row>
    <row r="737" spans="1:12" ht="15">
      <c r="A737" s="104" t="s">
        <v>2893</v>
      </c>
      <c r="B737" s="102" t="s">
        <v>2670</v>
      </c>
      <c r="C737" s="102">
        <v>2</v>
      </c>
      <c r="D737" s="106">
        <v>0.0005682933356852263</v>
      </c>
      <c r="E737" s="106">
        <v>3.050972333287145</v>
      </c>
      <c r="F737" s="102" t="s">
        <v>3369</v>
      </c>
      <c r="G737" s="102" t="b">
        <v>0</v>
      </c>
      <c r="H737" s="102" t="b">
        <v>0</v>
      </c>
      <c r="I737" s="102" t="b">
        <v>0</v>
      </c>
      <c r="J737" s="102" t="b">
        <v>0</v>
      </c>
      <c r="K737" s="102" t="b">
        <v>0</v>
      </c>
      <c r="L737" s="102" t="b">
        <v>0</v>
      </c>
    </row>
    <row r="738" spans="1:12" ht="15">
      <c r="A738" s="104" t="s">
        <v>2670</v>
      </c>
      <c r="B738" s="102" t="s">
        <v>2392</v>
      </c>
      <c r="C738" s="102">
        <v>2</v>
      </c>
      <c r="D738" s="106">
        <v>0.0005682933356852263</v>
      </c>
      <c r="E738" s="106">
        <v>2.1663657519892143</v>
      </c>
      <c r="F738" s="102" t="s">
        <v>3369</v>
      </c>
      <c r="G738" s="102" t="b">
        <v>0</v>
      </c>
      <c r="H738" s="102" t="b">
        <v>0</v>
      </c>
      <c r="I738" s="102" t="b">
        <v>0</v>
      </c>
      <c r="J738" s="102" t="b">
        <v>0</v>
      </c>
      <c r="K738" s="102" t="b">
        <v>0</v>
      </c>
      <c r="L738" s="102" t="b">
        <v>0</v>
      </c>
    </row>
    <row r="739" spans="1:12" ht="15">
      <c r="A739" s="104" t="s">
        <v>2392</v>
      </c>
      <c r="B739" s="102" t="s">
        <v>2360</v>
      </c>
      <c r="C739" s="102">
        <v>2</v>
      </c>
      <c r="D739" s="106">
        <v>0.0005682933356852263</v>
      </c>
      <c r="E739" s="106">
        <v>1.202577924643659</v>
      </c>
      <c r="F739" s="102" t="s">
        <v>3369</v>
      </c>
      <c r="G739" s="102" t="b">
        <v>0</v>
      </c>
      <c r="H739" s="102" t="b">
        <v>0</v>
      </c>
      <c r="I739" s="102" t="b">
        <v>0</v>
      </c>
      <c r="J739" s="102" t="b">
        <v>0</v>
      </c>
      <c r="K739" s="102" t="b">
        <v>1</v>
      </c>
      <c r="L739" s="102" t="b">
        <v>0</v>
      </c>
    </row>
    <row r="740" spans="1:12" ht="15">
      <c r="A740" s="104" t="s">
        <v>2451</v>
      </c>
      <c r="B740" s="102" t="s">
        <v>2351</v>
      </c>
      <c r="C740" s="102">
        <v>2</v>
      </c>
      <c r="D740" s="106">
        <v>0.0004993919862542396</v>
      </c>
      <c r="E740" s="106">
        <v>0.8506691503055596</v>
      </c>
      <c r="F740" s="102" t="s">
        <v>3369</v>
      </c>
      <c r="G740" s="102" t="b">
        <v>0</v>
      </c>
      <c r="H740" s="102" t="b">
        <v>0</v>
      </c>
      <c r="I740" s="102" t="b">
        <v>0</v>
      </c>
      <c r="J740" s="102" t="b">
        <v>0</v>
      </c>
      <c r="K740" s="102" t="b">
        <v>0</v>
      </c>
      <c r="L740" s="102" t="b">
        <v>0</v>
      </c>
    </row>
    <row r="741" spans="1:12" ht="15">
      <c r="A741" s="104" t="s">
        <v>2351</v>
      </c>
      <c r="B741" s="102" t="s">
        <v>2829</v>
      </c>
      <c r="C741" s="102">
        <v>2</v>
      </c>
      <c r="D741" s="106">
        <v>0.0004993919862542396</v>
      </c>
      <c r="E741" s="106">
        <v>1.492263762753979</v>
      </c>
      <c r="F741" s="102" t="s">
        <v>3369</v>
      </c>
      <c r="G741" s="102" t="b">
        <v>0</v>
      </c>
      <c r="H741" s="102" t="b">
        <v>0</v>
      </c>
      <c r="I741" s="102" t="b">
        <v>0</v>
      </c>
      <c r="J741" s="102" t="b">
        <v>0</v>
      </c>
      <c r="K741" s="102" t="b">
        <v>0</v>
      </c>
      <c r="L741" s="102" t="b">
        <v>0</v>
      </c>
    </row>
    <row r="742" spans="1:12" ht="15">
      <c r="A742" s="104" t="s">
        <v>3173</v>
      </c>
      <c r="B742" s="102" t="s">
        <v>2350</v>
      </c>
      <c r="C742" s="102">
        <v>2</v>
      </c>
      <c r="D742" s="106">
        <v>0.0004993919862542396</v>
      </c>
      <c r="E742" s="106">
        <v>1.6315673705172515</v>
      </c>
      <c r="F742" s="102" t="s">
        <v>3369</v>
      </c>
      <c r="G742" s="102" t="b">
        <v>0</v>
      </c>
      <c r="H742" s="102" t="b">
        <v>0</v>
      </c>
      <c r="I742" s="102" t="b">
        <v>0</v>
      </c>
      <c r="J742" s="102" t="b">
        <v>0</v>
      </c>
      <c r="K742" s="102" t="b">
        <v>0</v>
      </c>
      <c r="L742" s="102" t="b">
        <v>0</v>
      </c>
    </row>
    <row r="743" spans="1:12" ht="15">
      <c r="A743" s="104" t="s">
        <v>2420</v>
      </c>
      <c r="B743" s="102" t="s">
        <v>2349</v>
      </c>
      <c r="C743" s="102">
        <v>2</v>
      </c>
      <c r="D743" s="106">
        <v>0.0004993919862542396</v>
      </c>
      <c r="E743" s="106">
        <v>0.6785513360017904</v>
      </c>
      <c r="F743" s="102" t="s">
        <v>3369</v>
      </c>
      <c r="G743" s="102" t="b">
        <v>0</v>
      </c>
      <c r="H743" s="102" t="b">
        <v>0</v>
      </c>
      <c r="I743" s="102" t="b">
        <v>0</v>
      </c>
      <c r="J743" s="102" t="b">
        <v>0</v>
      </c>
      <c r="K743" s="102" t="b">
        <v>0</v>
      </c>
      <c r="L743" s="102" t="b">
        <v>0</v>
      </c>
    </row>
    <row r="744" spans="1:12" ht="15">
      <c r="A744" s="104" t="s">
        <v>2496</v>
      </c>
      <c r="B744" s="102" t="s">
        <v>2349</v>
      </c>
      <c r="C744" s="102">
        <v>2</v>
      </c>
      <c r="D744" s="106">
        <v>0.0004993919862542396</v>
      </c>
      <c r="E744" s="106">
        <v>0.8826713186577151</v>
      </c>
      <c r="F744" s="102" t="s">
        <v>3369</v>
      </c>
      <c r="G744" s="102" t="b">
        <v>0</v>
      </c>
      <c r="H744" s="102" t="b">
        <v>1</v>
      </c>
      <c r="I744" s="102" t="b">
        <v>0</v>
      </c>
      <c r="J744" s="102" t="b">
        <v>0</v>
      </c>
      <c r="K744" s="102" t="b">
        <v>0</v>
      </c>
      <c r="L744" s="102" t="b">
        <v>0</v>
      </c>
    </row>
    <row r="745" spans="1:12" ht="15">
      <c r="A745" s="104" t="s">
        <v>2894</v>
      </c>
      <c r="B745" s="102" t="s">
        <v>2350</v>
      </c>
      <c r="C745" s="102">
        <v>2</v>
      </c>
      <c r="D745" s="106">
        <v>0.0004993919862542396</v>
      </c>
      <c r="E745" s="106">
        <v>1.6315673705172515</v>
      </c>
      <c r="F745" s="102" t="s">
        <v>3369</v>
      </c>
      <c r="G745" s="102" t="b">
        <v>0</v>
      </c>
      <c r="H745" s="102" t="b">
        <v>0</v>
      </c>
      <c r="I745" s="102" t="b">
        <v>0</v>
      </c>
      <c r="J745" s="102" t="b">
        <v>0</v>
      </c>
      <c r="K745" s="102" t="b">
        <v>0</v>
      </c>
      <c r="L745" s="102" t="b">
        <v>0</v>
      </c>
    </row>
    <row r="746" spans="1:12" ht="15">
      <c r="A746" s="104" t="s">
        <v>2533</v>
      </c>
      <c r="B746" s="102" t="s">
        <v>2896</v>
      </c>
      <c r="C746" s="102">
        <v>2</v>
      </c>
      <c r="D746" s="106">
        <v>0.0004993919862542396</v>
      </c>
      <c r="E746" s="106">
        <v>2.8468523506312198</v>
      </c>
      <c r="F746" s="102" t="s">
        <v>3369</v>
      </c>
      <c r="G746" s="102" t="b">
        <v>0</v>
      </c>
      <c r="H746" s="102" t="b">
        <v>0</v>
      </c>
      <c r="I746" s="102" t="b">
        <v>0</v>
      </c>
      <c r="J746" s="102" t="b">
        <v>0</v>
      </c>
      <c r="K746" s="102" t="b">
        <v>0</v>
      </c>
      <c r="L746" s="102" t="b">
        <v>0</v>
      </c>
    </row>
    <row r="747" spans="1:12" ht="15">
      <c r="A747" s="104" t="s">
        <v>2896</v>
      </c>
      <c r="B747" s="102" t="s">
        <v>2350</v>
      </c>
      <c r="C747" s="102">
        <v>2</v>
      </c>
      <c r="D747" s="106">
        <v>0.0004993919862542396</v>
      </c>
      <c r="E747" s="106">
        <v>1.4554761114615704</v>
      </c>
      <c r="F747" s="102" t="s">
        <v>3369</v>
      </c>
      <c r="G747" s="102" t="b">
        <v>0</v>
      </c>
      <c r="H747" s="102" t="b">
        <v>0</v>
      </c>
      <c r="I747" s="102" t="b">
        <v>0</v>
      </c>
      <c r="J747" s="102" t="b">
        <v>0</v>
      </c>
      <c r="K747" s="102" t="b">
        <v>0</v>
      </c>
      <c r="L747" s="102" t="b">
        <v>0</v>
      </c>
    </row>
    <row r="748" spans="1:12" ht="15">
      <c r="A748" s="104" t="s">
        <v>2369</v>
      </c>
      <c r="B748" s="102" t="s">
        <v>2596</v>
      </c>
      <c r="C748" s="102">
        <v>2</v>
      </c>
      <c r="D748" s="106">
        <v>0.0004993919862542396</v>
      </c>
      <c r="E748" s="106">
        <v>1.9048442976089066</v>
      </c>
      <c r="F748" s="102" t="s">
        <v>3369</v>
      </c>
      <c r="G748" s="102" t="b">
        <v>0</v>
      </c>
      <c r="H748" s="102" t="b">
        <v>0</v>
      </c>
      <c r="I748" s="102" t="b">
        <v>0</v>
      </c>
      <c r="J748" s="102" t="b">
        <v>0</v>
      </c>
      <c r="K748" s="102" t="b">
        <v>0</v>
      </c>
      <c r="L748" s="102" t="b">
        <v>0</v>
      </c>
    </row>
    <row r="749" spans="1:12" ht="15">
      <c r="A749" s="104" t="s">
        <v>2351</v>
      </c>
      <c r="B749" s="102" t="s">
        <v>2414</v>
      </c>
      <c r="C749" s="102">
        <v>2</v>
      </c>
      <c r="D749" s="106">
        <v>0.0004993919862542396</v>
      </c>
      <c r="E749" s="106">
        <v>0.8232569817954034</v>
      </c>
      <c r="F749" s="102" t="s">
        <v>3369</v>
      </c>
      <c r="G749" s="102" t="b">
        <v>0</v>
      </c>
      <c r="H749" s="102" t="b">
        <v>0</v>
      </c>
      <c r="I749" s="102" t="b">
        <v>0</v>
      </c>
      <c r="J749" s="102" t="b">
        <v>0</v>
      </c>
      <c r="K749" s="102" t="b">
        <v>0</v>
      </c>
      <c r="L749" s="102" t="b">
        <v>0</v>
      </c>
    </row>
    <row r="750" spans="1:12" ht="15">
      <c r="A750" s="104" t="s">
        <v>2385</v>
      </c>
      <c r="B750" s="102" t="s">
        <v>2496</v>
      </c>
      <c r="C750" s="102">
        <v>2</v>
      </c>
      <c r="D750" s="106">
        <v>0.0004993919862542396</v>
      </c>
      <c r="E750" s="106">
        <v>1.857847734932683</v>
      </c>
      <c r="F750" s="102" t="s">
        <v>3369</v>
      </c>
      <c r="G750" s="102" t="b">
        <v>0</v>
      </c>
      <c r="H750" s="102" t="b">
        <v>0</v>
      </c>
      <c r="I750" s="102" t="b">
        <v>0</v>
      </c>
      <c r="J750" s="102" t="b">
        <v>0</v>
      </c>
      <c r="K750" s="102" t="b">
        <v>1</v>
      </c>
      <c r="L750" s="102" t="b">
        <v>0</v>
      </c>
    </row>
    <row r="751" spans="1:12" ht="15">
      <c r="A751" s="104" t="s">
        <v>2392</v>
      </c>
      <c r="B751" s="102" t="s">
        <v>2487</v>
      </c>
      <c r="C751" s="102">
        <v>2</v>
      </c>
      <c r="D751" s="106">
        <v>0.0004993919862542396</v>
      </c>
      <c r="E751" s="106">
        <v>1.8653357563252329</v>
      </c>
      <c r="F751" s="102" t="s">
        <v>3369</v>
      </c>
      <c r="G751" s="102" t="b">
        <v>0</v>
      </c>
      <c r="H751" s="102" t="b">
        <v>0</v>
      </c>
      <c r="I751" s="102" t="b">
        <v>0</v>
      </c>
      <c r="J751" s="102" t="b">
        <v>0</v>
      </c>
      <c r="K751" s="102" t="b">
        <v>0</v>
      </c>
      <c r="L751" s="102" t="b">
        <v>0</v>
      </c>
    </row>
    <row r="752" spans="1:12" ht="15">
      <c r="A752" s="104" t="s">
        <v>2397</v>
      </c>
      <c r="B752" s="102" t="s">
        <v>2385</v>
      </c>
      <c r="C752" s="102">
        <v>2</v>
      </c>
      <c r="D752" s="106">
        <v>0.0004993919862542396</v>
      </c>
      <c r="E752" s="106">
        <v>1.506904288936869</v>
      </c>
      <c r="F752" s="102" t="s">
        <v>3369</v>
      </c>
      <c r="G752" s="102" t="b">
        <v>0</v>
      </c>
      <c r="H752" s="102" t="b">
        <v>0</v>
      </c>
      <c r="I752" s="102" t="b">
        <v>0</v>
      </c>
      <c r="J752" s="102" t="b">
        <v>0</v>
      </c>
      <c r="K752" s="102" t="b">
        <v>0</v>
      </c>
      <c r="L752" s="102" t="b">
        <v>0</v>
      </c>
    </row>
    <row r="753" spans="1:12" ht="15">
      <c r="A753" s="104" t="s">
        <v>2558</v>
      </c>
      <c r="B753" s="102" t="s">
        <v>2769</v>
      </c>
      <c r="C753" s="102">
        <v>2</v>
      </c>
      <c r="D753" s="106">
        <v>0.0005682933356852263</v>
      </c>
      <c r="E753" s="106">
        <v>2.8468523506312198</v>
      </c>
      <c r="F753" s="102" t="s">
        <v>3369</v>
      </c>
      <c r="G753" s="102" t="b">
        <v>0</v>
      </c>
      <c r="H753" s="102" t="b">
        <v>0</v>
      </c>
      <c r="I753" s="102" t="b">
        <v>0</v>
      </c>
      <c r="J753" s="102" t="b">
        <v>0</v>
      </c>
      <c r="K753" s="102" t="b">
        <v>0</v>
      </c>
      <c r="L753" s="102" t="b">
        <v>0</v>
      </c>
    </row>
    <row r="754" spans="1:12" ht="15">
      <c r="A754" s="104" t="s">
        <v>2496</v>
      </c>
      <c r="B754" s="102" t="s">
        <v>3179</v>
      </c>
      <c r="C754" s="102">
        <v>2</v>
      </c>
      <c r="D754" s="106">
        <v>0.0004993919862542396</v>
      </c>
      <c r="E754" s="106">
        <v>2.9260335966788444</v>
      </c>
      <c r="F754" s="102" t="s">
        <v>3369</v>
      </c>
      <c r="G754" s="102" t="b">
        <v>0</v>
      </c>
      <c r="H754" s="102" t="b">
        <v>1</v>
      </c>
      <c r="I754" s="102" t="b">
        <v>0</v>
      </c>
      <c r="J754" s="102" t="b">
        <v>0</v>
      </c>
      <c r="K754" s="102" t="b">
        <v>1</v>
      </c>
      <c r="L754" s="102" t="b">
        <v>0</v>
      </c>
    </row>
    <row r="755" spans="1:12" ht="15">
      <c r="A755" s="104" t="s">
        <v>3179</v>
      </c>
      <c r="B755" s="102" t="s">
        <v>2897</v>
      </c>
      <c r="C755" s="102">
        <v>2</v>
      </c>
      <c r="D755" s="106">
        <v>0.0004993919862542396</v>
      </c>
      <c r="E755" s="106">
        <v>3.4489123419591823</v>
      </c>
      <c r="F755" s="102" t="s">
        <v>3369</v>
      </c>
      <c r="G755" s="102" t="b">
        <v>0</v>
      </c>
      <c r="H755" s="102" t="b">
        <v>1</v>
      </c>
      <c r="I755" s="102" t="b">
        <v>0</v>
      </c>
      <c r="J755" s="102" t="b">
        <v>0</v>
      </c>
      <c r="K755" s="102" t="b">
        <v>0</v>
      </c>
      <c r="L755" s="102" t="b">
        <v>0</v>
      </c>
    </row>
    <row r="756" spans="1:12" ht="15">
      <c r="A756" s="104" t="s">
        <v>2897</v>
      </c>
      <c r="B756" s="102" t="s">
        <v>2349</v>
      </c>
      <c r="C756" s="102">
        <v>2</v>
      </c>
      <c r="D756" s="106">
        <v>0.0004993919862542396</v>
      </c>
      <c r="E756" s="106">
        <v>1.4055500639380527</v>
      </c>
      <c r="F756" s="102" t="s">
        <v>3369</v>
      </c>
      <c r="G756" s="102" t="b">
        <v>0</v>
      </c>
      <c r="H756" s="102" t="b">
        <v>0</v>
      </c>
      <c r="I756" s="102" t="b">
        <v>0</v>
      </c>
      <c r="J756" s="102" t="b">
        <v>0</v>
      </c>
      <c r="K756" s="102" t="b">
        <v>0</v>
      </c>
      <c r="L756" s="102" t="b">
        <v>0</v>
      </c>
    </row>
    <row r="757" spans="1:12" ht="15">
      <c r="A757" s="104" t="s">
        <v>2349</v>
      </c>
      <c r="B757" s="102" t="s">
        <v>2565</v>
      </c>
      <c r="C757" s="102">
        <v>2</v>
      </c>
      <c r="D757" s="106">
        <v>0.0004993919862542396</v>
      </c>
      <c r="E757" s="106">
        <v>1.0556296913998175</v>
      </c>
      <c r="F757" s="102" t="s">
        <v>3369</v>
      </c>
      <c r="G757" s="102" t="b">
        <v>0</v>
      </c>
      <c r="H757" s="102" t="b">
        <v>0</v>
      </c>
      <c r="I757" s="102" t="b">
        <v>0</v>
      </c>
      <c r="J757" s="102" t="b">
        <v>0</v>
      </c>
      <c r="K757" s="102" t="b">
        <v>0</v>
      </c>
      <c r="L757" s="102" t="b">
        <v>0</v>
      </c>
    </row>
    <row r="758" spans="1:12" ht="15">
      <c r="A758" s="104" t="s">
        <v>2349</v>
      </c>
      <c r="B758" s="102" t="s">
        <v>2414</v>
      </c>
      <c r="C758" s="102">
        <v>2</v>
      </c>
      <c r="D758" s="106">
        <v>0.0004993919862542396</v>
      </c>
      <c r="E758" s="106">
        <v>0.7545996957358365</v>
      </c>
      <c r="F758" s="102" t="s">
        <v>3369</v>
      </c>
      <c r="G758" s="102" t="b">
        <v>0</v>
      </c>
      <c r="H758" s="102" t="b">
        <v>0</v>
      </c>
      <c r="I758" s="102" t="b">
        <v>0</v>
      </c>
      <c r="J758" s="102" t="b">
        <v>0</v>
      </c>
      <c r="K758" s="102" t="b">
        <v>0</v>
      </c>
      <c r="L758" s="102" t="b">
        <v>0</v>
      </c>
    </row>
    <row r="759" spans="1:12" ht="15">
      <c r="A759" s="104" t="s">
        <v>2487</v>
      </c>
      <c r="B759" s="102" t="s">
        <v>2432</v>
      </c>
      <c r="C759" s="102">
        <v>2</v>
      </c>
      <c r="D759" s="106">
        <v>0.0004993919862542396</v>
      </c>
      <c r="E759" s="106">
        <v>2.050972333287145</v>
      </c>
      <c r="F759" s="102" t="s">
        <v>3369</v>
      </c>
      <c r="G759" s="102" t="b">
        <v>0</v>
      </c>
      <c r="H759" s="102" t="b">
        <v>0</v>
      </c>
      <c r="I759" s="102" t="b">
        <v>0</v>
      </c>
      <c r="J759" s="102" t="b">
        <v>0</v>
      </c>
      <c r="K759" s="102" t="b">
        <v>0</v>
      </c>
      <c r="L759" s="102" t="b">
        <v>0</v>
      </c>
    </row>
    <row r="760" spans="1:12" ht="15">
      <c r="A760" s="104" t="s">
        <v>2888</v>
      </c>
      <c r="B760" s="102" t="s">
        <v>2431</v>
      </c>
      <c r="C760" s="102">
        <v>2</v>
      </c>
      <c r="D760" s="106">
        <v>0.0004993919862542396</v>
      </c>
      <c r="E760" s="106">
        <v>2.6038143019449254</v>
      </c>
      <c r="F760" s="102" t="s">
        <v>3369</v>
      </c>
      <c r="G760" s="102" t="b">
        <v>0</v>
      </c>
      <c r="H760" s="102" t="b">
        <v>0</v>
      </c>
      <c r="I760" s="102" t="b">
        <v>0</v>
      </c>
      <c r="J760" s="102" t="b">
        <v>1</v>
      </c>
      <c r="K760" s="102" t="b">
        <v>0</v>
      </c>
      <c r="L760" s="102" t="b">
        <v>0</v>
      </c>
    </row>
    <row r="761" spans="1:12" ht="15">
      <c r="A761" s="104" t="s">
        <v>2431</v>
      </c>
      <c r="B761" s="102" t="s">
        <v>3180</v>
      </c>
      <c r="C761" s="102">
        <v>2</v>
      </c>
      <c r="D761" s="106">
        <v>0.0004993919862542396</v>
      </c>
      <c r="E761" s="106">
        <v>2.7499423376231635</v>
      </c>
      <c r="F761" s="102" t="s">
        <v>3369</v>
      </c>
      <c r="G761" s="102" t="b">
        <v>1</v>
      </c>
      <c r="H761" s="102" t="b">
        <v>0</v>
      </c>
      <c r="I761" s="102" t="b">
        <v>0</v>
      </c>
      <c r="J761" s="102" t="b">
        <v>0</v>
      </c>
      <c r="K761" s="102" t="b">
        <v>0</v>
      </c>
      <c r="L761" s="102" t="b">
        <v>0</v>
      </c>
    </row>
    <row r="762" spans="1:12" ht="15">
      <c r="A762" s="104" t="s">
        <v>3180</v>
      </c>
      <c r="B762" s="102" t="s">
        <v>2684</v>
      </c>
      <c r="C762" s="102">
        <v>2</v>
      </c>
      <c r="D762" s="106">
        <v>0.0004993919862542396</v>
      </c>
      <c r="E762" s="106">
        <v>3.2270635923428257</v>
      </c>
      <c r="F762" s="102" t="s">
        <v>3369</v>
      </c>
      <c r="G762" s="102" t="b">
        <v>0</v>
      </c>
      <c r="H762" s="102" t="b">
        <v>0</v>
      </c>
      <c r="I762" s="102" t="b">
        <v>0</v>
      </c>
      <c r="J762" s="102" t="b">
        <v>0</v>
      </c>
      <c r="K762" s="102" t="b">
        <v>0</v>
      </c>
      <c r="L762" s="102" t="b">
        <v>0</v>
      </c>
    </row>
    <row r="763" spans="1:12" ht="15">
      <c r="A763" s="104" t="s">
        <v>2684</v>
      </c>
      <c r="B763" s="102" t="s">
        <v>2350</v>
      </c>
      <c r="C763" s="102">
        <v>2</v>
      </c>
      <c r="D763" s="106">
        <v>0.0004993919862542396</v>
      </c>
      <c r="E763" s="106">
        <v>1.233627361845214</v>
      </c>
      <c r="F763" s="102" t="s">
        <v>3369</v>
      </c>
      <c r="G763" s="102" t="b">
        <v>0</v>
      </c>
      <c r="H763" s="102" t="b">
        <v>0</v>
      </c>
      <c r="I763" s="102" t="b">
        <v>0</v>
      </c>
      <c r="J763" s="102" t="b">
        <v>0</v>
      </c>
      <c r="K763" s="102" t="b">
        <v>0</v>
      </c>
      <c r="L763" s="102" t="b">
        <v>0</v>
      </c>
    </row>
    <row r="764" spans="1:12" ht="15">
      <c r="A764" s="104" t="s">
        <v>2455</v>
      </c>
      <c r="B764" s="102" t="s">
        <v>3181</v>
      </c>
      <c r="C764" s="102">
        <v>2</v>
      </c>
      <c r="D764" s="106">
        <v>0.0004993919862542396</v>
      </c>
      <c r="E764" s="106">
        <v>2.812090244372008</v>
      </c>
      <c r="F764" s="102" t="s">
        <v>3369</v>
      </c>
      <c r="G764" s="102" t="b">
        <v>0</v>
      </c>
      <c r="H764" s="102" t="b">
        <v>0</v>
      </c>
      <c r="I764" s="102" t="b">
        <v>0</v>
      </c>
      <c r="J764" s="102" t="b">
        <v>0</v>
      </c>
      <c r="K764" s="102" t="b">
        <v>0</v>
      </c>
      <c r="L764" s="102" t="b">
        <v>0</v>
      </c>
    </row>
    <row r="765" spans="1:12" ht="15">
      <c r="A765" s="104" t="s">
        <v>2898</v>
      </c>
      <c r="B765" s="102" t="s">
        <v>2349</v>
      </c>
      <c r="C765" s="102">
        <v>2</v>
      </c>
      <c r="D765" s="106">
        <v>0.0004993919862542396</v>
      </c>
      <c r="E765" s="106">
        <v>1.4055500639380527</v>
      </c>
      <c r="F765" s="102" t="s">
        <v>3369</v>
      </c>
      <c r="G765" s="102" t="b">
        <v>0</v>
      </c>
      <c r="H765" s="102" t="b">
        <v>0</v>
      </c>
      <c r="I765" s="102" t="b">
        <v>0</v>
      </c>
      <c r="J765" s="102" t="b">
        <v>0</v>
      </c>
      <c r="K765" s="102" t="b">
        <v>0</v>
      </c>
      <c r="L765" s="102" t="b">
        <v>0</v>
      </c>
    </row>
    <row r="766" spans="1:12" ht="15">
      <c r="A766" s="104" t="s">
        <v>2499</v>
      </c>
      <c r="B766" s="102" t="s">
        <v>2404</v>
      </c>
      <c r="C766" s="102">
        <v>2</v>
      </c>
      <c r="D766" s="106">
        <v>0.0005682933356852263</v>
      </c>
      <c r="E766" s="106">
        <v>1.9483099913899968</v>
      </c>
      <c r="F766" s="102" t="s">
        <v>3369</v>
      </c>
      <c r="G766" s="102" t="b">
        <v>0</v>
      </c>
      <c r="H766" s="102" t="b">
        <v>0</v>
      </c>
      <c r="I766" s="102" t="b">
        <v>0</v>
      </c>
      <c r="J766" s="102" t="b">
        <v>0</v>
      </c>
      <c r="K766" s="102" t="b">
        <v>0</v>
      </c>
      <c r="L766" s="102" t="b">
        <v>0</v>
      </c>
    </row>
    <row r="767" spans="1:12" ht="15">
      <c r="A767" s="104" t="s">
        <v>2404</v>
      </c>
      <c r="B767" s="102" t="s">
        <v>2899</v>
      </c>
      <c r="C767" s="102">
        <v>2</v>
      </c>
      <c r="D767" s="106">
        <v>0.0005682933356852263</v>
      </c>
      <c r="E767" s="106">
        <v>2.4489123419591823</v>
      </c>
      <c r="F767" s="102" t="s">
        <v>3369</v>
      </c>
      <c r="G767" s="102" t="b">
        <v>0</v>
      </c>
      <c r="H767" s="102" t="b">
        <v>0</v>
      </c>
      <c r="I767" s="102" t="b">
        <v>0</v>
      </c>
      <c r="J767" s="102" t="b">
        <v>0</v>
      </c>
      <c r="K767" s="102" t="b">
        <v>0</v>
      </c>
      <c r="L767" s="102" t="b">
        <v>0</v>
      </c>
    </row>
    <row r="768" spans="1:12" ht="15">
      <c r="A768" s="104" t="s">
        <v>2382</v>
      </c>
      <c r="B768" s="102" t="s">
        <v>2382</v>
      </c>
      <c r="C768" s="102">
        <v>2</v>
      </c>
      <c r="D768" s="106">
        <v>0.0005682933356852263</v>
      </c>
      <c r="E768" s="106">
        <v>1.3175075631016506</v>
      </c>
      <c r="F768" s="102" t="s">
        <v>3369</v>
      </c>
      <c r="G768" s="102" t="b">
        <v>0</v>
      </c>
      <c r="H768" s="102" t="b">
        <v>0</v>
      </c>
      <c r="I768" s="102" t="b">
        <v>0</v>
      </c>
      <c r="J768" s="102" t="b">
        <v>0</v>
      </c>
      <c r="K768" s="102" t="b">
        <v>0</v>
      </c>
      <c r="L768" s="102" t="b">
        <v>0</v>
      </c>
    </row>
    <row r="769" spans="1:12" ht="15">
      <c r="A769" s="104" t="s">
        <v>2770</v>
      </c>
      <c r="B769" s="102" t="s">
        <v>3182</v>
      </c>
      <c r="C769" s="102">
        <v>2</v>
      </c>
      <c r="D769" s="106">
        <v>0.0005682933356852263</v>
      </c>
      <c r="E769" s="106">
        <v>3.3239736053508824</v>
      </c>
      <c r="F769" s="102" t="s">
        <v>3369</v>
      </c>
      <c r="G769" s="102" t="b">
        <v>0</v>
      </c>
      <c r="H769" s="102" t="b">
        <v>0</v>
      </c>
      <c r="I769" s="102" t="b">
        <v>0</v>
      </c>
      <c r="J769" s="102" t="b">
        <v>0</v>
      </c>
      <c r="K769" s="102" t="b">
        <v>0</v>
      </c>
      <c r="L769" s="102" t="b">
        <v>0</v>
      </c>
    </row>
    <row r="770" spans="1:12" ht="15">
      <c r="A770" s="104" t="s">
        <v>3182</v>
      </c>
      <c r="B770" s="102" t="s">
        <v>2459</v>
      </c>
      <c r="C770" s="102">
        <v>2</v>
      </c>
      <c r="D770" s="106">
        <v>0.0005682933356852263</v>
      </c>
      <c r="E770" s="106">
        <v>2.812090244372008</v>
      </c>
      <c r="F770" s="102" t="s">
        <v>3369</v>
      </c>
      <c r="G770" s="102" t="b">
        <v>0</v>
      </c>
      <c r="H770" s="102" t="b">
        <v>0</v>
      </c>
      <c r="I770" s="102" t="b">
        <v>0</v>
      </c>
      <c r="J770" s="102" t="b">
        <v>0</v>
      </c>
      <c r="K770" s="102" t="b">
        <v>0</v>
      </c>
      <c r="L770" s="102" t="b">
        <v>0</v>
      </c>
    </row>
    <row r="771" spans="1:12" ht="15">
      <c r="A771" s="104" t="s">
        <v>2459</v>
      </c>
      <c r="B771" s="102" t="s">
        <v>3183</v>
      </c>
      <c r="C771" s="102">
        <v>2</v>
      </c>
      <c r="D771" s="106">
        <v>0.0005682933356852263</v>
      </c>
      <c r="E771" s="106">
        <v>2.812090244372008</v>
      </c>
      <c r="F771" s="102" t="s">
        <v>3369</v>
      </c>
      <c r="G771" s="102" t="b">
        <v>0</v>
      </c>
      <c r="H771" s="102" t="b">
        <v>0</v>
      </c>
      <c r="I771" s="102" t="b">
        <v>0</v>
      </c>
      <c r="J771" s="102" t="b">
        <v>0</v>
      </c>
      <c r="K771" s="102" t="b">
        <v>0</v>
      </c>
      <c r="L771" s="102" t="b">
        <v>0</v>
      </c>
    </row>
    <row r="772" spans="1:12" ht="15">
      <c r="A772" s="104" t="s">
        <v>3184</v>
      </c>
      <c r="B772" s="102" t="s">
        <v>2386</v>
      </c>
      <c r="C772" s="102">
        <v>2</v>
      </c>
      <c r="D772" s="106">
        <v>0.0005682933356852263</v>
      </c>
      <c r="E772" s="106">
        <v>2.4946698325198575</v>
      </c>
      <c r="F772" s="102" t="s">
        <v>3369</v>
      </c>
      <c r="G772" s="102" t="b">
        <v>0</v>
      </c>
      <c r="H772" s="102" t="b">
        <v>0</v>
      </c>
      <c r="I772" s="102" t="b">
        <v>0</v>
      </c>
      <c r="J772" s="102" t="b">
        <v>0</v>
      </c>
      <c r="K772" s="102" t="b">
        <v>0</v>
      </c>
      <c r="L772" s="102" t="b">
        <v>0</v>
      </c>
    </row>
    <row r="773" spans="1:12" ht="15">
      <c r="A773" s="104" t="s">
        <v>2386</v>
      </c>
      <c r="B773" s="102" t="s">
        <v>2539</v>
      </c>
      <c r="C773" s="102">
        <v>2</v>
      </c>
      <c r="D773" s="106">
        <v>0.0005682933356852263</v>
      </c>
      <c r="E773" s="106">
        <v>1.966992204357751</v>
      </c>
      <c r="F773" s="102" t="s">
        <v>3369</v>
      </c>
      <c r="G773" s="102" t="b">
        <v>0</v>
      </c>
      <c r="H773" s="102" t="b">
        <v>0</v>
      </c>
      <c r="I773" s="102" t="b">
        <v>0</v>
      </c>
      <c r="J773" s="102" t="b">
        <v>0</v>
      </c>
      <c r="K773" s="102" t="b">
        <v>0</v>
      </c>
      <c r="L773" s="102" t="b">
        <v>0</v>
      </c>
    </row>
    <row r="774" spans="1:12" ht="15">
      <c r="A774" s="104" t="s">
        <v>2901</v>
      </c>
      <c r="B774" s="102" t="s">
        <v>3187</v>
      </c>
      <c r="C774" s="102">
        <v>2</v>
      </c>
      <c r="D774" s="106">
        <v>0.0005682933356852263</v>
      </c>
      <c r="E774" s="106">
        <v>3.4489123419591823</v>
      </c>
      <c r="F774" s="102" t="s">
        <v>3369</v>
      </c>
      <c r="G774" s="102" t="b">
        <v>0</v>
      </c>
      <c r="H774" s="102" t="b">
        <v>0</v>
      </c>
      <c r="I774" s="102" t="b">
        <v>0</v>
      </c>
      <c r="J774" s="102" t="b">
        <v>0</v>
      </c>
      <c r="K774" s="102" t="b">
        <v>0</v>
      </c>
      <c r="L774" s="102" t="b">
        <v>0</v>
      </c>
    </row>
    <row r="775" spans="1:12" ht="15">
      <c r="A775" s="104" t="s">
        <v>2350</v>
      </c>
      <c r="B775" s="102" t="s">
        <v>3189</v>
      </c>
      <c r="C775" s="102">
        <v>2</v>
      </c>
      <c r="D775" s="106">
        <v>0.0005682933356852263</v>
      </c>
      <c r="E775" s="106">
        <v>1.6315673705172515</v>
      </c>
      <c r="F775" s="102" t="s">
        <v>3369</v>
      </c>
      <c r="G775" s="102" t="b">
        <v>0</v>
      </c>
      <c r="H775" s="102" t="b">
        <v>0</v>
      </c>
      <c r="I775" s="102" t="b">
        <v>0</v>
      </c>
      <c r="J775" s="102" t="b">
        <v>0</v>
      </c>
      <c r="K775" s="102" t="b">
        <v>0</v>
      </c>
      <c r="L775" s="102" t="b">
        <v>0</v>
      </c>
    </row>
    <row r="776" spans="1:12" ht="15">
      <c r="A776" s="104" t="s">
        <v>2772</v>
      </c>
      <c r="B776" s="102" t="s">
        <v>2350</v>
      </c>
      <c r="C776" s="102">
        <v>2</v>
      </c>
      <c r="D776" s="106">
        <v>0.0005682933356852263</v>
      </c>
      <c r="E776" s="106">
        <v>1.4554761114615704</v>
      </c>
      <c r="F776" s="102" t="s">
        <v>3369</v>
      </c>
      <c r="G776" s="102" t="b">
        <v>0</v>
      </c>
      <c r="H776" s="102" t="b">
        <v>0</v>
      </c>
      <c r="I776" s="102" t="b">
        <v>0</v>
      </c>
      <c r="J776" s="102" t="b">
        <v>0</v>
      </c>
      <c r="K776" s="102" t="b">
        <v>0</v>
      </c>
      <c r="L776" s="102" t="b">
        <v>0</v>
      </c>
    </row>
    <row r="777" spans="1:12" ht="15">
      <c r="A777" s="104" t="s">
        <v>2517</v>
      </c>
      <c r="B777" s="102" t="s">
        <v>2530</v>
      </c>
      <c r="C777" s="102">
        <v>2</v>
      </c>
      <c r="D777" s="106">
        <v>0.0005682933356852263</v>
      </c>
      <c r="E777" s="106">
        <v>2.427723042889244</v>
      </c>
      <c r="F777" s="102" t="s">
        <v>3369</v>
      </c>
      <c r="G777" s="102" t="b">
        <v>0</v>
      </c>
      <c r="H777" s="102" t="b">
        <v>0</v>
      </c>
      <c r="I777" s="102" t="b">
        <v>0</v>
      </c>
      <c r="J777" s="102" t="b">
        <v>0</v>
      </c>
      <c r="K777" s="102" t="b">
        <v>0</v>
      </c>
      <c r="L777" s="102" t="b">
        <v>0</v>
      </c>
    </row>
    <row r="778" spans="1:12" ht="15">
      <c r="A778" s="104" t="s">
        <v>2530</v>
      </c>
      <c r="B778" s="102" t="s">
        <v>2351</v>
      </c>
      <c r="C778" s="102">
        <v>2</v>
      </c>
      <c r="D778" s="106">
        <v>0.0005682933356852263</v>
      </c>
      <c r="E778" s="106">
        <v>1.0615225156204529</v>
      </c>
      <c r="F778" s="102" t="s">
        <v>3369</v>
      </c>
      <c r="G778" s="102" t="b">
        <v>0</v>
      </c>
      <c r="H778" s="102" t="b">
        <v>0</v>
      </c>
      <c r="I778" s="102" t="b">
        <v>0</v>
      </c>
      <c r="J778" s="102" t="b">
        <v>0</v>
      </c>
      <c r="K778" s="102" t="b">
        <v>0</v>
      </c>
      <c r="L778" s="102" t="b">
        <v>0</v>
      </c>
    </row>
    <row r="779" spans="1:12" ht="15">
      <c r="A779" s="104" t="s">
        <v>2517</v>
      </c>
      <c r="B779" s="102" t="s">
        <v>3191</v>
      </c>
      <c r="C779" s="102">
        <v>2</v>
      </c>
      <c r="D779" s="106">
        <v>0.0005682933356852263</v>
      </c>
      <c r="E779" s="106">
        <v>2.9717910872395197</v>
      </c>
      <c r="F779" s="102" t="s">
        <v>3369</v>
      </c>
      <c r="G779" s="102" t="b">
        <v>0</v>
      </c>
      <c r="H779" s="102" t="b">
        <v>0</v>
      </c>
      <c r="I779" s="102" t="b">
        <v>0</v>
      </c>
      <c r="J779" s="102" t="b">
        <v>0</v>
      </c>
      <c r="K779" s="102" t="b">
        <v>0</v>
      </c>
      <c r="L779" s="102" t="b">
        <v>0</v>
      </c>
    </row>
    <row r="780" spans="1:12" ht="15">
      <c r="A780" s="104" t="s">
        <v>2517</v>
      </c>
      <c r="B780" s="102" t="s">
        <v>3192</v>
      </c>
      <c r="C780" s="102">
        <v>2</v>
      </c>
      <c r="D780" s="106">
        <v>0.0005682933356852263</v>
      </c>
      <c r="E780" s="106">
        <v>2.9717910872395197</v>
      </c>
      <c r="F780" s="102" t="s">
        <v>3369</v>
      </c>
      <c r="G780" s="102" t="b">
        <v>0</v>
      </c>
      <c r="H780" s="102" t="b">
        <v>0</v>
      </c>
      <c r="I780" s="102" t="b">
        <v>0</v>
      </c>
      <c r="J780" s="102" t="b">
        <v>0</v>
      </c>
      <c r="K780" s="102" t="b">
        <v>0</v>
      </c>
      <c r="L780" s="102" t="b">
        <v>0</v>
      </c>
    </row>
    <row r="781" spans="1:12" ht="15">
      <c r="A781" s="104" t="s">
        <v>2903</v>
      </c>
      <c r="B781" s="102" t="s">
        <v>2351</v>
      </c>
      <c r="C781" s="102">
        <v>2</v>
      </c>
      <c r="D781" s="106">
        <v>0.0004993919862542396</v>
      </c>
      <c r="E781" s="106">
        <v>1.487491247892734</v>
      </c>
      <c r="F781" s="102" t="s">
        <v>3369</v>
      </c>
      <c r="G781" s="102" t="b">
        <v>0</v>
      </c>
      <c r="H781" s="102" t="b">
        <v>0</v>
      </c>
      <c r="I781" s="102" t="b">
        <v>0</v>
      </c>
      <c r="J781" s="102" t="b">
        <v>0</v>
      </c>
      <c r="K781" s="102" t="b">
        <v>0</v>
      </c>
      <c r="L781" s="102" t="b">
        <v>0</v>
      </c>
    </row>
    <row r="782" spans="1:12" ht="15">
      <c r="A782" s="104" t="s">
        <v>2884</v>
      </c>
      <c r="B782" s="102" t="s">
        <v>2351</v>
      </c>
      <c r="C782" s="102">
        <v>2</v>
      </c>
      <c r="D782" s="106">
        <v>0.0004993919862542396</v>
      </c>
      <c r="E782" s="106">
        <v>1.487491247892734</v>
      </c>
      <c r="F782" s="102" t="s">
        <v>3369</v>
      </c>
      <c r="G782" s="102" t="b">
        <v>0</v>
      </c>
      <c r="H782" s="102" t="b">
        <v>0</v>
      </c>
      <c r="I782" s="102" t="b">
        <v>0</v>
      </c>
      <c r="J782" s="102" t="b">
        <v>0</v>
      </c>
      <c r="K782" s="102" t="b">
        <v>0</v>
      </c>
      <c r="L782" s="102" t="b">
        <v>0</v>
      </c>
    </row>
    <row r="783" spans="1:12" ht="15">
      <c r="A783" s="104" t="s">
        <v>3197</v>
      </c>
      <c r="B783" s="102" t="s">
        <v>3198</v>
      </c>
      <c r="C783" s="102">
        <v>2</v>
      </c>
      <c r="D783" s="106">
        <v>0.0005682933356852263</v>
      </c>
      <c r="E783" s="106">
        <v>3.6250036010148636</v>
      </c>
      <c r="F783" s="102" t="s">
        <v>3369</v>
      </c>
      <c r="G783" s="102" t="b">
        <v>0</v>
      </c>
      <c r="H783" s="102" t="b">
        <v>0</v>
      </c>
      <c r="I783" s="102" t="b">
        <v>0</v>
      </c>
      <c r="J783" s="102" t="b">
        <v>0</v>
      </c>
      <c r="K783" s="102" t="b">
        <v>0</v>
      </c>
      <c r="L783" s="102" t="b">
        <v>0</v>
      </c>
    </row>
    <row r="784" spans="1:12" ht="15">
      <c r="A784" s="104" t="s">
        <v>2493</v>
      </c>
      <c r="B784" s="102" t="s">
        <v>2490</v>
      </c>
      <c r="C784" s="102">
        <v>2</v>
      </c>
      <c r="D784" s="106">
        <v>0.0005682933356852263</v>
      </c>
      <c r="E784" s="106">
        <v>2.2270635923428257</v>
      </c>
      <c r="F784" s="102" t="s">
        <v>3369</v>
      </c>
      <c r="G784" s="102" t="b">
        <v>0</v>
      </c>
      <c r="H784" s="102" t="b">
        <v>0</v>
      </c>
      <c r="I784" s="102" t="b">
        <v>0</v>
      </c>
      <c r="J784" s="102" t="b">
        <v>0</v>
      </c>
      <c r="K784" s="102" t="b">
        <v>0</v>
      </c>
      <c r="L784" s="102" t="b">
        <v>0</v>
      </c>
    </row>
    <row r="785" spans="1:12" ht="15">
      <c r="A785" s="104" t="s">
        <v>2490</v>
      </c>
      <c r="B785" s="102" t="s">
        <v>2498</v>
      </c>
      <c r="C785" s="102">
        <v>2</v>
      </c>
      <c r="D785" s="106">
        <v>0.0005682933356852263</v>
      </c>
      <c r="E785" s="106">
        <v>2.272821082903501</v>
      </c>
      <c r="F785" s="102" t="s">
        <v>3369</v>
      </c>
      <c r="G785" s="102" t="b">
        <v>0</v>
      </c>
      <c r="H785" s="102" t="b">
        <v>0</v>
      </c>
      <c r="I785" s="102" t="b">
        <v>0</v>
      </c>
      <c r="J785" s="102" t="b">
        <v>0</v>
      </c>
      <c r="K785" s="102" t="b">
        <v>0</v>
      </c>
      <c r="L785" s="102" t="b">
        <v>0</v>
      </c>
    </row>
    <row r="786" spans="1:12" ht="15">
      <c r="A786" s="104" t="s">
        <v>2444</v>
      </c>
      <c r="B786" s="102" t="s">
        <v>2774</v>
      </c>
      <c r="C786" s="102">
        <v>2</v>
      </c>
      <c r="D786" s="106">
        <v>0.0005682933356852263</v>
      </c>
      <c r="E786" s="106">
        <v>2.4788755653366255</v>
      </c>
      <c r="F786" s="102" t="s">
        <v>3369</v>
      </c>
      <c r="G786" s="102" t="b">
        <v>0</v>
      </c>
      <c r="H786" s="102" t="b">
        <v>0</v>
      </c>
      <c r="I786" s="102" t="b">
        <v>0</v>
      </c>
      <c r="J786" s="102" t="b">
        <v>0</v>
      </c>
      <c r="K786" s="102" t="b">
        <v>0</v>
      </c>
      <c r="L786" s="102" t="b">
        <v>0</v>
      </c>
    </row>
    <row r="787" spans="1:12" ht="15">
      <c r="A787" s="104" t="s">
        <v>2493</v>
      </c>
      <c r="B787" s="102" t="s">
        <v>2687</v>
      </c>
      <c r="C787" s="102">
        <v>2</v>
      </c>
      <c r="D787" s="106">
        <v>0.0005682933356852263</v>
      </c>
      <c r="E787" s="106">
        <v>2.528093588006807</v>
      </c>
      <c r="F787" s="102" t="s">
        <v>3369</v>
      </c>
      <c r="G787" s="102" t="b">
        <v>0</v>
      </c>
      <c r="H787" s="102" t="b">
        <v>0</v>
      </c>
      <c r="I787" s="102" t="b">
        <v>0</v>
      </c>
      <c r="J787" s="102" t="b">
        <v>0</v>
      </c>
      <c r="K787" s="102" t="b">
        <v>0</v>
      </c>
      <c r="L787" s="102" t="b">
        <v>0</v>
      </c>
    </row>
    <row r="788" spans="1:12" ht="15">
      <c r="A788" s="104" t="s">
        <v>2687</v>
      </c>
      <c r="B788" s="102" t="s">
        <v>2408</v>
      </c>
      <c r="C788" s="102">
        <v>2</v>
      </c>
      <c r="D788" s="106">
        <v>0.0005682933356852263</v>
      </c>
      <c r="E788" s="106">
        <v>2.272821082903501</v>
      </c>
      <c r="F788" s="102" t="s">
        <v>3369</v>
      </c>
      <c r="G788" s="102" t="b">
        <v>0</v>
      </c>
      <c r="H788" s="102" t="b">
        <v>0</v>
      </c>
      <c r="I788" s="102" t="b">
        <v>0</v>
      </c>
      <c r="J788" s="102" t="b">
        <v>0</v>
      </c>
      <c r="K788" s="102" t="b">
        <v>1</v>
      </c>
      <c r="L788" s="102" t="b">
        <v>0</v>
      </c>
    </row>
    <row r="789" spans="1:12" ht="15">
      <c r="A789" s="104" t="s">
        <v>2771</v>
      </c>
      <c r="B789" s="102" t="s">
        <v>2498</v>
      </c>
      <c r="C789" s="102">
        <v>2</v>
      </c>
      <c r="D789" s="106">
        <v>0.0005682933356852263</v>
      </c>
      <c r="E789" s="106">
        <v>2.6707610915755384</v>
      </c>
      <c r="F789" s="102" t="s">
        <v>3369</v>
      </c>
      <c r="G789" s="102" t="b">
        <v>0</v>
      </c>
      <c r="H789" s="102" t="b">
        <v>0</v>
      </c>
      <c r="I789" s="102" t="b">
        <v>0</v>
      </c>
      <c r="J789" s="102" t="b">
        <v>0</v>
      </c>
      <c r="K789" s="102" t="b">
        <v>0</v>
      </c>
      <c r="L789" s="102" t="b">
        <v>0</v>
      </c>
    </row>
    <row r="790" spans="1:12" ht="15">
      <c r="A790" s="104" t="s">
        <v>2563</v>
      </c>
      <c r="B790" s="102" t="s">
        <v>2498</v>
      </c>
      <c r="C790" s="102">
        <v>2</v>
      </c>
      <c r="D790" s="106">
        <v>0.0005682933356852263</v>
      </c>
      <c r="E790" s="106">
        <v>2.4946698325198575</v>
      </c>
      <c r="F790" s="102" t="s">
        <v>3369</v>
      </c>
      <c r="G790" s="102" t="b">
        <v>0</v>
      </c>
      <c r="H790" s="102" t="b">
        <v>0</v>
      </c>
      <c r="I790" s="102" t="b">
        <v>0</v>
      </c>
      <c r="J790" s="102" t="b">
        <v>0</v>
      </c>
      <c r="K790" s="102" t="b">
        <v>0</v>
      </c>
      <c r="L790" s="102" t="b">
        <v>0</v>
      </c>
    </row>
    <row r="791" spans="1:12" ht="15">
      <c r="A791" s="104" t="s">
        <v>2563</v>
      </c>
      <c r="B791" s="102" t="s">
        <v>2687</v>
      </c>
      <c r="C791" s="102">
        <v>2</v>
      </c>
      <c r="D791" s="106">
        <v>0.0005682933356852263</v>
      </c>
      <c r="E791" s="106">
        <v>2.7499423376231635</v>
      </c>
      <c r="F791" s="102" t="s">
        <v>3369</v>
      </c>
      <c r="G791" s="102" t="b">
        <v>0</v>
      </c>
      <c r="H791" s="102" t="b">
        <v>0</v>
      </c>
      <c r="I791" s="102" t="b">
        <v>0</v>
      </c>
      <c r="J791" s="102" t="b">
        <v>0</v>
      </c>
      <c r="K791" s="102" t="b">
        <v>0</v>
      </c>
      <c r="L791" s="102" t="b">
        <v>0</v>
      </c>
    </row>
    <row r="792" spans="1:12" ht="15">
      <c r="A792" s="104" t="s">
        <v>3202</v>
      </c>
      <c r="B792" s="102" t="s">
        <v>2408</v>
      </c>
      <c r="C792" s="102">
        <v>2</v>
      </c>
      <c r="D792" s="106">
        <v>0.0005682933356852263</v>
      </c>
      <c r="E792" s="106">
        <v>2.6707610915755384</v>
      </c>
      <c r="F792" s="102" t="s">
        <v>3369</v>
      </c>
      <c r="G792" s="102" t="b">
        <v>0</v>
      </c>
      <c r="H792" s="102" t="b">
        <v>0</v>
      </c>
      <c r="I792" s="102" t="b">
        <v>0</v>
      </c>
      <c r="J792" s="102" t="b">
        <v>0</v>
      </c>
      <c r="K792" s="102" t="b">
        <v>1</v>
      </c>
      <c r="L792" s="102" t="b">
        <v>0</v>
      </c>
    </row>
    <row r="793" spans="1:12" ht="15">
      <c r="A793" s="104" t="s">
        <v>2622</v>
      </c>
      <c r="B793" s="102" t="s">
        <v>2424</v>
      </c>
      <c r="C793" s="102">
        <v>2</v>
      </c>
      <c r="D793" s="106">
        <v>0.0005682933356852263</v>
      </c>
      <c r="E793" s="106">
        <v>2.2447923593032573</v>
      </c>
      <c r="F793" s="102" t="s">
        <v>3369</v>
      </c>
      <c r="G793" s="102" t="b">
        <v>0</v>
      </c>
      <c r="H793" s="102" t="b">
        <v>0</v>
      </c>
      <c r="I793" s="102" t="b">
        <v>0</v>
      </c>
      <c r="J793" s="102" t="b">
        <v>0</v>
      </c>
      <c r="K793" s="102" t="b">
        <v>1</v>
      </c>
      <c r="L793" s="102" t="b">
        <v>0</v>
      </c>
    </row>
    <row r="794" spans="1:12" ht="15">
      <c r="A794" s="104" t="s">
        <v>2424</v>
      </c>
      <c r="B794" s="102" t="s">
        <v>2906</v>
      </c>
      <c r="C794" s="102">
        <v>2</v>
      </c>
      <c r="D794" s="106">
        <v>0.0005682933356852263</v>
      </c>
      <c r="E794" s="106">
        <v>2.573851078567482</v>
      </c>
      <c r="F794" s="102" t="s">
        <v>3369</v>
      </c>
      <c r="G794" s="102" t="b">
        <v>0</v>
      </c>
      <c r="H794" s="102" t="b">
        <v>1</v>
      </c>
      <c r="I794" s="102" t="b">
        <v>0</v>
      </c>
      <c r="J794" s="102" t="b">
        <v>0</v>
      </c>
      <c r="K794" s="102" t="b">
        <v>0</v>
      </c>
      <c r="L794" s="102" t="b">
        <v>0</v>
      </c>
    </row>
    <row r="795" spans="1:12" ht="15">
      <c r="A795" s="104" t="s">
        <v>2622</v>
      </c>
      <c r="B795" s="102" t="s">
        <v>2518</v>
      </c>
      <c r="C795" s="102">
        <v>2</v>
      </c>
      <c r="D795" s="106">
        <v>0.0005682933356852263</v>
      </c>
      <c r="E795" s="106">
        <v>2.4946698325198575</v>
      </c>
      <c r="F795" s="102" t="s">
        <v>3369</v>
      </c>
      <c r="G795" s="102" t="b">
        <v>0</v>
      </c>
      <c r="H795" s="102" t="b">
        <v>0</v>
      </c>
      <c r="I795" s="102" t="b">
        <v>0</v>
      </c>
      <c r="J795" s="102" t="b">
        <v>0</v>
      </c>
      <c r="K795" s="102" t="b">
        <v>0</v>
      </c>
      <c r="L795" s="102" t="b">
        <v>0</v>
      </c>
    </row>
    <row r="796" spans="1:12" ht="15">
      <c r="A796" s="104" t="s">
        <v>2471</v>
      </c>
      <c r="B796" s="102" t="s">
        <v>2386</v>
      </c>
      <c r="C796" s="102">
        <v>2</v>
      </c>
      <c r="D796" s="106">
        <v>0.0005682933356852263</v>
      </c>
      <c r="E796" s="106">
        <v>1.7165185821362137</v>
      </c>
      <c r="F796" s="102" t="s">
        <v>3369</v>
      </c>
      <c r="G796" s="102" t="b">
        <v>0</v>
      </c>
      <c r="H796" s="102" t="b">
        <v>0</v>
      </c>
      <c r="I796" s="102" t="b">
        <v>0</v>
      </c>
      <c r="J796" s="102" t="b">
        <v>0</v>
      </c>
      <c r="K796" s="102" t="b">
        <v>0</v>
      </c>
      <c r="L796" s="102" t="b">
        <v>0</v>
      </c>
    </row>
    <row r="797" spans="1:12" ht="15">
      <c r="A797" s="104" t="s">
        <v>2471</v>
      </c>
      <c r="B797" s="102" t="s">
        <v>2518</v>
      </c>
      <c r="C797" s="102">
        <v>2</v>
      </c>
      <c r="D797" s="106">
        <v>0.0005682933356852263</v>
      </c>
      <c r="E797" s="106">
        <v>2.1936398368558763</v>
      </c>
      <c r="F797" s="102" t="s">
        <v>3369</v>
      </c>
      <c r="G797" s="102" t="b">
        <v>0</v>
      </c>
      <c r="H797" s="102" t="b">
        <v>0</v>
      </c>
      <c r="I797" s="102" t="b">
        <v>0</v>
      </c>
      <c r="J797" s="102" t="b">
        <v>0</v>
      </c>
      <c r="K797" s="102" t="b">
        <v>0</v>
      </c>
      <c r="L797" s="102" t="b">
        <v>0</v>
      </c>
    </row>
    <row r="798" spans="1:12" ht="15">
      <c r="A798" s="104" t="s">
        <v>2621</v>
      </c>
      <c r="B798" s="102" t="s">
        <v>2424</v>
      </c>
      <c r="C798" s="102">
        <v>2</v>
      </c>
      <c r="D798" s="106">
        <v>0.0005682933356852263</v>
      </c>
      <c r="E798" s="106">
        <v>2.2447923593032573</v>
      </c>
      <c r="F798" s="102" t="s">
        <v>3369</v>
      </c>
      <c r="G798" s="102" t="b">
        <v>0</v>
      </c>
      <c r="H798" s="102" t="b">
        <v>0</v>
      </c>
      <c r="I798" s="102" t="b">
        <v>0</v>
      </c>
      <c r="J798" s="102" t="b">
        <v>0</v>
      </c>
      <c r="K798" s="102" t="b">
        <v>1</v>
      </c>
      <c r="L798" s="102" t="b">
        <v>0</v>
      </c>
    </row>
    <row r="799" spans="1:12" ht="15">
      <c r="A799" s="104" t="s">
        <v>2424</v>
      </c>
      <c r="B799" s="102" t="s">
        <v>2471</v>
      </c>
      <c r="C799" s="102">
        <v>2</v>
      </c>
      <c r="D799" s="106">
        <v>0.0005682933356852263</v>
      </c>
      <c r="E799" s="106">
        <v>2.0095796481289194</v>
      </c>
      <c r="F799" s="102" t="s">
        <v>3369</v>
      </c>
      <c r="G799" s="102" t="b">
        <v>0</v>
      </c>
      <c r="H799" s="102" t="b">
        <v>1</v>
      </c>
      <c r="I799" s="102" t="b">
        <v>0</v>
      </c>
      <c r="J799" s="102" t="b">
        <v>0</v>
      </c>
      <c r="K799" s="102" t="b">
        <v>0</v>
      </c>
      <c r="L799" s="102" t="b">
        <v>0</v>
      </c>
    </row>
    <row r="800" spans="1:12" ht="15">
      <c r="A800" s="104" t="s">
        <v>2518</v>
      </c>
      <c r="B800" s="102" t="s">
        <v>2775</v>
      </c>
      <c r="C800" s="102">
        <v>2</v>
      </c>
      <c r="D800" s="106">
        <v>0.0005682933356852263</v>
      </c>
      <c r="E800" s="106">
        <v>2.6707610915755384</v>
      </c>
      <c r="F800" s="102" t="s">
        <v>3369</v>
      </c>
      <c r="G800" s="102" t="b">
        <v>0</v>
      </c>
      <c r="H800" s="102" t="b">
        <v>0</v>
      </c>
      <c r="I800" s="102" t="b">
        <v>0</v>
      </c>
      <c r="J800" s="102" t="b">
        <v>0</v>
      </c>
      <c r="K800" s="102" t="b">
        <v>0</v>
      </c>
      <c r="L800" s="102" t="b">
        <v>0</v>
      </c>
    </row>
    <row r="801" spans="1:12" ht="15">
      <c r="A801" s="104" t="s">
        <v>2775</v>
      </c>
      <c r="B801" s="102" t="s">
        <v>2471</v>
      </c>
      <c r="C801" s="102">
        <v>2</v>
      </c>
      <c r="D801" s="106">
        <v>0.0005682933356852263</v>
      </c>
      <c r="E801" s="106">
        <v>2.5836109158566383</v>
      </c>
      <c r="F801" s="102" t="s">
        <v>3369</v>
      </c>
      <c r="G801" s="102" t="b">
        <v>0</v>
      </c>
      <c r="H801" s="102" t="b">
        <v>0</v>
      </c>
      <c r="I801" s="102" t="b">
        <v>0</v>
      </c>
      <c r="J801" s="102" t="b">
        <v>0</v>
      </c>
      <c r="K801" s="102" t="b">
        <v>0</v>
      </c>
      <c r="L801" s="102" t="b">
        <v>0</v>
      </c>
    </row>
    <row r="802" spans="1:12" ht="15">
      <c r="A802" s="104" t="s">
        <v>2906</v>
      </c>
      <c r="B802" s="102" t="s">
        <v>3203</v>
      </c>
      <c r="C802" s="102">
        <v>2</v>
      </c>
      <c r="D802" s="106">
        <v>0.0005682933356852263</v>
      </c>
      <c r="E802" s="106">
        <v>3.4489123419591823</v>
      </c>
      <c r="F802" s="102" t="s">
        <v>3369</v>
      </c>
      <c r="G802" s="102" t="b">
        <v>0</v>
      </c>
      <c r="H802" s="102" t="b">
        <v>0</v>
      </c>
      <c r="I802" s="102" t="b">
        <v>0</v>
      </c>
      <c r="J802" s="102" t="b">
        <v>0</v>
      </c>
      <c r="K802" s="102" t="b">
        <v>0</v>
      </c>
      <c r="L802" s="102" t="b">
        <v>0</v>
      </c>
    </row>
    <row r="803" spans="1:12" ht="15">
      <c r="A803" s="104" t="s">
        <v>3203</v>
      </c>
      <c r="B803" s="102" t="s">
        <v>2424</v>
      </c>
      <c r="C803" s="102">
        <v>2</v>
      </c>
      <c r="D803" s="106">
        <v>0.0005682933356852263</v>
      </c>
      <c r="E803" s="106">
        <v>2.72191361402292</v>
      </c>
      <c r="F803" s="102" t="s">
        <v>3369</v>
      </c>
      <c r="G803" s="102" t="b">
        <v>0</v>
      </c>
      <c r="H803" s="102" t="b">
        <v>0</v>
      </c>
      <c r="I803" s="102" t="b">
        <v>0</v>
      </c>
      <c r="J803" s="102" t="b">
        <v>0</v>
      </c>
      <c r="K803" s="102" t="b">
        <v>1</v>
      </c>
      <c r="L803" s="102" t="b">
        <v>0</v>
      </c>
    </row>
    <row r="804" spans="1:12" ht="15">
      <c r="A804" s="104" t="s">
        <v>2351</v>
      </c>
      <c r="B804" s="102" t="s">
        <v>2637</v>
      </c>
      <c r="C804" s="102">
        <v>2</v>
      </c>
      <c r="D804" s="106">
        <v>0.0004993919862542396</v>
      </c>
      <c r="E804" s="106">
        <v>1.2704150131376224</v>
      </c>
      <c r="F804" s="102" t="s">
        <v>3369</v>
      </c>
      <c r="G804" s="102" t="b">
        <v>0</v>
      </c>
      <c r="H804" s="102" t="b">
        <v>0</v>
      </c>
      <c r="I804" s="102" t="b">
        <v>0</v>
      </c>
      <c r="J804" s="102" t="b">
        <v>0</v>
      </c>
      <c r="K804" s="102" t="b">
        <v>0</v>
      </c>
      <c r="L804" s="102" t="b">
        <v>0</v>
      </c>
    </row>
    <row r="805" spans="1:12" ht="15">
      <c r="A805" s="104" t="s">
        <v>2349</v>
      </c>
      <c r="B805" s="102" t="s">
        <v>2357</v>
      </c>
      <c r="C805" s="102">
        <v>2</v>
      </c>
      <c r="D805" s="106">
        <v>0.0004993919862542396</v>
      </c>
      <c r="E805" s="106">
        <v>0.11539789640330743</v>
      </c>
      <c r="F805" s="102" t="s">
        <v>3369</v>
      </c>
      <c r="G805" s="102" t="b">
        <v>0</v>
      </c>
      <c r="H805" s="102" t="b">
        <v>0</v>
      </c>
      <c r="I805" s="102" t="b">
        <v>0</v>
      </c>
      <c r="J805" s="102" t="b">
        <v>0</v>
      </c>
      <c r="K805" s="102" t="b">
        <v>0</v>
      </c>
      <c r="L805" s="102" t="b">
        <v>0</v>
      </c>
    </row>
    <row r="806" spans="1:12" ht="15">
      <c r="A806" s="104" t="s">
        <v>2519</v>
      </c>
      <c r="B806" s="102" t="s">
        <v>2445</v>
      </c>
      <c r="C806" s="102">
        <v>2</v>
      </c>
      <c r="D806" s="106">
        <v>0.0005682933356852263</v>
      </c>
      <c r="E806" s="106">
        <v>2.1266930472252628</v>
      </c>
      <c r="F806" s="102" t="s">
        <v>3369</v>
      </c>
      <c r="G806" s="102" t="b">
        <v>0</v>
      </c>
      <c r="H806" s="102" t="b">
        <v>0</v>
      </c>
      <c r="I806" s="102" t="b">
        <v>0</v>
      </c>
      <c r="J806" s="102" t="b">
        <v>0</v>
      </c>
      <c r="K806" s="102" t="b">
        <v>0</v>
      </c>
      <c r="L806" s="102" t="b">
        <v>0</v>
      </c>
    </row>
    <row r="807" spans="1:12" ht="15">
      <c r="A807" s="104" t="s">
        <v>2519</v>
      </c>
      <c r="B807" s="102" t="s">
        <v>2357</v>
      </c>
      <c r="C807" s="102">
        <v>2</v>
      </c>
      <c r="D807" s="106">
        <v>0.0005682933356852263</v>
      </c>
      <c r="E807" s="106">
        <v>1.487491247892734</v>
      </c>
      <c r="F807" s="102" t="s">
        <v>3369</v>
      </c>
      <c r="G807" s="102" t="b">
        <v>0</v>
      </c>
      <c r="H807" s="102" t="b">
        <v>0</v>
      </c>
      <c r="I807" s="102" t="b">
        <v>0</v>
      </c>
      <c r="J807" s="102" t="b">
        <v>0</v>
      </c>
      <c r="K807" s="102" t="b">
        <v>0</v>
      </c>
      <c r="L807" s="102" t="b">
        <v>0</v>
      </c>
    </row>
    <row r="808" spans="1:12" ht="15">
      <c r="A808" s="104" t="s">
        <v>2519</v>
      </c>
      <c r="B808" s="102" t="s">
        <v>2354</v>
      </c>
      <c r="C808" s="102">
        <v>2</v>
      </c>
      <c r="D808" s="106">
        <v>0.0005682933356852263</v>
      </c>
      <c r="E808" s="106">
        <v>1.4734805334499192</v>
      </c>
      <c r="F808" s="102" t="s">
        <v>3369</v>
      </c>
      <c r="G808" s="102" t="b">
        <v>0</v>
      </c>
      <c r="H808" s="102" t="b">
        <v>0</v>
      </c>
      <c r="I808" s="102" t="b">
        <v>0</v>
      </c>
      <c r="J808" s="102" t="b">
        <v>0</v>
      </c>
      <c r="K808" s="102" t="b">
        <v>0</v>
      </c>
      <c r="L808" s="102" t="b">
        <v>0</v>
      </c>
    </row>
    <row r="809" spans="1:12" ht="15">
      <c r="A809" s="104" t="s">
        <v>2354</v>
      </c>
      <c r="B809" s="102" t="s">
        <v>2354</v>
      </c>
      <c r="C809" s="102">
        <v>2</v>
      </c>
      <c r="D809" s="106">
        <v>0.0005682933356852263</v>
      </c>
      <c r="E809" s="106">
        <v>0.6568710312471</v>
      </c>
      <c r="F809" s="102" t="s">
        <v>3369</v>
      </c>
      <c r="G809" s="102" t="b">
        <v>0</v>
      </c>
      <c r="H809" s="102" t="b">
        <v>0</v>
      </c>
      <c r="I809" s="102" t="b">
        <v>0</v>
      </c>
      <c r="J809" s="102" t="b">
        <v>0</v>
      </c>
      <c r="K809" s="102" t="b">
        <v>0</v>
      </c>
      <c r="L809" s="102" t="b">
        <v>0</v>
      </c>
    </row>
    <row r="810" spans="1:12" ht="15">
      <c r="A810" s="104" t="s">
        <v>2445</v>
      </c>
      <c r="B810" s="102" t="s">
        <v>3208</v>
      </c>
      <c r="C810" s="102">
        <v>2</v>
      </c>
      <c r="D810" s="106">
        <v>0.0005682933356852263</v>
      </c>
      <c r="E810" s="106">
        <v>2.7799055610006067</v>
      </c>
      <c r="F810" s="102" t="s">
        <v>3369</v>
      </c>
      <c r="G810" s="102" t="b">
        <v>0</v>
      </c>
      <c r="H810" s="102" t="b">
        <v>0</v>
      </c>
      <c r="I810" s="102" t="b">
        <v>0</v>
      </c>
      <c r="J810" s="102" t="b">
        <v>0</v>
      </c>
      <c r="K810" s="102" t="b">
        <v>0</v>
      </c>
      <c r="L810" s="102" t="b">
        <v>0</v>
      </c>
    </row>
    <row r="811" spans="1:12" ht="15">
      <c r="A811" s="104" t="s">
        <v>2359</v>
      </c>
      <c r="B811" s="102" t="s">
        <v>2353</v>
      </c>
      <c r="C811" s="102">
        <v>2</v>
      </c>
      <c r="D811" s="106">
        <v>0.0004993919862542396</v>
      </c>
      <c r="E811" s="106">
        <v>0.6884898585359702</v>
      </c>
      <c r="F811" s="102" t="s">
        <v>3369</v>
      </c>
      <c r="G811" s="102" t="b">
        <v>0</v>
      </c>
      <c r="H811" s="102" t="b">
        <v>0</v>
      </c>
      <c r="I811" s="102" t="b">
        <v>0</v>
      </c>
      <c r="J811" s="102" t="b">
        <v>0</v>
      </c>
      <c r="K811" s="102" t="b">
        <v>0</v>
      </c>
      <c r="L811" s="102" t="b">
        <v>0</v>
      </c>
    </row>
    <row r="812" spans="1:12" ht="15">
      <c r="A812" s="104" t="s">
        <v>3215</v>
      </c>
      <c r="B812" s="102" t="s">
        <v>2349</v>
      </c>
      <c r="C812" s="102">
        <v>2</v>
      </c>
      <c r="D812" s="106">
        <v>0.0004993919862542396</v>
      </c>
      <c r="E812" s="106">
        <v>1.581641322993734</v>
      </c>
      <c r="F812" s="102" t="s">
        <v>3369</v>
      </c>
      <c r="G812" s="102" t="b">
        <v>0</v>
      </c>
      <c r="H812" s="102" t="b">
        <v>0</v>
      </c>
      <c r="I812" s="102" t="b">
        <v>0</v>
      </c>
      <c r="J812" s="102" t="b">
        <v>0</v>
      </c>
      <c r="K812" s="102" t="b">
        <v>0</v>
      </c>
      <c r="L812" s="102" t="b">
        <v>0</v>
      </c>
    </row>
    <row r="813" spans="1:12" ht="15">
      <c r="A813" s="104" t="s">
        <v>2353</v>
      </c>
      <c r="B813" s="102" t="s">
        <v>2464</v>
      </c>
      <c r="C813" s="102">
        <v>2</v>
      </c>
      <c r="D813" s="106">
        <v>0.0004993919862542396</v>
      </c>
      <c r="E813" s="106">
        <v>1.2613916211227192</v>
      </c>
      <c r="F813" s="102" t="s">
        <v>3369</v>
      </c>
      <c r="G813" s="102" t="b">
        <v>0</v>
      </c>
      <c r="H813" s="102" t="b">
        <v>0</v>
      </c>
      <c r="I813" s="102" t="b">
        <v>0</v>
      </c>
      <c r="J813" s="102" t="b">
        <v>0</v>
      </c>
      <c r="K813" s="102" t="b">
        <v>0</v>
      </c>
      <c r="L813" s="102" t="b">
        <v>0</v>
      </c>
    </row>
    <row r="814" spans="1:12" ht="15">
      <c r="A814" s="104" t="s">
        <v>2464</v>
      </c>
      <c r="B814" s="102" t="s">
        <v>3216</v>
      </c>
      <c r="C814" s="102">
        <v>2</v>
      </c>
      <c r="D814" s="106">
        <v>0.0004993919862542396</v>
      </c>
      <c r="E814" s="106">
        <v>2.8468523506312198</v>
      </c>
      <c r="F814" s="102" t="s">
        <v>3369</v>
      </c>
      <c r="G814" s="102" t="b">
        <v>0</v>
      </c>
      <c r="H814" s="102" t="b">
        <v>0</v>
      </c>
      <c r="I814" s="102" t="b">
        <v>0</v>
      </c>
      <c r="J814" s="102" t="b">
        <v>0</v>
      </c>
      <c r="K814" s="102" t="b">
        <v>0</v>
      </c>
      <c r="L814" s="102" t="b">
        <v>0</v>
      </c>
    </row>
    <row r="815" spans="1:12" ht="15">
      <c r="A815" s="104" t="s">
        <v>3218</v>
      </c>
      <c r="B815" s="102" t="s">
        <v>2594</v>
      </c>
      <c r="C815" s="102">
        <v>2</v>
      </c>
      <c r="D815" s="106">
        <v>0.0005682933356852263</v>
      </c>
      <c r="E815" s="106">
        <v>3.147882346295201</v>
      </c>
      <c r="F815" s="102" t="s">
        <v>3369</v>
      </c>
      <c r="G815" s="102" t="b">
        <v>0</v>
      </c>
      <c r="H815" s="102" t="b">
        <v>0</v>
      </c>
      <c r="I815" s="102" t="b">
        <v>0</v>
      </c>
      <c r="J815" s="102" t="b">
        <v>0</v>
      </c>
      <c r="K815" s="102" t="b">
        <v>0</v>
      </c>
      <c r="L815" s="102" t="b">
        <v>0</v>
      </c>
    </row>
    <row r="816" spans="1:12" ht="15">
      <c r="A816" s="104" t="s">
        <v>2351</v>
      </c>
      <c r="B816" s="102" t="s">
        <v>2350</v>
      </c>
      <c r="C816" s="102">
        <v>2</v>
      </c>
      <c r="D816" s="106">
        <v>0.0004993919862542396</v>
      </c>
      <c r="E816" s="106">
        <v>-0.3250812086879516</v>
      </c>
      <c r="F816" s="102" t="s">
        <v>3369</v>
      </c>
      <c r="G816" s="102" t="b">
        <v>0</v>
      </c>
      <c r="H816" s="102" t="b">
        <v>0</v>
      </c>
      <c r="I816" s="102" t="b">
        <v>0</v>
      </c>
      <c r="J816" s="102" t="b">
        <v>0</v>
      </c>
      <c r="K816" s="102" t="b">
        <v>0</v>
      </c>
      <c r="L816" s="102" t="b">
        <v>0</v>
      </c>
    </row>
    <row r="817" spans="1:12" ht="15">
      <c r="A817" s="104" t="s">
        <v>2623</v>
      </c>
      <c r="B817" s="102" t="s">
        <v>3219</v>
      </c>
      <c r="C817" s="102">
        <v>2</v>
      </c>
      <c r="D817" s="106">
        <v>0.0005682933356852263</v>
      </c>
      <c r="E817" s="106">
        <v>3.147882346295201</v>
      </c>
      <c r="F817" s="102" t="s">
        <v>3369</v>
      </c>
      <c r="G817" s="102" t="b">
        <v>0</v>
      </c>
      <c r="H817" s="102" t="b">
        <v>0</v>
      </c>
      <c r="I817" s="102" t="b">
        <v>0</v>
      </c>
      <c r="J817" s="102" t="b">
        <v>0</v>
      </c>
      <c r="K817" s="102" t="b">
        <v>0</v>
      </c>
      <c r="L817" s="102" t="b">
        <v>0</v>
      </c>
    </row>
    <row r="818" spans="1:12" ht="15">
      <c r="A818" s="104" t="s">
        <v>2500</v>
      </c>
      <c r="B818" s="102" t="s">
        <v>2910</v>
      </c>
      <c r="C818" s="102">
        <v>2</v>
      </c>
      <c r="D818" s="106">
        <v>0.0005682933356852263</v>
      </c>
      <c r="E818" s="106">
        <v>2.7499423376231635</v>
      </c>
      <c r="F818" s="102" t="s">
        <v>3369</v>
      </c>
      <c r="G818" s="102" t="b">
        <v>0</v>
      </c>
      <c r="H818" s="102" t="b">
        <v>0</v>
      </c>
      <c r="I818" s="102" t="b">
        <v>0</v>
      </c>
      <c r="J818" s="102" t="b">
        <v>0</v>
      </c>
      <c r="K818" s="102" t="b">
        <v>1</v>
      </c>
      <c r="L818" s="102" t="b">
        <v>0</v>
      </c>
    </row>
    <row r="819" spans="1:12" ht="15">
      <c r="A819" s="104" t="s">
        <v>2910</v>
      </c>
      <c r="B819" s="102" t="s">
        <v>3221</v>
      </c>
      <c r="C819" s="102">
        <v>2</v>
      </c>
      <c r="D819" s="106">
        <v>0.0005682933356852263</v>
      </c>
      <c r="E819" s="106">
        <v>3.4489123419591823</v>
      </c>
      <c r="F819" s="102" t="s">
        <v>3369</v>
      </c>
      <c r="G819" s="102" t="b">
        <v>0</v>
      </c>
      <c r="H819" s="102" t="b">
        <v>1</v>
      </c>
      <c r="I819" s="102" t="b">
        <v>0</v>
      </c>
      <c r="J819" s="102" t="b">
        <v>0</v>
      </c>
      <c r="K819" s="102" t="b">
        <v>0</v>
      </c>
      <c r="L819" s="102" t="b">
        <v>0</v>
      </c>
    </row>
    <row r="820" spans="1:12" ht="15">
      <c r="A820" s="104" t="s">
        <v>2911</v>
      </c>
      <c r="B820" s="102" t="s">
        <v>2500</v>
      </c>
      <c r="C820" s="102">
        <v>2</v>
      </c>
      <c r="D820" s="106">
        <v>0.0005682933356852263</v>
      </c>
      <c r="E820" s="106">
        <v>2.7499423376231635</v>
      </c>
      <c r="F820" s="102" t="s">
        <v>3369</v>
      </c>
      <c r="G820" s="102" t="b">
        <v>0</v>
      </c>
      <c r="H820" s="102" t="b">
        <v>0</v>
      </c>
      <c r="I820" s="102" t="b">
        <v>0</v>
      </c>
      <c r="J820" s="102" t="b">
        <v>0</v>
      </c>
      <c r="K820" s="102" t="b">
        <v>0</v>
      </c>
      <c r="L820" s="102" t="b">
        <v>0</v>
      </c>
    </row>
    <row r="821" spans="1:12" ht="15">
      <c r="A821" s="104" t="s">
        <v>2500</v>
      </c>
      <c r="B821" s="102" t="s">
        <v>2912</v>
      </c>
      <c r="C821" s="102">
        <v>2</v>
      </c>
      <c r="D821" s="106">
        <v>0.0005682933356852263</v>
      </c>
      <c r="E821" s="106">
        <v>2.7499423376231635</v>
      </c>
      <c r="F821" s="102" t="s">
        <v>3369</v>
      </c>
      <c r="G821" s="102" t="b">
        <v>0</v>
      </c>
      <c r="H821" s="102" t="b">
        <v>0</v>
      </c>
      <c r="I821" s="102" t="b">
        <v>0</v>
      </c>
      <c r="J821" s="102" t="b">
        <v>0</v>
      </c>
      <c r="K821" s="102" t="b">
        <v>0</v>
      </c>
      <c r="L821" s="102" t="b">
        <v>0</v>
      </c>
    </row>
    <row r="822" spans="1:12" ht="15">
      <c r="A822" s="104" t="s">
        <v>2500</v>
      </c>
      <c r="B822" s="102" t="s">
        <v>2913</v>
      </c>
      <c r="C822" s="102">
        <v>2</v>
      </c>
      <c r="D822" s="106">
        <v>0.0005682933356852263</v>
      </c>
      <c r="E822" s="106">
        <v>2.7499423376231635</v>
      </c>
      <c r="F822" s="102" t="s">
        <v>3369</v>
      </c>
      <c r="G822" s="102" t="b">
        <v>0</v>
      </c>
      <c r="H822" s="102" t="b">
        <v>0</v>
      </c>
      <c r="I822" s="102" t="b">
        <v>0</v>
      </c>
      <c r="J822" s="102" t="b">
        <v>0</v>
      </c>
      <c r="K822" s="102" t="b">
        <v>0</v>
      </c>
      <c r="L822" s="102" t="b">
        <v>0</v>
      </c>
    </row>
    <row r="823" spans="1:12" ht="15">
      <c r="A823" s="104" t="s">
        <v>3226</v>
      </c>
      <c r="B823" s="102" t="s">
        <v>2915</v>
      </c>
      <c r="C823" s="102">
        <v>2</v>
      </c>
      <c r="D823" s="106">
        <v>0.0005682933356852263</v>
      </c>
      <c r="E823" s="106">
        <v>3.4489123419591823</v>
      </c>
      <c r="F823" s="102" t="s">
        <v>3369</v>
      </c>
      <c r="G823" s="102" t="b">
        <v>0</v>
      </c>
      <c r="H823" s="102" t="b">
        <v>0</v>
      </c>
      <c r="I823" s="102" t="b">
        <v>0</v>
      </c>
      <c r="J823" s="102" t="b">
        <v>0</v>
      </c>
      <c r="K823" s="102" t="b">
        <v>0</v>
      </c>
      <c r="L823" s="102" t="b">
        <v>0</v>
      </c>
    </row>
    <row r="824" spans="1:12" ht="15">
      <c r="A824" s="104" t="s">
        <v>2634</v>
      </c>
      <c r="B824" s="102" t="s">
        <v>2360</v>
      </c>
      <c r="C824" s="102">
        <v>2</v>
      </c>
      <c r="D824" s="106">
        <v>0.0004993919862542396</v>
      </c>
      <c r="E824" s="106">
        <v>1.8653357563252329</v>
      </c>
      <c r="F824" s="102" t="s">
        <v>3369</v>
      </c>
      <c r="G824" s="102" t="b">
        <v>0</v>
      </c>
      <c r="H824" s="102" t="b">
        <v>0</v>
      </c>
      <c r="I824" s="102" t="b">
        <v>0</v>
      </c>
      <c r="J824" s="102" t="b">
        <v>0</v>
      </c>
      <c r="K824" s="102" t="b">
        <v>1</v>
      </c>
      <c r="L824" s="102" t="b">
        <v>0</v>
      </c>
    </row>
    <row r="825" spans="1:12" ht="15">
      <c r="A825" s="104" t="s">
        <v>3228</v>
      </c>
      <c r="B825" s="102" t="s">
        <v>3229</v>
      </c>
      <c r="C825" s="102">
        <v>2</v>
      </c>
      <c r="D825" s="106">
        <v>0.0005682933356852263</v>
      </c>
      <c r="E825" s="106">
        <v>3.6250036010148636</v>
      </c>
      <c r="F825" s="102" t="s">
        <v>3369</v>
      </c>
      <c r="G825" s="102" t="b">
        <v>0</v>
      </c>
      <c r="H825" s="102" t="b">
        <v>0</v>
      </c>
      <c r="I825" s="102" t="b">
        <v>0</v>
      </c>
      <c r="J825" s="102" t="b">
        <v>0</v>
      </c>
      <c r="K825" s="102" t="b">
        <v>0</v>
      </c>
      <c r="L825" s="102" t="b">
        <v>0</v>
      </c>
    </row>
    <row r="826" spans="1:12" ht="15">
      <c r="A826" s="104" t="s">
        <v>2428</v>
      </c>
      <c r="B826" s="102" t="s">
        <v>2520</v>
      </c>
      <c r="C826" s="102">
        <v>2</v>
      </c>
      <c r="D826" s="106">
        <v>0.0005682933356852263</v>
      </c>
      <c r="E826" s="106">
        <v>2.147882346295201</v>
      </c>
      <c r="F826" s="102" t="s">
        <v>3369</v>
      </c>
      <c r="G826" s="102" t="b">
        <v>0</v>
      </c>
      <c r="H826" s="102" t="b">
        <v>0</v>
      </c>
      <c r="I826" s="102" t="b">
        <v>0</v>
      </c>
      <c r="J826" s="102" t="b">
        <v>0</v>
      </c>
      <c r="K826" s="102" t="b">
        <v>0</v>
      </c>
      <c r="L826" s="102" t="b">
        <v>0</v>
      </c>
    </row>
    <row r="827" spans="1:12" ht="15">
      <c r="A827" s="104" t="s">
        <v>2450</v>
      </c>
      <c r="B827" s="102" t="s">
        <v>2450</v>
      </c>
      <c r="C827" s="102">
        <v>2</v>
      </c>
      <c r="D827" s="106">
        <v>0.0004993919862542396</v>
      </c>
      <c r="E827" s="106">
        <v>1.9991768877291523</v>
      </c>
      <c r="F827" s="102" t="s">
        <v>3369</v>
      </c>
      <c r="G827" s="102" t="b">
        <v>0</v>
      </c>
      <c r="H827" s="102" t="b">
        <v>0</v>
      </c>
      <c r="I827" s="102" t="b">
        <v>0</v>
      </c>
      <c r="J827" s="102" t="b">
        <v>0</v>
      </c>
      <c r="K827" s="102" t="b">
        <v>0</v>
      </c>
      <c r="L827" s="102" t="b">
        <v>0</v>
      </c>
    </row>
    <row r="828" spans="1:12" ht="15">
      <c r="A828" s="104" t="s">
        <v>2635</v>
      </c>
      <c r="B828" s="102" t="s">
        <v>2634</v>
      </c>
      <c r="C828" s="102">
        <v>2</v>
      </c>
      <c r="D828" s="106">
        <v>0.0004993919862542396</v>
      </c>
      <c r="E828" s="106">
        <v>2.829123583670788</v>
      </c>
      <c r="F828" s="102" t="s">
        <v>3369</v>
      </c>
      <c r="G828" s="102" t="b">
        <v>0</v>
      </c>
      <c r="H828" s="102" t="b">
        <v>0</v>
      </c>
      <c r="I828" s="102" t="b">
        <v>0</v>
      </c>
      <c r="J828" s="102" t="b">
        <v>0</v>
      </c>
      <c r="K828" s="102" t="b">
        <v>0</v>
      </c>
      <c r="L828" s="102" t="b">
        <v>0</v>
      </c>
    </row>
    <row r="829" spans="1:12" ht="15">
      <c r="A829" s="104" t="s">
        <v>2566</v>
      </c>
      <c r="B829" s="102" t="s">
        <v>2381</v>
      </c>
      <c r="C829" s="102">
        <v>2</v>
      </c>
      <c r="D829" s="106">
        <v>0.0004993919862542396</v>
      </c>
      <c r="E829" s="106">
        <v>1.919567554429613</v>
      </c>
      <c r="F829" s="102" t="s">
        <v>3369</v>
      </c>
      <c r="G829" s="102" t="b">
        <v>0</v>
      </c>
      <c r="H829" s="102" t="b">
        <v>0</v>
      </c>
      <c r="I829" s="102" t="b">
        <v>0</v>
      </c>
      <c r="J829" s="102" t="b">
        <v>0</v>
      </c>
      <c r="K829" s="102" t="b">
        <v>0</v>
      </c>
      <c r="L829" s="102" t="b">
        <v>0</v>
      </c>
    </row>
    <row r="830" spans="1:12" ht="15">
      <c r="A830" s="104" t="s">
        <v>2381</v>
      </c>
      <c r="B830" s="102" t="s">
        <v>2354</v>
      </c>
      <c r="C830" s="102">
        <v>2</v>
      </c>
      <c r="D830" s="106">
        <v>0.0004993919862542396</v>
      </c>
      <c r="E830" s="106">
        <v>0.9963592787302569</v>
      </c>
      <c r="F830" s="102" t="s">
        <v>3369</v>
      </c>
      <c r="G830" s="102" t="b">
        <v>0</v>
      </c>
      <c r="H830" s="102" t="b">
        <v>0</v>
      </c>
      <c r="I830" s="102" t="b">
        <v>0</v>
      </c>
      <c r="J830" s="102" t="b">
        <v>0</v>
      </c>
      <c r="K830" s="102" t="b">
        <v>0</v>
      </c>
      <c r="L830" s="102" t="b">
        <v>0</v>
      </c>
    </row>
    <row r="831" spans="1:12" ht="15">
      <c r="A831" s="104" t="s">
        <v>2412</v>
      </c>
      <c r="B831" s="102" t="s">
        <v>2564</v>
      </c>
      <c r="C831" s="102">
        <v>2</v>
      </c>
      <c r="D831" s="106">
        <v>0.0004993919862542396</v>
      </c>
      <c r="E831" s="106">
        <v>2.151516630950295</v>
      </c>
      <c r="F831" s="102" t="s">
        <v>3369</v>
      </c>
      <c r="G831" s="102" t="b">
        <v>0</v>
      </c>
      <c r="H831" s="102" t="b">
        <v>0</v>
      </c>
      <c r="I831" s="102" t="b">
        <v>0</v>
      </c>
      <c r="J831" s="102" t="b">
        <v>0</v>
      </c>
      <c r="K831" s="102" t="b">
        <v>0</v>
      </c>
      <c r="L831" s="102" t="b">
        <v>0</v>
      </c>
    </row>
    <row r="832" spans="1:12" ht="15">
      <c r="A832" s="104" t="s">
        <v>2354</v>
      </c>
      <c r="B832" s="102" t="s">
        <v>2383</v>
      </c>
      <c r="C832" s="102">
        <v>2</v>
      </c>
      <c r="D832" s="106">
        <v>0.0004993919862542396</v>
      </c>
      <c r="E832" s="106">
        <v>1.0412382327298637</v>
      </c>
      <c r="F832" s="102" t="s">
        <v>3369</v>
      </c>
      <c r="G832" s="102" t="b">
        <v>0</v>
      </c>
      <c r="H832" s="102" t="b">
        <v>0</v>
      </c>
      <c r="I832" s="102" t="b">
        <v>0</v>
      </c>
      <c r="J832" s="102" t="b">
        <v>0</v>
      </c>
      <c r="K832" s="102" t="b">
        <v>0</v>
      </c>
      <c r="L832" s="102" t="b">
        <v>0</v>
      </c>
    </row>
    <row r="833" spans="1:12" ht="15">
      <c r="A833" s="104" t="s">
        <v>2383</v>
      </c>
      <c r="B833" s="102" t="s">
        <v>3247</v>
      </c>
      <c r="C833" s="102">
        <v>2</v>
      </c>
      <c r="D833" s="106">
        <v>0.0005682933356852263</v>
      </c>
      <c r="E833" s="106">
        <v>2.528093588006807</v>
      </c>
      <c r="F833" s="102" t="s">
        <v>3369</v>
      </c>
      <c r="G833" s="102" t="b">
        <v>0</v>
      </c>
      <c r="H833" s="102" t="b">
        <v>0</v>
      </c>
      <c r="I833" s="102" t="b">
        <v>0</v>
      </c>
      <c r="J833" s="102" t="b">
        <v>1</v>
      </c>
      <c r="K833" s="102" t="b">
        <v>0</v>
      </c>
      <c r="L833" s="102" t="b">
        <v>0</v>
      </c>
    </row>
    <row r="834" spans="1:12" ht="15">
      <c r="A834" s="104" t="s">
        <v>2922</v>
      </c>
      <c r="B834" s="102" t="s">
        <v>2472</v>
      </c>
      <c r="C834" s="102">
        <v>2</v>
      </c>
      <c r="D834" s="106">
        <v>0.0004993919862542396</v>
      </c>
      <c r="E834" s="106">
        <v>2.7085496524649386</v>
      </c>
      <c r="F834" s="102" t="s">
        <v>3369</v>
      </c>
      <c r="G834" s="102" t="b">
        <v>0</v>
      </c>
      <c r="H834" s="102" t="b">
        <v>0</v>
      </c>
      <c r="I834" s="102" t="b">
        <v>0</v>
      </c>
      <c r="J834" s="102" t="b">
        <v>0</v>
      </c>
      <c r="K834" s="102" t="b">
        <v>0</v>
      </c>
      <c r="L834" s="102" t="b">
        <v>0</v>
      </c>
    </row>
    <row r="835" spans="1:12" ht="15">
      <c r="A835" s="104" t="s">
        <v>2472</v>
      </c>
      <c r="B835" s="102" t="s">
        <v>3248</v>
      </c>
      <c r="C835" s="102">
        <v>2</v>
      </c>
      <c r="D835" s="106">
        <v>0.0004993919862542396</v>
      </c>
      <c r="E835" s="106">
        <v>2.8846409115206195</v>
      </c>
      <c r="F835" s="102" t="s">
        <v>3369</v>
      </c>
      <c r="G835" s="102" t="b">
        <v>0</v>
      </c>
      <c r="H835" s="102" t="b">
        <v>0</v>
      </c>
      <c r="I835" s="102" t="b">
        <v>0</v>
      </c>
      <c r="J835" s="102" t="b">
        <v>0</v>
      </c>
      <c r="K835" s="102" t="b">
        <v>1</v>
      </c>
      <c r="L835" s="102" t="b">
        <v>0</v>
      </c>
    </row>
    <row r="836" spans="1:12" ht="15">
      <c r="A836" s="104" t="s">
        <v>3248</v>
      </c>
      <c r="B836" s="102" t="s">
        <v>3249</v>
      </c>
      <c r="C836" s="102">
        <v>2</v>
      </c>
      <c r="D836" s="106">
        <v>0.0004993919862542396</v>
      </c>
      <c r="E836" s="106">
        <v>3.6250036010148636</v>
      </c>
      <c r="F836" s="102" t="s">
        <v>3369</v>
      </c>
      <c r="G836" s="102" t="b">
        <v>0</v>
      </c>
      <c r="H836" s="102" t="b">
        <v>1</v>
      </c>
      <c r="I836" s="102" t="b">
        <v>0</v>
      </c>
      <c r="J836" s="102" t="b">
        <v>0</v>
      </c>
      <c r="K836" s="102" t="b">
        <v>0</v>
      </c>
      <c r="L836" s="102" t="b">
        <v>0</v>
      </c>
    </row>
    <row r="837" spans="1:12" ht="15">
      <c r="A837" s="104" t="s">
        <v>3249</v>
      </c>
      <c r="B837" s="102" t="s">
        <v>3250</v>
      </c>
      <c r="C837" s="102">
        <v>2</v>
      </c>
      <c r="D837" s="106">
        <v>0.0004993919862542396</v>
      </c>
      <c r="E837" s="106">
        <v>3.6250036010148636</v>
      </c>
      <c r="F837" s="102" t="s">
        <v>3369</v>
      </c>
      <c r="G837" s="102" t="b">
        <v>0</v>
      </c>
      <c r="H837" s="102" t="b">
        <v>0</v>
      </c>
      <c r="I837" s="102" t="b">
        <v>0</v>
      </c>
      <c r="J837" s="102" t="b">
        <v>0</v>
      </c>
      <c r="K837" s="102" t="b">
        <v>0</v>
      </c>
      <c r="L837" s="102" t="b">
        <v>0</v>
      </c>
    </row>
    <row r="838" spans="1:12" ht="15">
      <c r="A838" s="104" t="s">
        <v>3250</v>
      </c>
      <c r="B838" s="102" t="s">
        <v>3251</v>
      </c>
      <c r="C838" s="102">
        <v>2</v>
      </c>
      <c r="D838" s="106">
        <v>0.0004993919862542396</v>
      </c>
      <c r="E838" s="106">
        <v>3.6250036010148636</v>
      </c>
      <c r="F838" s="102" t="s">
        <v>3369</v>
      </c>
      <c r="G838" s="102" t="b">
        <v>0</v>
      </c>
      <c r="H838" s="102" t="b">
        <v>0</v>
      </c>
      <c r="I838" s="102" t="b">
        <v>0</v>
      </c>
      <c r="J838" s="102" t="b">
        <v>0</v>
      </c>
      <c r="K838" s="102" t="b">
        <v>0</v>
      </c>
      <c r="L838" s="102" t="b">
        <v>0</v>
      </c>
    </row>
    <row r="839" spans="1:12" ht="15">
      <c r="A839" s="104" t="s">
        <v>3251</v>
      </c>
      <c r="B839" s="102" t="s">
        <v>3252</v>
      </c>
      <c r="C839" s="102">
        <v>2</v>
      </c>
      <c r="D839" s="106">
        <v>0.0004993919862542396</v>
      </c>
      <c r="E839" s="106">
        <v>3.6250036010148636</v>
      </c>
      <c r="F839" s="102" t="s">
        <v>3369</v>
      </c>
      <c r="G839" s="102" t="b">
        <v>0</v>
      </c>
      <c r="H839" s="102" t="b">
        <v>0</v>
      </c>
      <c r="I839" s="102" t="b">
        <v>0</v>
      </c>
      <c r="J839" s="102" t="b">
        <v>0</v>
      </c>
      <c r="K839" s="102" t="b">
        <v>0</v>
      </c>
      <c r="L839" s="102" t="b">
        <v>0</v>
      </c>
    </row>
    <row r="840" spans="1:12" ht="15">
      <c r="A840" s="104" t="s">
        <v>3252</v>
      </c>
      <c r="B840" s="102" t="s">
        <v>3253</v>
      </c>
      <c r="C840" s="102">
        <v>2</v>
      </c>
      <c r="D840" s="106">
        <v>0.0004993919862542396</v>
      </c>
      <c r="E840" s="106">
        <v>3.6250036010148636</v>
      </c>
      <c r="F840" s="102" t="s">
        <v>3369</v>
      </c>
      <c r="G840" s="102" t="b">
        <v>0</v>
      </c>
      <c r="H840" s="102" t="b">
        <v>0</v>
      </c>
      <c r="I840" s="102" t="b">
        <v>0</v>
      </c>
      <c r="J840" s="102" t="b">
        <v>0</v>
      </c>
      <c r="K840" s="102" t="b">
        <v>0</v>
      </c>
      <c r="L840" s="102" t="b">
        <v>0</v>
      </c>
    </row>
    <row r="841" spans="1:12" ht="15">
      <c r="A841" s="104" t="s">
        <v>3253</v>
      </c>
      <c r="B841" s="102" t="s">
        <v>3254</v>
      </c>
      <c r="C841" s="102">
        <v>2</v>
      </c>
      <c r="D841" s="106">
        <v>0.0004993919862542396</v>
      </c>
      <c r="E841" s="106">
        <v>3.6250036010148636</v>
      </c>
      <c r="F841" s="102" t="s">
        <v>3369</v>
      </c>
      <c r="G841" s="102" t="b">
        <v>0</v>
      </c>
      <c r="H841" s="102" t="b">
        <v>0</v>
      </c>
      <c r="I841" s="102" t="b">
        <v>0</v>
      </c>
      <c r="J841" s="102" t="b">
        <v>0</v>
      </c>
      <c r="K841" s="102" t="b">
        <v>0</v>
      </c>
      <c r="L841" s="102" t="b">
        <v>0</v>
      </c>
    </row>
    <row r="842" spans="1:12" ht="15">
      <c r="A842" s="104" t="s">
        <v>3254</v>
      </c>
      <c r="B842" s="102" t="s">
        <v>3255</v>
      </c>
      <c r="C842" s="102">
        <v>2</v>
      </c>
      <c r="D842" s="106">
        <v>0.0004993919862542396</v>
      </c>
      <c r="E842" s="106">
        <v>3.6250036010148636</v>
      </c>
      <c r="F842" s="102" t="s">
        <v>3369</v>
      </c>
      <c r="G842" s="102" t="b">
        <v>0</v>
      </c>
      <c r="H842" s="102" t="b">
        <v>0</v>
      </c>
      <c r="I842" s="102" t="b">
        <v>0</v>
      </c>
      <c r="J842" s="102" t="b">
        <v>0</v>
      </c>
      <c r="K842" s="102" t="b">
        <v>0</v>
      </c>
      <c r="L842" s="102" t="b">
        <v>0</v>
      </c>
    </row>
    <row r="843" spans="1:12" ht="15">
      <c r="A843" s="104" t="s">
        <v>3255</v>
      </c>
      <c r="B843" s="102" t="s">
        <v>3256</v>
      </c>
      <c r="C843" s="102">
        <v>2</v>
      </c>
      <c r="D843" s="106">
        <v>0.0004993919862542396</v>
      </c>
      <c r="E843" s="106">
        <v>3.6250036010148636</v>
      </c>
      <c r="F843" s="102" t="s">
        <v>3369</v>
      </c>
      <c r="G843" s="102" t="b">
        <v>0</v>
      </c>
      <c r="H843" s="102" t="b">
        <v>0</v>
      </c>
      <c r="I843" s="102" t="b">
        <v>0</v>
      </c>
      <c r="J843" s="102" t="b">
        <v>0</v>
      </c>
      <c r="K843" s="102" t="b">
        <v>0</v>
      </c>
      <c r="L843" s="102" t="b">
        <v>0</v>
      </c>
    </row>
    <row r="844" spans="1:12" ht="15">
      <c r="A844" s="104" t="s">
        <v>3256</v>
      </c>
      <c r="B844" s="102" t="s">
        <v>3257</v>
      </c>
      <c r="C844" s="102">
        <v>2</v>
      </c>
      <c r="D844" s="106">
        <v>0.0004993919862542396</v>
      </c>
      <c r="E844" s="106">
        <v>3.6250036010148636</v>
      </c>
      <c r="F844" s="102" t="s">
        <v>3369</v>
      </c>
      <c r="G844" s="102" t="b">
        <v>0</v>
      </c>
      <c r="H844" s="102" t="b">
        <v>0</v>
      </c>
      <c r="I844" s="102" t="b">
        <v>0</v>
      </c>
      <c r="J844" s="102" t="b">
        <v>0</v>
      </c>
      <c r="K844" s="102" t="b">
        <v>0</v>
      </c>
      <c r="L844" s="102" t="b">
        <v>0</v>
      </c>
    </row>
    <row r="845" spans="1:12" ht="15">
      <c r="A845" s="104" t="s">
        <v>3257</v>
      </c>
      <c r="B845" s="102" t="s">
        <v>3258</v>
      </c>
      <c r="C845" s="102">
        <v>2</v>
      </c>
      <c r="D845" s="106">
        <v>0.0004993919862542396</v>
      </c>
      <c r="E845" s="106">
        <v>3.6250036010148636</v>
      </c>
      <c r="F845" s="102" t="s">
        <v>3369</v>
      </c>
      <c r="G845" s="102" t="b">
        <v>0</v>
      </c>
      <c r="H845" s="102" t="b">
        <v>0</v>
      </c>
      <c r="I845" s="102" t="b">
        <v>0</v>
      </c>
      <c r="J845" s="102" t="b">
        <v>0</v>
      </c>
      <c r="K845" s="102" t="b">
        <v>0</v>
      </c>
      <c r="L845" s="102" t="b">
        <v>0</v>
      </c>
    </row>
    <row r="846" spans="1:12" ht="15">
      <c r="A846" s="104" t="s">
        <v>3258</v>
      </c>
      <c r="B846" s="102" t="s">
        <v>2842</v>
      </c>
      <c r="C846" s="102">
        <v>2</v>
      </c>
      <c r="D846" s="106">
        <v>0.0004993919862542396</v>
      </c>
      <c r="E846" s="106">
        <v>3.4489123419591823</v>
      </c>
      <c r="F846" s="102" t="s">
        <v>3369</v>
      </c>
      <c r="G846" s="102" t="b">
        <v>0</v>
      </c>
      <c r="H846" s="102" t="b">
        <v>0</v>
      </c>
      <c r="I846" s="102" t="b">
        <v>0</v>
      </c>
      <c r="J846" s="102" t="b">
        <v>1</v>
      </c>
      <c r="K846" s="102" t="b">
        <v>0</v>
      </c>
      <c r="L846" s="102" t="b">
        <v>0</v>
      </c>
    </row>
    <row r="847" spans="1:12" ht="15">
      <c r="A847" s="104" t="s">
        <v>2842</v>
      </c>
      <c r="B847" s="102" t="s">
        <v>3259</v>
      </c>
      <c r="C847" s="102">
        <v>2</v>
      </c>
      <c r="D847" s="106">
        <v>0.0004993919862542396</v>
      </c>
      <c r="E847" s="106">
        <v>3.4489123419591823</v>
      </c>
      <c r="F847" s="102" t="s">
        <v>3369</v>
      </c>
      <c r="G847" s="102" t="b">
        <v>1</v>
      </c>
      <c r="H847" s="102" t="b">
        <v>0</v>
      </c>
      <c r="I847" s="102" t="b">
        <v>0</v>
      </c>
      <c r="J847" s="102" t="b">
        <v>0</v>
      </c>
      <c r="K847" s="102" t="b">
        <v>0</v>
      </c>
      <c r="L847" s="102" t="b">
        <v>0</v>
      </c>
    </row>
    <row r="848" spans="1:12" ht="15">
      <c r="A848" s="104" t="s">
        <v>3259</v>
      </c>
      <c r="B848" s="102" t="s">
        <v>3260</v>
      </c>
      <c r="C848" s="102">
        <v>2</v>
      </c>
      <c r="D848" s="106">
        <v>0.0004993919862542396</v>
      </c>
      <c r="E848" s="106">
        <v>3.6250036010148636</v>
      </c>
      <c r="F848" s="102" t="s">
        <v>3369</v>
      </c>
      <c r="G848" s="102" t="b">
        <v>0</v>
      </c>
      <c r="H848" s="102" t="b">
        <v>0</v>
      </c>
      <c r="I848" s="102" t="b">
        <v>0</v>
      </c>
      <c r="J848" s="102" t="b">
        <v>0</v>
      </c>
      <c r="K848" s="102" t="b">
        <v>0</v>
      </c>
      <c r="L848" s="102" t="b">
        <v>0</v>
      </c>
    </row>
    <row r="849" spans="1:12" ht="15">
      <c r="A849" s="104" t="s">
        <v>2720</v>
      </c>
      <c r="B849" s="102" t="s">
        <v>2356</v>
      </c>
      <c r="C849" s="102">
        <v>2</v>
      </c>
      <c r="D849" s="106">
        <v>0.0004993919862542396</v>
      </c>
      <c r="E849" s="106">
        <v>1.861575607451926</v>
      </c>
      <c r="F849" s="102" t="s">
        <v>3369</v>
      </c>
      <c r="G849" s="102" t="b">
        <v>0</v>
      </c>
      <c r="H849" s="102" t="b">
        <v>0</v>
      </c>
      <c r="I849" s="102" t="b">
        <v>0</v>
      </c>
      <c r="J849" s="102" t="b">
        <v>0</v>
      </c>
      <c r="K849" s="102" t="b">
        <v>0</v>
      </c>
      <c r="L849" s="102" t="b">
        <v>0</v>
      </c>
    </row>
    <row r="850" spans="1:12" ht="15">
      <c r="A850" s="104" t="s">
        <v>2356</v>
      </c>
      <c r="B850" s="102" t="s">
        <v>2350</v>
      </c>
      <c r="C850" s="102">
        <v>2</v>
      </c>
      <c r="D850" s="106">
        <v>0.0004993919862542396</v>
      </c>
      <c r="E850" s="106">
        <v>0.1402056766829791</v>
      </c>
      <c r="F850" s="102" t="s">
        <v>3369</v>
      </c>
      <c r="G850" s="102" t="b">
        <v>0</v>
      </c>
      <c r="H850" s="102" t="b">
        <v>0</v>
      </c>
      <c r="I850" s="102" t="b">
        <v>0</v>
      </c>
      <c r="J850" s="102" t="b">
        <v>0</v>
      </c>
      <c r="K850" s="102" t="b">
        <v>0</v>
      </c>
      <c r="L850" s="102" t="b">
        <v>0</v>
      </c>
    </row>
    <row r="851" spans="1:12" ht="15">
      <c r="A851" s="104" t="s">
        <v>3265</v>
      </c>
      <c r="B851" s="102" t="s">
        <v>2356</v>
      </c>
      <c r="C851" s="102">
        <v>2</v>
      </c>
      <c r="D851" s="106">
        <v>0.0004993919862542396</v>
      </c>
      <c r="E851" s="106">
        <v>2.162605603115907</v>
      </c>
      <c r="F851" s="102" t="s">
        <v>3369</v>
      </c>
      <c r="G851" s="102" t="b">
        <v>0</v>
      </c>
      <c r="H851" s="102" t="b">
        <v>0</v>
      </c>
      <c r="I851" s="102" t="b">
        <v>0</v>
      </c>
      <c r="J851" s="102" t="b">
        <v>0</v>
      </c>
      <c r="K851" s="102" t="b">
        <v>0</v>
      </c>
      <c r="L851" s="102" t="b">
        <v>0</v>
      </c>
    </row>
    <row r="852" spans="1:12" ht="15">
      <c r="A852" s="104" t="s">
        <v>2356</v>
      </c>
      <c r="B852" s="102" t="s">
        <v>2652</v>
      </c>
      <c r="C852" s="102">
        <v>2</v>
      </c>
      <c r="D852" s="106">
        <v>0.0004993919862542396</v>
      </c>
      <c r="E852" s="106">
        <v>1.7357018985085533</v>
      </c>
      <c r="F852" s="102" t="s">
        <v>3369</v>
      </c>
      <c r="G852" s="102" t="b">
        <v>0</v>
      </c>
      <c r="H852" s="102" t="b">
        <v>0</v>
      </c>
      <c r="I852" s="102" t="b">
        <v>0</v>
      </c>
      <c r="J852" s="102" t="b">
        <v>0</v>
      </c>
      <c r="K852" s="102" t="b">
        <v>0</v>
      </c>
      <c r="L852" s="102" t="b">
        <v>0</v>
      </c>
    </row>
    <row r="853" spans="1:12" ht="15">
      <c r="A853" s="104" t="s">
        <v>3266</v>
      </c>
      <c r="B853" s="102" t="s">
        <v>2887</v>
      </c>
      <c r="C853" s="102">
        <v>2</v>
      </c>
      <c r="D853" s="106">
        <v>0.0004993919862542396</v>
      </c>
      <c r="E853" s="106">
        <v>3.4489123419591823</v>
      </c>
      <c r="F853" s="102" t="s">
        <v>3369</v>
      </c>
      <c r="G853" s="102" t="b">
        <v>0</v>
      </c>
      <c r="H853" s="102" t="b">
        <v>0</v>
      </c>
      <c r="I853" s="102" t="b">
        <v>0</v>
      </c>
      <c r="J853" s="102" t="b">
        <v>0</v>
      </c>
      <c r="K853" s="102" t="b">
        <v>0</v>
      </c>
      <c r="L853" s="102" t="b">
        <v>0</v>
      </c>
    </row>
    <row r="854" spans="1:12" ht="15">
      <c r="A854" s="104" t="s">
        <v>2887</v>
      </c>
      <c r="B854" s="102" t="s">
        <v>2372</v>
      </c>
      <c r="C854" s="102">
        <v>2</v>
      </c>
      <c r="D854" s="106">
        <v>0.0004993919862542396</v>
      </c>
      <c r="E854" s="106">
        <v>2.231428397745276</v>
      </c>
      <c r="F854" s="102" t="s">
        <v>3369</v>
      </c>
      <c r="G854" s="102" t="b">
        <v>0</v>
      </c>
      <c r="H854" s="102" t="b">
        <v>0</v>
      </c>
      <c r="I854" s="102" t="b">
        <v>0</v>
      </c>
      <c r="J854" s="102" t="b">
        <v>0</v>
      </c>
      <c r="K854" s="102" t="b">
        <v>0</v>
      </c>
      <c r="L854" s="102" t="b">
        <v>0</v>
      </c>
    </row>
    <row r="855" spans="1:12" ht="15">
      <c r="A855" s="104" t="s">
        <v>2372</v>
      </c>
      <c r="B855" s="102" t="s">
        <v>3267</v>
      </c>
      <c r="C855" s="102">
        <v>2</v>
      </c>
      <c r="D855" s="106">
        <v>0.0004993919862542396</v>
      </c>
      <c r="E855" s="106">
        <v>2.4075196568009574</v>
      </c>
      <c r="F855" s="102" t="s">
        <v>3369</v>
      </c>
      <c r="G855" s="102" t="b">
        <v>0</v>
      </c>
      <c r="H855" s="102" t="b">
        <v>0</v>
      </c>
      <c r="I855" s="102" t="b">
        <v>0</v>
      </c>
      <c r="J855" s="102" t="b">
        <v>0</v>
      </c>
      <c r="K855" s="102" t="b">
        <v>0</v>
      </c>
      <c r="L855" s="102" t="b">
        <v>0</v>
      </c>
    </row>
    <row r="856" spans="1:12" ht="15">
      <c r="A856" s="104" t="s">
        <v>2360</v>
      </c>
      <c r="B856" s="102" t="s">
        <v>2379</v>
      </c>
      <c r="C856" s="102">
        <v>2</v>
      </c>
      <c r="D856" s="106">
        <v>0.0004993919862542396</v>
      </c>
      <c r="E856" s="106">
        <v>1.1364528845144193</v>
      </c>
      <c r="F856" s="102" t="s">
        <v>3369</v>
      </c>
      <c r="G856" s="102" t="b">
        <v>0</v>
      </c>
      <c r="H856" s="102" t="b">
        <v>1</v>
      </c>
      <c r="I856" s="102" t="b">
        <v>0</v>
      </c>
      <c r="J856" s="102" t="b">
        <v>0</v>
      </c>
      <c r="K856" s="102" t="b">
        <v>0</v>
      </c>
      <c r="L856" s="102" t="b">
        <v>0</v>
      </c>
    </row>
    <row r="857" spans="1:12" ht="15">
      <c r="A857" s="104" t="s">
        <v>2628</v>
      </c>
      <c r="B857" s="102" t="s">
        <v>3268</v>
      </c>
      <c r="C857" s="102">
        <v>2</v>
      </c>
      <c r="D857" s="106">
        <v>0.0005682933356852263</v>
      </c>
      <c r="E857" s="106">
        <v>3.147882346295201</v>
      </c>
      <c r="F857" s="102" t="s">
        <v>3369</v>
      </c>
      <c r="G857" s="102" t="b">
        <v>0</v>
      </c>
      <c r="H857" s="102" t="b">
        <v>0</v>
      </c>
      <c r="I857" s="102" t="b">
        <v>0</v>
      </c>
      <c r="J857" s="102" t="b">
        <v>0</v>
      </c>
      <c r="K857" s="102" t="b">
        <v>0</v>
      </c>
      <c r="L857" s="102" t="b">
        <v>0</v>
      </c>
    </row>
    <row r="858" spans="1:12" ht="15">
      <c r="A858" s="104" t="s">
        <v>2546</v>
      </c>
      <c r="B858" s="102" t="s">
        <v>2545</v>
      </c>
      <c r="C858" s="102">
        <v>2</v>
      </c>
      <c r="D858" s="106">
        <v>0.0005682933356852263</v>
      </c>
      <c r="E858" s="106">
        <v>2.4788755653366255</v>
      </c>
      <c r="F858" s="102" t="s">
        <v>3369</v>
      </c>
      <c r="G858" s="102" t="b">
        <v>0</v>
      </c>
      <c r="H858" s="102" t="b">
        <v>0</v>
      </c>
      <c r="I858" s="102" t="b">
        <v>0</v>
      </c>
      <c r="J858" s="102" t="b">
        <v>0</v>
      </c>
      <c r="K858" s="102" t="b">
        <v>0</v>
      </c>
      <c r="L858" s="102" t="b">
        <v>0</v>
      </c>
    </row>
    <row r="859" spans="1:12" ht="15">
      <c r="A859" s="104" t="s">
        <v>2545</v>
      </c>
      <c r="B859" s="102" t="s">
        <v>2547</v>
      </c>
      <c r="C859" s="102">
        <v>2</v>
      </c>
      <c r="D859" s="106">
        <v>0.0005682933356852263</v>
      </c>
      <c r="E859" s="106">
        <v>2.4208836183589386</v>
      </c>
      <c r="F859" s="102" t="s">
        <v>3369</v>
      </c>
      <c r="G859" s="102" t="b">
        <v>0</v>
      </c>
      <c r="H859" s="102" t="b">
        <v>0</v>
      </c>
      <c r="I859" s="102" t="b">
        <v>0</v>
      </c>
      <c r="J859" s="102" t="b">
        <v>0</v>
      </c>
      <c r="K859" s="102" t="b">
        <v>1</v>
      </c>
      <c r="L859" s="102" t="b">
        <v>0</v>
      </c>
    </row>
    <row r="860" spans="1:12" ht="15">
      <c r="A860" s="104" t="s">
        <v>2548</v>
      </c>
      <c r="B860" s="102" t="s">
        <v>2925</v>
      </c>
      <c r="C860" s="102">
        <v>2</v>
      </c>
      <c r="D860" s="106">
        <v>0.0005682933356852263</v>
      </c>
      <c r="E860" s="106">
        <v>2.8468523506312198</v>
      </c>
      <c r="F860" s="102" t="s">
        <v>3369</v>
      </c>
      <c r="G860" s="102" t="b">
        <v>0</v>
      </c>
      <c r="H860" s="102" t="b">
        <v>1</v>
      </c>
      <c r="I860" s="102" t="b">
        <v>0</v>
      </c>
      <c r="J860" s="102" t="b">
        <v>0</v>
      </c>
      <c r="K860" s="102" t="b">
        <v>0</v>
      </c>
      <c r="L860" s="102" t="b">
        <v>0</v>
      </c>
    </row>
    <row r="861" spans="1:12" ht="15">
      <c r="A861" s="104" t="s">
        <v>2925</v>
      </c>
      <c r="B861" s="102" t="s">
        <v>2547</v>
      </c>
      <c r="C861" s="102">
        <v>2</v>
      </c>
      <c r="D861" s="106">
        <v>0.0005682933356852263</v>
      </c>
      <c r="E861" s="106">
        <v>2.8468523506312198</v>
      </c>
      <c r="F861" s="102" t="s">
        <v>3369</v>
      </c>
      <c r="G861" s="102" t="b">
        <v>0</v>
      </c>
      <c r="H861" s="102" t="b">
        <v>0</v>
      </c>
      <c r="I861" s="102" t="b">
        <v>0</v>
      </c>
      <c r="J861" s="102" t="b">
        <v>0</v>
      </c>
      <c r="K861" s="102" t="b">
        <v>1</v>
      </c>
      <c r="L861" s="102" t="b">
        <v>0</v>
      </c>
    </row>
    <row r="862" spans="1:12" ht="15">
      <c r="A862" s="104" t="s">
        <v>2550</v>
      </c>
      <c r="B862" s="102" t="s">
        <v>3272</v>
      </c>
      <c r="C862" s="102">
        <v>2</v>
      </c>
      <c r="D862" s="106">
        <v>0.0005682933356852263</v>
      </c>
      <c r="E862" s="106">
        <v>3.022943609686901</v>
      </c>
      <c r="F862" s="102" t="s">
        <v>3369</v>
      </c>
      <c r="G862" s="102" t="b">
        <v>0</v>
      </c>
      <c r="H862" s="102" t="b">
        <v>0</v>
      </c>
      <c r="I862" s="102" t="b">
        <v>0</v>
      </c>
      <c r="J862" s="102" t="b">
        <v>0</v>
      </c>
      <c r="K862" s="102" t="b">
        <v>0</v>
      </c>
      <c r="L862" s="102" t="b">
        <v>0</v>
      </c>
    </row>
    <row r="863" spans="1:12" ht="15">
      <c r="A863" s="104" t="s">
        <v>3273</v>
      </c>
      <c r="B863" s="102" t="s">
        <v>2583</v>
      </c>
      <c r="C863" s="102">
        <v>2</v>
      </c>
      <c r="D863" s="106">
        <v>0.0005682933356852263</v>
      </c>
      <c r="E863" s="106">
        <v>3.147882346295201</v>
      </c>
      <c r="F863" s="102" t="s">
        <v>3369</v>
      </c>
      <c r="G863" s="102" t="b">
        <v>0</v>
      </c>
      <c r="H863" s="102" t="b">
        <v>0</v>
      </c>
      <c r="I863" s="102" t="b">
        <v>0</v>
      </c>
      <c r="J863" s="102" t="b">
        <v>0</v>
      </c>
      <c r="K863" s="102" t="b">
        <v>0</v>
      </c>
      <c r="L863" s="102" t="b">
        <v>0</v>
      </c>
    </row>
    <row r="864" spans="1:12" ht="15">
      <c r="A864" s="104" t="s">
        <v>2583</v>
      </c>
      <c r="B864" s="102" t="s">
        <v>3274</v>
      </c>
      <c r="C864" s="102">
        <v>2</v>
      </c>
      <c r="D864" s="106">
        <v>0.0005682933356852263</v>
      </c>
      <c r="E864" s="106">
        <v>3.080935556664588</v>
      </c>
      <c r="F864" s="102" t="s">
        <v>3369</v>
      </c>
      <c r="G864" s="102" t="b">
        <v>0</v>
      </c>
      <c r="H864" s="102" t="b">
        <v>0</v>
      </c>
      <c r="I864" s="102" t="b">
        <v>0</v>
      </c>
      <c r="J864" s="102" t="b">
        <v>0</v>
      </c>
      <c r="K864" s="102" t="b">
        <v>0</v>
      </c>
      <c r="L864" s="102" t="b">
        <v>0</v>
      </c>
    </row>
    <row r="865" spans="1:12" ht="15">
      <c r="A865" s="104" t="s">
        <v>2929</v>
      </c>
      <c r="B865" s="102" t="s">
        <v>2550</v>
      </c>
      <c r="C865" s="102">
        <v>2</v>
      </c>
      <c r="D865" s="106">
        <v>0.0005682933356852263</v>
      </c>
      <c r="E865" s="106">
        <v>2.8468523506312198</v>
      </c>
      <c r="F865" s="102" t="s">
        <v>3369</v>
      </c>
      <c r="G865" s="102" t="b">
        <v>0</v>
      </c>
      <c r="H865" s="102" t="b">
        <v>0</v>
      </c>
      <c r="I865" s="102" t="b">
        <v>0</v>
      </c>
      <c r="J865" s="102" t="b">
        <v>0</v>
      </c>
      <c r="K865" s="102" t="b">
        <v>0</v>
      </c>
      <c r="L865" s="102" t="b">
        <v>0</v>
      </c>
    </row>
    <row r="866" spans="1:12" ht="15">
      <c r="A866" s="104" t="s">
        <v>2629</v>
      </c>
      <c r="B866" s="102" t="s">
        <v>2550</v>
      </c>
      <c r="C866" s="102">
        <v>2</v>
      </c>
      <c r="D866" s="106">
        <v>0.0005682933356852263</v>
      </c>
      <c r="E866" s="106">
        <v>2.5458223549672385</v>
      </c>
      <c r="F866" s="102" t="s">
        <v>3369</v>
      </c>
      <c r="G866" s="102" t="b">
        <v>0</v>
      </c>
      <c r="H866" s="102" t="b">
        <v>0</v>
      </c>
      <c r="I866" s="102" t="b">
        <v>0</v>
      </c>
      <c r="J866" s="102" t="b">
        <v>0</v>
      </c>
      <c r="K866" s="102" t="b">
        <v>0</v>
      </c>
      <c r="L866" s="102" t="b">
        <v>0</v>
      </c>
    </row>
    <row r="867" spans="1:12" ht="15">
      <c r="A867" s="104" t="s">
        <v>2919</v>
      </c>
      <c r="B867" s="102" t="s">
        <v>3276</v>
      </c>
      <c r="C867" s="102">
        <v>2</v>
      </c>
      <c r="D867" s="106">
        <v>0.0005682933356852263</v>
      </c>
      <c r="E867" s="106">
        <v>3.4489123419591823</v>
      </c>
      <c r="F867" s="102" t="s">
        <v>3369</v>
      </c>
      <c r="G867" s="102" t="b">
        <v>0</v>
      </c>
      <c r="H867" s="102" t="b">
        <v>0</v>
      </c>
      <c r="I867" s="102" t="b">
        <v>0</v>
      </c>
      <c r="J867" s="102" t="b">
        <v>0</v>
      </c>
      <c r="K867" s="102" t="b">
        <v>0</v>
      </c>
      <c r="L867" s="102" t="b">
        <v>0</v>
      </c>
    </row>
    <row r="868" spans="1:12" ht="15">
      <c r="A868" s="104" t="s">
        <v>2931</v>
      </c>
      <c r="B868" s="102" t="s">
        <v>3279</v>
      </c>
      <c r="C868" s="102">
        <v>2</v>
      </c>
      <c r="D868" s="106">
        <v>0.0005682933356852263</v>
      </c>
      <c r="E868" s="106">
        <v>3.4489123419591823</v>
      </c>
      <c r="F868" s="102" t="s">
        <v>3369</v>
      </c>
      <c r="G868" s="102" t="b">
        <v>0</v>
      </c>
      <c r="H868" s="102" t="b">
        <v>0</v>
      </c>
      <c r="I868" s="102" t="b">
        <v>0</v>
      </c>
      <c r="J868" s="102" t="b">
        <v>0</v>
      </c>
      <c r="K868" s="102" t="b">
        <v>0</v>
      </c>
      <c r="L868" s="102" t="b">
        <v>0</v>
      </c>
    </row>
    <row r="869" spans="1:12" ht="15">
      <c r="A869" s="104" t="s">
        <v>3279</v>
      </c>
      <c r="B869" s="102" t="s">
        <v>2606</v>
      </c>
      <c r="C869" s="102">
        <v>2</v>
      </c>
      <c r="D869" s="106">
        <v>0.0005682933356852263</v>
      </c>
      <c r="E869" s="106">
        <v>3.147882346295201</v>
      </c>
      <c r="F869" s="102" t="s">
        <v>3369</v>
      </c>
      <c r="G869" s="102" t="b">
        <v>0</v>
      </c>
      <c r="H869" s="102" t="b">
        <v>0</v>
      </c>
      <c r="I869" s="102" t="b">
        <v>0</v>
      </c>
      <c r="J869" s="102" t="b">
        <v>0</v>
      </c>
      <c r="K869" s="102" t="b">
        <v>1</v>
      </c>
      <c r="L869" s="102" t="b">
        <v>0</v>
      </c>
    </row>
    <row r="870" spans="1:12" ht="15">
      <c r="A870" s="104" t="s">
        <v>2694</v>
      </c>
      <c r="B870" s="102" t="s">
        <v>3280</v>
      </c>
      <c r="C870" s="102">
        <v>2</v>
      </c>
      <c r="D870" s="106">
        <v>0.0005682933356852263</v>
      </c>
      <c r="E870" s="106">
        <v>3.2270635923428257</v>
      </c>
      <c r="F870" s="102" t="s">
        <v>3369</v>
      </c>
      <c r="G870" s="102" t="b">
        <v>0</v>
      </c>
      <c r="H870" s="102" t="b">
        <v>0</v>
      </c>
      <c r="I870" s="102" t="b">
        <v>0</v>
      </c>
      <c r="J870" s="102" t="b">
        <v>0</v>
      </c>
      <c r="K870" s="102" t="b">
        <v>0</v>
      </c>
      <c r="L870" s="102" t="b">
        <v>0</v>
      </c>
    </row>
    <row r="871" spans="1:12" ht="15">
      <c r="A871" s="104" t="s">
        <v>3285</v>
      </c>
      <c r="B871" s="102" t="s">
        <v>2469</v>
      </c>
      <c r="C871" s="102">
        <v>2</v>
      </c>
      <c r="D871" s="106">
        <v>0.0005682933356852263</v>
      </c>
      <c r="E871" s="106">
        <v>2.8468523506312198</v>
      </c>
      <c r="F871" s="102" t="s">
        <v>3369</v>
      </c>
      <c r="G871" s="102" t="b">
        <v>0</v>
      </c>
      <c r="H871" s="102" t="b">
        <v>1</v>
      </c>
      <c r="I871" s="102" t="b">
        <v>0</v>
      </c>
      <c r="J871" s="102" t="b">
        <v>0</v>
      </c>
      <c r="K871" s="102" t="b">
        <v>0</v>
      </c>
      <c r="L871" s="102" t="b">
        <v>0</v>
      </c>
    </row>
    <row r="872" spans="1:12" ht="15">
      <c r="A872" s="104" t="s">
        <v>2396</v>
      </c>
      <c r="B872" s="102" t="s">
        <v>2405</v>
      </c>
      <c r="C872" s="102">
        <v>2</v>
      </c>
      <c r="D872" s="106">
        <v>0.0004993919862542396</v>
      </c>
      <c r="E872" s="106">
        <v>1.6260906966560777</v>
      </c>
      <c r="F872" s="102" t="s">
        <v>3369</v>
      </c>
      <c r="G872" s="102" t="b">
        <v>0</v>
      </c>
      <c r="H872" s="102" t="b">
        <v>0</v>
      </c>
      <c r="I872" s="102" t="b">
        <v>0</v>
      </c>
      <c r="J872" s="102" t="b">
        <v>0</v>
      </c>
      <c r="K872" s="102" t="b">
        <v>0</v>
      </c>
      <c r="L872" s="102" t="b">
        <v>0</v>
      </c>
    </row>
    <row r="873" spans="1:12" ht="15">
      <c r="A873" s="104" t="s">
        <v>2405</v>
      </c>
      <c r="B873" s="102" t="s">
        <v>2396</v>
      </c>
      <c r="C873" s="102">
        <v>2</v>
      </c>
      <c r="D873" s="106">
        <v>0.0004993919862542396</v>
      </c>
      <c r="E873" s="106">
        <v>1.6038143019449254</v>
      </c>
      <c r="F873" s="102" t="s">
        <v>3369</v>
      </c>
      <c r="G873" s="102" t="b">
        <v>0</v>
      </c>
      <c r="H873" s="102" t="b">
        <v>0</v>
      </c>
      <c r="I873" s="102" t="b">
        <v>0</v>
      </c>
      <c r="J873" s="102" t="b">
        <v>0</v>
      </c>
      <c r="K873" s="102" t="b">
        <v>0</v>
      </c>
      <c r="L873" s="102" t="b">
        <v>0</v>
      </c>
    </row>
    <row r="874" spans="1:12" ht="15">
      <c r="A874" s="104" t="s">
        <v>2509</v>
      </c>
      <c r="B874" s="102" t="s">
        <v>2394</v>
      </c>
      <c r="C874" s="102">
        <v>2</v>
      </c>
      <c r="D874" s="106">
        <v>0.0005682933356852263</v>
      </c>
      <c r="E874" s="106">
        <v>1.9717910872395197</v>
      </c>
      <c r="F874" s="102" t="s">
        <v>3369</v>
      </c>
      <c r="G874" s="102" t="b">
        <v>0</v>
      </c>
      <c r="H874" s="102" t="b">
        <v>0</v>
      </c>
      <c r="I874" s="102" t="b">
        <v>0</v>
      </c>
      <c r="J874" s="102" t="b">
        <v>0</v>
      </c>
      <c r="K874" s="102" t="b">
        <v>0</v>
      </c>
      <c r="L874" s="102" t="b">
        <v>0</v>
      </c>
    </row>
    <row r="875" spans="1:12" ht="15">
      <c r="A875" s="104" t="s">
        <v>2784</v>
      </c>
      <c r="B875" s="102" t="s">
        <v>2695</v>
      </c>
      <c r="C875" s="102">
        <v>2</v>
      </c>
      <c r="D875" s="106">
        <v>0.0005682933356852263</v>
      </c>
      <c r="E875" s="106">
        <v>2.9260335966788444</v>
      </c>
      <c r="F875" s="102" t="s">
        <v>3369</v>
      </c>
      <c r="G875" s="102" t="b">
        <v>0</v>
      </c>
      <c r="H875" s="102" t="b">
        <v>0</v>
      </c>
      <c r="I875" s="102" t="b">
        <v>0</v>
      </c>
      <c r="J875" s="102" t="b">
        <v>0</v>
      </c>
      <c r="K875" s="102" t="b">
        <v>0</v>
      </c>
      <c r="L875" s="102" t="b">
        <v>0</v>
      </c>
    </row>
    <row r="876" spans="1:12" ht="15">
      <c r="A876" s="104" t="s">
        <v>2696</v>
      </c>
      <c r="B876" s="102" t="s">
        <v>2584</v>
      </c>
      <c r="C876" s="102">
        <v>2</v>
      </c>
      <c r="D876" s="106">
        <v>0.0005682933356852263</v>
      </c>
      <c r="E876" s="106">
        <v>2.6829955479925505</v>
      </c>
      <c r="F876" s="102" t="s">
        <v>3369</v>
      </c>
      <c r="G876" s="102" t="b">
        <v>0</v>
      </c>
      <c r="H876" s="102" t="b">
        <v>0</v>
      </c>
      <c r="I876" s="102" t="b">
        <v>0</v>
      </c>
      <c r="J876" s="102" t="b">
        <v>0</v>
      </c>
      <c r="K876" s="102" t="b">
        <v>0</v>
      </c>
      <c r="L876" s="102" t="b">
        <v>0</v>
      </c>
    </row>
    <row r="877" spans="1:12" ht="15">
      <c r="A877" s="104" t="s">
        <v>2584</v>
      </c>
      <c r="B877" s="102" t="s">
        <v>2584</v>
      </c>
      <c r="C877" s="102">
        <v>2</v>
      </c>
      <c r="D877" s="106">
        <v>0.0005682933356852263</v>
      </c>
      <c r="E877" s="106">
        <v>2.5368675123143123</v>
      </c>
      <c r="F877" s="102" t="s">
        <v>3369</v>
      </c>
      <c r="G877" s="102" t="b">
        <v>0</v>
      </c>
      <c r="H877" s="102" t="b">
        <v>0</v>
      </c>
      <c r="I877" s="102" t="b">
        <v>0</v>
      </c>
      <c r="J877" s="102" t="b">
        <v>0</v>
      </c>
      <c r="K877" s="102" t="b">
        <v>0</v>
      </c>
      <c r="L877" s="102" t="b">
        <v>0</v>
      </c>
    </row>
    <row r="878" spans="1:12" ht="15">
      <c r="A878" s="104" t="s">
        <v>2584</v>
      </c>
      <c r="B878" s="102" t="s">
        <v>2678</v>
      </c>
      <c r="C878" s="102">
        <v>2</v>
      </c>
      <c r="D878" s="106">
        <v>0.0005682933356852263</v>
      </c>
      <c r="E878" s="106">
        <v>2.6829955479925505</v>
      </c>
      <c r="F878" s="102" t="s">
        <v>3369</v>
      </c>
      <c r="G878" s="102" t="b">
        <v>0</v>
      </c>
      <c r="H878" s="102" t="b">
        <v>0</v>
      </c>
      <c r="I878" s="102" t="b">
        <v>0</v>
      </c>
      <c r="J878" s="102" t="b">
        <v>0</v>
      </c>
      <c r="K878" s="102" t="b">
        <v>0</v>
      </c>
      <c r="L878" s="102" t="b">
        <v>0</v>
      </c>
    </row>
    <row r="879" spans="1:12" ht="15">
      <c r="A879" s="104" t="s">
        <v>2935</v>
      </c>
      <c r="B879" s="102" t="s">
        <v>3290</v>
      </c>
      <c r="C879" s="102">
        <v>2</v>
      </c>
      <c r="D879" s="106">
        <v>0.0005682933356852263</v>
      </c>
      <c r="E879" s="106">
        <v>3.4489123419591823</v>
      </c>
      <c r="F879" s="102" t="s">
        <v>3369</v>
      </c>
      <c r="G879" s="102" t="b">
        <v>0</v>
      </c>
      <c r="H879" s="102" t="b">
        <v>0</v>
      </c>
      <c r="I879" s="102" t="b">
        <v>0</v>
      </c>
      <c r="J879" s="102" t="b">
        <v>0</v>
      </c>
      <c r="K879" s="102" t="b">
        <v>0</v>
      </c>
      <c r="L879" s="102" t="b">
        <v>0</v>
      </c>
    </row>
    <row r="880" spans="1:12" ht="15">
      <c r="A880" s="104" t="s">
        <v>2934</v>
      </c>
      <c r="B880" s="102" t="s">
        <v>2935</v>
      </c>
      <c r="C880" s="102">
        <v>2</v>
      </c>
      <c r="D880" s="106">
        <v>0.0005682933356852263</v>
      </c>
      <c r="E880" s="106">
        <v>3.272821082903501</v>
      </c>
      <c r="F880" s="102" t="s">
        <v>3369</v>
      </c>
      <c r="G880" s="102" t="b">
        <v>1</v>
      </c>
      <c r="H880" s="102" t="b">
        <v>0</v>
      </c>
      <c r="I880" s="102" t="b">
        <v>0</v>
      </c>
      <c r="J880" s="102" t="b">
        <v>0</v>
      </c>
      <c r="K880" s="102" t="b">
        <v>0</v>
      </c>
      <c r="L880" s="102" t="b">
        <v>0</v>
      </c>
    </row>
    <row r="881" spans="1:12" ht="15">
      <c r="A881" s="104" t="s">
        <v>2501</v>
      </c>
      <c r="B881" s="102" t="s">
        <v>2937</v>
      </c>
      <c r="C881" s="102">
        <v>2</v>
      </c>
      <c r="D881" s="106">
        <v>0.0005682933356852263</v>
      </c>
      <c r="E881" s="106">
        <v>2.7499423376231635</v>
      </c>
      <c r="F881" s="102" t="s">
        <v>3369</v>
      </c>
      <c r="G881" s="102" t="b">
        <v>0</v>
      </c>
      <c r="H881" s="102" t="b">
        <v>0</v>
      </c>
      <c r="I881" s="102" t="b">
        <v>0</v>
      </c>
      <c r="J881" s="102" t="b">
        <v>0</v>
      </c>
      <c r="K881" s="102" t="b">
        <v>0</v>
      </c>
      <c r="L881" s="102" t="b">
        <v>0</v>
      </c>
    </row>
    <row r="882" spans="1:12" ht="15">
      <c r="A882" s="104" t="s">
        <v>3298</v>
      </c>
      <c r="B882" s="102" t="s">
        <v>2349</v>
      </c>
      <c r="C882" s="102">
        <v>2</v>
      </c>
      <c r="D882" s="106">
        <v>0.0004993919862542396</v>
      </c>
      <c r="E882" s="106">
        <v>1.581641322993734</v>
      </c>
      <c r="F882" s="102" t="s">
        <v>3369</v>
      </c>
      <c r="G882" s="102" t="b">
        <v>0</v>
      </c>
      <c r="H882" s="102" t="b">
        <v>0</v>
      </c>
      <c r="I882" s="102" t="b">
        <v>0</v>
      </c>
      <c r="J882" s="102" t="b">
        <v>0</v>
      </c>
      <c r="K882" s="102" t="b">
        <v>0</v>
      </c>
      <c r="L882" s="102" t="b">
        <v>0</v>
      </c>
    </row>
    <row r="883" spans="1:12" ht="15">
      <c r="A883" s="104" t="s">
        <v>2617</v>
      </c>
      <c r="B883" s="102" t="s">
        <v>2405</v>
      </c>
      <c r="C883" s="102">
        <v>2</v>
      </c>
      <c r="D883" s="106">
        <v>0.0004993919862542396</v>
      </c>
      <c r="E883" s="106">
        <v>2.1701587410063534</v>
      </c>
      <c r="F883" s="102" t="s">
        <v>3369</v>
      </c>
      <c r="G883" s="102" t="b">
        <v>0</v>
      </c>
      <c r="H883" s="102" t="b">
        <v>0</v>
      </c>
      <c r="I883" s="102" t="b">
        <v>0</v>
      </c>
      <c r="J883" s="102" t="b">
        <v>0</v>
      </c>
      <c r="K883" s="102" t="b">
        <v>0</v>
      </c>
      <c r="L883" s="102" t="b">
        <v>0</v>
      </c>
    </row>
    <row r="884" spans="1:12" ht="15">
      <c r="A884" s="104" t="s">
        <v>2444</v>
      </c>
      <c r="B884" s="102" t="s">
        <v>2402</v>
      </c>
      <c r="C884" s="102">
        <v>2</v>
      </c>
      <c r="D884" s="106">
        <v>0.0004993919862542396</v>
      </c>
      <c r="E884" s="106">
        <v>1.8504866352863139</v>
      </c>
      <c r="F884" s="102" t="s">
        <v>3369</v>
      </c>
      <c r="G884" s="102" t="b">
        <v>0</v>
      </c>
      <c r="H884" s="102" t="b">
        <v>0</v>
      </c>
      <c r="I884" s="102" t="b">
        <v>0</v>
      </c>
      <c r="J884" s="102" t="b">
        <v>0</v>
      </c>
      <c r="K884" s="102" t="b">
        <v>0</v>
      </c>
      <c r="L884" s="102" t="b">
        <v>0</v>
      </c>
    </row>
    <row r="885" spans="1:12" ht="15">
      <c r="A885" s="104" t="s">
        <v>2940</v>
      </c>
      <c r="B885" s="102" t="s">
        <v>2941</v>
      </c>
      <c r="C885" s="102">
        <v>2</v>
      </c>
      <c r="D885" s="106">
        <v>0.0004993919862542396</v>
      </c>
      <c r="E885" s="106">
        <v>3.272821082903501</v>
      </c>
      <c r="F885" s="102" t="s">
        <v>3369</v>
      </c>
      <c r="G885" s="102" t="b">
        <v>0</v>
      </c>
      <c r="H885" s="102" t="b">
        <v>0</v>
      </c>
      <c r="I885" s="102" t="b">
        <v>0</v>
      </c>
      <c r="J885" s="102" t="b">
        <v>0</v>
      </c>
      <c r="K885" s="102" t="b">
        <v>0</v>
      </c>
      <c r="L885" s="102" t="b">
        <v>0</v>
      </c>
    </row>
    <row r="886" spans="1:12" ht="15">
      <c r="A886" s="104" t="s">
        <v>2697</v>
      </c>
      <c r="B886" s="102" t="s">
        <v>2620</v>
      </c>
      <c r="C886" s="102">
        <v>2</v>
      </c>
      <c r="D886" s="106">
        <v>0.0004993919862542396</v>
      </c>
      <c r="E886" s="106">
        <v>2.7499423376231635</v>
      </c>
      <c r="F886" s="102" t="s">
        <v>3369</v>
      </c>
      <c r="G886" s="102" t="b">
        <v>0</v>
      </c>
      <c r="H886" s="102" t="b">
        <v>0</v>
      </c>
      <c r="I886" s="102" t="b">
        <v>0</v>
      </c>
      <c r="J886" s="102" t="b">
        <v>0</v>
      </c>
      <c r="K886" s="102" t="b">
        <v>0</v>
      </c>
      <c r="L886" s="102" t="b">
        <v>0</v>
      </c>
    </row>
    <row r="887" spans="1:12" ht="15">
      <c r="A887" s="104" t="s">
        <v>2620</v>
      </c>
      <c r="B887" s="102" t="s">
        <v>2697</v>
      </c>
      <c r="C887" s="102">
        <v>2</v>
      </c>
      <c r="D887" s="106">
        <v>0.0005682933356852263</v>
      </c>
      <c r="E887" s="106">
        <v>2.7499423376231635</v>
      </c>
      <c r="F887" s="102" t="s">
        <v>3369</v>
      </c>
      <c r="G887" s="102" t="b">
        <v>0</v>
      </c>
      <c r="H887" s="102" t="b">
        <v>0</v>
      </c>
      <c r="I887" s="102" t="b">
        <v>0</v>
      </c>
      <c r="J887" s="102" t="b">
        <v>0</v>
      </c>
      <c r="K887" s="102" t="b">
        <v>0</v>
      </c>
      <c r="L887" s="102" t="b">
        <v>0</v>
      </c>
    </row>
    <row r="888" spans="1:12" ht="15">
      <c r="A888" s="104" t="s">
        <v>2408</v>
      </c>
      <c r="B888" s="102" t="s">
        <v>2542</v>
      </c>
      <c r="C888" s="102">
        <v>2</v>
      </c>
      <c r="D888" s="106">
        <v>0.0004993919862542396</v>
      </c>
      <c r="E888" s="106">
        <v>2.1266930472252628</v>
      </c>
      <c r="F888" s="102" t="s">
        <v>3369</v>
      </c>
      <c r="G888" s="102" t="b">
        <v>0</v>
      </c>
      <c r="H888" s="102" t="b">
        <v>1</v>
      </c>
      <c r="I888" s="102" t="b">
        <v>0</v>
      </c>
      <c r="J888" s="102" t="b">
        <v>0</v>
      </c>
      <c r="K888" s="102" t="b">
        <v>0</v>
      </c>
      <c r="L888" s="102" t="b">
        <v>0</v>
      </c>
    </row>
    <row r="889" spans="1:12" ht="15">
      <c r="A889" s="104" t="s">
        <v>2402</v>
      </c>
      <c r="B889" s="102" t="s">
        <v>2786</v>
      </c>
      <c r="C889" s="102">
        <v>2</v>
      </c>
      <c r="D889" s="106">
        <v>0.0005682933356852263</v>
      </c>
      <c r="E889" s="106">
        <v>2.4489123419591823</v>
      </c>
      <c r="F889" s="102" t="s">
        <v>3369</v>
      </c>
      <c r="G889" s="102" t="b">
        <v>0</v>
      </c>
      <c r="H889" s="102" t="b">
        <v>0</v>
      </c>
      <c r="I889" s="102" t="b">
        <v>0</v>
      </c>
      <c r="J889" s="102" t="b">
        <v>0</v>
      </c>
      <c r="K889" s="102" t="b">
        <v>0</v>
      </c>
      <c r="L889" s="102" t="b">
        <v>0</v>
      </c>
    </row>
    <row r="890" spans="1:12" ht="15">
      <c r="A890" s="104" t="s">
        <v>2405</v>
      </c>
      <c r="B890" s="102" t="s">
        <v>2405</v>
      </c>
      <c r="C890" s="102">
        <v>2</v>
      </c>
      <c r="D890" s="106">
        <v>0.0005682933356852263</v>
      </c>
      <c r="E890" s="106">
        <v>1.6472799957260158</v>
      </c>
      <c r="F890" s="102" t="s">
        <v>3369</v>
      </c>
      <c r="G890" s="102" t="b">
        <v>0</v>
      </c>
      <c r="H890" s="102" t="b">
        <v>0</v>
      </c>
      <c r="I890" s="102" t="b">
        <v>0</v>
      </c>
      <c r="J890" s="102" t="b">
        <v>0</v>
      </c>
      <c r="K890" s="102" t="b">
        <v>0</v>
      </c>
      <c r="L890" s="102" t="b">
        <v>0</v>
      </c>
    </row>
    <row r="891" spans="1:12" ht="15">
      <c r="A891" s="104" t="s">
        <v>3302</v>
      </c>
      <c r="B891" s="102" t="s">
        <v>2472</v>
      </c>
      <c r="C891" s="102">
        <v>2</v>
      </c>
      <c r="D891" s="106">
        <v>0.0005682933356852263</v>
      </c>
      <c r="E891" s="106">
        <v>2.8846409115206195</v>
      </c>
      <c r="F891" s="102" t="s">
        <v>3369</v>
      </c>
      <c r="G891" s="102" t="b">
        <v>0</v>
      </c>
      <c r="H891" s="102" t="b">
        <v>0</v>
      </c>
      <c r="I891" s="102" t="b">
        <v>0</v>
      </c>
      <c r="J891" s="102" t="b">
        <v>0</v>
      </c>
      <c r="K891" s="102" t="b">
        <v>0</v>
      </c>
      <c r="L891" s="102" t="b">
        <v>0</v>
      </c>
    </row>
    <row r="892" spans="1:12" ht="15">
      <c r="A892" s="104" t="s">
        <v>2369</v>
      </c>
      <c r="B892" s="102" t="s">
        <v>2354</v>
      </c>
      <c r="C892" s="102">
        <v>2</v>
      </c>
      <c r="D892" s="106">
        <v>0.0004993919862542396</v>
      </c>
      <c r="E892" s="106">
        <v>0.8836549985389686</v>
      </c>
      <c r="F892" s="102" t="s">
        <v>3369</v>
      </c>
      <c r="G892" s="102" t="b">
        <v>0</v>
      </c>
      <c r="H892" s="102" t="b">
        <v>0</v>
      </c>
      <c r="I892" s="102" t="b">
        <v>0</v>
      </c>
      <c r="J892" s="102" t="b">
        <v>0</v>
      </c>
      <c r="K892" s="102" t="b">
        <v>0</v>
      </c>
      <c r="L892" s="102" t="b">
        <v>0</v>
      </c>
    </row>
    <row r="893" spans="1:12" ht="15">
      <c r="A893" s="104" t="s">
        <v>2648</v>
      </c>
      <c r="B893" s="102" t="s">
        <v>2434</v>
      </c>
      <c r="C893" s="102">
        <v>2</v>
      </c>
      <c r="D893" s="106">
        <v>0.0004993919862542396</v>
      </c>
      <c r="E893" s="106">
        <v>2.4141502356999704</v>
      </c>
      <c r="F893" s="102" t="s">
        <v>3369</v>
      </c>
      <c r="G893" s="102" t="b">
        <v>0</v>
      </c>
      <c r="H893" s="102" t="b">
        <v>0</v>
      </c>
      <c r="I893" s="102" t="b">
        <v>0</v>
      </c>
      <c r="J893" s="102" t="b">
        <v>0</v>
      </c>
      <c r="K893" s="102" t="b">
        <v>0</v>
      </c>
      <c r="L893" s="102" t="b">
        <v>0</v>
      </c>
    </row>
    <row r="894" spans="1:12" ht="15">
      <c r="A894" s="104" t="s">
        <v>2597</v>
      </c>
      <c r="B894" s="102" t="s">
        <v>2350</v>
      </c>
      <c r="C894" s="102">
        <v>2</v>
      </c>
      <c r="D894" s="106">
        <v>0.0004993919862542396</v>
      </c>
      <c r="E894" s="106">
        <v>1.1544461157975892</v>
      </c>
      <c r="F894" s="102" t="s">
        <v>3369</v>
      </c>
      <c r="G894" s="102" t="b">
        <v>0</v>
      </c>
      <c r="H894" s="102" t="b">
        <v>1</v>
      </c>
      <c r="I894" s="102" t="b">
        <v>0</v>
      </c>
      <c r="J894" s="102" t="b">
        <v>0</v>
      </c>
      <c r="K894" s="102" t="b">
        <v>0</v>
      </c>
      <c r="L894" s="102" t="b">
        <v>0</v>
      </c>
    </row>
    <row r="895" spans="1:12" ht="15">
      <c r="A895" s="104" t="s">
        <v>2789</v>
      </c>
      <c r="B895" s="102" t="s">
        <v>3311</v>
      </c>
      <c r="C895" s="102">
        <v>2</v>
      </c>
      <c r="D895" s="106">
        <v>0.0005682933356852263</v>
      </c>
      <c r="E895" s="106">
        <v>3.3239736053508824</v>
      </c>
      <c r="F895" s="102" t="s">
        <v>3369</v>
      </c>
      <c r="G895" s="102" t="b">
        <v>0</v>
      </c>
      <c r="H895" s="102" t="b">
        <v>0</v>
      </c>
      <c r="I895" s="102" t="b">
        <v>0</v>
      </c>
      <c r="J895" s="102" t="b">
        <v>0</v>
      </c>
      <c r="K895" s="102" t="b">
        <v>0</v>
      </c>
      <c r="L895" s="102" t="b">
        <v>0</v>
      </c>
    </row>
    <row r="896" spans="1:12" ht="15">
      <c r="A896" s="104" t="s">
        <v>3311</v>
      </c>
      <c r="B896" s="102" t="s">
        <v>2789</v>
      </c>
      <c r="C896" s="102">
        <v>2</v>
      </c>
      <c r="D896" s="106">
        <v>0.0005682933356852263</v>
      </c>
      <c r="E896" s="106">
        <v>3.3239736053508824</v>
      </c>
      <c r="F896" s="102" t="s">
        <v>3369</v>
      </c>
      <c r="G896" s="102" t="b">
        <v>0</v>
      </c>
      <c r="H896" s="102" t="b">
        <v>0</v>
      </c>
      <c r="I896" s="102" t="b">
        <v>0</v>
      </c>
      <c r="J896" s="102" t="b">
        <v>0</v>
      </c>
      <c r="K896" s="102" t="b">
        <v>0</v>
      </c>
      <c r="L896" s="102" t="b">
        <v>0</v>
      </c>
    </row>
    <row r="897" spans="1:12" ht="15">
      <c r="A897" s="104" t="s">
        <v>2375</v>
      </c>
      <c r="B897" s="102" t="s">
        <v>3312</v>
      </c>
      <c r="C897" s="102">
        <v>2</v>
      </c>
      <c r="D897" s="106">
        <v>0.0004993919862542396</v>
      </c>
      <c r="E897" s="106">
        <v>2.4489123419591823</v>
      </c>
      <c r="F897" s="102" t="s">
        <v>3369</v>
      </c>
      <c r="G897" s="102" t="b">
        <v>0</v>
      </c>
      <c r="H897" s="102" t="b">
        <v>0</v>
      </c>
      <c r="I897" s="102" t="b">
        <v>0</v>
      </c>
      <c r="J897" s="102" t="b">
        <v>0</v>
      </c>
      <c r="K897" s="102" t="b">
        <v>0</v>
      </c>
      <c r="L897" s="102" t="b">
        <v>0</v>
      </c>
    </row>
    <row r="898" spans="1:12" ht="15">
      <c r="A898" s="104" t="s">
        <v>3312</v>
      </c>
      <c r="B898" s="102" t="s">
        <v>2375</v>
      </c>
      <c r="C898" s="102">
        <v>2</v>
      </c>
      <c r="D898" s="106">
        <v>0.0004993919862542396</v>
      </c>
      <c r="E898" s="106">
        <v>2.434671902844572</v>
      </c>
      <c r="F898" s="102" t="s">
        <v>3369</v>
      </c>
      <c r="G898" s="102" t="b">
        <v>0</v>
      </c>
      <c r="H898" s="102" t="b">
        <v>0</v>
      </c>
      <c r="I898" s="102" t="b">
        <v>0</v>
      </c>
      <c r="J898" s="102" t="b">
        <v>0</v>
      </c>
      <c r="K898" s="102" t="b">
        <v>0</v>
      </c>
      <c r="L898" s="102" t="b">
        <v>0</v>
      </c>
    </row>
    <row r="899" spans="1:12" ht="15">
      <c r="A899" s="104" t="s">
        <v>2375</v>
      </c>
      <c r="B899" s="102" t="s">
        <v>3313</v>
      </c>
      <c r="C899" s="102">
        <v>2</v>
      </c>
      <c r="D899" s="106">
        <v>0.0004993919862542396</v>
      </c>
      <c r="E899" s="106">
        <v>2.4489123419591823</v>
      </c>
      <c r="F899" s="102" t="s">
        <v>3369</v>
      </c>
      <c r="G899" s="102" t="b">
        <v>0</v>
      </c>
      <c r="H899" s="102" t="b">
        <v>0</v>
      </c>
      <c r="I899" s="102" t="b">
        <v>0</v>
      </c>
      <c r="J899" s="102" t="b">
        <v>0</v>
      </c>
      <c r="K899" s="102" t="b">
        <v>0</v>
      </c>
      <c r="L899" s="102" t="b">
        <v>0</v>
      </c>
    </row>
    <row r="900" spans="1:12" ht="15">
      <c r="A900" s="104" t="s">
        <v>3313</v>
      </c>
      <c r="B900" s="102" t="s">
        <v>2375</v>
      </c>
      <c r="C900" s="102">
        <v>2</v>
      </c>
      <c r="D900" s="106">
        <v>0.0004993919862542396</v>
      </c>
      <c r="E900" s="106">
        <v>2.434671902844572</v>
      </c>
      <c r="F900" s="102" t="s">
        <v>3369</v>
      </c>
      <c r="G900" s="102" t="b">
        <v>0</v>
      </c>
      <c r="H900" s="102" t="b">
        <v>0</v>
      </c>
      <c r="I900" s="102" t="b">
        <v>0</v>
      </c>
      <c r="J900" s="102" t="b">
        <v>0</v>
      </c>
      <c r="K900" s="102" t="b">
        <v>0</v>
      </c>
      <c r="L900" s="102" t="b">
        <v>0</v>
      </c>
    </row>
    <row r="901" spans="1:12" ht="15">
      <c r="A901" s="104" t="s">
        <v>2566</v>
      </c>
      <c r="B901" s="102" t="s">
        <v>2427</v>
      </c>
      <c r="C901" s="102">
        <v>2</v>
      </c>
      <c r="D901" s="106">
        <v>0.0004993919862542396</v>
      </c>
      <c r="E901" s="106">
        <v>2.205874293272888</v>
      </c>
      <c r="F901" s="102" t="s">
        <v>3369</v>
      </c>
      <c r="G901" s="102" t="b">
        <v>0</v>
      </c>
      <c r="H901" s="102" t="b">
        <v>0</v>
      </c>
      <c r="I901" s="102" t="b">
        <v>0</v>
      </c>
      <c r="J901" s="102" t="b">
        <v>0</v>
      </c>
      <c r="K901" s="102" t="b">
        <v>0</v>
      </c>
      <c r="L901" s="102" t="b">
        <v>0</v>
      </c>
    </row>
    <row r="902" spans="1:12" ht="15">
      <c r="A902" s="104" t="s">
        <v>2427</v>
      </c>
      <c r="B902" s="102" t="s">
        <v>2688</v>
      </c>
      <c r="C902" s="102">
        <v>2</v>
      </c>
      <c r="D902" s="106">
        <v>0.0004993919862542396</v>
      </c>
      <c r="E902" s="106">
        <v>2.4489123419591823</v>
      </c>
      <c r="F902" s="102" t="s">
        <v>3369</v>
      </c>
      <c r="G902" s="102" t="b">
        <v>0</v>
      </c>
      <c r="H902" s="102" t="b">
        <v>0</v>
      </c>
      <c r="I902" s="102" t="b">
        <v>0</v>
      </c>
      <c r="J902" s="102" t="b">
        <v>0</v>
      </c>
      <c r="K902" s="102" t="b">
        <v>0</v>
      </c>
      <c r="L902" s="102" t="b">
        <v>0</v>
      </c>
    </row>
    <row r="903" spans="1:12" ht="15">
      <c r="A903" s="104" t="s">
        <v>2688</v>
      </c>
      <c r="B903" s="102" t="s">
        <v>3315</v>
      </c>
      <c r="C903" s="102">
        <v>2</v>
      </c>
      <c r="D903" s="106">
        <v>0.0004993919862542396</v>
      </c>
      <c r="E903" s="106">
        <v>3.2270635923428257</v>
      </c>
      <c r="F903" s="102" t="s">
        <v>3369</v>
      </c>
      <c r="G903" s="102" t="b">
        <v>0</v>
      </c>
      <c r="H903" s="102" t="b">
        <v>0</v>
      </c>
      <c r="I903" s="102" t="b">
        <v>0</v>
      </c>
      <c r="J903" s="102" t="b">
        <v>0</v>
      </c>
      <c r="K903" s="102" t="b">
        <v>0</v>
      </c>
      <c r="L903" s="102" t="b">
        <v>0</v>
      </c>
    </row>
    <row r="904" spans="1:12" ht="15">
      <c r="A904" s="104" t="s">
        <v>3315</v>
      </c>
      <c r="B904" s="102" t="s">
        <v>2688</v>
      </c>
      <c r="C904" s="102">
        <v>2</v>
      </c>
      <c r="D904" s="106">
        <v>0.0004993919862542396</v>
      </c>
      <c r="E904" s="106">
        <v>3.3239736053508824</v>
      </c>
      <c r="F904" s="102" t="s">
        <v>3369</v>
      </c>
      <c r="G904" s="102" t="b">
        <v>0</v>
      </c>
      <c r="H904" s="102" t="b">
        <v>0</v>
      </c>
      <c r="I904" s="102" t="b">
        <v>0</v>
      </c>
      <c r="J904" s="102" t="b">
        <v>0</v>
      </c>
      <c r="K904" s="102" t="b">
        <v>0</v>
      </c>
      <c r="L904" s="102" t="b">
        <v>0</v>
      </c>
    </row>
    <row r="905" spans="1:12" ht="15">
      <c r="A905" s="104" t="s">
        <v>2688</v>
      </c>
      <c r="B905" s="102" t="s">
        <v>3316</v>
      </c>
      <c r="C905" s="102">
        <v>2</v>
      </c>
      <c r="D905" s="106">
        <v>0.0004993919862542396</v>
      </c>
      <c r="E905" s="106">
        <v>3.2270635923428257</v>
      </c>
      <c r="F905" s="102" t="s">
        <v>3369</v>
      </c>
      <c r="G905" s="102" t="b">
        <v>0</v>
      </c>
      <c r="H905" s="102" t="b">
        <v>0</v>
      </c>
      <c r="I905" s="102" t="b">
        <v>0</v>
      </c>
      <c r="J905" s="102" t="b">
        <v>0</v>
      </c>
      <c r="K905" s="102" t="b">
        <v>0</v>
      </c>
      <c r="L905" s="102" t="b">
        <v>0</v>
      </c>
    </row>
    <row r="906" spans="1:12" ht="15">
      <c r="A906" s="104" t="s">
        <v>2947</v>
      </c>
      <c r="B906" s="102" t="s">
        <v>2790</v>
      </c>
      <c r="C906" s="102">
        <v>2</v>
      </c>
      <c r="D906" s="106">
        <v>0.0005682933356852263</v>
      </c>
      <c r="E906" s="106">
        <v>3.147882346295201</v>
      </c>
      <c r="F906" s="102" t="s">
        <v>3369</v>
      </c>
      <c r="G906" s="102" t="b">
        <v>0</v>
      </c>
      <c r="H906" s="102" t="b">
        <v>0</v>
      </c>
      <c r="I906" s="102" t="b">
        <v>0</v>
      </c>
      <c r="J906" s="102" t="b">
        <v>0</v>
      </c>
      <c r="K906" s="102" t="b">
        <v>0</v>
      </c>
      <c r="L906" s="102" t="b">
        <v>0</v>
      </c>
    </row>
    <row r="907" spans="1:12" ht="15">
      <c r="A907" s="104" t="s">
        <v>2502</v>
      </c>
      <c r="B907" s="102" t="s">
        <v>2948</v>
      </c>
      <c r="C907" s="102">
        <v>2</v>
      </c>
      <c r="D907" s="106">
        <v>0.0005682933356852263</v>
      </c>
      <c r="E907" s="106">
        <v>2.7499423376231635</v>
      </c>
      <c r="F907" s="102" t="s">
        <v>3369</v>
      </c>
      <c r="G907" s="102" t="b">
        <v>0</v>
      </c>
      <c r="H907" s="102" t="b">
        <v>0</v>
      </c>
      <c r="I907" s="102" t="b">
        <v>0</v>
      </c>
      <c r="J907" s="102" t="b">
        <v>0</v>
      </c>
      <c r="K907" s="102" t="b">
        <v>0</v>
      </c>
      <c r="L907" s="102" t="b">
        <v>0</v>
      </c>
    </row>
    <row r="908" spans="1:12" ht="15">
      <c r="A908" s="104" t="s">
        <v>2502</v>
      </c>
      <c r="B908" s="102" t="s">
        <v>2791</v>
      </c>
      <c r="C908" s="102">
        <v>2</v>
      </c>
      <c r="D908" s="106">
        <v>0.0004993919862542396</v>
      </c>
      <c r="E908" s="106">
        <v>2.625003601014863</v>
      </c>
      <c r="F908" s="102" t="s">
        <v>3369</v>
      </c>
      <c r="G908" s="102" t="b">
        <v>0</v>
      </c>
      <c r="H908" s="102" t="b">
        <v>0</v>
      </c>
      <c r="I908" s="102" t="b">
        <v>0</v>
      </c>
      <c r="J908" s="102" t="b">
        <v>0</v>
      </c>
      <c r="K908" s="102" t="b">
        <v>0</v>
      </c>
      <c r="L908" s="102" t="b">
        <v>0</v>
      </c>
    </row>
    <row r="909" spans="1:12" ht="15">
      <c r="A909" s="104" t="s">
        <v>2790</v>
      </c>
      <c r="B909" s="102" t="s">
        <v>2502</v>
      </c>
      <c r="C909" s="102">
        <v>2</v>
      </c>
      <c r="D909" s="106">
        <v>0.0005682933356852263</v>
      </c>
      <c r="E909" s="106">
        <v>2.625003601014863</v>
      </c>
      <c r="F909" s="102" t="s">
        <v>3369</v>
      </c>
      <c r="G909" s="102" t="b">
        <v>0</v>
      </c>
      <c r="H909" s="102" t="b">
        <v>0</v>
      </c>
      <c r="I909" s="102" t="b">
        <v>0</v>
      </c>
      <c r="J909" s="102" t="b">
        <v>0</v>
      </c>
      <c r="K909" s="102" t="b">
        <v>0</v>
      </c>
      <c r="L909" s="102" t="b">
        <v>0</v>
      </c>
    </row>
    <row r="910" spans="1:12" ht="15">
      <c r="A910" s="104" t="s">
        <v>2375</v>
      </c>
      <c r="B910" s="102" t="s">
        <v>3318</v>
      </c>
      <c r="C910" s="102">
        <v>2</v>
      </c>
      <c r="D910" s="106">
        <v>0.0004993919862542396</v>
      </c>
      <c r="E910" s="106">
        <v>2.4489123419591823</v>
      </c>
      <c r="F910" s="102" t="s">
        <v>3369</v>
      </c>
      <c r="G910" s="102" t="b">
        <v>0</v>
      </c>
      <c r="H910" s="102" t="b">
        <v>0</v>
      </c>
      <c r="I910" s="102" t="b">
        <v>0</v>
      </c>
      <c r="J910" s="102" t="b">
        <v>0</v>
      </c>
      <c r="K910" s="102" t="b">
        <v>0</v>
      </c>
      <c r="L910" s="102" t="b">
        <v>0</v>
      </c>
    </row>
    <row r="911" spans="1:12" ht="15">
      <c r="A911" s="104" t="s">
        <v>3318</v>
      </c>
      <c r="B911" s="102" t="s">
        <v>2375</v>
      </c>
      <c r="C911" s="102">
        <v>2</v>
      </c>
      <c r="D911" s="106">
        <v>0.0004993919862542396</v>
      </c>
      <c r="E911" s="106">
        <v>2.434671902844572</v>
      </c>
      <c r="F911" s="102" t="s">
        <v>3369</v>
      </c>
      <c r="G911" s="102" t="b">
        <v>0</v>
      </c>
      <c r="H911" s="102" t="b">
        <v>0</v>
      </c>
      <c r="I911" s="102" t="b">
        <v>0</v>
      </c>
      <c r="J911" s="102" t="b">
        <v>0</v>
      </c>
      <c r="K911" s="102" t="b">
        <v>0</v>
      </c>
      <c r="L911" s="102" t="b">
        <v>0</v>
      </c>
    </row>
    <row r="912" spans="1:12" ht="15">
      <c r="A912" s="104" t="s">
        <v>2392</v>
      </c>
      <c r="B912" s="102" t="s">
        <v>2615</v>
      </c>
      <c r="C912" s="102">
        <v>2</v>
      </c>
      <c r="D912" s="106">
        <v>0.0004993919862542396</v>
      </c>
      <c r="E912" s="106">
        <v>2.087184505941589</v>
      </c>
      <c r="F912" s="102" t="s">
        <v>3369</v>
      </c>
      <c r="G912" s="102" t="b">
        <v>0</v>
      </c>
      <c r="H912" s="102" t="b">
        <v>0</v>
      </c>
      <c r="I912" s="102" t="b">
        <v>0</v>
      </c>
      <c r="J912" s="102" t="b">
        <v>0</v>
      </c>
      <c r="K912" s="102" t="b">
        <v>0</v>
      </c>
      <c r="L912" s="102" t="b">
        <v>0</v>
      </c>
    </row>
    <row r="913" spans="1:12" ht="15">
      <c r="A913" s="104" t="s">
        <v>2615</v>
      </c>
      <c r="B913" s="102" t="s">
        <v>2745</v>
      </c>
      <c r="C913" s="102">
        <v>2</v>
      </c>
      <c r="D913" s="106">
        <v>0.0004993919862542396</v>
      </c>
      <c r="E913" s="106">
        <v>2.8468523506312198</v>
      </c>
      <c r="F913" s="102" t="s">
        <v>3369</v>
      </c>
      <c r="G913" s="102" t="b">
        <v>0</v>
      </c>
      <c r="H913" s="102" t="b">
        <v>0</v>
      </c>
      <c r="I913" s="102" t="b">
        <v>0</v>
      </c>
      <c r="J913" s="102" t="b">
        <v>0</v>
      </c>
      <c r="K913" s="102" t="b">
        <v>0</v>
      </c>
      <c r="L913" s="102" t="b">
        <v>0</v>
      </c>
    </row>
    <row r="914" spans="1:12" ht="15">
      <c r="A914" s="104" t="s">
        <v>2745</v>
      </c>
      <c r="B914" s="102" t="s">
        <v>2396</v>
      </c>
      <c r="C914" s="102">
        <v>2</v>
      </c>
      <c r="D914" s="106">
        <v>0.0004993919862542396</v>
      </c>
      <c r="E914" s="106">
        <v>2.427723042889244</v>
      </c>
      <c r="F914" s="102" t="s">
        <v>3369</v>
      </c>
      <c r="G914" s="102" t="b">
        <v>0</v>
      </c>
      <c r="H914" s="102" t="b">
        <v>0</v>
      </c>
      <c r="I914" s="102" t="b">
        <v>0</v>
      </c>
      <c r="J914" s="102" t="b">
        <v>0</v>
      </c>
      <c r="K914" s="102" t="b">
        <v>0</v>
      </c>
      <c r="L914" s="102" t="b">
        <v>0</v>
      </c>
    </row>
    <row r="915" spans="1:12" ht="15">
      <c r="A915" s="104" t="s">
        <v>2396</v>
      </c>
      <c r="B915" s="102" t="s">
        <v>2474</v>
      </c>
      <c r="C915" s="102">
        <v>2</v>
      </c>
      <c r="D915" s="106">
        <v>0.0004993919862542396</v>
      </c>
      <c r="E915" s="106">
        <v>1.9048442976089066</v>
      </c>
      <c r="F915" s="102" t="s">
        <v>3369</v>
      </c>
      <c r="G915" s="102" t="b">
        <v>0</v>
      </c>
      <c r="H915" s="102" t="b">
        <v>0</v>
      </c>
      <c r="I915" s="102" t="b">
        <v>0</v>
      </c>
      <c r="J915" s="102" t="b">
        <v>0</v>
      </c>
      <c r="K915" s="102" t="b">
        <v>0</v>
      </c>
      <c r="L915" s="102" t="b">
        <v>0</v>
      </c>
    </row>
    <row r="916" spans="1:12" ht="15">
      <c r="A916" s="104" t="s">
        <v>1655</v>
      </c>
      <c r="B916" s="102" t="s">
        <v>2477</v>
      </c>
      <c r="C916" s="102">
        <v>2</v>
      </c>
      <c r="D916" s="106">
        <v>0.0004993919862542396</v>
      </c>
      <c r="E916" s="106">
        <v>2.5836109158566383</v>
      </c>
      <c r="F916" s="102" t="s">
        <v>3369</v>
      </c>
      <c r="G916" s="102" t="b">
        <v>0</v>
      </c>
      <c r="H916" s="102" t="b">
        <v>0</v>
      </c>
      <c r="I916" s="102" t="b">
        <v>0</v>
      </c>
      <c r="J916" s="102" t="b">
        <v>0</v>
      </c>
      <c r="K916" s="102" t="b">
        <v>0</v>
      </c>
      <c r="L916" s="102" t="b">
        <v>0</v>
      </c>
    </row>
    <row r="917" spans="1:12" ht="15">
      <c r="A917" s="104" t="s">
        <v>2477</v>
      </c>
      <c r="B917" s="102" t="s">
        <v>3320</v>
      </c>
      <c r="C917" s="102">
        <v>2</v>
      </c>
      <c r="D917" s="106">
        <v>0.0004993919862542396</v>
      </c>
      <c r="E917" s="106">
        <v>2.8846409115206195</v>
      </c>
      <c r="F917" s="102" t="s">
        <v>3369</v>
      </c>
      <c r="G917" s="102" t="b">
        <v>0</v>
      </c>
      <c r="H917" s="102" t="b">
        <v>0</v>
      </c>
      <c r="I917" s="102" t="b">
        <v>0</v>
      </c>
      <c r="J917" s="102" t="b">
        <v>0</v>
      </c>
      <c r="K917" s="102" t="b">
        <v>1</v>
      </c>
      <c r="L917" s="102" t="b">
        <v>0</v>
      </c>
    </row>
    <row r="918" spans="1:12" ht="15">
      <c r="A918" s="104" t="s">
        <v>3320</v>
      </c>
      <c r="B918" s="102" t="s">
        <v>3321</v>
      </c>
      <c r="C918" s="102">
        <v>2</v>
      </c>
      <c r="D918" s="106">
        <v>0.0004993919862542396</v>
      </c>
      <c r="E918" s="106">
        <v>3.6250036010148636</v>
      </c>
      <c r="F918" s="102" t="s">
        <v>3369</v>
      </c>
      <c r="G918" s="102" t="b">
        <v>0</v>
      </c>
      <c r="H918" s="102" t="b">
        <v>1</v>
      </c>
      <c r="I918" s="102" t="b">
        <v>0</v>
      </c>
      <c r="J918" s="102" t="b">
        <v>0</v>
      </c>
      <c r="K918" s="102" t="b">
        <v>1</v>
      </c>
      <c r="L918" s="102" t="b">
        <v>0</v>
      </c>
    </row>
    <row r="919" spans="1:12" ht="15">
      <c r="A919" s="104" t="s">
        <v>3321</v>
      </c>
      <c r="B919" s="102" t="s">
        <v>2562</v>
      </c>
      <c r="C919" s="102">
        <v>2</v>
      </c>
      <c r="D919" s="106">
        <v>0.0004993919862542396</v>
      </c>
      <c r="E919" s="106">
        <v>3.080935556664588</v>
      </c>
      <c r="F919" s="102" t="s">
        <v>3369</v>
      </c>
      <c r="G919" s="102" t="b">
        <v>0</v>
      </c>
      <c r="H919" s="102" t="b">
        <v>1</v>
      </c>
      <c r="I919" s="102" t="b">
        <v>0</v>
      </c>
      <c r="J919" s="102" t="b">
        <v>0</v>
      </c>
      <c r="K919" s="102" t="b">
        <v>0</v>
      </c>
      <c r="L919" s="102" t="b">
        <v>0</v>
      </c>
    </row>
    <row r="920" spans="1:12" ht="15">
      <c r="A920" s="104" t="s">
        <v>2562</v>
      </c>
      <c r="B920" s="102" t="s">
        <v>2531</v>
      </c>
      <c r="C920" s="102">
        <v>2</v>
      </c>
      <c r="D920" s="106">
        <v>0.0004993919862542396</v>
      </c>
      <c r="E920" s="106">
        <v>2.4788755653366255</v>
      </c>
      <c r="F920" s="102" t="s">
        <v>3369</v>
      </c>
      <c r="G920" s="102" t="b">
        <v>0</v>
      </c>
      <c r="H920" s="102" t="b">
        <v>0</v>
      </c>
      <c r="I920" s="102" t="b">
        <v>0</v>
      </c>
      <c r="J920" s="102" t="b">
        <v>0</v>
      </c>
      <c r="K920" s="102" t="b">
        <v>0</v>
      </c>
      <c r="L920" s="102" t="b">
        <v>0</v>
      </c>
    </row>
    <row r="921" spans="1:12" ht="15">
      <c r="A921" s="104" t="s">
        <v>2370</v>
      </c>
      <c r="B921" s="102" t="s">
        <v>2370</v>
      </c>
      <c r="C921" s="102">
        <v>2</v>
      </c>
      <c r="D921" s="106">
        <v>0.0004993919862542396</v>
      </c>
      <c r="E921" s="106">
        <v>1.1641057582583156</v>
      </c>
      <c r="F921" s="102" t="s">
        <v>3369</v>
      </c>
      <c r="G921" s="102" t="b">
        <v>0</v>
      </c>
      <c r="H921" s="102" t="b">
        <v>0</v>
      </c>
      <c r="I921" s="102" t="b">
        <v>0</v>
      </c>
      <c r="J921" s="102" t="b">
        <v>0</v>
      </c>
      <c r="K921" s="102" t="b">
        <v>0</v>
      </c>
      <c r="L921" s="102" t="b">
        <v>0</v>
      </c>
    </row>
    <row r="922" spans="1:12" ht="15">
      <c r="A922" s="104" t="s">
        <v>2378</v>
      </c>
      <c r="B922" s="102" t="s">
        <v>2631</v>
      </c>
      <c r="C922" s="102">
        <v>2</v>
      </c>
      <c r="D922" s="106">
        <v>0.0004993919862542396</v>
      </c>
      <c r="E922" s="106">
        <v>1.97179108723952</v>
      </c>
      <c r="F922" s="102" t="s">
        <v>3369</v>
      </c>
      <c r="G922" s="102" t="b">
        <v>0</v>
      </c>
      <c r="H922" s="102" t="b">
        <v>0</v>
      </c>
      <c r="I922" s="102" t="b">
        <v>0</v>
      </c>
      <c r="J922" s="102" t="b">
        <v>0</v>
      </c>
      <c r="K922" s="102" t="b">
        <v>0</v>
      </c>
      <c r="L922" s="102" t="b">
        <v>0</v>
      </c>
    </row>
    <row r="923" spans="1:12" ht="15">
      <c r="A923" s="104" t="s">
        <v>2442</v>
      </c>
      <c r="B923" s="102" t="s">
        <v>2370</v>
      </c>
      <c r="C923" s="102">
        <v>2</v>
      </c>
      <c r="D923" s="106">
        <v>0.0004993919862542396</v>
      </c>
      <c r="E923" s="106">
        <v>1.5494566396223326</v>
      </c>
      <c r="F923" s="102" t="s">
        <v>3369</v>
      </c>
      <c r="G923" s="102" t="b">
        <v>0</v>
      </c>
      <c r="H923" s="102" t="b">
        <v>0</v>
      </c>
      <c r="I923" s="102" t="b">
        <v>0</v>
      </c>
      <c r="J923" s="102" t="b">
        <v>0</v>
      </c>
      <c r="K923" s="102" t="b">
        <v>0</v>
      </c>
      <c r="L923" s="102" t="b">
        <v>0</v>
      </c>
    </row>
    <row r="924" spans="1:12" ht="15">
      <c r="A924" s="104" t="s">
        <v>2378</v>
      </c>
      <c r="B924" s="102" t="s">
        <v>2373</v>
      </c>
      <c r="C924" s="102">
        <v>2</v>
      </c>
      <c r="D924" s="106">
        <v>0.0004993919862542396</v>
      </c>
      <c r="E924" s="106">
        <v>1.2447923593032575</v>
      </c>
      <c r="F924" s="102" t="s">
        <v>3369</v>
      </c>
      <c r="G924" s="102" t="b">
        <v>0</v>
      </c>
      <c r="H924" s="102" t="b">
        <v>0</v>
      </c>
      <c r="I924" s="102" t="b">
        <v>0</v>
      </c>
      <c r="J924" s="102" t="b">
        <v>0</v>
      </c>
      <c r="K924" s="102" t="b">
        <v>0</v>
      </c>
      <c r="L924" s="102" t="b">
        <v>0</v>
      </c>
    </row>
    <row r="925" spans="1:12" ht="15">
      <c r="A925" s="104" t="s">
        <v>2373</v>
      </c>
      <c r="B925" s="102" t="s">
        <v>2370</v>
      </c>
      <c r="C925" s="102">
        <v>2</v>
      </c>
      <c r="D925" s="106">
        <v>0.0004993919862542396</v>
      </c>
      <c r="E925" s="106">
        <v>1.2042229814662981</v>
      </c>
      <c r="F925" s="102" t="s">
        <v>3369</v>
      </c>
      <c r="G925" s="102" t="b">
        <v>0</v>
      </c>
      <c r="H925" s="102" t="b">
        <v>0</v>
      </c>
      <c r="I925" s="102" t="b">
        <v>0</v>
      </c>
      <c r="J925" s="102" t="b">
        <v>0</v>
      </c>
      <c r="K925" s="102" t="b">
        <v>0</v>
      </c>
      <c r="L925" s="102" t="b">
        <v>0</v>
      </c>
    </row>
    <row r="926" spans="1:12" ht="15">
      <c r="A926" s="104" t="s">
        <v>2378</v>
      </c>
      <c r="B926" s="102" t="s">
        <v>2750</v>
      </c>
      <c r="C926" s="102">
        <v>2</v>
      </c>
      <c r="D926" s="106">
        <v>0.0004993919862542396</v>
      </c>
      <c r="E926" s="106">
        <v>2.147882346295201</v>
      </c>
      <c r="F926" s="102" t="s">
        <v>3369</v>
      </c>
      <c r="G926" s="102" t="b">
        <v>0</v>
      </c>
      <c r="H926" s="102" t="b">
        <v>0</v>
      </c>
      <c r="I926" s="102" t="b">
        <v>0</v>
      </c>
      <c r="J926" s="102" t="b">
        <v>0</v>
      </c>
      <c r="K926" s="102" t="b">
        <v>0</v>
      </c>
      <c r="L926" s="102" t="b">
        <v>0</v>
      </c>
    </row>
    <row r="927" spans="1:12" ht="15">
      <c r="A927" s="104" t="s">
        <v>2750</v>
      </c>
      <c r="B927" s="102" t="s">
        <v>2373</v>
      </c>
      <c r="C927" s="102">
        <v>2</v>
      </c>
      <c r="D927" s="106">
        <v>0.0004993919862542396</v>
      </c>
      <c r="E927" s="106">
        <v>2.1198536226949574</v>
      </c>
      <c r="F927" s="102" t="s">
        <v>3369</v>
      </c>
      <c r="G927" s="102" t="b">
        <v>0</v>
      </c>
      <c r="H927" s="102" t="b">
        <v>0</v>
      </c>
      <c r="I927" s="102" t="b">
        <v>0</v>
      </c>
      <c r="J927" s="102" t="b">
        <v>0</v>
      </c>
      <c r="K927" s="102" t="b">
        <v>0</v>
      </c>
      <c r="L927" s="102" t="b">
        <v>0</v>
      </c>
    </row>
    <row r="928" spans="1:12" ht="15">
      <c r="A928" s="104" t="s">
        <v>2373</v>
      </c>
      <c r="B928" s="102" t="s">
        <v>2378</v>
      </c>
      <c r="C928" s="102">
        <v>2</v>
      </c>
      <c r="D928" s="106">
        <v>0.0004993919862542396</v>
      </c>
      <c r="E928" s="106">
        <v>1.2585806437888907</v>
      </c>
      <c r="F928" s="102" t="s">
        <v>3369</v>
      </c>
      <c r="G928" s="102" t="b">
        <v>0</v>
      </c>
      <c r="H928" s="102" t="b">
        <v>0</v>
      </c>
      <c r="I928" s="102" t="b">
        <v>0</v>
      </c>
      <c r="J928" s="102" t="b">
        <v>0</v>
      </c>
      <c r="K928" s="102" t="b">
        <v>0</v>
      </c>
      <c r="L928" s="102" t="b">
        <v>0</v>
      </c>
    </row>
    <row r="929" spans="1:12" ht="15">
      <c r="A929" s="104" t="s">
        <v>2433</v>
      </c>
      <c r="B929" s="102" t="s">
        <v>2370</v>
      </c>
      <c r="C929" s="102">
        <v>2</v>
      </c>
      <c r="D929" s="106">
        <v>0.0004993919862542396</v>
      </c>
      <c r="E929" s="106">
        <v>1.5194934162448894</v>
      </c>
      <c r="F929" s="102" t="s">
        <v>3369</v>
      </c>
      <c r="G929" s="102" t="b">
        <v>0</v>
      </c>
      <c r="H929" s="102" t="b">
        <v>0</v>
      </c>
      <c r="I929" s="102" t="b">
        <v>0</v>
      </c>
      <c r="J929" s="102" t="b">
        <v>0</v>
      </c>
      <c r="K929" s="102" t="b">
        <v>0</v>
      </c>
      <c r="L929" s="102" t="b">
        <v>0</v>
      </c>
    </row>
    <row r="930" spans="1:12" ht="15">
      <c r="A930" s="104" t="s">
        <v>1884</v>
      </c>
      <c r="B930" s="102" t="s">
        <v>2378</v>
      </c>
      <c r="C930" s="102">
        <v>2</v>
      </c>
      <c r="D930" s="106">
        <v>0.0004993919862542396</v>
      </c>
      <c r="E930" s="106">
        <v>1.6707610915755386</v>
      </c>
      <c r="F930" s="102" t="s">
        <v>3369</v>
      </c>
      <c r="G930" s="102" t="b">
        <v>0</v>
      </c>
      <c r="H930" s="102" t="b">
        <v>0</v>
      </c>
      <c r="I930" s="102" t="b">
        <v>0</v>
      </c>
      <c r="J930" s="102" t="b">
        <v>0</v>
      </c>
      <c r="K930" s="102" t="b">
        <v>0</v>
      </c>
      <c r="L930" s="102" t="b">
        <v>0</v>
      </c>
    </row>
    <row r="931" spans="1:12" ht="15">
      <c r="A931" s="104" t="s">
        <v>2433</v>
      </c>
      <c r="B931" s="102" t="s">
        <v>3322</v>
      </c>
      <c r="C931" s="102">
        <v>2</v>
      </c>
      <c r="D931" s="106">
        <v>0.0004993919862542396</v>
      </c>
      <c r="E931" s="106">
        <v>2.7499423376231635</v>
      </c>
      <c r="F931" s="102" t="s">
        <v>3369</v>
      </c>
      <c r="G931" s="102" t="b">
        <v>0</v>
      </c>
      <c r="H931" s="102" t="b">
        <v>0</v>
      </c>
      <c r="I931" s="102" t="b">
        <v>0</v>
      </c>
      <c r="J931" s="102" t="b">
        <v>0</v>
      </c>
      <c r="K931" s="102" t="b">
        <v>0</v>
      </c>
      <c r="L931" s="102" t="b">
        <v>0</v>
      </c>
    </row>
    <row r="932" spans="1:12" ht="15">
      <c r="A932" s="104" t="s">
        <v>3322</v>
      </c>
      <c r="B932" s="102" t="s">
        <v>2442</v>
      </c>
      <c r="C932" s="102">
        <v>2</v>
      </c>
      <c r="D932" s="106">
        <v>0.0004993919862542396</v>
      </c>
      <c r="E932" s="106">
        <v>2.7799055610006067</v>
      </c>
      <c r="F932" s="102" t="s">
        <v>3369</v>
      </c>
      <c r="G932" s="102" t="b">
        <v>0</v>
      </c>
      <c r="H932" s="102" t="b">
        <v>0</v>
      </c>
      <c r="I932" s="102" t="b">
        <v>0</v>
      </c>
      <c r="J932" s="102" t="b">
        <v>0</v>
      </c>
      <c r="K932" s="102" t="b">
        <v>0</v>
      </c>
      <c r="L932" s="102" t="b">
        <v>0</v>
      </c>
    </row>
    <row r="933" spans="1:12" ht="15">
      <c r="A933" s="104" t="s">
        <v>2354</v>
      </c>
      <c r="B933" s="102" t="s">
        <v>2370</v>
      </c>
      <c r="C933" s="102">
        <v>2</v>
      </c>
      <c r="D933" s="106">
        <v>0.0004993919862542396</v>
      </c>
      <c r="E933" s="106">
        <v>0.9247326636584265</v>
      </c>
      <c r="F933" s="102" t="s">
        <v>3369</v>
      </c>
      <c r="G933" s="102" t="b">
        <v>0</v>
      </c>
      <c r="H933" s="102" t="b">
        <v>0</v>
      </c>
      <c r="I933" s="102" t="b">
        <v>0</v>
      </c>
      <c r="J933" s="102" t="b">
        <v>0</v>
      </c>
      <c r="K933" s="102" t="b">
        <v>0</v>
      </c>
      <c r="L933" s="102" t="b">
        <v>0</v>
      </c>
    </row>
    <row r="934" spans="1:12" ht="15">
      <c r="A934" s="104" t="s">
        <v>2378</v>
      </c>
      <c r="B934" s="102" t="s">
        <v>2387</v>
      </c>
      <c r="C934" s="102">
        <v>2</v>
      </c>
      <c r="D934" s="106">
        <v>0.0004993919862542396</v>
      </c>
      <c r="E934" s="106">
        <v>1.3520023289511258</v>
      </c>
      <c r="F934" s="102" t="s">
        <v>3369</v>
      </c>
      <c r="G934" s="102" t="b">
        <v>0</v>
      </c>
      <c r="H934" s="102" t="b">
        <v>0</v>
      </c>
      <c r="I934" s="102" t="b">
        <v>0</v>
      </c>
      <c r="J934" s="102" t="b">
        <v>0</v>
      </c>
      <c r="K934" s="102" t="b">
        <v>0</v>
      </c>
      <c r="L934" s="102" t="b">
        <v>0</v>
      </c>
    </row>
    <row r="935" spans="1:12" ht="15">
      <c r="A935" s="104" t="s">
        <v>2387</v>
      </c>
      <c r="B935" s="102" t="s">
        <v>2370</v>
      </c>
      <c r="C935" s="102">
        <v>2</v>
      </c>
      <c r="D935" s="106">
        <v>0.0004993919862542396</v>
      </c>
      <c r="E935" s="106">
        <v>1.2806113273297528</v>
      </c>
      <c r="F935" s="102" t="s">
        <v>3369</v>
      </c>
      <c r="G935" s="102" t="b">
        <v>0</v>
      </c>
      <c r="H935" s="102" t="b">
        <v>0</v>
      </c>
      <c r="I935" s="102" t="b">
        <v>0</v>
      </c>
      <c r="J935" s="102" t="b">
        <v>0</v>
      </c>
      <c r="K935" s="102" t="b">
        <v>0</v>
      </c>
      <c r="L935" s="102" t="b">
        <v>0</v>
      </c>
    </row>
    <row r="936" spans="1:12" ht="15">
      <c r="A936" s="104" t="s">
        <v>2378</v>
      </c>
      <c r="B936" s="102" t="s">
        <v>2358</v>
      </c>
      <c r="C936" s="102">
        <v>2</v>
      </c>
      <c r="D936" s="106">
        <v>0.0004993919862542396</v>
      </c>
      <c r="E936" s="106">
        <v>0.9717910872395198</v>
      </c>
      <c r="F936" s="102" t="s">
        <v>3369</v>
      </c>
      <c r="G936" s="102" t="b">
        <v>0</v>
      </c>
      <c r="H936" s="102" t="b">
        <v>0</v>
      </c>
      <c r="I936" s="102" t="b">
        <v>0</v>
      </c>
      <c r="J936" s="102" t="b">
        <v>0</v>
      </c>
      <c r="K936" s="102" t="b">
        <v>0</v>
      </c>
      <c r="L936" s="102" t="b">
        <v>0</v>
      </c>
    </row>
    <row r="937" spans="1:12" ht="15">
      <c r="A937" s="104" t="s">
        <v>2358</v>
      </c>
      <c r="B937" s="102" t="s">
        <v>2378</v>
      </c>
      <c r="C937" s="102">
        <v>2</v>
      </c>
      <c r="D937" s="106">
        <v>0.0004993919862542396</v>
      </c>
      <c r="E937" s="106">
        <v>0.9717910872395198</v>
      </c>
      <c r="F937" s="102" t="s">
        <v>3369</v>
      </c>
      <c r="G937" s="102" t="b">
        <v>0</v>
      </c>
      <c r="H937" s="102" t="b">
        <v>0</v>
      </c>
      <c r="I937" s="102" t="b">
        <v>0</v>
      </c>
      <c r="J937" s="102" t="b">
        <v>0</v>
      </c>
      <c r="K937" s="102" t="b">
        <v>0</v>
      </c>
      <c r="L937" s="102" t="b">
        <v>0</v>
      </c>
    </row>
    <row r="938" spans="1:12" ht="15">
      <c r="A938" s="104" t="s">
        <v>1884</v>
      </c>
      <c r="B938" s="102" t="s">
        <v>2631</v>
      </c>
      <c r="C938" s="102">
        <v>2</v>
      </c>
      <c r="D938" s="106">
        <v>0.0004993919862542396</v>
      </c>
      <c r="E938" s="106">
        <v>2.3697310959115576</v>
      </c>
      <c r="F938" s="102" t="s">
        <v>3369</v>
      </c>
      <c r="G938" s="102" t="b">
        <v>0</v>
      </c>
      <c r="H938" s="102" t="b">
        <v>0</v>
      </c>
      <c r="I938" s="102" t="b">
        <v>0</v>
      </c>
      <c r="J938" s="102" t="b">
        <v>0</v>
      </c>
      <c r="K938" s="102" t="b">
        <v>0</v>
      </c>
      <c r="L938" s="102" t="b">
        <v>0</v>
      </c>
    </row>
    <row r="939" spans="1:12" ht="15">
      <c r="A939" s="104" t="s">
        <v>2442</v>
      </c>
      <c r="B939" s="102" t="s">
        <v>1884</v>
      </c>
      <c r="C939" s="102">
        <v>2</v>
      </c>
      <c r="D939" s="106">
        <v>0.0004993919862542396</v>
      </c>
      <c r="E939" s="106">
        <v>2.080935556664588</v>
      </c>
      <c r="F939" s="102" t="s">
        <v>3369</v>
      </c>
      <c r="G939" s="102" t="b">
        <v>0</v>
      </c>
      <c r="H939" s="102" t="b">
        <v>0</v>
      </c>
      <c r="I939" s="102" t="b">
        <v>0</v>
      </c>
      <c r="J939" s="102" t="b">
        <v>0</v>
      </c>
      <c r="K939" s="102" t="b">
        <v>0</v>
      </c>
      <c r="L939" s="102" t="b">
        <v>0</v>
      </c>
    </row>
    <row r="940" spans="1:12" ht="15">
      <c r="A940" s="104" t="s">
        <v>1884</v>
      </c>
      <c r="B940" s="102" t="s">
        <v>2354</v>
      </c>
      <c r="C940" s="102">
        <v>2</v>
      </c>
      <c r="D940" s="106">
        <v>0.0004993919862542396</v>
      </c>
      <c r="E940" s="106">
        <v>1.3485417968416193</v>
      </c>
      <c r="F940" s="102" t="s">
        <v>3369</v>
      </c>
      <c r="G940" s="102" t="b">
        <v>0</v>
      </c>
      <c r="H940" s="102" t="b">
        <v>0</v>
      </c>
      <c r="I940" s="102" t="b">
        <v>0</v>
      </c>
      <c r="J940" s="102" t="b">
        <v>0</v>
      </c>
      <c r="K940" s="102" t="b">
        <v>0</v>
      </c>
      <c r="L940" s="102" t="b">
        <v>0</v>
      </c>
    </row>
    <row r="941" spans="1:12" ht="15">
      <c r="A941" s="104" t="s">
        <v>2460</v>
      </c>
      <c r="B941" s="102" t="s">
        <v>2522</v>
      </c>
      <c r="C941" s="102">
        <v>2</v>
      </c>
      <c r="D941" s="106">
        <v>0.0005682933356852263</v>
      </c>
      <c r="E941" s="106">
        <v>2.158877730596664</v>
      </c>
      <c r="F941" s="102" t="s">
        <v>3369</v>
      </c>
      <c r="G941" s="102" t="b">
        <v>0</v>
      </c>
      <c r="H941" s="102" t="b">
        <v>0</v>
      </c>
      <c r="I941" s="102" t="b">
        <v>0</v>
      </c>
      <c r="J941" s="102" t="b">
        <v>0</v>
      </c>
      <c r="K941" s="102" t="b">
        <v>0</v>
      </c>
      <c r="L941" s="102" t="b">
        <v>0</v>
      </c>
    </row>
    <row r="942" spans="1:12" ht="15">
      <c r="A942" s="104" t="s">
        <v>2460</v>
      </c>
      <c r="B942" s="102" t="s">
        <v>2409</v>
      </c>
      <c r="C942" s="102">
        <v>2</v>
      </c>
      <c r="D942" s="106">
        <v>0.0005682933356852263</v>
      </c>
      <c r="E942" s="106">
        <v>1.882671318657715</v>
      </c>
      <c r="F942" s="102" t="s">
        <v>3369</v>
      </c>
      <c r="G942" s="102" t="b">
        <v>0</v>
      </c>
      <c r="H942" s="102" t="b">
        <v>0</v>
      </c>
      <c r="I942" s="102" t="b">
        <v>0</v>
      </c>
      <c r="J942" s="102" t="b">
        <v>0</v>
      </c>
      <c r="K942" s="102" t="b">
        <v>0</v>
      </c>
      <c r="L942" s="102" t="b">
        <v>0</v>
      </c>
    </row>
    <row r="943" spans="1:12" ht="15">
      <c r="A943" s="104" t="s">
        <v>3324</v>
      </c>
      <c r="B943" s="102" t="s">
        <v>2522</v>
      </c>
      <c r="C943" s="102">
        <v>2</v>
      </c>
      <c r="D943" s="106">
        <v>0.0005682933356852263</v>
      </c>
      <c r="E943" s="106">
        <v>2.9717910872395197</v>
      </c>
      <c r="F943" s="102" t="s">
        <v>3369</v>
      </c>
      <c r="G943" s="102" t="b">
        <v>0</v>
      </c>
      <c r="H943" s="102" t="b">
        <v>0</v>
      </c>
      <c r="I943" s="102" t="b">
        <v>0</v>
      </c>
      <c r="J943" s="102" t="b">
        <v>0</v>
      </c>
      <c r="K943" s="102" t="b">
        <v>0</v>
      </c>
      <c r="L943" s="102" t="b">
        <v>0</v>
      </c>
    </row>
    <row r="944" spans="1:12" ht="15">
      <c r="A944" s="104" t="s">
        <v>2355</v>
      </c>
      <c r="B944" s="102" t="s">
        <v>2351</v>
      </c>
      <c r="C944" s="102">
        <v>2</v>
      </c>
      <c r="D944" s="106">
        <v>0.0005682933356852263</v>
      </c>
      <c r="E944" s="106">
        <v>0.1937604909702522</v>
      </c>
      <c r="F944" s="102" t="s">
        <v>3369</v>
      </c>
      <c r="G944" s="102" t="b">
        <v>0</v>
      </c>
      <c r="H944" s="102" t="b">
        <v>0</v>
      </c>
      <c r="I944" s="102" t="b">
        <v>0</v>
      </c>
      <c r="J944" s="102" t="b">
        <v>0</v>
      </c>
      <c r="K944" s="102" t="b">
        <v>0</v>
      </c>
      <c r="L944" s="102" t="b">
        <v>0</v>
      </c>
    </row>
    <row r="945" spans="1:12" ht="15">
      <c r="A945" s="104" t="s">
        <v>2365</v>
      </c>
      <c r="B945" s="102" t="s">
        <v>2365</v>
      </c>
      <c r="C945" s="102">
        <v>2</v>
      </c>
      <c r="D945" s="106">
        <v>0.0005682933356852263</v>
      </c>
      <c r="E945" s="106">
        <v>0.9303984020812948</v>
      </c>
      <c r="F945" s="102" t="s">
        <v>3369</v>
      </c>
      <c r="G945" s="102" t="b">
        <v>0</v>
      </c>
      <c r="H945" s="102" t="b">
        <v>0</v>
      </c>
      <c r="I945" s="102" t="b">
        <v>0</v>
      </c>
      <c r="J945" s="102" t="b">
        <v>0</v>
      </c>
      <c r="K945" s="102" t="b">
        <v>0</v>
      </c>
      <c r="L945" s="102" t="b">
        <v>0</v>
      </c>
    </row>
    <row r="946" spans="1:12" ht="15">
      <c r="A946" s="104" t="s">
        <v>2349</v>
      </c>
      <c r="B946" s="102" t="s">
        <v>2511</v>
      </c>
      <c r="C946" s="102">
        <v>2</v>
      </c>
      <c r="D946" s="106">
        <v>0.0004993919862542396</v>
      </c>
      <c r="E946" s="106">
        <v>0.9976377444221308</v>
      </c>
      <c r="F946" s="102" t="s">
        <v>3369</v>
      </c>
      <c r="G946" s="102" t="b">
        <v>0</v>
      </c>
      <c r="H946" s="102" t="b">
        <v>0</v>
      </c>
      <c r="I946" s="102" t="b">
        <v>0</v>
      </c>
      <c r="J946" s="102" t="b">
        <v>0</v>
      </c>
      <c r="K946" s="102" t="b">
        <v>0</v>
      </c>
      <c r="L946" s="102" t="b">
        <v>0</v>
      </c>
    </row>
    <row r="947" spans="1:12" ht="15">
      <c r="A947" s="104" t="s">
        <v>2630</v>
      </c>
      <c r="B947" s="102" t="s">
        <v>2414</v>
      </c>
      <c r="C947" s="102">
        <v>2</v>
      </c>
      <c r="D947" s="106">
        <v>0.0005682933356852263</v>
      </c>
      <c r="E947" s="106">
        <v>2.302784306280944</v>
      </c>
      <c r="F947" s="102" t="s">
        <v>3369</v>
      </c>
      <c r="G947" s="102" t="b">
        <v>0</v>
      </c>
      <c r="H947" s="102" t="b">
        <v>0</v>
      </c>
      <c r="I947" s="102" t="b">
        <v>0</v>
      </c>
      <c r="J947" s="102" t="b">
        <v>0</v>
      </c>
      <c r="K947" s="102" t="b">
        <v>0</v>
      </c>
      <c r="L947" s="102" t="b">
        <v>0</v>
      </c>
    </row>
    <row r="948" spans="1:12" ht="15">
      <c r="A948" s="104" t="s">
        <v>2630</v>
      </c>
      <c r="B948" s="102" t="s">
        <v>2348</v>
      </c>
      <c r="C948" s="102">
        <v>2</v>
      </c>
      <c r="D948" s="106">
        <v>0.0005682933356852263</v>
      </c>
      <c r="E948" s="106">
        <v>1.1329419965022645</v>
      </c>
      <c r="F948" s="102" t="s">
        <v>3369</v>
      </c>
      <c r="G948" s="102" t="b">
        <v>0</v>
      </c>
      <c r="H948" s="102" t="b">
        <v>0</v>
      </c>
      <c r="I948" s="102" t="b">
        <v>0</v>
      </c>
      <c r="J948" s="102" t="b">
        <v>0</v>
      </c>
      <c r="K948" s="102" t="b">
        <v>0</v>
      </c>
      <c r="L948" s="102" t="b">
        <v>0</v>
      </c>
    </row>
    <row r="949" spans="1:12" ht="15">
      <c r="A949" s="104" t="s">
        <v>2351</v>
      </c>
      <c r="B949" s="102" t="s">
        <v>2630</v>
      </c>
      <c r="C949" s="102">
        <v>2</v>
      </c>
      <c r="D949" s="106">
        <v>0.0005682933356852263</v>
      </c>
      <c r="E949" s="106">
        <v>1.2704150131376224</v>
      </c>
      <c r="F949" s="102" t="s">
        <v>3369</v>
      </c>
      <c r="G949" s="102" t="b">
        <v>0</v>
      </c>
      <c r="H949" s="102" t="b">
        <v>0</v>
      </c>
      <c r="I949" s="102" t="b">
        <v>0</v>
      </c>
      <c r="J949" s="102" t="b">
        <v>0</v>
      </c>
      <c r="K949" s="102" t="b">
        <v>0</v>
      </c>
      <c r="L949" s="102" t="b">
        <v>0</v>
      </c>
    </row>
    <row r="950" spans="1:12" ht="15">
      <c r="A950" s="104" t="s">
        <v>2392</v>
      </c>
      <c r="B950" s="102" t="s">
        <v>2434</v>
      </c>
      <c r="C950" s="102">
        <v>2</v>
      </c>
      <c r="D950" s="106">
        <v>0.0005682933356852263</v>
      </c>
      <c r="E950" s="106">
        <v>1.7513924040183961</v>
      </c>
      <c r="F950" s="102" t="s">
        <v>3369</v>
      </c>
      <c r="G950" s="102" t="b">
        <v>0</v>
      </c>
      <c r="H950" s="102" t="b">
        <v>0</v>
      </c>
      <c r="I950" s="102" t="b">
        <v>0</v>
      </c>
      <c r="J950" s="102" t="b">
        <v>0</v>
      </c>
      <c r="K950" s="102" t="b">
        <v>0</v>
      </c>
      <c r="L950" s="102" t="b">
        <v>0</v>
      </c>
    </row>
    <row r="951" spans="1:12" ht="15">
      <c r="A951" s="104" t="s">
        <v>2350</v>
      </c>
      <c r="B951" s="102" t="s">
        <v>2573</v>
      </c>
      <c r="C951" s="102">
        <v>2</v>
      </c>
      <c r="D951" s="106">
        <v>0.0004993919862542396</v>
      </c>
      <c r="E951" s="106">
        <v>1.087499326166976</v>
      </c>
      <c r="F951" s="102" t="s">
        <v>3369</v>
      </c>
      <c r="G951" s="102" t="b">
        <v>0</v>
      </c>
      <c r="H951" s="102" t="b">
        <v>0</v>
      </c>
      <c r="I951" s="102" t="b">
        <v>0</v>
      </c>
      <c r="J951" s="102" t="b">
        <v>0</v>
      </c>
      <c r="K951" s="102" t="b">
        <v>0</v>
      </c>
      <c r="L951" s="102" t="b">
        <v>0</v>
      </c>
    </row>
    <row r="952" spans="1:12" ht="15">
      <c r="A952" s="104" t="s">
        <v>2350</v>
      </c>
      <c r="B952" s="102" t="s">
        <v>2351</v>
      </c>
      <c r="C952" s="102">
        <v>2</v>
      </c>
      <c r="D952" s="106">
        <v>0.0004993919862542396</v>
      </c>
      <c r="E952" s="106">
        <v>-0.3298537235491965</v>
      </c>
      <c r="F952" s="102" t="s">
        <v>3369</v>
      </c>
      <c r="G952" s="102" t="b">
        <v>0</v>
      </c>
      <c r="H952" s="102" t="b">
        <v>0</v>
      </c>
      <c r="I952" s="102" t="b">
        <v>0</v>
      </c>
      <c r="J952" s="102" t="b">
        <v>0</v>
      </c>
      <c r="K952" s="102" t="b">
        <v>0</v>
      </c>
      <c r="L952" s="102" t="b">
        <v>0</v>
      </c>
    </row>
    <row r="953" spans="1:12" ht="15">
      <c r="A953" s="104" t="s">
        <v>2409</v>
      </c>
      <c r="B953" s="102" t="s">
        <v>2362</v>
      </c>
      <c r="C953" s="102">
        <v>2</v>
      </c>
      <c r="D953" s="106">
        <v>0.0004993919862542396</v>
      </c>
      <c r="E953" s="106">
        <v>1.3383226316599333</v>
      </c>
      <c r="F953" s="102" t="s">
        <v>3369</v>
      </c>
      <c r="G953" s="102" t="b">
        <v>0</v>
      </c>
      <c r="H953" s="102" t="b">
        <v>0</v>
      </c>
      <c r="I953" s="102" t="b">
        <v>0</v>
      </c>
      <c r="J953" s="102" t="b">
        <v>0</v>
      </c>
      <c r="K953" s="102" t="b">
        <v>0</v>
      </c>
      <c r="L953" s="102" t="b">
        <v>0</v>
      </c>
    </row>
    <row r="954" spans="1:12" ht="15">
      <c r="A954" s="104" t="s">
        <v>2354</v>
      </c>
      <c r="B954" s="102" t="s">
        <v>3330</v>
      </c>
      <c r="C954" s="102">
        <v>2</v>
      </c>
      <c r="D954" s="106">
        <v>0.0005682933356852263</v>
      </c>
      <c r="E954" s="106">
        <v>2.1551815850367007</v>
      </c>
      <c r="F954" s="102" t="s">
        <v>3369</v>
      </c>
      <c r="G954" s="102" t="b">
        <v>0</v>
      </c>
      <c r="H954" s="102" t="b">
        <v>0</v>
      </c>
      <c r="I954" s="102" t="b">
        <v>0</v>
      </c>
      <c r="J954" s="102" t="b">
        <v>0</v>
      </c>
      <c r="K954" s="102" t="b">
        <v>0</v>
      </c>
      <c r="L954" s="102" t="b">
        <v>0</v>
      </c>
    </row>
    <row r="955" spans="1:12" ht="15">
      <c r="A955" s="104" t="s">
        <v>2683</v>
      </c>
      <c r="B955" s="102" t="s">
        <v>2381</v>
      </c>
      <c r="C955" s="102">
        <v>2</v>
      </c>
      <c r="D955" s="106">
        <v>0.0005682933356852263</v>
      </c>
      <c r="E955" s="106">
        <v>2.065695590107851</v>
      </c>
      <c r="F955" s="102" t="s">
        <v>3369</v>
      </c>
      <c r="G955" s="102" t="b">
        <v>0</v>
      </c>
      <c r="H955" s="102" t="b">
        <v>0</v>
      </c>
      <c r="I955" s="102" t="b">
        <v>0</v>
      </c>
      <c r="J955" s="102" t="b">
        <v>0</v>
      </c>
      <c r="K955" s="102" t="b">
        <v>0</v>
      </c>
      <c r="L955" s="102" t="b">
        <v>0</v>
      </c>
    </row>
    <row r="956" spans="1:12" ht="15">
      <c r="A956" s="104" t="s">
        <v>2402</v>
      </c>
      <c r="B956" s="102" t="s">
        <v>3334</v>
      </c>
      <c r="C956" s="102">
        <v>2</v>
      </c>
      <c r="D956" s="106">
        <v>0.0005682933356852263</v>
      </c>
      <c r="E956" s="106">
        <v>2.625003601014863</v>
      </c>
      <c r="F956" s="102" t="s">
        <v>3369</v>
      </c>
      <c r="G956" s="102" t="b">
        <v>0</v>
      </c>
      <c r="H956" s="102" t="b">
        <v>0</v>
      </c>
      <c r="I956" s="102" t="b">
        <v>0</v>
      </c>
      <c r="J956" s="102" t="b">
        <v>0</v>
      </c>
      <c r="K956" s="102" t="b">
        <v>0</v>
      </c>
      <c r="L956" s="102" t="b">
        <v>0</v>
      </c>
    </row>
    <row r="957" spans="1:12" ht="15">
      <c r="A957" s="104" t="s">
        <v>3334</v>
      </c>
      <c r="B957" s="102" t="s">
        <v>2954</v>
      </c>
      <c r="C957" s="102">
        <v>2</v>
      </c>
      <c r="D957" s="106">
        <v>0.0005682933356852263</v>
      </c>
      <c r="E957" s="106">
        <v>3.4489123419591823</v>
      </c>
      <c r="F957" s="102" t="s">
        <v>3369</v>
      </c>
      <c r="G957" s="102" t="b">
        <v>0</v>
      </c>
      <c r="H957" s="102" t="b">
        <v>0</v>
      </c>
      <c r="I957" s="102" t="b">
        <v>0</v>
      </c>
      <c r="J957" s="102" t="b">
        <v>0</v>
      </c>
      <c r="K957" s="102" t="b">
        <v>0</v>
      </c>
      <c r="L957" s="102" t="b">
        <v>0</v>
      </c>
    </row>
    <row r="958" spans="1:12" ht="15">
      <c r="A958" s="104" t="s">
        <v>2954</v>
      </c>
      <c r="B958" s="102" t="s">
        <v>2422</v>
      </c>
      <c r="C958" s="102">
        <v>2</v>
      </c>
      <c r="D958" s="106">
        <v>0.0005682933356852263</v>
      </c>
      <c r="E958" s="106">
        <v>2.573851078567482</v>
      </c>
      <c r="F958" s="102" t="s">
        <v>3369</v>
      </c>
      <c r="G958" s="102" t="b">
        <v>0</v>
      </c>
      <c r="H958" s="102" t="b">
        <v>0</v>
      </c>
      <c r="I958" s="102" t="b">
        <v>0</v>
      </c>
      <c r="J958" s="102" t="b">
        <v>0</v>
      </c>
      <c r="K958" s="102" t="b">
        <v>0</v>
      </c>
      <c r="L958" s="102" t="b">
        <v>0</v>
      </c>
    </row>
    <row r="959" spans="1:12" ht="15">
      <c r="A959" s="104" t="s">
        <v>2349</v>
      </c>
      <c r="B959" s="102" t="s">
        <v>2403</v>
      </c>
      <c r="C959" s="102">
        <v>2</v>
      </c>
      <c r="D959" s="106">
        <v>0.0005682933356852263</v>
      </c>
      <c r="E959" s="106">
        <v>0.6966077487581496</v>
      </c>
      <c r="F959" s="102" t="s">
        <v>3369</v>
      </c>
      <c r="G959" s="102" t="b">
        <v>0</v>
      </c>
      <c r="H959" s="102" t="b">
        <v>0</v>
      </c>
      <c r="I959" s="102" t="b">
        <v>0</v>
      </c>
      <c r="J959" s="102" t="b">
        <v>0</v>
      </c>
      <c r="K959" s="102" t="b">
        <v>0</v>
      </c>
      <c r="L959" s="102" t="b">
        <v>0</v>
      </c>
    </row>
    <row r="960" spans="1:12" ht="15">
      <c r="A960" s="104" t="s">
        <v>2403</v>
      </c>
      <c r="B960" s="102" t="s">
        <v>2762</v>
      </c>
      <c r="C960" s="102">
        <v>2</v>
      </c>
      <c r="D960" s="106">
        <v>0.0005682933356852263</v>
      </c>
      <c r="E960" s="106">
        <v>2.3239736053508824</v>
      </c>
      <c r="F960" s="102" t="s">
        <v>3369</v>
      </c>
      <c r="G960" s="102" t="b">
        <v>0</v>
      </c>
      <c r="H960" s="102" t="b">
        <v>0</v>
      </c>
      <c r="I960" s="102" t="b">
        <v>0</v>
      </c>
      <c r="J960" s="102" t="b">
        <v>0</v>
      </c>
      <c r="K960" s="102" t="b">
        <v>0</v>
      </c>
      <c r="L960" s="102" t="b">
        <v>0</v>
      </c>
    </row>
    <row r="961" spans="1:12" ht="15">
      <c r="A961" s="104" t="s">
        <v>2354</v>
      </c>
      <c r="B961" s="102" t="s">
        <v>2403</v>
      </c>
      <c r="C961" s="102">
        <v>2</v>
      </c>
      <c r="D961" s="106">
        <v>0.0004993919862542396</v>
      </c>
      <c r="E961" s="106">
        <v>1.252091598044757</v>
      </c>
      <c r="F961" s="102" t="s">
        <v>3369</v>
      </c>
      <c r="G961" s="102" t="b">
        <v>0</v>
      </c>
      <c r="H961" s="102" t="b">
        <v>0</v>
      </c>
      <c r="I961" s="102" t="b">
        <v>0</v>
      </c>
      <c r="J961" s="102" t="b">
        <v>0</v>
      </c>
      <c r="K961" s="102" t="b">
        <v>0</v>
      </c>
      <c r="L961" s="102" t="b">
        <v>0</v>
      </c>
    </row>
    <row r="962" spans="1:12" ht="15">
      <c r="A962" s="104" t="s">
        <v>3336</v>
      </c>
      <c r="B962" s="102" t="s">
        <v>2354</v>
      </c>
      <c r="C962" s="102">
        <v>2</v>
      </c>
      <c r="D962" s="106">
        <v>0.0004993919862542396</v>
      </c>
      <c r="E962" s="106">
        <v>2.1266930472252628</v>
      </c>
      <c r="F962" s="102" t="s">
        <v>3369</v>
      </c>
      <c r="G962" s="102" t="b">
        <v>0</v>
      </c>
      <c r="H962" s="102" t="b">
        <v>0</v>
      </c>
      <c r="I962" s="102" t="b">
        <v>0</v>
      </c>
      <c r="J962" s="102" t="b">
        <v>0</v>
      </c>
      <c r="K962" s="102" t="b">
        <v>0</v>
      </c>
      <c r="L962" s="102" t="b">
        <v>0</v>
      </c>
    </row>
    <row r="963" spans="1:12" ht="15">
      <c r="A963" s="104" t="s">
        <v>3337</v>
      </c>
      <c r="B963" s="102" t="s">
        <v>3338</v>
      </c>
      <c r="C963" s="102">
        <v>2</v>
      </c>
      <c r="D963" s="106">
        <v>0.0004993919862542396</v>
      </c>
      <c r="E963" s="106">
        <v>3.6250036010148636</v>
      </c>
      <c r="F963" s="102" t="s">
        <v>3369</v>
      </c>
      <c r="G963" s="102" t="b">
        <v>0</v>
      </c>
      <c r="H963" s="102" t="b">
        <v>0</v>
      </c>
      <c r="I963" s="102" t="b">
        <v>0</v>
      </c>
      <c r="J963" s="102" t="b">
        <v>0</v>
      </c>
      <c r="K963" s="102" t="b">
        <v>0</v>
      </c>
      <c r="L963" s="102" t="b">
        <v>0</v>
      </c>
    </row>
    <row r="964" spans="1:12" ht="15">
      <c r="A964" s="104" t="s">
        <v>2354</v>
      </c>
      <c r="B964" s="102" t="s">
        <v>2685</v>
      </c>
      <c r="C964" s="102">
        <v>2</v>
      </c>
      <c r="D964" s="106">
        <v>0.0004993919862542396</v>
      </c>
      <c r="E964" s="106">
        <v>1.757241576364663</v>
      </c>
      <c r="F964" s="102" t="s">
        <v>3369</v>
      </c>
      <c r="G964" s="102" t="b">
        <v>0</v>
      </c>
      <c r="H964" s="102" t="b">
        <v>0</v>
      </c>
      <c r="I964" s="102" t="b">
        <v>0</v>
      </c>
      <c r="J964" s="102" t="b">
        <v>0</v>
      </c>
      <c r="K964" s="102" t="b">
        <v>0</v>
      </c>
      <c r="L964" s="102" t="b">
        <v>0</v>
      </c>
    </row>
    <row r="965" spans="1:12" ht="15">
      <c r="A965" s="104" t="s">
        <v>2818</v>
      </c>
      <c r="B965" s="102" t="s">
        <v>2779</v>
      </c>
      <c r="C965" s="102">
        <v>2</v>
      </c>
      <c r="D965" s="106">
        <v>0.0005682933356852263</v>
      </c>
      <c r="E965" s="106">
        <v>3.147882346295201</v>
      </c>
      <c r="F965" s="102" t="s">
        <v>3369</v>
      </c>
      <c r="G965" s="102" t="b">
        <v>0</v>
      </c>
      <c r="H965" s="102" t="b">
        <v>0</v>
      </c>
      <c r="I965" s="102" t="b">
        <v>0</v>
      </c>
      <c r="J965" s="102" t="b">
        <v>0</v>
      </c>
      <c r="K965" s="102" t="b">
        <v>0</v>
      </c>
      <c r="L965" s="102" t="b">
        <v>0</v>
      </c>
    </row>
    <row r="966" spans="1:12" ht="15">
      <c r="A966" s="104" t="s">
        <v>2582</v>
      </c>
      <c r="B966" s="102" t="s">
        <v>2349</v>
      </c>
      <c r="C966" s="102">
        <v>2</v>
      </c>
      <c r="D966" s="106">
        <v>0.0005682933356852263</v>
      </c>
      <c r="E966" s="106">
        <v>1.0375732786434584</v>
      </c>
      <c r="F966" s="102" t="s">
        <v>3369</v>
      </c>
      <c r="G966" s="102" t="b">
        <v>0</v>
      </c>
      <c r="H966" s="102" t="b">
        <v>0</v>
      </c>
      <c r="I966" s="102" t="b">
        <v>0</v>
      </c>
      <c r="J966" s="102" t="b">
        <v>0</v>
      </c>
      <c r="K966" s="102" t="b">
        <v>0</v>
      </c>
      <c r="L966" s="102" t="b">
        <v>0</v>
      </c>
    </row>
    <row r="967" spans="1:12" ht="15">
      <c r="A967" s="104" t="s">
        <v>2582</v>
      </c>
      <c r="B967" s="102" t="s">
        <v>3348</v>
      </c>
      <c r="C967" s="102">
        <v>2</v>
      </c>
      <c r="D967" s="106">
        <v>0.0005682933356852263</v>
      </c>
      <c r="E967" s="106">
        <v>3.080935556664588</v>
      </c>
      <c r="F967" s="102" t="s">
        <v>3369</v>
      </c>
      <c r="G967" s="102" t="b">
        <v>0</v>
      </c>
      <c r="H967" s="102" t="b">
        <v>0</v>
      </c>
      <c r="I967" s="102" t="b">
        <v>0</v>
      </c>
      <c r="J967" s="102" t="b">
        <v>0</v>
      </c>
      <c r="K967" s="102" t="b">
        <v>0</v>
      </c>
      <c r="L967" s="102" t="b">
        <v>0</v>
      </c>
    </row>
    <row r="968" spans="1:12" ht="15">
      <c r="A968" s="104" t="s">
        <v>2585</v>
      </c>
      <c r="B968" s="102" t="s">
        <v>2690</v>
      </c>
      <c r="C968" s="102">
        <v>2</v>
      </c>
      <c r="D968" s="106">
        <v>0.0005682933356852263</v>
      </c>
      <c r="E968" s="106">
        <v>2.6829955479925505</v>
      </c>
      <c r="F968" s="102" t="s">
        <v>3369</v>
      </c>
      <c r="G968" s="102" t="b">
        <v>0</v>
      </c>
      <c r="H968" s="102" t="b">
        <v>0</v>
      </c>
      <c r="I968" s="102" t="b">
        <v>0</v>
      </c>
      <c r="J968" s="102" t="b">
        <v>0</v>
      </c>
      <c r="K968" s="102" t="b">
        <v>0</v>
      </c>
      <c r="L968" s="102" t="b">
        <v>0</v>
      </c>
    </row>
    <row r="969" spans="1:12" ht="15">
      <c r="A969" s="104" t="s">
        <v>3349</v>
      </c>
      <c r="B969" s="102" t="s">
        <v>3350</v>
      </c>
      <c r="C969" s="102">
        <v>2</v>
      </c>
      <c r="D969" s="106">
        <v>0.0005682933356852263</v>
      </c>
      <c r="E969" s="106">
        <v>3.6250036010148636</v>
      </c>
      <c r="F969" s="102" t="s">
        <v>3369</v>
      </c>
      <c r="G969" s="102" t="b">
        <v>0</v>
      </c>
      <c r="H969" s="102" t="b">
        <v>0</v>
      </c>
      <c r="I969" s="102" t="b">
        <v>0</v>
      </c>
      <c r="J969" s="102" t="b">
        <v>0</v>
      </c>
      <c r="K969" s="102" t="b">
        <v>0</v>
      </c>
      <c r="L969" s="102" t="b">
        <v>0</v>
      </c>
    </row>
    <row r="970" spans="1:12" ht="15">
      <c r="A970" s="104" t="s">
        <v>3350</v>
      </c>
      <c r="B970" s="102" t="s">
        <v>2515</v>
      </c>
      <c r="C970" s="102">
        <v>2</v>
      </c>
      <c r="D970" s="106">
        <v>0.0005682933356852263</v>
      </c>
      <c r="E970" s="106">
        <v>2.9717910872395197</v>
      </c>
      <c r="F970" s="102" t="s">
        <v>3369</v>
      </c>
      <c r="G970" s="102" t="b">
        <v>0</v>
      </c>
      <c r="H970" s="102" t="b">
        <v>0</v>
      </c>
      <c r="I970" s="102" t="b">
        <v>0</v>
      </c>
      <c r="J970" s="102" t="b">
        <v>0</v>
      </c>
      <c r="K970" s="102" t="b">
        <v>0</v>
      </c>
      <c r="L970" s="102" t="b">
        <v>0</v>
      </c>
    </row>
    <row r="971" spans="1:12" ht="15">
      <c r="A971" s="104" t="s">
        <v>2399</v>
      </c>
      <c r="B971" s="102" t="s">
        <v>2674</v>
      </c>
      <c r="C971" s="102">
        <v>2</v>
      </c>
      <c r="D971" s="106">
        <v>0.0005682933356852263</v>
      </c>
      <c r="E971" s="106">
        <v>2.249339987053978</v>
      </c>
      <c r="F971" s="102" t="s">
        <v>3369</v>
      </c>
      <c r="G971" s="102" t="b">
        <v>0</v>
      </c>
      <c r="H971" s="102" t="b">
        <v>0</v>
      </c>
      <c r="I971" s="102" t="b">
        <v>0</v>
      </c>
      <c r="J971" s="102" t="b">
        <v>0</v>
      </c>
      <c r="K971" s="102" t="b">
        <v>0</v>
      </c>
      <c r="L971" s="102" t="b">
        <v>0</v>
      </c>
    </row>
    <row r="972" spans="1:12" ht="15">
      <c r="A972" s="104" t="s">
        <v>2463</v>
      </c>
      <c r="B972" s="102" t="s">
        <v>2367</v>
      </c>
      <c r="C972" s="102">
        <v>2</v>
      </c>
      <c r="D972" s="106">
        <v>0.0005682933356852263</v>
      </c>
      <c r="E972" s="106">
        <v>1.5946063001581017</v>
      </c>
      <c r="F972" s="102" t="s">
        <v>3369</v>
      </c>
      <c r="G972" s="102" t="b">
        <v>0</v>
      </c>
      <c r="H972" s="102" t="b">
        <v>0</v>
      </c>
      <c r="I972" s="102" t="b">
        <v>0</v>
      </c>
      <c r="J972" s="102" t="b">
        <v>0</v>
      </c>
      <c r="K972" s="102" t="b">
        <v>0</v>
      </c>
      <c r="L972" s="102" t="b">
        <v>0</v>
      </c>
    </row>
    <row r="973" spans="1:12" ht="15">
      <c r="A973" s="104" t="s">
        <v>2470</v>
      </c>
      <c r="B973" s="102" t="s">
        <v>2443</v>
      </c>
      <c r="C973" s="102">
        <v>2</v>
      </c>
      <c r="D973" s="106">
        <v>0.0005682933356852263</v>
      </c>
      <c r="E973" s="106">
        <v>2.001754310616963</v>
      </c>
      <c r="F973" s="102" t="s">
        <v>3369</v>
      </c>
      <c r="G973" s="102" t="b">
        <v>0</v>
      </c>
      <c r="H973" s="102" t="b">
        <v>0</v>
      </c>
      <c r="I973" s="102" t="b">
        <v>0</v>
      </c>
      <c r="J973" s="102" t="b">
        <v>0</v>
      </c>
      <c r="K973" s="102" t="b">
        <v>0</v>
      </c>
      <c r="L973" s="102" t="b">
        <v>0</v>
      </c>
    </row>
    <row r="974" spans="1:12" ht="15">
      <c r="A974" s="104" t="s">
        <v>2443</v>
      </c>
      <c r="B974" s="102" t="s">
        <v>2587</v>
      </c>
      <c r="C974" s="102">
        <v>2</v>
      </c>
      <c r="D974" s="106">
        <v>0.0005682933356852263</v>
      </c>
      <c r="E974" s="106">
        <v>2.302784306280944</v>
      </c>
      <c r="F974" s="102" t="s">
        <v>3369</v>
      </c>
      <c r="G974" s="102" t="b">
        <v>0</v>
      </c>
      <c r="H974" s="102" t="b">
        <v>0</v>
      </c>
      <c r="I974" s="102" t="b">
        <v>0</v>
      </c>
      <c r="J974" s="102" t="b">
        <v>0</v>
      </c>
      <c r="K974" s="102" t="b">
        <v>0</v>
      </c>
      <c r="L974" s="102" t="b">
        <v>0</v>
      </c>
    </row>
    <row r="975" spans="1:12" ht="15">
      <c r="A975" s="104" t="s">
        <v>2470</v>
      </c>
      <c r="B975" s="102" t="s">
        <v>2607</v>
      </c>
      <c r="C975" s="102">
        <v>2</v>
      </c>
      <c r="D975" s="106">
        <v>0.0005682933356852263</v>
      </c>
      <c r="E975" s="106">
        <v>2.3697310959115576</v>
      </c>
      <c r="F975" s="102" t="s">
        <v>3369</v>
      </c>
      <c r="G975" s="102" t="b">
        <v>0</v>
      </c>
      <c r="H975" s="102" t="b">
        <v>0</v>
      </c>
      <c r="I975" s="102" t="b">
        <v>0</v>
      </c>
      <c r="J975" s="102" t="b">
        <v>0</v>
      </c>
      <c r="K975" s="102" t="b">
        <v>0</v>
      </c>
      <c r="L975" s="102" t="b">
        <v>0</v>
      </c>
    </row>
    <row r="976" spans="1:12" ht="15">
      <c r="A976" s="104" t="s">
        <v>3355</v>
      </c>
      <c r="B976" s="102" t="s">
        <v>2351</v>
      </c>
      <c r="C976" s="102">
        <v>2</v>
      </c>
      <c r="D976" s="106">
        <v>0.0005682933356852263</v>
      </c>
      <c r="E976" s="106">
        <v>1.6635825069484151</v>
      </c>
      <c r="F976" s="102" t="s">
        <v>3369</v>
      </c>
      <c r="G976" s="102" t="b">
        <v>0</v>
      </c>
      <c r="H976" s="102" t="b">
        <v>0</v>
      </c>
      <c r="I976" s="102" t="b">
        <v>0</v>
      </c>
      <c r="J976" s="102" t="b">
        <v>0</v>
      </c>
      <c r="K976" s="102" t="b">
        <v>0</v>
      </c>
      <c r="L976" s="102" t="b">
        <v>0</v>
      </c>
    </row>
    <row r="977" spans="1:12" ht="15">
      <c r="A977" s="104" t="s">
        <v>2958</v>
      </c>
      <c r="B977" s="102" t="s">
        <v>3358</v>
      </c>
      <c r="C977" s="102">
        <v>2</v>
      </c>
      <c r="D977" s="106">
        <v>0.0004993919862542396</v>
      </c>
      <c r="E977" s="106">
        <v>3.4489123419591823</v>
      </c>
      <c r="F977" s="102" t="s">
        <v>3369</v>
      </c>
      <c r="G977" s="102" t="b">
        <v>0</v>
      </c>
      <c r="H977" s="102" t="b">
        <v>0</v>
      </c>
      <c r="I977" s="102" t="b">
        <v>0</v>
      </c>
      <c r="J977" s="102" t="b">
        <v>0</v>
      </c>
      <c r="K977" s="102" t="b">
        <v>0</v>
      </c>
      <c r="L977" s="102" t="b">
        <v>0</v>
      </c>
    </row>
    <row r="978" spans="1:12" ht="15">
      <c r="A978" s="104" t="s">
        <v>2348</v>
      </c>
      <c r="B978" s="102" t="s">
        <v>2351</v>
      </c>
      <c r="C978" s="102">
        <v>14</v>
      </c>
      <c r="D978" s="106">
        <v>0.010055187846879017</v>
      </c>
      <c r="E978" s="106">
        <v>1.3637754328417226</v>
      </c>
      <c r="F978" s="102" t="s">
        <v>2320</v>
      </c>
      <c r="G978" s="102" t="b">
        <v>0</v>
      </c>
      <c r="H978" s="102" t="b">
        <v>0</v>
      </c>
      <c r="I978" s="102" t="b">
        <v>0</v>
      </c>
      <c r="J978" s="102" t="b">
        <v>0</v>
      </c>
      <c r="K978" s="102" t="b">
        <v>0</v>
      </c>
      <c r="L978" s="102" t="b">
        <v>0</v>
      </c>
    </row>
    <row r="979" spans="1:12" ht="15">
      <c r="A979" s="104" t="s">
        <v>2457</v>
      </c>
      <c r="B979" s="102" t="s">
        <v>2350</v>
      </c>
      <c r="C979" s="102">
        <v>13</v>
      </c>
      <c r="D979" s="106">
        <v>0.01853329310260994</v>
      </c>
      <c r="E979" s="106">
        <v>1.4032839741253962</v>
      </c>
      <c r="F979" s="102" t="s">
        <v>2320</v>
      </c>
      <c r="G979" s="102" t="b">
        <v>0</v>
      </c>
      <c r="H979" s="102" t="b">
        <v>0</v>
      </c>
      <c r="I979" s="102" t="b">
        <v>0</v>
      </c>
      <c r="J979" s="102" t="b">
        <v>0</v>
      </c>
      <c r="K979" s="102" t="b">
        <v>0</v>
      </c>
      <c r="L979" s="102" t="b">
        <v>0</v>
      </c>
    </row>
    <row r="980" spans="1:12" ht="15">
      <c r="A980" s="104" t="s">
        <v>2348</v>
      </c>
      <c r="B980" s="102" t="s">
        <v>2349</v>
      </c>
      <c r="C980" s="102">
        <v>11</v>
      </c>
      <c r="D980" s="106">
        <v>0.006651117370750514</v>
      </c>
      <c r="E980" s="106">
        <v>0.9047645747045034</v>
      </c>
      <c r="F980" s="102" t="s">
        <v>2320</v>
      </c>
      <c r="G980" s="102" t="b">
        <v>0</v>
      </c>
      <c r="H980" s="102" t="b">
        <v>0</v>
      </c>
      <c r="I980" s="102" t="b">
        <v>0</v>
      </c>
      <c r="J980" s="102" t="b">
        <v>0</v>
      </c>
      <c r="K980" s="102" t="b">
        <v>0</v>
      </c>
      <c r="L980" s="102" t="b">
        <v>0</v>
      </c>
    </row>
    <row r="981" spans="1:12" ht="15">
      <c r="A981" s="104" t="s">
        <v>2365</v>
      </c>
      <c r="B981" s="102" t="s">
        <v>2446</v>
      </c>
      <c r="C981" s="102">
        <v>11</v>
      </c>
      <c r="D981" s="106">
        <v>0.01568201724066995</v>
      </c>
      <c r="E981" s="106">
        <v>1.7255032688593157</v>
      </c>
      <c r="F981" s="102" t="s">
        <v>2320</v>
      </c>
      <c r="G981" s="102" t="b">
        <v>0</v>
      </c>
      <c r="H981" s="102" t="b">
        <v>0</v>
      </c>
      <c r="I981" s="102" t="b">
        <v>0</v>
      </c>
      <c r="J981" s="102" t="b">
        <v>0</v>
      </c>
      <c r="K981" s="102" t="b">
        <v>0</v>
      </c>
      <c r="L981" s="102" t="b">
        <v>0</v>
      </c>
    </row>
    <row r="982" spans="1:12" ht="15">
      <c r="A982" s="104" t="s">
        <v>2349</v>
      </c>
      <c r="B982" s="102" t="s">
        <v>2356</v>
      </c>
      <c r="C982" s="102">
        <v>10</v>
      </c>
      <c r="D982" s="106">
        <v>0.007182277033485012</v>
      </c>
      <c r="E982" s="106">
        <v>1.0153859037474993</v>
      </c>
      <c r="F982" s="102" t="s">
        <v>2320</v>
      </c>
      <c r="G982" s="102" t="b">
        <v>0</v>
      </c>
      <c r="H982" s="102" t="b">
        <v>0</v>
      </c>
      <c r="I982" s="102" t="b">
        <v>0</v>
      </c>
      <c r="J982" s="102" t="b">
        <v>0</v>
      </c>
      <c r="K982" s="102" t="b">
        <v>0</v>
      </c>
      <c r="L982" s="102" t="b">
        <v>0</v>
      </c>
    </row>
    <row r="983" spans="1:12" ht="15">
      <c r="A983" s="104" t="s">
        <v>2356</v>
      </c>
      <c r="B983" s="102" t="s">
        <v>2397</v>
      </c>
      <c r="C983" s="102">
        <v>10</v>
      </c>
      <c r="D983" s="106">
        <v>0.007182277033485012</v>
      </c>
      <c r="E983" s="106">
        <v>1.7477796635704679</v>
      </c>
      <c r="F983" s="102" t="s">
        <v>2320</v>
      </c>
      <c r="G983" s="102" t="b">
        <v>0</v>
      </c>
      <c r="H983" s="102" t="b">
        <v>0</v>
      </c>
      <c r="I983" s="102" t="b">
        <v>0</v>
      </c>
      <c r="J983" s="102" t="b">
        <v>0</v>
      </c>
      <c r="K983" s="102" t="b">
        <v>0</v>
      </c>
      <c r="L983" s="102" t="b">
        <v>0</v>
      </c>
    </row>
    <row r="984" spans="1:12" ht="15">
      <c r="A984" s="104" t="s">
        <v>2395</v>
      </c>
      <c r="B984" s="102" t="s">
        <v>2421</v>
      </c>
      <c r="C984" s="102">
        <v>9</v>
      </c>
      <c r="D984" s="106">
        <v>0.01283074137872996</v>
      </c>
      <c r="E984" s="106">
        <v>2.072290755083972</v>
      </c>
      <c r="F984" s="102" t="s">
        <v>2320</v>
      </c>
      <c r="G984" s="102" t="b">
        <v>0</v>
      </c>
      <c r="H984" s="102" t="b">
        <v>0</v>
      </c>
      <c r="I984" s="102" t="b">
        <v>0</v>
      </c>
      <c r="J984" s="102" t="b">
        <v>0</v>
      </c>
      <c r="K984" s="102" t="b">
        <v>0</v>
      </c>
      <c r="L984" s="102" t="b">
        <v>0</v>
      </c>
    </row>
    <row r="985" spans="1:12" ht="15">
      <c r="A985" s="104" t="s">
        <v>2421</v>
      </c>
      <c r="B985" s="102" t="s">
        <v>2396</v>
      </c>
      <c r="C985" s="102">
        <v>9</v>
      </c>
      <c r="D985" s="106">
        <v>0.01283074137872996</v>
      </c>
      <c r="E985" s="106">
        <v>1.91258991221646</v>
      </c>
      <c r="F985" s="102" t="s">
        <v>2320</v>
      </c>
      <c r="G985" s="102" t="b">
        <v>0</v>
      </c>
      <c r="H985" s="102" t="b">
        <v>0</v>
      </c>
      <c r="I985" s="102" t="b">
        <v>0</v>
      </c>
      <c r="J985" s="102" t="b">
        <v>0</v>
      </c>
      <c r="K985" s="102" t="b">
        <v>0</v>
      </c>
      <c r="L985" s="102" t="b">
        <v>0</v>
      </c>
    </row>
    <row r="986" spans="1:12" ht="15">
      <c r="A986" s="104" t="s">
        <v>2547</v>
      </c>
      <c r="B986" s="102" t="s">
        <v>2548</v>
      </c>
      <c r="C986" s="102">
        <v>8</v>
      </c>
      <c r="D986" s="106">
        <v>0.011405103447759964</v>
      </c>
      <c r="E986" s="106">
        <v>2.123443277531353</v>
      </c>
      <c r="F986" s="102" t="s">
        <v>2320</v>
      </c>
      <c r="G986" s="102" t="b">
        <v>0</v>
      </c>
      <c r="H986" s="102" t="b">
        <v>1</v>
      </c>
      <c r="I986" s="102" t="b">
        <v>0</v>
      </c>
      <c r="J986" s="102" t="b">
        <v>0</v>
      </c>
      <c r="K986" s="102" t="b">
        <v>1</v>
      </c>
      <c r="L986" s="102" t="b">
        <v>0</v>
      </c>
    </row>
    <row r="987" spans="1:12" ht="15">
      <c r="A987" s="104" t="s">
        <v>2350</v>
      </c>
      <c r="B987" s="102" t="s">
        <v>2365</v>
      </c>
      <c r="C987" s="102">
        <v>7</v>
      </c>
      <c r="D987" s="106">
        <v>0.009979465516789968</v>
      </c>
      <c r="E987" s="106">
        <v>0.937132853293986</v>
      </c>
      <c r="F987" s="102" t="s">
        <v>2320</v>
      </c>
      <c r="G987" s="102" t="b">
        <v>0</v>
      </c>
      <c r="H987" s="102" t="b">
        <v>0</v>
      </c>
      <c r="I987" s="102" t="b">
        <v>0</v>
      </c>
      <c r="J987" s="102" t="b">
        <v>0</v>
      </c>
      <c r="K987" s="102" t="b">
        <v>0</v>
      </c>
      <c r="L987" s="102" t="b">
        <v>0</v>
      </c>
    </row>
    <row r="988" spans="1:12" ht="15">
      <c r="A988" s="104" t="s">
        <v>2619</v>
      </c>
      <c r="B988" s="102" t="s">
        <v>2578</v>
      </c>
      <c r="C988" s="102">
        <v>6</v>
      </c>
      <c r="D988" s="106">
        <v>0.008553827585819974</v>
      </c>
      <c r="E988" s="106">
        <v>2.18143522450904</v>
      </c>
      <c r="F988" s="102" t="s">
        <v>2320</v>
      </c>
      <c r="G988" s="102" t="b">
        <v>0</v>
      </c>
      <c r="H988" s="102" t="b">
        <v>0</v>
      </c>
      <c r="I988" s="102" t="b">
        <v>0</v>
      </c>
      <c r="J988" s="102" t="b">
        <v>0</v>
      </c>
      <c r="K988" s="102" t="b">
        <v>0</v>
      </c>
      <c r="L988" s="102" t="b">
        <v>0</v>
      </c>
    </row>
    <row r="989" spans="1:12" ht="15">
      <c r="A989" s="104" t="s">
        <v>2349</v>
      </c>
      <c r="B989" s="102" t="s">
        <v>2349</v>
      </c>
      <c r="C989" s="102">
        <v>5</v>
      </c>
      <c r="D989" s="106">
        <v>0.003951053271504437</v>
      </c>
      <c r="E989" s="106">
        <v>0.2771061654015479</v>
      </c>
      <c r="F989" s="102" t="s">
        <v>2320</v>
      </c>
      <c r="G989" s="102" t="b">
        <v>0</v>
      </c>
      <c r="H989" s="102" t="b">
        <v>0</v>
      </c>
      <c r="I989" s="102" t="b">
        <v>0</v>
      </c>
      <c r="J989" s="102" t="b">
        <v>0</v>
      </c>
      <c r="K989" s="102" t="b">
        <v>0</v>
      </c>
      <c r="L989" s="102" t="b">
        <v>0</v>
      </c>
    </row>
    <row r="990" spans="1:12" ht="15">
      <c r="A990" s="104" t="s">
        <v>2350</v>
      </c>
      <c r="B990" s="102" t="s">
        <v>2349</v>
      </c>
      <c r="C990" s="102">
        <v>5</v>
      </c>
      <c r="D990" s="106">
        <v>0.005759871492740971</v>
      </c>
      <c r="E990" s="106">
        <v>0.3760314696449298</v>
      </c>
      <c r="F990" s="102" t="s">
        <v>2320</v>
      </c>
      <c r="G990" s="102" t="b">
        <v>0</v>
      </c>
      <c r="H990" s="102" t="b">
        <v>0</v>
      </c>
      <c r="I990" s="102" t="b">
        <v>0</v>
      </c>
      <c r="J990" s="102" t="b">
        <v>0</v>
      </c>
      <c r="K990" s="102" t="b">
        <v>0</v>
      </c>
      <c r="L990" s="102" t="b">
        <v>0</v>
      </c>
    </row>
    <row r="991" spans="1:12" ht="15">
      <c r="A991" s="104" t="s">
        <v>2466</v>
      </c>
      <c r="B991" s="102" t="s">
        <v>2350</v>
      </c>
      <c r="C991" s="102">
        <v>4</v>
      </c>
      <c r="D991" s="106">
        <v>0.003513242664505573</v>
      </c>
      <c r="E991" s="106">
        <v>1.4032839741253962</v>
      </c>
      <c r="F991" s="102" t="s">
        <v>2320</v>
      </c>
      <c r="G991" s="102" t="b">
        <v>0</v>
      </c>
      <c r="H991" s="102" t="b">
        <v>0</v>
      </c>
      <c r="I991" s="102" t="b">
        <v>0</v>
      </c>
      <c r="J991" s="102" t="b">
        <v>0</v>
      </c>
      <c r="K991" s="102" t="b">
        <v>0</v>
      </c>
      <c r="L991" s="102" t="b">
        <v>0</v>
      </c>
    </row>
    <row r="992" spans="1:12" ht="15">
      <c r="A992" s="104" t="s">
        <v>2350</v>
      </c>
      <c r="B992" s="102" t="s">
        <v>2429</v>
      </c>
      <c r="C992" s="102">
        <v>4</v>
      </c>
      <c r="D992" s="106">
        <v>0.003513242664505573</v>
      </c>
      <c r="E992" s="106">
        <v>1.092034813279729</v>
      </c>
      <c r="F992" s="102" t="s">
        <v>2320</v>
      </c>
      <c r="G992" s="102" t="b">
        <v>0</v>
      </c>
      <c r="H992" s="102" t="b">
        <v>0</v>
      </c>
      <c r="I992" s="102" t="b">
        <v>0</v>
      </c>
      <c r="J992" s="102" t="b">
        <v>0</v>
      </c>
      <c r="K992" s="102" t="b">
        <v>0</v>
      </c>
      <c r="L992" s="102" t="b">
        <v>0</v>
      </c>
    </row>
    <row r="993" spans="1:12" ht="15">
      <c r="A993" s="104" t="s">
        <v>2451</v>
      </c>
      <c r="B993" s="102" t="s">
        <v>2349</v>
      </c>
      <c r="C993" s="102">
        <v>4</v>
      </c>
      <c r="D993" s="106">
        <v>0.003513242664505573</v>
      </c>
      <c r="E993" s="106">
        <v>1.2136199078804413</v>
      </c>
      <c r="F993" s="102" t="s">
        <v>2320</v>
      </c>
      <c r="G993" s="102" t="b">
        <v>0</v>
      </c>
      <c r="H993" s="102" t="b">
        <v>0</v>
      </c>
      <c r="I993" s="102" t="b">
        <v>0</v>
      </c>
      <c r="J993" s="102" t="b">
        <v>0</v>
      </c>
      <c r="K993" s="102" t="b">
        <v>0</v>
      </c>
      <c r="L993" s="102" t="b">
        <v>0</v>
      </c>
    </row>
    <row r="994" spans="1:12" ht="15">
      <c r="A994" s="104" t="s">
        <v>2416</v>
      </c>
      <c r="B994" s="102" t="s">
        <v>2590</v>
      </c>
      <c r="C994" s="102">
        <v>4</v>
      </c>
      <c r="D994" s="106">
        <v>0.003513242664505573</v>
      </c>
      <c r="E994" s="106">
        <v>2.4244732731953342</v>
      </c>
      <c r="F994" s="102" t="s">
        <v>2320</v>
      </c>
      <c r="G994" s="102" t="b">
        <v>0</v>
      </c>
      <c r="H994" s="102" t="b">
        <v>0</v>
      </c>
      <c r="I994" s="102" t="b">
        <v>0</v>
      </c>
      <c r="J994" s="102" t="b">
        <v>0</v>
      </c>
      <c r="K994" s="102" t="b">
        <v>0</v>
      </c>
      <c r="L994" s="102" t="b">
        <v>0</v>
      </c>
    </row>
    <row r="995" spans="1:12" ht="15">
      <c r="A995" s="104" t="s">
        <v>2484</v>
      </c>
      <c r="B995" s="102" t="s">
        <v>2470</v>
      </c>
      <c r="C995" s="102">
        <v>4</v>
      </c>
      <c r="D995" s="106">
        <v>0.004607897194192777</v>
      </c>
      <c r="E995" s="106">
        <v>2.248382014139653</v>
      </c>
      <c r="F995" s="102" t="s">
        <v>2320</v>
      </c>
      <c r="G995" s="102" t="b">
        <v>0</v>
      </c>
      <c r="H995" s="102" t="b">
        <v>0</v>
      </c>
      <c r="I995" s="102" t="b">
        <v>0</v>
      </c>
      <c r="J995" s="102" t="b">
        <v>0</v>
      </c>
      <c r="K995" s="102" t="b">
        <v>0</v>
      </c>
      <c r="L995" s="102" t="b">
        <v>0</v>
      </c>
    </row>
    <row r="996" spans="1:12" ht="15">
      <c r="A996" s="104" t="s">
        <v>2575</v>
      </c>
      <c r="B996" s="102" t="s">
        <v>2484</v>
      </c>
      <c r="C996" s="102">
        <v>4</v>
      </c>
      <c r="D996" s="106">
        <v>0.004607897194192777</v>
      </c>
      <c r="E996" s="106">
        <v>2.072290755083972</v>
      </c>
      <c r="F996" s="102" t="s">
        <v>2320</v>
      </c>
      <c r="G996" s="102" t="b">
        <v>0</v>
      </c>
      <c r="H996" s="102" t="b">
        <v>0</v>
      </c>
      <c r="I996" s="102" t="b">
        <v>0</v>
      </c>
      <c r="J996" s="102" t="b">
        <v>0</v>
      </c>
      <c r="K996" s="102" t="b">
        <v>0</v>
      </c>
      <c r="L996" s="102" t="b">
        <v>0</v>
      </c>
    </row>
    <row r="997" spans="1:12" ht="15">
      <c r="A997" s="104" t="s">
        <v>2387</v>
      </c>
      <c r="B997" s="102" t="s">
        <v>2544</v>
      </c>
      <c r="C997" s="102">
        <v>4</v>
      </c>
      <c r="D997" s="106">
        <v>0.005702551723879982</v>
      </c>
      <c r="E997" s="106">
        <v>1.7255032688593157</v>
      </c>
      <c r="F997" s="102" t="s">
        <v>2320</v>
      </c>
      <c r="G997" s="102" t="b">
        <v>0</v>
      </c>
      <c r="H997" s="102" t="b">
        <v>0</v>
      </c>
      <c r="I997" s="102" t="b">
        <v>0</v>
      </c>
      <c r="J997" s="102" t="b">
        <v>0</v>
      </c>
      <c r="K997" s="102" t="b">
        <v>0</v>
      </c>
      <c r="L997" s="102" t="b">
        <v>0</v>
      </c>
    </row>
    <row r="998" spans="1:12" ht="15">
      <c r="A998" s="104" t="s">
        <v>2764</v>
      </c>
      <c r="B998" s="102" t="s">
        <v>2494</v>
      </c>
      <c r="C998" s="102">
        <v>4</v>
      </c>
      <c r="D998" s="106">
        <v>0.005702551723879982</v>
      </c>
      <c r="E998" s="106">
        <v>2.18143522450904</v>
      </c>
      <c r="F998" s="102" t="s">
        <v>2320</v>
      </c>
      <c r="G998" s="102" t="b">
        <v>0</v>
      </c>
      <c r="H998" s="102" t="b">
        <v>0</v>
      </c>
      <c r="I998" s="102" t="b">
        <v>0</v>
      </c>
      <c r="J998" s="102" t="b">
        <v>0</v>
      </c>
      <c r="K998" s="102" t="b">
        <v>0</v>
      </c>
      <c r="L998" s="102" t="b">
        <v>0</v>
      </c>
    </row>
    <row r="999" spans="1:12" ht="15">
      <c r="A999" s="104" t="s">
        <v>2362</v>
      </c>
      <c r="B999" s="102" t="s">
        <v>2350</v>
      </c>
      <c r="C999" s="102">
        <v>4</v>
      </c>
      <c r="D999" s="106">
        <v>0.005702551723879982</v>
      </c>
      <c r="E999" s="106">
        <v>1.160245925439102</v>
      </c>
      <c r="F999" s="102" t="s">
        <v>2320</v>
      </c>
      <c r="G999" s="102" t="b">
        <v>0</v>
      </c>
      <c r="H999" s="102" t="b">
        <v>0</v>
      </c>
      <c r="I999" s="102" t="b">
        <v>0</v>
      </c>
      <c r="J999" s="102" t="b">
        <v>0</v>
      </c>
      <c r="K999" s="102" t="b">
        <v>0</v>
      </c>
      <c r="L999" s="102" t="b">
        <v>0</v>
      </c>
    </row>
    <row r="1000" spans="1:12" ht="15">
      <c r="A1000" s="104" t="s">
        <v>2497</v>
      </c>
      <c r="B1000" s="102" t="s">
        <v>2497</v>
      </c>
      <c r="C1000" s="102">
        <v>4</v>
      </c>
      <c r="D1000" s="106">
        <v>0.005702551723879982</v>
      </c>
      <c r="E1000" s="106">
        <v>1.6285932558512592</v>
      </c>
      <c r="F1000" s="102" t="s">
        <v>2320</v>
      </c>
      <c r="G1000" s="102" t="b">
        <v>0</v>
      </c>
      <c r="H1000" s="102" t="b">
        <v>0</v>
      </c>
      <c r="I1000" s="102" t="b">
        <v>0</v>
      </c>
      <c r="J1000" s="102" t="b">
        <v>0</v>
      </c>
      <c r="K1000" s="102" t="b">
        <v>0</v>
      </c>
      <c r="L1000" s="102" t="b">
        <v>0</v>
      </c>
    </row>
    <row r="1001" spans="1:12" ht="15">
      <c r="A1001" s="104" t="s">
        <v>2686</v>
      </c>
      <c r="B1001" s="102" t="s">
        <v>2429</v>
      </c>
      <c r="C1001" s="102">
        <v>3</v>
      </c>
      <c r="D1001" s="106">
        <v>0.0029756740073109073</v>
      </c>
      <c r="E1001" s="106">
        <v>2.123443277531353</v>
      </c>
      <c r="F1001" s="102" t="s">
        <v>2320</v>
      </c>
      <c r="G1001" s="102" t="b">
        <v>0</v>
      </c>
      <c r="H1001" s="102" t="b">
        <v>0</v>
      </c>
      <c r="I1001" s="102" t="b">
        <v>0</v>
      </c>
      <c r="J1001" s="102" t="b">
        <v>0</v>
      </c>
      <c r="K1001" s="102" t="b">
        <v>0</v>
      </c>
      <c r="L1001" s="102" t="b">
        <v>0</v>
      </c>
    </row>
    <row r="1002" spans="1:12" ht="15">
      <c r="A1002" s="104" t="s">
        <v>2350</v>
      </c>
      <c r="B1002" s="102" t="s">
        <v>2923</v>
      </c>
      <c r="C1002" s="102">
        <v>3</v>
      </c>
      <c r="D1002" s="106">
        <v>0.003455922895644583</v>
      </c>
      <c r="E1002" s="106">
        <v>1.3930648089437103</v>
      </c>
      <c r="F1002" s="102" t="s">
        <v>2320</v>
      </c>
      <c r="G1002" s="102" t="b">
        <v>0</v>
      </c>
      <c r="H1002" s="102" t="b">
        <v>0</v>
      </c>
      <c r="I1002" s="102" t="b">
        <v>0</v>
      </c>
      <c r="J1002" s="102" t="b">
        <v>0</v>
      </c>
      <c r="K1002" s="102" t="b">
        <v>0</v>
      </c>
      <c r="L1002" s="102" t="b">
        <v>0</v>
      </c>
    </row>
    <row r="1003" spans="1:12" ht="15">
      <c r="A1003" s="104" t="s">
        <v>2692</v>
      </c>
      <c r="B1003" s="102" t="s">
        <v>2423</v>
      </c>
      <c r="C1003" s="102">
        <v>3</v>
      </c>
      <c r="D1003" s="106">
        <v>0.004276913792909987</v>
      </c>
      <c r="E1003" s="106">
        <v>2.202624523578978</v>
      </c>
      <c r="F1003" s="102" t="s">
        <v>2320</v>
      </c>
      <c r="G1003" s="102" t="b">
        <v>0</v>
      </c>
      <c r="H1003" s="102" t="b">
        <v>0</v>
      </c>
      <c r="I1003" s="102" t="b">
        <v>0</v>
      </c>
      <c r="J1003" s="102" t="b">
        <v>0</v>
      </c>
      <c r="K1003" s="102" t="b">
        <v>0</v>
      </c>
      <c r="L1003" s="102" t="b">
        <v>0</v>
      </c>
    </row>
    <row r="1004" spans="1:12" ht="15">
      <c r="A1004" s="104" t="s">
        <v>2385</v>
      </c>
      <c r="B1004" s="102" t="s">
        <v>2360</v>
      </c>
      <c r="C1004" s="102">
        <v>3</v>
      </c>
      <c r="D1004" s="106">
        <v>0.0029756740073109073</v>
      </c>
      <c r="E1004" s="106">
        <v>1.2318129127064603</v>
      </c>
      <c r="F1004" s="102" t="s">
        <v>2320</v>
      </c>
      <c r="G1004" s="102" t="b">
        <v>0</v>
      </c>
      <c r="H1004" s="102" t="b">
        <v>0</v>
      </c>
      <c r="I1004" s="102" t="b">
        <v>0</v>
      </c>
      <c r="J1004" s="102" t="b">
        <v>0</v>
      </c>
      <c r="K1004" s="102" t="b">
        <v>1</v>
      </c>
      <c r="L1004" s="102" t="b">
        <v>0</v>
      </c>
    </row>
    <row r="1005" spans="1:12" ht="15">
      <c r="A1005" s="104" t="s">
        <v>2379</v>
      </c>
      <c r="B1005" s="102" t="s">
        <v>2349</v>
      </c>
      <c r="C1005" s="102">
        <v>3</v>
      </c>
      <c r="D1005" s="106">
        <v>0.0029756740073109073</v>
      </c>
      <c r="E1005" s="106">
        <v>0.7876511756081601</v>
      </c>
      <c r="F1005" s="102" t="s">
        <v>2320</v>
      </c>
      <c r="G1005" s="102" t="b">
        <v>0</v>
      </c>
      <c r="H1005" s="102" t="b">
        <v>0</v>
      </c>
      <c r="I1005" s="102" t="b">
        <v>0</v>
      </c>
      <c r="J1005" s="102" t="b">
        <v>0</v>
      </c>
      <c r="K1005" s="102" t="b">
        <v>0</v>
      </c>
      <c r="L1005" s="102" t="b">
        <v>0</v>
      </c>
    </row>
    <row r="1006" spans="1:12" ht="15">
      <c r="A1006" s="104" t="s">
        <v>2349</v>
      </c>
      <c r="B1006" s="102" t="s">
        <v>2496</v>
      </c>
      <c r="C1006" s="102">
        <v>3</v>
      </c>
      <c r="D1006" s="106">
        <v>0.0029756740073109073</v>
      </c>
      <c r="E1006" s="106">
        <v>1.1692007680920282</v>
      </c>
      <c r="F1006" s="102" t="s">
        <v>2320</v>
      </c>
      <c r="G1006" s="102" t="b">
        <v>0</v>
      </c>
      <c r="H1006" s="102" t="b">
        <v>0</v>
      </c>
      <c r="I1006" s="102" t="b">
        <v>0</v>
      </c>
      <c r="J1006" s="102" t="b">
        <v>0</v>
      </c>
      <c r="K1006" s="102" t="b">
        <v>1</v>
      </c>
      <c r="L1006" s="102" t="b">
        <v>0</v>
      </c>
    </row>
    <row r="1007" spans="1:12" ht="15">
      <c r="A1007" s="104" t="s">
        <v>2565</v>
      </c>
      <c r="B1007" s="102" t="s">
        <v>2349</v>
      </c>
      <c r="C1007" s="102">
        <v>3</v>
      </c>
      <c r="D1007" s="106">
        <v>0.0029756740073109073</v>
      </c>
      <c r="E1007" s="106">
        <v>1.1855911842801976</v>
      </c>
      <c r="F1007" s="102" t="s">
        <v>2320</v>
      </c>
      <c r="G1007" s="102" t="b">
        <v>0</v>
      </c>
      <c r="H1007" s="102" t="b">
        <v>0</v>
      </c>
      <c r="I1007" s="102" t="b">
        <v>0</v>
      </c>
      <c r="J1007" s="102" t="b">
        <v>0</v>
      </c>
      <c r="K1007" s="102" t="b">
        <v>0</v>
      </c>
      <c r="L1007" s="102" t="b">
        <v>0</v>
      </c>
    </row>
    <row r="1008" spans="1:12" ht="15">
      <c r="A1008" s="104" t="s">
        <v>2420</v>
      </c>
      <c r="B1008" s="102" t="s">
        <v>2351</v>
      </c>
      <c r="C1008" s="102">
        <v>3</v>
      </c>
      <c r="D1008" s="106">
        <v>0.0029756740073109073</v>
      </c>
      <c r="E1008" s="106">
        <v>1.539866691897404</v>
      </c>
      <c r="F1008" s="102" t="s">
        <v>2320</v>
      </c>
      <c r="G1008" s="102" t="b">
        <v>0</v>
      </c>
      <c r="H1008" s="102" t="b">
        <v>0</v>
      </c>
      <c r="I1008" s="102" t="b">
        <v>0</v>
      </c>
      <c r="J1008" s="102" t="b">
        <v>0</v>
      </c>
      <c r="K1008" s="102" t="b">
        <v>0</v>
      </c>
      <c r="L1008" s="102" t="b">
        <v>0</v>
      </c>
    </row>
    <row r="1009" spans="1:12" ht="15">
      <c r="A1009" s="104" t="s">
        <v>2349</v>
      </c>
      <c r="B1009" s="102" t="s">
        <v>2348</v>
      </c>
      <c r="C1009" s="102">
        <v>3</v>
      </c>
      <c r="D1009" s="106">
        <v>0.0029756740073109073</v>
      </c>
      <c r="E1009" s="106">
        <v>0.3733207507479531</v>
      </c>
      <c r="F1009" s="102" t="s">
        <v>2320</v>
      </c>
      <c r="G1009" s="102" t="b">
        <v>0</v>
      </c>
      <c r="H1009" s="102" t="b">
        <v>0</v>
      </c>
      <c r="I1009" s="102" t="b">
        <v>0</v>
      </c>
      <c r="J1009" s="102" t="b">
        <v>0</v>
      </c>
      <c r="K1009" s="102" t="b">
        <v>0</v>
      </c>
      <c r="L1009" s="102" t="b">
        <v>0</v>
      </c>
    </row>
    <row r="1010" spans="1:12" ht="15">
      <c r="A1010" s="104" t="s">
        <v>2387</v>
      </c>
      <c r="B1010" s="102" t="s">
        <v>2348</v>
      </c>
      <c r="C1010" s="102">
        <v>3</v>
      </c>
      <c r="D1010" s="106">
        <v>0.004276913792909987</v>
      </c>
      <c r="E1010" s="106">
        <v>1.1057145105709216</v>
      </c>
      <c r="F1010" s="102" t="s">
        <v>2320</v>
      </c>
      <c r="G1010" s="102" t="b">
        <v>0</v>
      </c>
      <c r="H1010" s="102" t="b">
        <v>0</v>
      </c>
      <c r="I1010" s="102" t="b">
        <v>0</v>
      </c>
      <c r="J1010" s="102" t="b">
        <v>0</v>
      </c>
      <c r="K1010" s="102" t="b">
        <v>0</v>
      </c>
      <c r="L1010" s="102" t="b">
        <v>0</v>
      </c>
    </row>
    <row r="1011" spans="1:12" ht="15">
      <c r="A1011" s="104" t="s">
        <v>2351</v>
      </c>
      <c r="B1011" s="102" t="s">
        <v>2387</v>
      </c>
      <c r="C1011" s="102">
        <v>3</v>
      </c>
      <c r="D1011" s="106">
        <v>0.004276913792909987</v>
      </c>
      <c r="E1011" s="106">
        <v>1.2069893289814282</v>
      </c>
      <c r="F1011" s="102" t="s">
        <v>2320</v>
      </c>
      <c r="G1011" s="102" t="b">
        <v>0</v>
      </c>
      <c r="H1011" s="102" t="b">
        <v>0</v>
      </c>
      <c r="I1011" s="102" t="b">
        <v>0</v>
      </c>
      <c r="J1011" s="102" t="b">
        <v>0</v>
      </c>
      <c r="K1011" s="102" t="b">
        <v>0</v>
      </c>
      <c r="L1011" s="102" t="b">
        <v>0</v>
      </c>
    </row>
    <row r="1012" spans="1:12" ht="15">
      <c r="A1012" s="104" t="s">
        <v>2544</v>
      </c>
      <c r="B1012" s="102" t="s">
        <v>2387</v>
      </c>
      <c r="C1012" s="102">
        <v>3</v>
      </c>
      <c r="D1012" s="106">
        <v>0.004276913792909987</v>
      </c>
      <c r="E1012" s="106">
        <v>1.6463220228116908</v>
      </c>
      <c r="F1012" s="102" t="s">
        <v>2320</v>
      </c>
      <c r="G1012" s="102" t="b">
        <v>0</v>
      </c>
      <c r="H1012" s="102" t="b">
        <v>0</v>
      </c>
      <c r="I1012" s="102" t="b">
        <v>0</v>
      </c>
      <c r="J1012" s="102" t="b">
        <v>0</v>
      </c>
      <c r="K1012" s="102" t="b">
        <v>0</v>
      </c>
      <c r="L1012" s="102" t="b">
        <v>0</v>
      </c>
    </row>
    <row r="1013" spans="1:12" ht="15">
      <c r="A1013" s="104" t="s">
        <v>2578</v>
      </c>
      <c r="B1013" s="102" t="s">
        <v>2436</v>
      </c>
      <c r="C1013" s="102">
        <v>3</v>
      </c>
      <c r="D1013" s="106">
        <v>0.004276913792909987</v>
      </c>
      <c r="E1013" s="106">
        <v>1.8134584392144455</v>
      </c>
      <c r="F1013" s="102" t="s">
        <v>2320</v>
      </c>
      <c r="G1013" s="102" t="b">
        <v>0</v>
      </c>
      <c r="H1013" s="102" t="b">
        <v>0</v>
      </c>
      <c r="I1013" s="102" t="b">
        <v>0</v>
      </c>
      <c r="J1013" s="102" t="b">
        <v>0</v>
      </c>
      <c r="K1013" s="102" t="b">
        <v>0</v>
      </c>
      <c r="L1013" s="102" t="b">
        <v>0</v>
      </c>
    </row>
    <row r="1014" spans="1:12" ht="15">
      <c r="A1014" s="104" t="s">
        <v>2436</v>
      </c>
      <c r="B1014" s="102" t="s">
        <v>2619</v>
      </c>
      <c r="C1014" s="102">
        <v>3</v>
      </c>
      <c r="D1014" s="106">
        <v>0.004276913792909987</v>
      </c>
      <c r="E1014" s="106">
        <v>1.9595864748926837</v>
      </c>
      <c r="F1014" s="102" t="s">
        <v>2320</v>
      </c>
      <c r="G1014" s="102" t="b">
        <v>0</v>
      </c>
      <c r="H1014" s="102" t="b">
        <v>0</v>
      </c>
      <c r="I1014" s="102" t="b">
        <v>0</v>
      </c>
      <c r="J1014" s="102" t="b">
        <v>0</v>
      </c>
      <c r="K1014" s="102" t="b">
        <v>0</v>
      </c>
      <c r="L1014" s="102" t="b">
        <v>0</v>
      </c>
    </row>
    <row r="1015" spans="1:12" ht="15">
      <c r="A1015" s="104" t="s">
        <v>2393</v>
      </c>
      <c r="B1015" s="102" t="s">
        <v>2398</v>
      </c>
      <c r="C1015" s="102">
        <v>3</v>
      </c>
      <c r="D1015" s="106">
        <v>0.004276913792909987</v>
      </c>
      <c r="E1015" s="106">
        <v>1.4950543474810416</v>
      </c>
      <c r="F1015" s="102" t="s">
        <v>2320</v>
      </c>
      <c r="G1015" s="102" t="b">
        <v>0</v>
      </c>
      <c r="H1015" s="102" t="b">
        <v>0</v>
      </c>
      <c r="I1015" s="102" t="b">
        <v>0</v>
      </c>
      <c r="J1015" s="102" t="b">
        <v>0</v>
      </c>
      <c r="K1015" s="102" t="b">
        <v>0</v>
      </c>
      <c r="L1015" s="102" t="b">
        <v>0</v>
      </c>
    </row>
    <row r="1016" spans="1:12" ht="15">
      <c r="A1016" s="104" t="s">
        <v>2382</v>
      </c>
      <c r="B1016" s="102" t="s">
        <v>2373</v>
      </c>
      <c r="C1016" s="102">
        <v>3</v>
      </c>
      <c r="D1016" s="106">
        <v>0.003455922895644583</v>
      </c>
      <c r="E1016" s="106">
        <v>1.6005645322510158</v>
      </c>
      <c r="F1016" s="102" t="s">
        <v>2320</v>
      </c>
      <c r="G1016" s="102" t="b">
        <v>0</v>
      </c>
      <c r="H1016" s="102" t="b">
        <v>0</v>
      </c>
      <c r="I1016" s="102" t="b">
        <v>0</v>
      </c>
      <c r="J1016" s="102" t="b">
        <v>0</v>
      </c>
      <c r="K1016" s="102" t="b">
        <v>0</v>
      </c>
      <c r="L1016" s="102" t="b">
        <v>0</v>
      </c>
    </row>
    <row r="1017" spans="1:12" ht="15">
      <c r="A1017" s="104" t="s">
        <v>2373</v>
      </c>
      <c r="B1017" s="102" t="s">
        <v>2382</v>
      </c>
      <c r="C1017" s="102">
        <v>3</v>
      </c>
      <c r="D1017" s="106">
        <v>0.004276913792909987</v>
      </c>
      <c r="E1017" s="106">
        <v>1.6005645322510158</v>
      </c>
      <c r="F1017" s="102" t="s">
        <v>2320</v>
      </c>
      <c r="G1017" s="102" t="b">
        <v>0</v>
      </c>
      <c r="H1017" s="102" t="b">
        <v>0</v>
      </c>
      <c r="I1017" s="102" t="b">
        <v>0</v>
      </c>
      <c r="J1017" s="102" t="b">
        <v>0</v>
      </c>
      <c r="K1017" s="102" t="b">
        <v>0</v>
      </c>
      <c r="L1017" s="102" t="b">
        <v>0</v>
      </c>
    </row>
    <row r="1018" spans="1:12" ht="15">
      <c r="A1018" s="104" t="s">
        <v>2382</v>
      </c>
      <c r="B1018" s="102" t="s">
        <v>2357</v>
      </c>
      <c r="C1018" s="102">
        <v>3</v>
      </c>
      <c r="D1018" s="106">
        <v>0.003455922895644583</v>
      </c>
      <c r="E1018" s="106">
        <v>1.2995345365870345</v>
      </c>
      <c r="F1018" s="102" t="s">
        <v>2320</v>
      </c>
      <c r="G1018" s="102" t="b">
        <v>0</v>
      </c>
      <c r="H1018" s="102" t="b">
        <v>0</v>
      </c>
      <c r="I1018" s="102" t="b">
        <v>0</v>
      </c>
      <c r="J1018" s="102" t="b">
        <v>0</v>
      </c>
      <c r="K1018" s="102" t="b">
        <v>0</v>
      </c>
      <c r="L1018" s="102" t="b">
        <v>0</v>
      </c>
    </row>
    <row r="1019" spans="1:12" ht="15">
      <c r="A1019" s="104" t="s">
        <v>2350</v>
      </c>
      <c r="B1019" s="102" t="s">
        <v>2362</v>
      </c>
      <c r="C1019" s="102">
        <v>3</v>
      </c>
      <c r="D1019" s="106">
        <v>0.004276913792909987</v>
      </c>
      <c r="E1019" s="106">
        <v>1.092034813279729</v>
      </c>
      <c r="F1019" s="102" t="s">
        <v>2320</v>
      </c>
      <c r="G1019" s="102" t="b">
        <v>0</v>
      </c>
      <c r="H1019" s="102" t="b">
        <v>0</v>
      </c>
      <c r="I1019" s="102" t="b">
        <v>0</v>
      </c>
      <c r="J1019" s="102" t="b">
        <v>0</v>
      </c>
      <c r="K1019" s="102" t="b">
        <v>0</v>
      </c>
      <c r="L1019" s="102" t="b">
        <v>0</v>
      </c>
    </row>
    <row r="1020" spans="1:12" ht="15">
      <c r="A1020" s="104" t="s">
        <v>2362</v>
      </c>
      <c r="B1020" s="102" t="s">
        <v>2365</v>
      </c>
      <c r="C1020" s="102">
        <v>3</v>
      </c>
      <c r="D1020" s="106">
        <v>0.004276913792909987</v>
      </c>
      <c r="E1020" s="106">
        <v>1.3575264835647212</v>
      </c>
      <c r="F1020" s="102" t="s">
        <v>2320</v>
      </c>
      <c r="G1020" s="102" t="b">
        <v>0</v>
      </c>
      <c r="H1020" s="102" t="b">
        <v>0</v>
      </c>
      <c r="I1020" s="102" t="b">
        <v>0</v>
      </c>
      <c r="J1020" s="102" t="b">
        <v>0</v>
      </c>
      <c r="K1020" s="102" t="b">
        <v>0</v>
      </c>
      <c r="L1020" s="102" t="b">
        <v>0</v>
      </c>
    </row>
    <row r="1021" spans="1:12" ht="15">
      <c r="A1021" s="104" t="s">
        <v>2446</v>
      </c>
      <c r="B1021" s="102" t="s">
        <v>2457</v>
      </c>
      <c r="C1021" s="102">
        <v>3</v>
      </c>
      <c r="D1021" s="106">
        <v>0.004276913792909987</v>
      </c>
      <c r="E1021" s="106">
        <v>1.3830805880371093</v>
      </c>
      <c r="F1021" s="102" t="s">
        <v>2320</v>
      </c>
      <c r="G1021" s="102" t="b">
        <v>0</v>
      </c>
      <c r="H1021" s="102" t="b">
        <v>0</v>
      </c>
      <c r="I1021" s="102" t="b">
        <v>0</v>
      </c>
      <c r="J1021" s="102" t="b">
        <v>0</v>
      </c>
      <c r="K1021" s="102" t="b">
        <v>0</v>
      </c>
      <c r="L1021" s="102" t="b">
        <v>0</v>
      </c>
    </row>
    <row r="1022" spans="1:12" ht="15">
      <c r="A1022" s="104" t="s">
        <v>2348</v>
      </c>
      <c r="B1022" s="102" t="s">
        <v>2348</v>
      </c>
      <c r="C1022" s="102">
        <v>3</v>
      </c>
      <c r="D1022" s="106">
        <v>0.003455922895644583</v>
      </c>
      <c r="E1022" s="106">
        <v>0.6585564792287024</v>
      </c>
      <c r="F1022" s="102" t="s">
        <v>2320</v>
      </c>
      <c r="G1022" s="102" t="b">
        <v>0</v>
      </c>
      <c r="H1022" s="102" t="b">
        <v>0</v>
      </c>
      <c r="I1022" s="102" t="b">
        <v>0</v>
      </c>
      <c r="J1022" s="102" t="b">
        <v>0</v>
      </c>
      <c r="K1022" s="102" t="b">
        <v>0</v>
      </c>
      <c r="L1022" s="102" t="b">
        <v>0</v>
      </c>
    </row>
    <row r="1023" spans="1:12" ht="15">
      <c r="A1023" s="104" t="s">
        <v>2349</v>
      </c>
      <c r="B1023" s="102" t="s">
        <v>2465</v>
      </c>
      <c r="C1023" s="102">
        <v>2</v>
      </c>
      <c r="D1023" s="106">
        <v>0.0023039485970963885</v>
      </c>
      <c r="E1023" s="106">
        <v>1.2941395047003283</v>
      </c>
      <c r="F1023" s="102" t="s">
        <v>2320</v>
      </c>
      <c r="G1023" s="102" t="b">
        <v>0</v>
      </c>
      <c r="H1023" s="102" t="b">
        <v>0</v>
      </c>
      <c r="I1023" s="102" t="b">
        <v>0</v>
      </c>
      <c r="J1023" s="102" t="b">
        <v>0</v>
      </c>
      <c r="K1023" s="102" t="b">
        <v>1</v>
      </c>
      <c r="L1023" s="102" t="b">
        <v>0</v>
      </c>
    </row>
    <row r="1024" spans="1:12" ht="15">
      <c r="A1024" s="104" t="s">
        <v>2393</v>
      </c>
      <c r="B1024" s="102" t="s">
        <v>2349</v>
      </c>
      <c r="C1024" s="102">
        <v>2</v>
      </c>
      <c r="D1024" s="106">
        <v>0.0023039485970963885</v>
      </c>
      <c r="E1024" s="106">
        <v>0.3811109951742048</v>
      </c>
      <c r="F1024" s="102" t="s">
        <v>2320</v>
      </c>
      <c r="G1024" s="102" t="b">
        <v>0</v>
      </c>
      <c r="H1024" s="102" t="b">
        <v>0</v>
      </c>
      <c r="I1024" s="102" t="b">
        <v>0</v>
      </c>
      <c r="J1024" s="102" t="b">
        <v>0</v>
      </c>
      <c r="K1024" s="102" t="b">
        <v>0</v>
      </c>
      <c r="L1024" s="102" t="b">
        <v>0</v>
      </c>
    </row>
    <row r="1025" spans="1:12" ht="15">
      <c r="A1025" s="104" t="s">
        <v>2397</v>
      </c>
      <c r="B1025" s="102" t="s">
        <v>2385</v>
      </c>
      <c r="C1025" s="102">
        <v>2</v>
      </c>
      <c r="D1025" s="106">
        <v>0.0023039485970963885</v>
      </c>
      <c r="E1025" s="106">
        <v>1.327563260187278</v>
      </c>
      <c r="F1025" s="102" t="s">
        <v>2320</v>
      </c>
      <c r="G1025" s="102" t="b">
        <v>0</v>
      </c>
      <c r="H1025" s="102" t="b">
        <v>0</v>
      </c>
      <c r="I1025" s="102" t="b">
        <v>0</v>
      </c>
      <c r="J1025" s="102" t="b">
        <v>0</v>
      </c>
      <c r="K1025" s="102" t="b">
        <v>0</v>
      </c>
      <c r="L1025" s="102" t="b">
        <v>0</v>
      </c>
    </row>
    <row r="1026" spans="1:12" ht="15">
      <c r="A1026" s="104" t="s">
        <v>2385</v>
      </c>
      <c r="B1026" s="102" t="s">
        <v>3141</v>
      </c>
      <c r="C1026" s="102">
        <v>2</v>
      </c>
      <c r="D1026" s="106">
        <v>0.0023039485970963885</v>
      </c>
      <c r="E1026" s="106">
        <v>1.9851405793650716</v>
      </c>
      <c r="F1026" s="102" t="s">
        <v>2320</v>
      </c>
      <c r="G1026" s="102" t="b">
        <v>0</v>
      </c>
      <c r="H1026" s="102" t="b">
        <v>0</v>
      </c>
      <c r="I1026" s="102" t="b">
        <v>0</v>
      </c>
      <c r="J1026" s="102" t="b">
        <v>0</v>
      </c>
      <c r="K1026" s="102" t="b">
        <v>0</v>
      </c>
      <c r="L1026" s="102" t="b">
        <v>0</v>
      </c>
    </row>
    <row r="1027" spans="1:12" ht="15">
      <c r="A1027" s="104" t="s">
        <v>2429</v>
      </c>
      <c r="B1027" s="102" t="s">
        <v>2686</v>
      </c>
      <c r="C1027" s="102">
        <v>2</v>
      </c>
      <c r="D1027" s="106">
        <v>0.0023039485970963885</v>
      </c>
      <c r="E1027" s="106">
        <v>2.0053439654533585</v>
      </c>
      <c r="F1027" s="102" t="s">
        <v>2320</v>
      </c>
      <c r="G1027" s="102" t="b">
        <v>0</v>
      </c>
      <c r="H1027" s="102" t="b">
        <v>0</v>
      </c>
      <c r="I1027" s="102" t="b">
        <v>0</v>
      </c>
      <c r="J1027" s="102" t="b">
        <v>0</v>
      </c>
      <c r="K1027" s="102" t="b">
        <v>0</v>
      </c>
      <c r="L1027" s="102" t="b">
        <v>0</v>
      </c>
    </row>
    <row r="1028" spans="1:12" ht="15">
      <c r="A1028" s="104" t="s">
        <v>2558</v>
      </c>
      <c r="B1028" s="102" t="s">
        <v>2769</v>
      </c>
      <c r="C1028" s="102">
        <v>2</v>
      </c>
      <c r="D1028" s="106">
        <v>0.002851275861939991</v>
      </c>
      <c r="E1028" s="106">
        <v>2.248382014139653</v>
      </c>
      <c r="F1028" s="102" t="s">
        <v>2320</v>
      </c>
      <c r="G1028" s="102" t="b">
        <v>0</v>
      </c>
      <c r="H1028" s="102" t="b">
        <v>0</v>
      </c>
      <c r="I1028" s="102" t="b">
        <v>0</v>
      </c>
      <c r="J1028" s="102" t="b">
        <v>0</v>
      </c>
      <c r="K1028" s="102" t="b">
        <v>0</v>
      </c>
      <c r="L1028" s="102" t="b">
        <v>0</v>
      </c>
    </row>
    <row r="1029" spans="1:12" ht="15">
      <c r="A1029" s="104" t="s">
        <v>2450</v>
      </c>
      <c r="B1029" s="102" t="s">
        <v>2349</v>
      </c>
      <c r="C1029" s="102">
        <v>2</v>
      </c>
      <c r="D1029" s="106">
        <v>0.0023039485970963885</v>
      </c>
      <c r="E1029" s="106">
        <v>1.0094999252245163</v>
      </c>
      <c r="F1029" s="102" t="s">
        <v>2320</v>
      </c>
      <c r="G1029" s="102" t="b">
        <v>0</v>
      </c>
      <c r="H1029" s="102" t="b">
        <v>0</v>
      </c>
      <c r="I1029" s="102" t="b">
        <v>0</v>
      </c>
      <c r="J1029" s="102" t="b">
        <v>0</v>
      </c>
      <c r="K1029" s="102" t="b">
        <v>0</v>
      </c>
      <c r="L1029" s="102" t="b">
        <v>0</v>
      </c>
    </row>
    <row r="1030" spans="1:12" ht="15">
      <c r="A1030" s="104" t="s">
        <v>2720</v>
      </c>
      <c r="B1030" s="102" t="s">
        <v>2356</v>
      </c>
      <c r="C1030" s="102">
        <v>2</v>
      </c>
      <c r="D1030" s="106">
        <v>0.0023039485970963885</v>
      </c>
      <c r="E1030" s="106">
        <v>1.7477796635704679</v>
      </c>
      <c r="F1030" s="102" t="s">
        <v>2320</v>
      </c>
      <c r="G1030" s="102" t="b">
        <v>0</v>
      </c>
      <c r="H1030" s="102" t="b">
        <v>0</v>
      </c>
      <c r="I1030" s="102" t="b">
        <v>0</v>
      </c>
      <c r="J1030" s="102" t="b">
        <v>0</v>
      </c>
      <c r="K1030" s="102" t="b">
        <v>0</v>
      </c>
      <c r="L1030" s="102" t="b">
        <v>0</v>
      </c>
    </row>
    <row r="1031" spans="1:12" ht="15">
      <c r="A1031" s="104" t="s">
        <v>2356</v>
      </c>
      <c r="B1031" s="102" t="s">
        <v>2350</v>
      </c>
      <c r="C1031" s="102">
        <v>2</v>
      </c>
      <c r="D1031" s="106">
        <v>0.0023039485970963885</v>
      </c>
      <c r="E1031" s="106">
        <v>0.4255603688365485</v>
      </c>
      <c r="F1031" s="102" t="s">
        <v>2320</v>
      </c>
      <c r="G1031" s="102" t="b">
        <v>0</v>
      </c>
      <c r="H1031" s="102" t="b">
        <v>0</v>
      </c>
      <c r="I1031" s="102" t="b">
        <v>0</v>
      </c>
      <c r="J1031" s="102" t="b">
        <v>0</v>
      </c>
      <c r="K1031" s="102" t="b">
        <v>0</v>
      </c>
      <c r="L1031" s="102" t="b">
        <v>0</v>
      </c>
    </row>
    <row r="1032" spans="1:12" ht="15">
      <c r="A1032" s="104" t="s">
        <v>3265</v>
      </c>
      <c r="B1032" s="102" t="s">
        <v>2356</v>
      </c>
      <c r="C1032" s="102">
        <v>2</v>
      </c>
      <c r="D1032" s="106">
        <v>0.0023039485970963885</v>
      </c>
      <c r="E1032" s="106">
        <v>1.7477796635704679</v>
      </c>
      <c r="F1032" s="102" t="s">
        <v>2320</v>
      </c>
      <c r="G1032" s="102" t="b">
        <v>0</v>
      </c>
      <c r="H1032" s="102" t="b">
        <v>0</v>
      </c>
      <c r="I1032" s="102" t="b">
        <v>0</v>
      </c>
      <c r="J1032" s="102" t="b">
        <v>0</v>
      </c>
      <c r="K1032" s="102" t="b">
        <v>0</v>
      </c>
      <c r="L1032" s="102" t="b">
        <v>0</v>
      </c>
    </row>
    <row r="1033" spans="1:12" ht="15">
      <c r="A1033" s="104" t="s">
        <v>2356</v>
      </c>
      <c r="B1033" s="102" t="s">
        <v>2652</v>
      </c>
      <c r="C1033" s="102">
        <v>2</v>
      </c>
      <c r="D1033" s="106">
        <v>0.0023039485970963885</v>
      </c>
      <c r="E1033" s="106">
        <v>1.7477796635704679</v>
      </c>
      <c r="F1033" s="102" t="s">
        <v>2320</v>
      </c>
      <c r="G1033" s="102" t="b">
        <v>0</v>
      </c>
      <c r="H1033" s="102" t="b">
        <v>0</v>
      </c>
      <c r="I1033" s="102" t="b">
        <v>0</v>
      </c>
      <c r="J1033" s="102" t="b">
        <v>0</v>
      </c>
      <c r="K1033" s="102" t="b">
        <v>0</v>
      </c>
      <c r="L1033" s="102" t="b">
        <v>0</v>
      </c>
    </row>
    <row r="1034" spans="1:12" ht="15">
      <c r="A1034" s="104" t="s">
        <v>2350</v>
      </c>
      <c r="B1034" s="102" t="s">
        <v>2350</v>
      </c>
      <c r="C1034" s="102">
        <v>2</v>
      </c>
      <c r="D1034" s="106">
        <v>0.0023039485970963885</v>
      </c>
      <c r="E1034" s="106">
        <v>0.070845514209791</v>
      </c>
      <c r="F1034" s="102" t="s">
        <v>2320</v>
      </c>
      <c r="G1034" s="102" t="b">
        <v>0</v>
      </c>
      <c r="H1034" s="102" t="b">
        <v>0</v>
      </c>
      <c r="I1034" s="102" t="b">
        <v>0</v>
      </c>
      <c r="J1034" s="102" t="b">
        <v>0</v>
      </c>
      <c r="K1034" s="102" t="b">
        <v>0</v>
      </c>
      <c r="L1034" s="102" t="b">
        <v>0</v>
      </c>
    </row>
    <row r="1035" spans="1:12" ht="15">
      <c r="A1035" s="104" t="s">
        <v>2350</v>
      </c>
      <c r="B1035" s="102" t="s">
        <v>2368</v>
      </c>
      <c r="C1035" s="102">
        <v>2</v>
      </c>
      <c r="D1035" s="106">
        <v>0.0023039485970963885</v>
      </c>
      <c r="E1035" s="106">
        <v>1.216973549888029</v>
      </c>
      <c r="F1035" s="102" t="s">
        <v>2320</v>
      </c>
      <c r="G1035" s="102" t="b">
        <v>0</v>
      </c>
      <c r="H1035" s="102" t="b">
        <v>0</v>
      </c>
      <c r="I1035" s="102" t="b">
        <v>0</v>
      </c>
      <c r="J1035" s="102" t="b">
        <v>0</v>
      </c>
      <c r="K1035" s="102" t="b">
        <v>0</v>
      </c>
      <c r="L1035" s="102" t="b">
        <v>0</v>
      </c>
    </row>
    <row r="1036" spans="1:12" ht="15">
      <c r="A1036" s="104" t="s">
        <v>2628</v>
      </c>
      <c r="B1036" s="102" t="s">
        <v>3268</v>
      </c>
      <c r="C1036" s="102">
        <v>2</v>
      </c>
      <c r="D1036" s="106">
        <v>0.002851275861939991</v>
      </c>
      <c r="E1036" s="106">
        <v>2.248382014139653</v>
      </c>
      <c r="F1036" s="102" t="s">
        <v>2320</v>
      </c>
      <c r="G1036" s="102" t="b">
        <v>0</v>
      </c>
      <c r="H1036" s="102" t="b">
        <v>0</v>
      </c>
      <c r="I1036" s="102" t="b">
        <v>0</v>
      </c>
      <c r="J1036" s="102" t="b">
        <v>0</v>
      </c>
      <c r="K1036" s="102" t="b">
        <v>0</v>
      </c>
      <c r="L1036" s="102" t="b">
        <v>0</v>
      </c>
    </row>
    <row r="1037" spans="1:12" ht="15">
      <c r="A1037" s="104" t="s">
        <v>2546</v>
      </c>
      <c r="B1037" s="102" t="s">
        <v>2545</v>
      </c>
      <c r="C1037" s="102">
        <v>2</v>
      </c>
      <c r="D1037" s="106">
        <v>0.002851275861939991</v>
      </c>
      <c r="E1037" s="106">
        <v>1.7043139697893774</v>
      </c>
      <c r="F1037" s="102" t="s">
        <v>2320</v>
      </c>
      <c r="G1037" s="102" t="b">
        <v>0</v>
      </c>
      <c r="H1037" s="102" t="b">
        <v>0</v>
      </c>
      <c r="I1037" s="102" t="b">
        <v>0</v>
      </c>
      <c r="J1037" s="102" t="b">
        <v>0</v>
      </c>
      <c r="K1037" s="102" t="b">
        <v>0</v>
      </c>
      <c r="L1037" s="102" t="b">
        <v>0</v>
      </c>
    </row>
    <row r="1038" spans="1:12" ht="15">
      <c r="A1038" s="104" t="s">
        <v>2545</v>
      </c>
      <c r="B1038" s="102" t="s">
        <v>2547</v>
      </c>
      <c r="C1038" s="102">
        <v>2</v>
      </c>
      <c r="D1038" s="106">
        <v>0.002851275861939991</v>
      </c>
      <c r="E1038" s="106">
        <v>1.5793752331810775</v>
      </c>
      <c r="F1038" s="102" t="s">
        <v>2320</v>
      </c>
      <c r="G1038" s="102" t="b">
        <v>0</v>
      </c>
      <c r="H1038" s="102" t="b">
        <v>0</v>
      </c>
      <c r="I1038" s="102" t="b">
        <v>0</v>
      </c>
      <c r="J1038" s="102" t="b">
        <v>0</v>
      </c>
      <c r="K1038" s="102" t="b">
        <v>1</v>
      </c>
      <c r="L1038" s="102" t="b">
        <v>0</v>
      </c>
    </row>
    <row r="1039" spans="1:12" ht="15">
      <c r="A1039" s="104" t="s">
        <v>2548</v>
      </c>
      <c r="B1039" s="102" t="s">
        <v>2925</v>
      </c>
      <c r="C1039" s="102">
        <v>2</v>
      </c>
      <c r="D1039" s="106">
        <v>0.002851275861939991</v>
      </c>
      <c r="E1039" s="106">
        <v>1.9473520184756719</v>
      </c>
      <c r="F1039" s="102" t="s">
        <v>2320</v>
      </c>
      <c r="G1039" s="102" t="b">
        <v>0</v>
      </c>
      <c r="H1039" s="102" t="b">
        <v>1</v>
      </c>
      <c r="I1039" s="102" t="b">
        <v>0</v>
      </c>
      <c r="J1039" s="102" t="b">
        <v>0</v>
      </c>
      <c r="K1039" s="102" t="b">
        <v>0</v>
      </c>
      <c r="L1039" s="102" t="b">
        <v>0</v>
      </c>
    </row>
    <row r="1040" spans="1:12" ht="15">
      <c r="A1040" s="104" t="s">
        <v>2925</v>
      </c>
      <c r="B1040" s="102" t="s">
        <v>2547</v>
      </c>
      <c r="C1040" s="102">
        <v>2</v>
      </c>
      <c r="D1040" s="106">
        <v>0.002851275861939991</v>
      </c>
      <c r="E1040" s="106">
        <v>1.9473520184756719</v>
      </c>
      <c r="F1040" s="102" t="s">
        <v>2320</v>
      </c>
      <c r="G1040" s="102" t="b">
        <v>0</v>
      </c>
      <c r="H1040" s="102" t="b">
        <v>0</v>
      </c>
      <c r="I1040" s="102" t="b">
        <v>0</v>
      </c>
      <c r="J1040" s="102" t="b">
        <v>0</v>
      </c>
      <c r="K1040" s="102" t="b">
        <v>1</v>
      </c>
      <c r="L1040" s="102" t="b">
        <v>0</v>
      </c>
    </row>
    <row r="1041" spans="1:12" ht="15">
      <c r="A1041" s="104" t="s">
        <v>2360</v>
      </c>
      <c r="B1041" s="102" t="s">
        <v>2451</v>
      </c>
      <c r="C1041" s="102">
        <v>2</v>
      </c>
      <c r="D1041" s="106">
        <v>0.0023039485970963885</v>
      </c>
      <c r="E1041" s="106">
        <v>1.4244732731953345</v>
      </c>
      <c r="F1041" s="102" t="s">
        <v>2320</v>
      </c>
      <c r="G1041" s="102" t="b">
        <v>0</v>
      </c>
      <c r="H1041" s="102" t="b">
        <v>1</v>
      </c>
      <c r="I1041" s="102" t="b">
        <v>0</v>
      </c>
      <c r="J1041" s="102" t="b">
        <v>0</v>
      </c>
      <c r="K1041" s="102" t="b">
        <v>0</v>
      </c>
      <c r="L1041" s="102" t="b">
        <v>0</v>
      </c>
    </row>
    <row r="1042" spans="1:12" ht="15">
      <c r="A1042" s="104" t="s">
        <v>2349</v>
      </c>
      <c r="B1042" s="102" t="s">
        <v>2379</v>
      </c>
      <c r="C1042" s="102">
        <v>2</v>
      </c>
      <c r="D1042" s="106">
        <v>0.0023039485970963885</v>
      </c>
      <c r="E1042" s="106">
        <v>0.5951695003643095</v>
      </c>
      <c r="F1042" s="102" t="s">
        <v>2320</v>
      </c>
      <c r="G1042" s="102" t="b">
        <v>0</v>
      </c>
      <c r="H1042" s="102" t="b">
        <v>0</v>
      </c>
      <c r="I1042" s="102" t="b">
        <v>0</v>
      </c>
      <c r="J1042" s="102" t="b">
        <v>0</v>
      </c>
      <c r="K1042" s="102" t="b">
        <v>0</v>
      </c>
      <c r="L1042" s="102" t="b">
        <v>0</v>
      </c>
    </row>
    <row r="1043" spans="1:12" ht="15">
      <c r="A1043" s="104" t="s">
        <v>2496</v>
      </c>
      <c r="B1043" s="102" t="s">
        <v>3179</v>
      </c>
      <c r="C1043" s="102">
        <v>2</v>
      </c>
      <c r="D1043" s="106">
        <v>0.0023039485970963885</v>
      </c>
      <c r="E1043" s="106">
        <v>2.4244732731953342</v>
      </c>
      <c r="F1043" s="102" t="s">
        <v>2320</v>
      </c>
      <c r="G1043" s="102" t="b">
        <v>0</v>
      </c>
      <c r="H1043" s="102" t="b">
        <v>1</v>
      </c>
      <c r="I1043" s="102" t="b">
        <v>0</v>
      </c>
      <c r="J1043" s="102" t="b">
        <v>0</v>
      </c>
      <c r="K1043" s="102" t="b">
        <v>1</v>
      </c>
      <c r="L1043" s="102" t="b">
        <v>0</v>
      </c>
    </row>
    <row r="1044" spans="1:12" ht="15">
      <c r="A1044" s="104" t="s">
        <v>3179</v>
      </c>
      <c r="B1044" s="102" t="s">
        <v>2897</v>
      </c>
      <c r="C1044" s="102">
        <v>2</v>
      </c>
      <c r="D1044" s="106">
        <v>0.0023039485970963885</v>
      </c>
      <c r="E1044" s="106">
        <v>2.7255032688593155</v>
      </c>
      <c r="F1044" s="102" t="s">
        <v>2320</v>
      </c>
      <c r="G1044" s="102" t="b">
        <v>0</v>
      </c>
      <c r="H1044" s="102" t="b">
        <v>1</v>
      </c>
      <c r="I1044" s="102" t="b">
        <v>0</v>
      </c>
      <c r="J1044" s="102" t="b">
        <v>0</v>
      </c>
      <c r="K1044" s="102" t="b">
        <v>0</v>
      </c>
      <c r="L1044" s="102" t="b">
        <v>0</v>
      </c>
    </row>
    <row r="1045" spans="1:12" ht="15">
      <c r="A1045" s="104" t="s">
        <v>2897</v>
      </c>
      <c r="B1045" s="102" t="s">
        <v>2349</v>
      </c>
      <c r="C1045" s="102">
        <v>2</v>
      </c>
      <c r="D1045" s="106">
        <v>0.0023039485970963885</v>
      </c>
      <c r="E1045" s="106">
        <v>1.3105299208884975</v>
      </c>
      <c r="F1045" s="102" t="s">
        <v>2320</v>
      </c>
      <c r="G1045" s="102" t="b">
        <v>0</v>
      </c>
      <c r="H1045" s="102" t="b">
        <v>0</v>
      </c>
      <c r="I1045" s="102" t="b">
        <v>0</v>
      </c>
      <c r="J1045" s="102" t="b">
        <v>0</v>
      </c>
      <c r="K1045" s="102" t="b">
        <v>0</v>
      </c>
      <c r="L1045" s="102" t="b">
        <v>0</v>
      </c>
    </row>
    <row r="1046" spans="1:12" ht="15">
      <c r="A1046" s="104" t="s">
        <v>2349</v>
      </c>
      <c r="B1046" s="102" t="s">
        <v>2565</v>
      </c>
      <c r="C1046" s="102">
        <v>2</v>
      </c>
      <c r="D1046" s="106">
        <v>0.0023039485970963885</v>
      </c>
      <c r="E1046" s="106">
        <v>0.9931095090363471</v>
      </c>
      <c r="F1046" s="102" t="s">
        <v>2320</v>
      </c>
      <c r="G1046" s="102" t="b">
        <v>0</v>
      </c>
      <c r="H1046" s="102" t="b">
        <v>0</v>
      </c>
      <c r="I1046" s="102" t="b">
        <v>0</v>
      </c>
      <c r="J1046" s="102" t="b">
        <v>0</v>
      </c>
      <c r="K1046" s="102" t="b">
        <v>0</v>
      </c>
      <c r="L1046" s="102" t="b">
        <v>0</v>
      </c>
    </row>
    <row r="1047" spans="1:12" ht="15">
      <c r="A1047" s="104" t="s">
        <v>2349</v>
      </c>
      <c r="B1047" s="102" t="s">
        <v>2414</v>
      </c>
      <c r="C1047" s="102">
        <v>2</v>
      </c>
      <c r="D1047" s="106">
        <v>0.0023039485970963885</v>
      </c>
      <c r="E1047" s="106">
        <v>1.118048245644647</v>
      </c>
      <c r="F1047" s="102" t="s">
        <v>2320</v>
      </c>
      <c r="G1047" s="102" t="b">
        <v>0</v>
      </c>
      <c r="H1047" s="102" t="b">
        <v>0</v>
      </c>
      <c r="I1047" s="102" t="b">
        <v>0</v>
      </c>
      <c r="J1047" s="102" t="b">
        <v>0</v>
      </c>
      <c r="K1047" s="102" t="b">
        <v>0</v>
      </c>
      <c r="L1047" s="102" t="b">
        <v>0</v>
      </c>
    </row>
    <row r="1048" spans="1:12" ht="15">
      <c r="A1048" s="104" t="s">
        <v>2414</v>
      </c>
      <c r="B1048" s="102" t="s">
        <v>2420</v>
      </c>
      <c r="C1048" s="102">
        <v>2</v>
      </c>
      <c r="D1048" s="106">
        <v>0.0023039485970963885</v>
      </c>
      <c r="E1048" s="106">
        <v>2.3733207507479532</v>
      </c>
      <c r="F1048" s="102" t="s">
        <v>2320</v>
      </c>
      <c r="G1048" s="102" t="b">
        <v>0</v>
      </c>
      <c r="H1048" s="102" t="b">
        <v>0</v>
      </c>
      <c r="I1048" s="102" t="b">
        <v>0</v>
      </c>
      <c r="J1048" s="102" t="b">
        <v>0</v>
      </c>
      <c r="K1048" s="102" t="b">
        <v>0</v>
      </c>
      <c r="L1048" s="102" t="b">
        <v>0</v>
      </c>
    </row>
    <row r="1049" spans="1:12" ht="15">
      <c r="A1049" s="104" t="s">
        <v>2351</v>
      </c>
      <c r="B1049" s="102" t="s">
        <v>2480</v>
      </c>
      <c r="C1049" s="102">
        <v>2</v>
      </c>
      <c r="D1049" s="106">
        <v>0.0023039485970963885</v>
      </c>
      <c r="E1049" s="106">
        <v>1.3830805880371093</v>
      </c>
      <c r="F1049" s="102" t="s">
        <v>2320</v>
      </c>
      <c r="G1049" s="102" t="b">
        <v>0</v>
      </c>
      <c r="H1049" s="102" t="b">
        <v>0</v>
      </c>
      <c r="I1049" s="102" t="b">
        <v>0</v>
      </c>
      <c r="J1049" s="102" t="b">
        <v>0</v>
      </c>
      <c r="K1049" s="102" t="b">
        <v>0</v>
      </c>
      <c r="L1049" s="102" t="b">
        <v>0</v>
      </c>
    </row>
    <row r="1050" spans="1:12" ht="15">
      <c r="A1050" s="104" t="s">
        <v>2480</v>
      </c>
      <c r="B1050" s="102" t="s">
        <v>2487</v>
      </c>
      <c r="C1050" s="102">
        <v>2</v>
      </c>
      <c r="D1050" s="106">
        <v>0.0023039485970963885</v>
      </c>
      <c r="E1050" s="106">
        <v>2.123443277531353</v>
      </c>
      <c r="F1050" s="102" t="s">
        <v>2320</v>
      </c>
      <c r="G1050" s="102" t="b">
        <v>0</v>
      </c>
      <c r="H1050" s="102" t="b">
        <v>0</v>
      </c>
      <c r="I1050" s="102" t="b">
        <v>0</v>
      </c>
      <c r="J1050" s="102" t="b">
        <v>0</v>
      </c>
      <c r="K1050" s="102" t="b">
        <v>0</v>
      </c>
      <c r="L1050" s="102" t="b">
        <v>0</v>
      </c>
    </row>
    <row r="1051" spans="1:12" ht="15">
      <c r="A1051" s="104" t="s">
        <v>2487</v>
      </c>
      <c r="B1051" s="102" t="s">
        <v>2432</v>
      </c>
      <c r="C1051" s="102">
        <v>2</v>
      </c>
      <c r="D1051" s="106">
        <v>0.0023039485970963885</v>
      </c>
      <c r="E1051" s="106">
        <v>2.248382014139653</v>
      </c>
      <c r="F1051" s="102" t="s">
        <v>2320</v>
      </c>
      <c r="G1051" s="102" t="b">
        <v>0</v>
      </c>
      <c r="H1051" s="102" t="b">
        <v>0</v>
      </c>
      <c r="I1051" s="102" t="b">
        <v>0</v>
      </c>
      <c r="J1051" s="102" t="b">
        <v>0</v>
      </c>
      <c r="K1051" s="102" t="b">
        <v>0</v>
      </c>
      <c r="L1051" s="102" t="b">
        <v>0</v>
      </c>
    </row>
    <row r="1052" spans="1:12" ht="15">
      <c r="A1052" s="104" t="s">
        <v>2432</v>
      </c>
      <c r="B1052" s="102" t="s">
        <v>2888</v>
      </c>
      <c r="C1052" s="102">
        <v>2</v>
      </c>
      <c r="D1052" s="106">
        <v>0.0023039485970963885</v>
      </c>
      <c r="E1052" s="106">
        <v>2.549412009803634</v>
      </c>
      <c r="F1052" s="102" t="s">
        <v>2320</v>
      </c>
      <c r="G1052" s="102" t="b">
        <v>0</v>
      </c>
      <c r="H1052" s="102" t="b">
        <v>0</v>
      </c>
      <c r="I1052" s="102" t="b">
        <v>0</v>
      </c>
      <c r="J1052" s="102" t="b">
        <v>0</v>
      </c>
      <c r="K1052" s="102" t="b">
        <v>0</v>
      </c>
      <c r="L1052" s="102" t="b">
        <v>0</v>
      </c>
    </row>
    <row r="1053" spans="1:12" ht="15">
      <c r="A1053" s="104" t="s">
        <v>2888</v>
      </c>
      <c r="B1053" s="102" t="s">
        <v>2431</v>
      </c>
      <c r="C1053" s="102">
        <v>2</v>
      </c>
      <c r="D1053" s="106">
        <v>0.0023039485970963885</v>
      </c>
      <c r="E1053" s="106">
        <v>2.549412009803634</v>
      </c>
      <c r="F1053" s="102" t="s">
        <v>2320</v>
      </c>
      <c r="G1053" s="102" t="b">
        <v>0</v>
      </c>
      <c r="H1053" s="102" t="b">
        <v>0</v>
      </c>
      <c r="I1053" s="102" t="b">
        <v>0</v>
      </c>
      <c r="J1053" s="102" t="b">
        <v>1</v>
      </c>
      <c r="K1053" s="102" t="b">
        <v>0</v>
      </c>
      <c r="L1053" s="102" t="b">
        <v>0</v>
      </c>
    </row>
    <row r="1054" spans="1:12" ht="15">
      <c r="A1054" s="104" t="s">
        <v>2431</v>
      </c>
      <c r="B1054" s="102" t="s">
        <v>3180</v>
      </c>
      <c r="C1054" s="102">
        <v>2</v>
      </c>
      <c r="D1054" s="106">
        <v>0.0023039485970963885</v>
      </c>
      <c r="E1054" s="106">
        <v>2.549412009803634</v>
      </c>
      <c r="F1054" s="102" t="s">
        <v>2320</v>
      </c>
      <c r="G1054" s="102" t="b">
        <v>1</v>
      </c>
      <c r="H1054" s="102" t="b">
        <v>0</v>
      </c>
      <c r="I1054" s="102" t="b">
        <v>0</v>
      </c>
      <c r="J1054" s="102" t="b">
        <v>0</v>
      </c>
      <c r="K1054" s="102" t="b">
        <v>0</v>
      </c>
      <c r="L1054" s="102" t="b">
        <v>0</v>
      </c>
    </row>
    <row r="1055" spans="1:12" ht="15">
      <c r="A1055" s="104" t="s">
        <v>3180</v>
      </c>
      <c r="B1055" s="102" t="s">
        <v>2684</v>
      </c>
      <c r="C1055" s="102">
        <v>2</v>
      </c>
      <c r="D1055" s="106">
        <v>0.0023039485970963885</v>
      </c>
      <c r="E1055" s="106">
        <v>2.549412009803634</v>
      </c>
      <c r="F1055" s="102" t="s">
        <v>2320</v>
      </c>
      <c r="G1055" s="102" t="b">
        <v>0</v>
      </c>
      <c r="H1055" s="102" t="b">
        <v>0</v>
      </c>
      <c r="I1055" s="102" t="b">
        <v>0</v>
      </c>
      <c r="J1055" s="102" t="b">
        <v>0</v>
      </c>
      <c r="K1055" s="102" t="b">
        <v>0</v>
      </c>
      <c r="L1055" s="102" t="b">
        <v>0</v>
      </c>
    </row>
    <row r="1056" spans="1:12" ht="15">
      <c r="A1056" s="104" t="s">
        <v>2684</v>
      </c>
      <c r="B1056" s="102" t="s">
        <v>2350</v>
      </c>
      <c r="C1056" s="102">
        <v>2</v>
      </c>
      <c r="D1056" s="106">
        <v>0.0023039485970963885</v>
      </c>
      <c r="E1056" s="106">
        <v>1.227192715069715</v>
      </c>
      <c r="F1056" s="102" t="s">
        <v>2320</v>
      </c>
      <c r="G1056" s="102" t="b">
        <v>0</v>
      </c>
      <c r="H1056" s="102" t="b">
        <v>0</v>
      </c>
      <c r="I1056" s="102" t="b">
        <v>0</v>
      </c>
      <c r="J1056" s="102" t="b">
        <v>0</v>
      </c>
      <c r="K1056" s="102" t="b">
        <v>0</v>
      </c>
      <c r="L1056" s="102" t="b">
        <v>0</v>
      </c>
    </row>
    <row r="1057" spans="1:12" ht="15">
      <c r="A1057" s="104" t="s">
        <v>2356</v>
      </c>
      <c r="B1057" s="102" t="s">
        <v>2894</v>
      </c>
      <c r="C1057" s="102">
        <v>2</v>
      </c>
      <c r="D1057" s="106">
        <v>0.0023039485970963885</v>
      </c>
      <c r="E1057" s="106">
        <v>1.7477796635704679</v>
      </c>
      <c r="F1057" s="102" t="s">
        <v>2320</v>
      </c>
      <c r="G1057" s="102" t="b">
        <v>0</v>
      </c>
      <c r="H1057" s="102" t="b">
        <v>0</v>
      </c>
      <c r="I1057" s="102" t="b">
        <v>0</v>
      </c>
      <c r="J1057" s="102" t="b">
        <v>0</v>
      </c>
      <c r="K1057" s="102" t="b">
        <v>0</v>
      </c>
      <c r="L1057" s="102" t="b">
        <v>0</v>
      </c>
    </row>
    <row r="1058" spans="1:12" ht="15">
      <c r="A1058" s="104" t="s">
        <v>2369</v>
      </c>
      <c r="B1058" s="102" t="s">
        <v>2356</v>
      </c>
      <c r="C1058" s="102">
        <v>2</v>
      </c>
      <c r="D1058" s="106">
        <v>0.0023039485970963885</v>
      </c>
      <c r="E1058" s="106">
        <v>1.5716884045147865</v>
      </c>
      <c r="F1058" s="102" t="s">
        <v>2320</v>
      </c>
      <c r="G1058" s="102" t="b">
        <v>0</v>
      </c>
      <c r="H1058" s="102" t="b">
        <v>0</v>
      </c>
      <c r="I1058" s="102" t="b">
        <v>0</v>
      </c>
      <c r="J1058" s="102" t="b">
        <v>0</v>
      </c>
      <c r="K1058" s="102" t="b">
        <v>0</v>
      </c>
      <c r="L1058" s="102" t="b">
        <v>0</v>
      </c>
    </row>
    <row r="1059" spans="1:12" ht="15">
      <c r="A1059" s="104" t="s">
        <v>2438</v>
      </c>
      <c r="B1059" s="102" t="s">
        <v>2350</v>
      </c>
      <c r="C1059" s="102">
        <v>2</v>
      </c>
      <c r="D1059" s="106">
        <v>0.002851275861939991</v>
      </c>
      <c r="E1059" s="106">
        <v>1.1022539784614152</v>
      </c>
      <c r="F1059" s="102" t="s">
        <v>2320</v>
      </c>
      <c r="G1059" s="102" t="b">
        <v>0</v>
      </c>
      <c r="H1059" s="102" t="b">
        <v>0</v>
      </c>
      <c r="I1059" s="102" t="b">
        <v>0</v>
      </c>
      <c r="J1059" s="102" t="b">
        <v>0</v>
      </c>
      <c r="K1059" s="102" t="b">
        <v>0</v>
      </c>
      <c r="L1059" s="102" t="b">
        <v>0</v>
      </c>
    </row>
    <row r="1060" spans="1:12" ht="15">
      <c r="A1060" s="104" t="s">
        <v>2470</v>
      </c>
      <c r="B1060" s="102" t="s">
        <v>3137</v>
      </c>
      <c r="C1060" s="102">
        <v>2</v>
      </c>
      <c r="D1060" s="106">
        <v>0.0023039485970963885</v>
      </c>
      <c r="E1060" s="106">
        <v>2.248382014139653</v>
      </c>
      <c r="F1060" s="102" t="s">
        <v>2320</v>
      </c>
      <c r="G1060" s="102" t="b">
        <v>0</v>
      </c>
      <c r="H1060" s="102" t="b">
        <v>0</v>
      </c>
      <c r="I1060" s="102" t="b">
        <v>0</v>
      </c>
      <c r="J1060" s="102" t="b">
        <v>0</v>
      </c>
      <c r="K1060" s="102" t="b">
        <v>0</v>
      </c>
      <c r="L1060" s="102" t="b">
        <v>0</v>
      </c>
    </row>
    <row r="1061" spans="1:12" ht="15">
      <c r="A1061" s="104" t="s">
        <v>3137</v>
      </c>
      <c r="B1061" s="102" t="s">
        <v>2401</v>
      </c>
      <c r="C1061" s="102">
        <v>2</v>
      </c>
      <c r="D1061" s="106">
        <v>0.0023039485970963885</v>
      </c>
      <c r="E1061" s="106">
        <v>2.327563260187278</v>
      </c>
      <c r="F1061" s="102" t="s">
        <v>2320</v>
      </c>
      <c r="G1061" s="102" t="b">
        <v>0</v>
      </c>
      <c r="H1061" s="102" t="b">
        <v>0</v>
      </c>
      <c r="I1061" s="102" t="b">
        <v>0</v>
      </c>
      <c r="J1061" s="102" t="b">
        <v>0</v>
      </c>
      <c r="K1061" s="102" t="b">
        <v>0</v>
      </c>
      <c r="L1061" s="102" t="b">
        <v>0</v>
      </c>
    </row>
    <row r="1062" spans="1:12" ht="15">
      <c r="A1062" s="104" t="s">
        <v>2401</v>
      </c>
      <c r="B1062" s="102" t="s">
        <v>2484</v>
      </c>
      <c r="C1062" s="102">
        <v>2</v>
      </c>
      <c r="D1062" s="106">
        <v>0.0023039485970963885</v>
      </c>
      <c r="E1062" s="106">
        <v>1.8504420054676156</v>
      </c>
      <c r="F1062" s="102" t="s">
        <v>2320</v>
      </c>
      <c r="G1062" s="102" t="b">
        <v>0</v>
      </c>
      <c r="H1062" s="102" t="b">
        <v>0</v>
      </c>
      <c r="I1062" s="102" t="b">
        <v>0</v>
      </c>
      <c r="J1062" s="102" t="b">
        <v>0</v>
      </c>
      <c r="K1062" s="102" t="b">
        <v>0</v>
      </c>
      <c r="L1062" s="102" t="b">
        <v>0</v>
      </c>
    </row>
    <row r="1063" spans="1:12" ht="15">
      <c r="A1063" s="104" t="s">
        <v>2470</v>
      </c>
      <c r="B1063" s="102" t="s">
        <v>2381</v>
      </c>
      <c r="C1063" s="102">
        <v>2</v>
      </c>
      <c r="D1063" s="106">
        <v>0.0023039485970963885</v>
      </c>
      <c r="E1063" s="106">
        <v>2.248382014139653</v>
      </c>
      <c r="F1063" s="102" t="s">
        <v>2320</v>
      </c>
      <c r="G1063" s="102" t="b">
        <v>0</v>
      </c>
      <c r="H1063" s="102" t="b">
        <v>0</v>
      </c>
      <c r="I1063" s="102" t="b">
        <v>0</v>
      </c>
      <c r="J1063" s="102" t="b">
        <v>0</v>
      </c>
      <c r="K1063" s="102" t="b">
        <v>0</v>
      </c>
      <c r="L1063" s="102" t="b">
        <v>0</v>
      </c>
    </row>
    <row r="1064" spans="1:12" ht="15">
      <c r="A1064" s="104" t="s">
        <v>2381</v>
      </c>
      <c r="B1064" s="102" t="s">
        <v>2575</v>
      </c>
      <c r="C1064" s="102">
        <v>2</v>
      </c>
      <c r="D1064" s="106">
        <v>0.0023039485970963885</v>
      </c>
      <c r="E1064" s="106">
        <v>2.248382014139653</v>
      </c>
      <c r="F1064" s="102" t="s">
        <v>2320</v>
      </c>
      <c r="G1064" s="102" t="b">
        <v>0</v>
      </c>
      <c r="H1064" s="102" t="b">
        <v>0</v>
      </c>
      <c r="I1064" s="102" t="b">
        <v>0</v>
      </c>
      <c r="J1064" s="102" t="b">
        <v>0</v>
      </c>
      <c r="K1064" s="102" t="b">
        <v>0</v>
      </c>
      <c r="L1064" s="102" t="b">
        <v>0</v>
      </c>
    </row>
    <row r="1065" spans="1:12" ht="15">
      <c r="A1065" s="104" t="s">
        <v>2470</v>
      </c>
      <c r="B1065" s="102" t="s">
        <v>2575</v>
      </c>
      <c r="C1065" s="102">
        <v>2</v>
      </c>
      <c r="D1065" s="106">
        <v>0.0023039485970963885</v>
      </c>
      <c r="E1065" s="106">
        <v>1.7712607594199907</v>
      </c>
      <c r="F1065" s="102" t="s">
        <v>2320</v>
      </c>
      <c r="G1065" s="102" t="b">
        <v>0</v>
      </c>
      <c r="H1065" s="102" t="b">
        <v>0</v>
      </c>
      <c r="I1065" s="102" t="b">
        <v>0</v>
      </c>
      <c r="J1065" s="102" t="b">
        <v>0</v>
      </c>
      <c r="K1065" s="102" t="b">
        <v>0</v>
      </c>
      <c r="L1065" s="102" t="b">
        <v>0</v>
      </c>
    </row>
    <row r="1066" spans="1:12" ht="15">
      <c r="A1066" s="104" t="s">
        <v>2575</v>
      </c>
      <c r="B1066" s="102" t="s">
        <v>2401</v>
      </c>
      <c r="C1066" s="102">
        <v>2</v>
      </c>
      <c r="D1066" s="106">
        <v>0.0023039485970963885</v>
      </c>
      <c r="E1066" s="106">
        <v>1.8504420054676156</v>
      </c>
      <c r="F1066" s="102" t="s">
        <v>2320</v>
      </c>
      <c r="G1066" s="102" t="b">
        <v>0</v>
      </c>
      <c r="H1066" s="102" t="b">
        <v>0</v>
      </c>
      <c r="I1066" s="102" t="b">
        <v>0</v>
      </c>
      <c r="J1066" s="102" t="b">
        <v>0</v>
      </c>
      <c r="K1066" s="102" t="b">
        <v>0</v>
      </c>
      <c r="L1066" s="102" t="b">
        <v>0</v>
      </c>
    </row>
    <row r="1067" spans="1:12" ht="15">
      <c r="A1067" s="104" t="s">
        <v>2484</v>
      </c>
      <c r="B1067" s="102" t="s">
        <v>3138</v>
      </c>
      <c r="C1067" s="102">
        <v>2</v>
      </c>
      <c r="D1067" s="106">
        <v>0.0023039485970963885</v>
      </c>
      <c r="E1067" s="106">
        <v>2.248382014139653</v>
      </c>
      <c r="F1067" s="102" t="s">
        <v>2320</v>
      </c>
      <c r="G1067" s="102" t="b">
        <v>0</v>
      </c>
      <c r="H1067" s="102" t="b">
        <v>0</v>
      </c>
      <c r="I1067" s="102" t="b">
        <v>0</v>
      </c>
      <c r="J1067" s="102" t="b">
        <v>0</v>
      </c>
      <c r="K1067" s="102" t="b">
        <v>0</v>
      </c>
      <c r="L1067" s="102" t="b">
        <v>0</v>
      </c>
    </row>
    <row r="1068" spans="1:12" ht="15">
      <c r="A1068" s="104" t="s">
        <v>3138</v>
      </c>
      <c r="B1068" s="102" t="s">
        <v>3139</v>
      </c>
      <c r="C1068" s="102">
        <v>2</v>
      </c>
      <c r="D1068" s="106">
        <v>0.0023039485970963885</v>
      </c>
      <c r="E1068" s="106">
        <v>2.7255032688593155</v>
      </c>
      <c r="F1068" s="102" t="s">
        <v>2320</v>
      </c>
      <c r="G1068" s="102" t="b">
        <v>0</v>
      </c>
      <c r="H1068" s="102" t="b">
        <v>0</v>
      </c>
      <c r="I1068" s="102" t="b">
        <v>0</v>
      </c>
      <c r="J1068" s="102" t="b">
        <v>0</v>
      </c>
      <c r="K1068" s="102" t="b">
        <v>0</v>
      </c>
      <c r="L1068" s="102" t="b">
        <v>0</v>
      </c>
    </row>
    <row r="1069" spans="1:12" ht="15">
      <c r="A1069" s="104" t="s">
        <v>3161</v>
      </c>
      <c r="B1069" s="102" t="s">
        <v>2841</v>
      </c>
      <c r="C1069" s="102">
        <v>2</v>
      </c>
      <c r="D1069" s="106">
        <v>0.002851275861939991</v>
      </c>
      <c r="E1069" s="106">
        <v>2.7255032688593155</v>
      </c>
      <c r="F1069" s="102" t="s">
        <v>2320</v>
      </c>
      <c r="G1069" s="102" t="b">
        <v>0</v>
      </c>
      <c r="H1069" s="102" t="b">
        <v>0</v>
      </c>
      <c r="I1069" s="102" t="b">
        <v>0</v>
      </c>
      <c r="J1069" s="102" t="b">
        <v>0</v>
      </c>
      <c r="K1069" s="102" t="b">
        <v>0</v>
      </c>
      <c r="L1069" s="102" t="b">
        <v>0</v>
      </c>
    </row>
    <row r="1070" spans="1:12" ht="15">
      <c r="A1070" s="104" t="s">
        <v>3162</v>
      </c>
      <c r="B1070" s="102" t="s">
        <v>3163</v>
      </c>
      <c r="C1070" s="102">
        <v>2</v>
      </c>
      <c r="D1070" s="106">
        <v>0.002851275861939991</v>
      </c>
      <c r="E1070" s="106">
        <v>2.7255032688593155</v>
      </c>
      <c r="F1070" s="102" t="s">
        <v>2320</v>
      </c>
      <c r="G1070" s="102" t="b">
        <v>0</v>
      </c>
      <c r="H1070" s="102" t="b">
        <v>0</v>
      </c>
      <c r="I1070" s="102" t="b">
        <v>0</v>
      </c>
      <c r="J1070" s="102" t="b">
        <v>0</v>
      </c>
      <c r="K1070" s="102" t="b">
        <v>0</v>
      </c>
      <c r="L1070" s="102" t="b">
        <v>0</v>
      </c>
    </row>
    <row r="1071" spans="1:12" ht="15">
      <c r="A1071" s="104" t="s">
        <v>2365</v>
      </c>
      <c r="B1071" s="102" t="s">
        <v>2357</v>
      </c>
      <c r="C1071" s="102">
        <v>2</v>
      </c>
      <c r="D1071" s="106">
        <v>0.0023039485970963885</v>
      </c>
      <c r="E1071" s="106">
        <v>1.026533264523297</v>
      </c>
      <c r="F1071" s="102" t="s">
        <v>2320</v>
      </c>
      <c r="G1071" s="102" t="b">
        <v>0</v>
      </c>
      <c r="H1071" s="102" t="b">
        <v>0</v>
      </c>
      <c r="I1071" s="102" t="b">
        <v>0</v>
      </c>
      <c r="J1071" s="102" t="b">
        <v>0</v>
      </c>
      <c r="K1071" s="102" t="b">
        <v>0</v>
      </c>
      <c r="L1071" s="102" t="b">
        <v>0</v>
      </c>
    </row>
    <row r="1072" spans="1:12" ht="15">
      <c r="A1072" s="104" t="s">
        <v>2385</v>
      </c>
      <c r="B1072" s="102" t="s">
        <v>2393</v>
      </c>
      <c r="C1072" s="102">
        <v>2</v>
      </c>
      <c r="D1072" s="106">
        <v>0.0023039485970963885</v>
      </c>
      <c r="E1072" s="106">
        <v>1.082050592373128</v>
      </c>
      <c r="F1072" s="102" t="s">
        <v>2320</v>
      </c>
      <c r="G1072" s="102" t="b">
        <v>0</v>
      </c>
      <c r="H1072" s="102" t="b">
        <v>0</v>
      </c>
      <c r="I1072" s="102" t="b">
        <v>0</v>
      </c>
      <c r="J1072" s="102" t="b">
        <v>0</v>
      </c>
      <c r="K1072" s="102" t="b">
        <v>0</v>
      </c>
      <c r="L1072" s="102" t="b">
        <v>0</v>
      </c>
    </row>
    <row r="1073" spans="1:12" ht="15">
      <c r="A1073" s="104" t="s">
        <v>2533</v>
      </c>
      <c r="B1073" s="102" t="s">
        <v>2448</v>
      </c>
      <c r="C1073" s="102">
        <v>2</v>
      </c>
      <c r="D1073" s="106">
        <v>0.002851275861939991</v>
      </c>
      <c r="E1073" s="106">
        <v>2.248382014139653</v>
      </c>
      <c r="F1073" s="102" t="s">
        <v>2320</v>
      </c>
      <c r="G1073" s="102" t="b">
        <v>0</v>
      </c>
      <c r="H1073" s="102" t="b">
        <v>0</v>
      </c>
      <c r="I1073" s="102" t="b">
        <v>0</v>
      </c>
      <c r="J1073" s="102" t="b">
        <v>0</v>
      </c>
      <c r="K1073" s="102" t="b">
        <v>0</v>
      </c>
      <c r="L1073" s="102" t="b">
        <v>0</v>
      </c>
    </row>
    <row r="1074" spans="1:12" ht="15">
      <c r="A1074" s="104" t="s">
        <v>2448</v>
      </c>
      <c r="B1074" s="102" t="s">
        <v>2387</v>
      </c>
      <c r="C1074" s="102">
        <v>2</v>
      </c>
      <c r="D1074" s="106">
        <v>0.002851275861939991</v>
      </c>
      <c r="E1074" s="106">
        <v>1.7712607594199907</v>
      </c>
      <c r="F1074" s="102" t="s">
        <v>2320</v>
      </c>
      <c r="G1074" s="102" t="b">
        <v>0</v>
      </c>
      <c r="H1074" s="102" t="b">
        <v>0</v>
      </c>
      <c r="I1074" s="102" t="b">
        <v>0</v>
      </c>
      <c r="J1074" s="102" t="b">
        <v>0</v>
      </c>
      <c r="K1074" s="102" t="b">
        <v>0</v>
      </c>
      <c r="L1074" s="102" t="b">
        <v>0</v>
      </c>
    </row>
    <row r="1075" spans="1:12" ht="15">
      <c r="A1075" s="104" t="s">
        <v>2358</v>
      </c>
      <c r="B1075" s="102" t="s">
        <v>2363</v>
      </c>
      <c r="C1075" s="102">
        <v>2</v>
      </c>
      <c r="D1075" s="106">
        <v>0.002851275861939991</v>
      </c>
      <c r="E1075" s="106">
        <v>2.549412009803634</v>
      </c>
      <c r="F1075" s="102" t="s">
        <v>2320</v>
      </c>
      <c r="G1075" s="102" t="b">
        <v>0</v>
      </c>
      <c r="H1075" s="102" t="b">
        <v>0</v>
      </c>
      <c r="I1075" s="102" t="b">
        <v>0</v>
      </c>
      <c r="J1075" s="102" t="b">
        <v>0</v>
      </c>
      <c r="K1075" s="102" t="b">
        <v>0</v>
      </c>
      <c r="L1075" s="102" t="b">
        <v>0</v>
      </c>
    </row>
    <row r="1076" spans="1:12" ht="15">
      <c r="A1076" s="104" t="s">
        <v>2544</v>
      </c>
      <c r="B1076" s="102" t="s">
        <v>2448</v>
      </c>
      <c r="C1076" s="102">
        <v>2</v>
      </c>
      <c r="D1076" s="106">
        <v>0.002851275861939991</v>
      </c>
      <c r="E1076" s="106">
        <v>1.822413281867372</v>
      </c>
      <c r="F1076" s="102" t="s">
        <v>2320</v>
      </c>
      <c r="G1076" s="102" t="b">
        <v>0</v>
      </c>
      <c r="H1076" s="102" t="b">
        <v>0</v>
      </c>
      <c r="I1076" s="102" t="b">
        <v>0</v>
      </c>
      <c r="J1076" s="102" t="b">
        <v>0</v>
      </c>
      <c r="K1076" s="102" t="b">
        <v>0</v>
      </c>
      <c r="L1076" s="102" t="b">
        <v>0</v>
      </c>
    </row>
    <row r="1077" spans="1:12" ht="15">
      <c r="A1077" s="104" t="s">
        <v>2544</v>
      </c>
      <c r="B1077" s="102" t="s">
        <v>2486</v>
      </c>
      <c r="C1077" s="102">
        <v>2</v>
      </c>
      <c r="D1077" s="106">
        <v>0.002851275861939991</v>
      </c>
      <c r="E1077" s="106">
        <v>1.9473520184756719</v>
      </c>
      <c r="F1077" s="102" t="s">
        <v>2320</v>
      </c>
      <c r="G1077" s="102" t="b">
        <v>0</v>
      </c>
      <c r="H1077" s="102" t="b">
        <v>0</v>
      </c>
      <c r="I1077" s="102" t="b">
        <v>0</v>
      </c>
      <c r="J1077" s="102" t="b">
        <v>0</v>
      </c>
      <c r="K1077" s="102" t="b">
        <v>0</v>
      </c>
      <c r="L1077" s="102" t="b">
        <v>0</v>
      </c>
    </row>
    <row r="1078" spans="1:12" ht="15">
      <c r="A1078" s="104" t="s">
        <v>2396</v>
      </c>
      <c r="B1078" s="102" t="s">
        <v>2395</v>
      </c>
      <c r="C1078" s="102">
        <v>2</v>
      </c>
      <c r="D1078" s="106">
        <v>0.002851275861939991</v>
      </c>
      <c r="E1078" s="106">
        <v>1.3105299208884975</v>
      </c>
      <c r="F1078" s="102" t="s">
        <v>2320</v>
      </c>
      <c r="G1078" s="102" t="b">
        <v>0</v>
      </c>
      <c r="H1078" s="102" t="b">
        <v>0</v>
      </c>
      <c r="I1078" s="102" t="b">
        <v>0</v>
      </c>
      <c r="J1078" s="102" t="b">
        <v>0</v>
      </c>
      <c r="K1078" s="102" t="b">
        <v>0</v>
      </c>
      <c r="L1078" s="102" t="b">
        <v>0</v>
      </c>
    </row>
    <row r="1079" spans="1:12" ht="15">
      <c r="A1079" s="104" t="s">
        <v>2396</v>
      </c>
      <c r="B1079" s="102" t="s">
        <v>3152</v>
      </c>
      <c r="C1079" s="102">
        <v>2</v>
      </c>
      <c r="D1079" s="106">
        <v>0.002851275861939991</v>
      </c>
      <c r="E1079" s="106">
        <v>1.91258991221646</v>
      </c>
      <c r="F1079" s="102" t="s">
        <v>2320</v>
      </c>
      <c r="G1079" s="102" t="b">
        <v>0</v>
      </c>
      <c r="H1079" s="102" t="b">
        <v>0</v>
      </c>
      <c r="I1079" s="102" t="b">
        <v>0</v>
      </c>
      <c r="J1079" s="102" t="b">
        <v>0</v>
      </c>
      <c r="K1079" s="102" t="b">
        <v>0</v>
      </c>
      <c r="L1079" s="102" t="b">
        <v>0</v>
      </c>
    </row>
    <row r="1080" spans="1:12" ht="15">
      <c r="A1080" s="104" t="s">
        <v>2351</v>
      </c>
      <c r="B1080" s="102" t="s">
        <v>2348</v>
      </c>
      <c r="C1080" s="102">
        <v>2</v>
      </c>
      <c r="D1080" s="106">
        <v>0.0023039485970963885</v>
      </c>
      <c r="E1080" s="106">
        <v>0.5872005706930341</v>
      </c>
      <c r="F1080" s="102" t="s">
        <v>2320</v>
      </c>
      <c r="G1080" s="102" t="b">
        <v>0</v>
      </c>
      <c r="H1080" s="102" t="b">
        <v>0</v>
      </c>
      <c r="I1080" s="102" t="b">
        <v>0</v>
      </c>
      <c r="J1080" s="102" t="b">
        <v>0</v>
      </c>
      <c r="K1080" s="102" t="b">
        <v>0</v>
      </c>
      <c r="L1080" s="102" t="b">
        <v>0</v>
      </c>
    </row>
    <row r="1081" spans="1:12" ht="15">
      <c r="A1081" s="104" t="s">
        <v>2578</v>
      </c>
      <c r="B1081" s="102" t="s">
        <v>2355</v>
      </c>
      <c r="C1081" s="102">
        <v>2</v>
      </c>
      <c r="D1081" s="106">
        <v>0.002851275861939991</v>
      </c>
      <c r="E1081" s="106">
        <v>1.5793752331810775</v>
      </c>
      <c r="F1081" s="102" t="s">
        <v>2320</v>
      </c>
      <c r="G1081" s="102" t="b">
        <v>0</v>
      </c>
      <c r="H1081" s="102" t="b">
        <v>0</v>
      </c>
      <c r="I1081" s="102" t="b">
        <v>0</v>
      </c>
      <c r="J1081" s="102" t="b">
        <v>0</v>
      </c>
      <c r="K1081" s="102" t="b">
        <v>0</v>
      </c>
      <c r="L1081" s="102" t="b">
        <v>0</v>
      </c>
    </row>
    <row r="1082" spans="1:12" ht="15">
      <c r="A1082" s="104" t="s">
        <v>2682</v>
      </c>
      <c r="B1082" s="102" t="s">
        <v>2494</v>
      </c>
      <c r="C1082" s="102">
        <v>2</v>
      </c>
      <c r="D1082" s="106">
        <v>0.002851275861939991</v>
      </c>
      <c r="E1082" s="106">
        <v>1.8804052288450588</v>
      </c>
      <c r="F1082" s="102" t="s">
        <v>2320</v>
      </c>
      <c r="G1082" s="102" t="b">
        <v>0</v>
      </c>
      <c r="H1082" s="102" t="b">
        <v>0</v>
      </c>
      <c r="I1082" s="102" t="b">
        <v>0</v>
      </c>
      <c r="J1082" s="102" t="b">
        <v>0</v>
      </c>
      <c r="K1082" s="102" t="b">
        <v>0</v>
      </c>
      <c r="L1082" s="102" t="b">
        <v>0</v>
      </c>
    </row>
    <row r="1083" spans="1:12" ht="15">
      <c r="A1083" s="104" t="s">
        <v>2494</v>
      </c>
      <c r="B1083" s="102" t="s">
        <v>2436</v>
      </c>
      <c r="C1083" s="102">
        <v>2</v>
      </c>
      <c r="D1083" s="106">
        <v>0.002851275861939991</v>
      </c>
      <c r="E1083" s="106">
        <v>1.6373671801587644</v>
      </c>
      <c r="F1083" s="102" t="s">
        <v>2320</v>
      </c>
      <c r="G1083" s="102" t="b">
        <v>0</v>
      </c>
      <c r="H1083" s="102" t="b">
        <v>0</v>
      </c>
      <c r="I1083" s="102" t="b">
        <v>0</v>
      </c>
      <c r="J1083" s="102" t="b">
        <v>0</v>
      </c>
      <c r="K1083" s="102" t="b">
        <v>0</v>
      </c>
      <c r="L1083" s="102" t="b">
        <v>0</v>
      </c>
    </row>
    <row r="1084" spans="1:12" ht="15">
      <c r="A1084" s="104" t="s">
        <v>2494</v>
      </c>
      <c r="B1084" s="102" t="s">
        <v>2417</v>
      </c>
      <c r="C1084" s="102">
        <v>2</v>
      </c>
      <c r="D1084" s="106">
        <v>0.002851275861939991</v>
      </c>
      <c r="E1084" s="106">
        <v>2.0053439654533585</v>
      </c>
      <c r="F1084" s="102" t="s">
        <v>2320</v>
      </c>
      <c r="G1084" s="102" t="b">
        <v>0</v>
      </c>
      <c r="H1084" s="102" t="b">
        <v>0</v>
      </c>
      <c r="I1084" s="102" t="b">
        <v>0</v>
      </c>
      <c r="J1084" s="102" t="b">
        <v>0</v>
      </c>
      <c r="K1084" s="102" t="b">
        <v>0</v>
      </c>
      <c r="L1084" s="102" t="b">
        <v>0</v>
      </c>
    </row>
    <row r="1085" spans="1:12" ht="15">
      <c r="A1085" s="104" t="s">
        <v>2760</v>
      </c>
      <c r="B1085" s="102" t="s">
        <v>2393</v>
      </c>
      <c r="C1085" s="102">
        <v>2</v>
      </c>
      <c r="D1085" s="106">
        <v>0.002851275861939991</v>
      </c>
      <c r="E1085" s="106">
        <v>1.5213832862033907</v>
      </c>
      <c r="F1085" s="102" t="s">
        <v>2320</v>
      </c>
      <c r="G1085" s="102" t="b">
        <v>0</v>
      </c>
      <c r="H1085" s="102" t="b">
        <v>0</v>
      </c>
      <c r="I1085" s="102" t="b">
        <v>0</v>
      </c>
      <c r="J1085" s="102" t="b">
        <v>0</v>
      </c>
      <c r="K1085" s="102" t="b">
        <v>0</v>
      </c>
      <c r="L1085" s="102" t="b">
        <v>0</v>
      </c>
    </row>
    <row r="1086" spans="1:12" ht="15">
      <c r="A1086" s="104" t="s">
        <v>2393</v>
      </c>
      <c r="B1086" s="102" t="s">
        <v>2452</v>
      </c>
      <c r="C1086" s="102">
        <v>2</v>
      </c>
      <c r="D1086" s="106">
        <v>0.002851275861939991</v>
      </c>
      <c r="E1086" s="106">
        <v>1.7960843431450229</v>
      </c>
      <c r="F1086" s="102" t="s">
        <v>2320</v>
      </c>
      <c r="G1086" s="102" t="b">
        <v>0</v>
      </c>
      <c r="H1086" s="102" t="b">
        <v>0</v>
      </c>
      <c r="I1086" s="102" t="b">
        <v>0</v>
      </c>
      <c r="J1086" s="102" t="b">
        <v>0</v>
      </c>
      <c r="K1086" s="102" t="b">
        <v>0</v>
      </c>
      <c r="L1086" s="102" t="b">
        <v>0</v>
      </c>
    </row>
    <row r="1087" spans="1:12" ht="15">
      <c r="A1087" s="104" t="s">
        <v>2452</v>
      </c>
      <c r="B1087" s="102" t="s">
        <v>2393</v>
      </c>
      <c r="C1087" s="102">
        <v>2</v>
      </c>
      <c r="D1087" s="106">
        <v>0.002851275861939991</v>
      </c>
      <c r="E1087" s="106">
        <v>1.822413281867372</v>
      </c>
      <c r="F1087" s="102" t="s">
        <v>2320</v>
      </c>
      <c r="G1087" s="102" t="b">
        <v>0</v>
      </c>
      <c r="H1087" s="102" t="b">
        <v>0</v>
      </c>
      <c r="I1087" s="102" t="b">
        <v>0</v>
      </c>
      <c r="J1087" s="102" t="b">
        <v>0</v>
      </c>
      <c r="K1087" s="102" t="b">
        <v>0</v>
      </c>
      <c r="L1087" s="102" t="b">
        <v>0</v>
      </c>
    </row>
    <row r="1088" spans="1:12" ht="15">
      <c r="A1088" s="104" t="s">
        <v>2382</v>
      </c>
      <c r="B1088" s="102" t="s">
        <v>2433</v>
      </c>
      <c r="C1088" s="102">
        <v>2</v>
      </c>
      <c r="D1088" s="106">
        <v>0.002851275861939991</v>
      </c>
      <c r="E1088" s="106">
        <v>1.5213832862033907</v>
      </c>
      <c r="F1088" s="102" t="s">
        <v>2320</v>
      </c>
      <c r="G1088" s="102" t="b">
        <v>0</v>
      </c>
      <c r="H1088" s="102" t="b">
        <v>0</v>
      </c>
      <c r="I1088" s="102" t="b">
        <v>0</v>
      </c>
      <c r="J1088" s="102" t="b">
        <v>0</v>
      </c>
      <c r="K1088" s="102" t="b">
        <v>0</v>
      </c>
      <c r="L1088" s="102" t="b">
        <v>0</v>
      </c>
    </row>
    <row r="1089" spans="1:12" ht="15">
      <c r="A1089" s="104" t="s">
        <v>2382</v>
      </c>
      <c r="B1089" s="102" t="s">
        <v>2364</v>
      </c>
      <c r="C1089" s="102">
        <v>2</v>
      </c>
      <c r="D1089" s="106">
        <v>0.002851275861939991</v>
      </c>
      <c r="E1089" s="106">
        <v>1.822413281867372</v>
      </c>
      <c r="F1089" s="102" t="s">
        <v>2320</v>
      </c>
      <c r="G1089" s="102" t="b">
        <v>0</v>
      </c>
      <c r="H1089" s="102" t="b">
        <v>0</v>
      </c>
      <c r="I1089" s="102" t="b">
        <v>0</v>
      </c>
      <c r="J1089" s="102" t="b">
        <v>0</v>
      </c>
      <c r="K1089" s="102" t="b">
        <v>0</v>
      </c>
      <c r="L1089" s="102" t="b">
        <v>0</v>
      </c>
    </row>
    <row r="1090" spans="1:12" ht="15">
      <c r="A1090" s="104" t="s">
        <v>2433</v>
      </c>
      <c r="B1090" s="102" t="s">
        <v>2382</v>
      </c>
      <c r="C1090" s="102">
        <v>2</v>
      </c>
      <c r="D1090" s="106">
        <v>0.002851275861939991</v>
      </c>
      <c r="E1090" s="106">
        <v>1.5213832862033907</v>
      </c>
      <c r="F1090" s="102" t="s">
        <v>2320</v>
      </c>
      <c r="G1090" s="102" t="b">
        <v>0</v>
      </c>
      <c r="H1090" s="102" t="b">
        <v>0</v>
      </c>
      <c r="I1090" s="102" t="b">
        <v>0</v>
      </c>
      <c r="J1090" s="102" t="b">
        <v>0</v>
      </c>
      <c r="K1090" s="102" t="b">
        <v>0</v>
      </c>
      <c r="L1090" s="102" t="b">
        <v>0</v>
      </c>
    </row>
    <row r="1091" spans="1:12" ht="15">
      <c r="A1091" s="104" t="s">
        <v>2453</v>
      </c>
      <c r="B1091" s="102" t="s">
        <v>2382</v>
      </c>
      <c r="C1091" s="102">
        <v>2</v>
      </c>
      <c r="D1091" s="106">
        <v>0.002851275861939991</v>
      </c>
      <c r="E1091" s="106">
        <v>1.6463220228116908</v>
      </c>
      <c r="F1091" s="102" t="s">
        <v>2320</v>
      </c>
      <c r="G1091" s="102" t="b">
        <v>0</v>
      </c>
      <c r="H1091" s="102" t="b">
        <v>0</v>
      </c>
      <c r="I1091" s="102" t="b">
        <v>0</v>
      </c>
      <c r="J1091" s="102" t="b">
        <v>0</v>
      </c>
      <c r="K1091" s="102" t="b">
        <v>0</v>
      </c>
      <c r="L1091" s="102" t="b">
        <v>0</v>
      </c>
    </row>
    <row r="1092" spans="1:12" ht="15">
      <c r="A1092" s="104" t="s">
        <v>2357</v>
      </c>
      <c r="B1092" s="102" t="s">
        <v>2382</v>
      </c>
      <c r="C1092" s="102">
        <v>2</v>
      </c>
      <c r="D1092" s="106">
        <v>0.0023039485970963885</v>
      </c>
      <c r="E1092" s="106">
        <v>1.1234432775313532</v>
      </c>
      <c r="F1092" s="102" t="s">
        <v>2320</v>
      </c>
      <c r="G1092" s="102" t="b">
        <v>0</v>
      </c>
      <c r="H1092" s="102" t="b">
        <v>0</v>
      </c>
      <c r="I1092" s="102" t="b">
        <v>0</v>
      </c>
      <c r="J1092" s="102" t="b">
        <v>0</v>
      </c>
      <c r="K1092" s="102" t="b">
        <v>0</v>
      </c>
      <c r="L1092" s="102" t="b">
        <v>0</v>
      </c>
    </row>
    <row r="1093" spans="1:12" ht="15">
      <c r="A1093" s="104" t="s">
        <v>2446</v>
      </c>
      <c r="B1093" s="102" t="s">
        <v>2468</v>
      </c>
      <c r="C1093" s="102">
        <v>2</v>
      </c>
      <c r="D1093" s="106">
        <v>0.002851275861939991</v>
      </c>
      <c r="E1093" s="106">
        <v>1.6841105837010906</v>
      </c>
      <c r="F1093" s="102" t="s">
        <v>2320</v>
      </c>
      <c r="G1093" s="102" t="b">
        <v>0</v>
      </c>
      <c r="H1093" s="102" t="b">
        <v>0</v>
      </c>
      <c r="I1093" s="102" t="b">
        <v>0</v>
      </c>
      <c r="J1093" s="102" t="b">
        <v>0</v>
      </c>
      <c r="K1093" s="102" t="b">
        <v>0</v>
      </c>
      <c r="L1093" s="102" t="b">
        <v>0</v>
      </c>
    </row>
    <row r="1094" spans="1:12" ht="15">
      <c r="A1094" s="104" t="s">
        <v>2468</v>
      </c>
      <c r="B1094" s="102" t="s">
        <v>2457</v>
      </c>
      <c r="C1094" s="102">
        <v>2</v>
      </c>
      <c r="D1094" s="106">
        <v>0.002851275861939991</v>
      </c>
      <c r="E1094" s="106">
        <v>1.6463220228116908</v>
      </c>
      <c r="F1094" s="102" t="s">
        <v>2320</v>
      </c>
      <c r="G1094" s="102" t="b">
        <v>0</v>
      </c>
      <c r="H1094" s="102" t="b">
        <v>0</v>
      </c>
      <c r="I1094" s="102" t="b">
        <v>0</v>
      </c>
      <c r="J1094" s="102" t="b">
        <v>0</v>
      </c>
      <c r="K1094" s="102" t="b">
        <v>0</v>
      </c>
      <c r="L1094" s="102" t="b">
        <v>0</v>
      </c>
    </row>
    <row r="1095" spans="1:12" ht="15">
      <c r="A1095" s="104" t="s">
        <v>2350</v>
      </c>
      <c r="B1095" s="102" t="s">
        <v>2457</v>
      </c>
      <c r="C1095" s="102">
        <v>2</v>
      </c>
      <c r="D1095" s="106">
        <v>0.002851275861939991</v>
      </c>
      <c r="E1095" s="106">
        <v>0.6149135585600666</v>
      </c>
      <c r="F1095" s="102" t="s">
        <v>2320</v>
      </c>
      <c r="G1095" s="102" t="b">
        <v>0</v>
      </c>
      <c r="H1095" s="102" t="b">
        <v>0</v>
      </c>
      <c r="I1095" s="102" t="b">
        <v>0</v>
      </c>
      <c r="J1095" s="102" t="b">
        <v>0</v>
      </c>
      <c r="K1095" s="102" t="b">
        <v>0</v>
      </c>
      <c r="L1095" s="102" t="b">
        <v>0</v>
      </c>
    </row>
    <row r="1096" spans="1:12" ht="15">
      <c r="A1096" s="104" t="s">
        <v>3133</v>
      </c>
      <c r="B1096" s="102" t="s">
        <v>2365</v>
      </c>
      <c r="C1096" s="102">
        <v>2</v>
      </c>
      <c r="D1096" s="106">
        <v>0.002851275861939991</v>
      </c>
      <c r="E1096" s="106">
        <v>1.7255032688593157</v>
      </c>
      <c r="F1096" s="102" t="s">
        <v>2320</v>
      </c>
      <c r="G1096" s="102" t="b">
        <v>0</v>
      </c>
      <c r="H1096" s="102" t="b">
        <v>0</v>
      </c>
      <c r="I1096" s="102" t="b">
        <v>0</v>
      </c>
      <c r="J1096" s="102" t="b">
        <v>0</v>
      </c>
      <c r="K1096" s="102" t="b">
        <v>0</v>
      </c>
      <c r="L1096" s="102" t="b">
        <v>0</v>
      </c>
    </row>
    <row r="1097" spans="1:12" ht="15">
      <c r="A1097" s="104" t="s">
        <v>2497</v>
      </c>
      <c r="B1097" s="102" t="s">
        <v>2355</v>
      </c>
      <c r="C1097" s="102">
        <v>2</v>
      </c>
      <c r="D1097" s="106">
        <v>0.002851275861939991</v>
      </c>
      <c r="E1097" s="106">
        <v>1.4244732731953345</v>
      </c>
      <c r="F1097" s="102" t="s">
        <v>2320</v>
      </c>
      <c r="G1097" s="102" t="b">
        <v>0</v>
      </c>
      <c r="H1097" s="102" t="b">
        <v>0</v>
      </c>
      <c r="I1097" s="102" t="b">
        <v>0</v>
      </c>
      <c r="J1097" s="102" t="b">
        <v>0</v>
      </c>
      <c r="K1097" s="102" t="b">
        <v>0</v>
      </c>
      <c r="L1097" s="102" t="b">
        <v>0</v>
      </c>
    </row>
    <row r="1098" spans="1:12" ht="15">
      <c r="A1098" s="104" t="s">
        <v>2409</v>
      </c>
      <c r="B1098" s="102" t="s">
        <v>2497</v>
      </c>
      <c r="C1098" s="102">
        <v>2</v>
      </c>
      <c r="D1098" s="106">
        <v>0.002851275861939991</v>
      </c>
      <c r="E1098" s="106">
        <v>2.0265332645232967</v>
      </c>
      <c r="F1098" s="102" t="s">
        <v>2320</v>
      </c>
      <c r="G1098" s="102" t="b">
        <v>0</v>
      </c>
      <c r="H1098" s="102" t="b">
        <v>0</v>
      </c>
      <c r="I1098" s="102" t="b">
        <v>0</v>
      </c>
      <c r="J1098" s="102" t="b">
        <v>0</v>
      </c>
      <c r="K1098" s="102" t="b">
        <v>0</v>
      </c>
      <c r="L1098" s="102" t="b">
        <v>0</v>
      </c>
    </row>
    <row r="1099" spans="1:12" ht="15">
      <c r="A1099" s="104" t="s">
        <v>2348</v>
      </c>
      <c r="B1099" s="102" t="s">
        <v>2351</v>
      </c>
      <c r="C1099" s="102">
        <v>13</v>
      </c>
      <c r="D1099" s="106">
        <v>0.008132086958424767</v>
      </c>
      <c r="E1099" s="106">
        <v>1.3570584650483246</v>
      </c>
      <c r="F1099" s="102" t="s">
        <v>2321</v>
      </c>
      <c r="G1099" s="102" t="b">
        <v>0</v>
      </c>
      <c r="H1099" s="102" t="b">
        <v>0</v>
      </c>
      <c r="I1099" s="102" t="b">
        <v>0</v>
      </c>
      <c r="J1099" s="102" t="b">
        <v>0</v>
      </c>
      <c r="K1099" s="102" t="b">
        <v>0</v>
      </c>
      <c r="L1099" s="102" t="b">
        <v>0</v>
      </c>
    </row>
    <row r="1100" spans="1:12" ht="15">
      <c r="A1100" s="104" t="s">
        <v>2458</v>
      </c>
      <c r="B1100" s="102" t="s">
        <v>2404</v>
      </c>
      <c r="C1100" s="102">
        <v>13</v>
      </c>
      <c r="D1100" s="106">
        <v>0.01507033541863558</v>
      </c>
      <c r="E1100" s="106">
        <v>1.8701573921565273</v>
      </c>
      <c r="F1100" s="102" t="s">
        <v>2321</v>
      </c>
      <c r="G1100" s="102" t="b">
        <v>0</v>
      </c>
      <c r="H1100" s="102" t="b">
        <v>0</v>
      </c>
      <c r="I1100" s="102" t="b">
        <v>0</v>
      </c>
      <c r="J1100" s="102" t="b">
        <v>0</v>
      </c>
      <c r="K1100" s="102" t="b">
        <v>0</v>
      </c>
      <c r="L1100" s="102" t="b">
        <v>0</v>
      </c>
    </row>
    <row r="1101" spans="1:12" ht="15">
      <c r="A1101" s="104" t="s">
        <v>2498</v>
      </c>
      <c r="B1101" s="102" t="s">
        <v>2444</v>
      </c>
      <c r="C1101" s="102">
        <v>9</v>
      </c>
      <c r="D1101" s="106">
        <v>0.010433309135978478</v>
      </c>
      <c r="E1101" s="106">
        <v>2.1946684836700316</v>
      </c>
      <c r="F1101" s="102" t="s">
        <v>2321</v>
      </c>
      <c r="G1101" s="102" t="b">
        <v>0</v>
      </c>
      <c r="H1101" s="102" t="b">
        <v>0</v>
      </c>
      <c r="I1101" s="102" t="b">
        <v>0</v>
      </c>
      <c r="J1101" s="102" t="b">
        <v>0</v>
      </c>
      <c r="K1101" s="102" t="b">
        <v>0</v>
      </c>
      <c r="L1101" s="102" t="b">
        <v>0</v>
      </c>
    </row>
    <row r="1102" spans="1:12" ht="15">
      <c r="A1102" s="104" t="s">
        <v>2351</v>
      </c>
      <c r="B1102" s="102" t="s">
        <v>2517</v>
      </c>
      <c r="C1102" s="102">
        <v>9</v>
      </c>
      <c r="D1102" s="106">
        <v>0.010433309135978478</v>
      </c>
      <c r="E1102" s="106">
        <v>1.6048429487590807</v>
      </c>
      <c r="F1102" s="102" t="s">
        <v>2321</v>
      </c>
      <c r="G1102" s="102" t="b">
        <v>0</v>
      </c>
      <c r="H1102" s="102" t="b">
        <v>0</v>
      </c>
      <c r="I1102" s="102" t="b">
        <v>0</v>
      </c>
      <c r="J1102" s="102" t="b">
        <v>0</v>
      </c>
      <c r="K1102" s="102" t="b">
        <v>0</v>
      </c>
      <c r="L1102" s="102" t="b">
        <v>0</v>
      </c>
    </row>
    <row r="1103" spans="1:12" ht="15">
      <c r="A1103" s="104" t="s">
        <v>2404</v>
      </c>
      <c r="B1103" s="102" t="s">
        <v>2499</v>
      </c>
      <c r="C1103" s="102">
        <v>9</v>
      </c>
      <c r="D1103" s="106">
        <v>0.010433309135978478</v>
      </c>
      <c r="E1103" s="106">
        <v>1.8478809974453752</v>
      </c>
      <c r="F1103" s="102" t="s">
        <v>2321</v>
      </c>
      <c r="G1103" s="102" t="b">
        <v>0</v>
      </c>
      <c r="H1103" s="102" t="b">
        <v>0</v>
      </c>
      <c r="I1103" s="102" t="b">
        <v>0</v>
      </c>
      <c r="J1103" s="102" t="b">
        <v>0</v>
      </c>
      <c r="K1103" s="102" t="b">
        <v>0</v>
      </c>
      <c r="L1103" s="102" t="b">
        <v>0</v>
      </c>
    </row>
    <row r="1104" spans="1:12" ht="15">
      <c r="A1104" s="104" t="s">
        <v>2445</v>
      </c>
      <c r="B1104" s="102" t="s">
        <v>2519</v>
      </c>
      <c r="C1104" s="102">
        <v>8</v>
      </c>
      <c r="D1104" s="106">
        <v>0.009274052565314203</v>
      </c>
      <c r="E1104" s="106">
        <v>1.9838151183551385</v>
      </c>
      <c r="F1104" s="102" t="s">
        <v>2321</v>
      </c>
      <c r="G1104" s="102" t="b">
        <v>0</v>
      </c>
      <c r="H1104" s="102" t="b">
        <v>0</v>
      </c>
      <c r="I1104" s="102" t="b">
        <v>0</v>
      </c>
      <c r="J1104" s="102" t="b">
        <v>0</v>
      </c>
      <c r="K1104" s="102" t="b">
        <v>0</v>
      </c>
      <c r="L1104" s="102" t="b">
        <v>0</v>
      </c>
    </row>
    <row r="1105" spans="1:12" ht="15">
      <c r="A1105" s="104" t="s">
        <v>2473</v>
      </c>
      <c r="B1105" s="102" t="s">
        <v>2477</v>
      </c>
      <c r="C1105" s="102">
        <v>8</v>
      </c>
      <c r="D1105" s="106">
        <v>0.009274052565314203</v>
      </c>
      <c r="E1105" s="106">
        <v>2.2458210061174126</v>
      </c>
      <c r="F1105" s="102" t="s">
        <v>2321</v>
      </c>
      <c r="G1105" s="102" t="b">
        <v>0</v>
      </c>
      <c r="H1105" s="102" t="b">
        <v>0</v>
      </c>
      <c r="I1105" s="102" t="b">
        <v>0</v>
      </c>
      <c r="J1105" s="102" t="b">
        <v>0</v>
      </c>
      <c r="K1105" s="102" t="b">
        <v>0</v>
      </c>
      <c r="L1105" s="102" t="b">
        <v>0</v>
      </c>
    </row>
    <row r="1106" spans="1:12" ht="15">
      <c r="A1106" s="104" t="s">
        <v>2348</v>
      </c>
      <c r="B1106" s="102" t="s">
        <v>2349</v>
      </c>
      <c r="C1106" s="102">
        <v>7</v>
      </c>
      <c r="D1106" s="106">
        <v>0.00475897292856479</v>
      </c>
      <c r="E1106" s="106">
        <v>1.1409195032717476</v>
      </c>
      <c r="F1106" s="102" t="s">
        <v>2321</v>
      </c>
      <c r="G1106" s="102" t="b">
        <v>0</v>
      </c>
      <c r="H1106" s="102" t="b">
        <v>0</v>
      </c>
      <c r="I1106" s="102" t="b">
        <v>0</v>
      </c>
      <c r="J1106" s="102" t="b">
        <v>0</v>
      </c>
      <c r="K1106" s="102" t="b">
        <v>0</v>
      </c>
      <c r="L1106" s="102" t="b">
        <v>0</v>
      </c>
    </row>
    <row r="1107" spans="1:12" ht="15">
      <c r="A1107" s="104" t="s">
        <v>2362</v>
      </c>
      <c r="B1107" s="102" t="s">
        <v>2350</v>
      </c>
      <c r="C1107" s="102">
        <v>7</v>
      </c>
      <c r="D1107" s="106">
        <v>0.005824090382141262</v>
      </c>
      <c r="E1107" s="106">
        <v>1.3749157024968706</v>
      </c>
      <c r="F1107" s="102" t="s">
        <v>2321</v>
      </c>
      <c r="G1107" s="102" t="b">
        <v>0</v>
      </c>
      <c r="H1107" s="102" t="b">
        <v>0</v>
      </c>
      <c r="I1107" s="102" t="b">
        <v>0</v>
      </c>
      <c r="J1107" s="102" t="b">
        <v>0</v>
      </c>
      <c r="K1107" s="102" t="b">
        <v>0</v>
      </c>
      <c r="L1107" s="102" t="b">
        <v>0</v>
      </c>
    </row>
    <row r="1108" spans="1:12" ht="15">
      <c r="A1108" s="104" t="s">
        <v>2350</v>
      </c>
      <c r="B1108" s="102" t="s">
        <v>2349</v>
      </c>
      <c r="C1108" s="102">
        <v>7</v>
      </c>
      <c r="D1108" s="106">
        <v>0.005824090382141262</v>
      </c>
      <c r="E1108" s="106">
        <v>0.9585792949390649</v>
      </c>
      <c r="F1108" s="102" t="s">
        <v>2321</v>
      </c>
      <c r="G1108" s="102" t="b">
        <v>0</v>
      </c>
      <c r="H1108" s="102" t="b">
        <v>0</v>
      </c>
      <c r="I1108" s="102" t="b">
        <v>0</v>
      </c>
      <c r="J1108" s="102" t="b">
        <v>0</v>
      </c>
      <c r="K1108" s="102" t="b">
        <v>0</v>
      </c>
      <c r="L1108" s="102" t="b">
        <v>0</v>
      </c>
    </row>
    <row r="1109" spans="1:12" ht="15">
      <c r="A1109" s="104" t="s">
        <v>2626</v>
      </c>
      <c r="B1109" s="102" t="s">
        <v>2428</v>
      </c>
      <c r="C1109" s="102">
        <v>6</v>
      </c>
      <c r="D1109" s="106">
        <v>0.004992077470406795</v>
      </c>
      <c r="E1109" s="106">
        <v>2.1946684836700316</v>
      </c>
      <c r="F1109" s="102" t="s">
        <v>2321</v>
      </c>
      <c r="G1109" s="102" t="b">
        <v>0</v>
      </c>
      <c r="H1109" s="102" t="b">
        <v>0</v>
      </c>
      <c r="I1109" s="102" t="b">
        <v>0</v>
      </c>
      <c r="J1109" s="102" t="b">
        <v>0</v>
      </c>
      <c r="K1109" s="102" t="b">
        <v>0</v>
      </c>
      <c r="L1109" s="102" t="b">
        <v>0</v>
      </c>
    </row>
    <row r="1110" spans="1:12" ht="15">
      <c r="A1110" s="104" t="s">
        <v>2408</v>
      </c>
      <c r="B1110" s="102" t="s">
        <v>2563</v>
      </c>
      <c r="C1110" s="102">
        <v>6</v>
      </c>
      <c r="D1110" s="106">
        <v>0.006955539423985653</v>
      </c>
      <c r="E1110" s="106">
        <v>2.1075183079511315</v>
      </c>
      <c r="F1110" s="102" t="s">
        <v>2321</v>
      </c>
      <c r="G1110" s="102" t="b">
        <v>0</v>
      </c>
      <c r="H1110" s="102" t="b">
        <v>1</v>
      </c>
      <c r="I1110" s="102" t="b">
        <v>0</v>
      </c>
      <c r="J1110" s="102" t="b">
        <v>0</v>
      </c>
      <c r="K1110" s="102" t="b">
        <v>0</v>
      </c>
      <c r="L1110" s="102" t="b">
        <v>0</v>
      </c>
    </row>
    <row r="1111" spans="1:12" ht="15">
      <c r="A1111" s="104" t="s">
        <v>2386</v>
      </c>
      <c r="B1111" s="102" t="s">
        <v>2459</v>
      </c>
      <c r="C1111" s="102">
        <v>6</v>
      </c>
      <c r="D1111" s="106">
        <v>0.006955539423985653</v>
      </c>
      <c r="E1111" s="106">
        <v>1.6815495756788503</v>
      </c>
      <c r="F1111" s="102" t="s">
        <v>2321</v>
      </c>
      <c r="G1111" s="102" t="b">
        <v>0</v>
      </c>
      <c r="H1111" s="102" t="b">
        <v>0</v>
      </c>
      <c r="I1111" s="102" t="b">
        <v>0</v>
      </c>
      <c r="J1111" s="102" t="b">
        <v>0</v>
      </c>
      <c r="K1111" s="102" t="b">
        <v>0</v>
      </c>
      <c r="L1111" s="102" t="b">
        <v>0</v>
      </c>
    </row>
    <row r="1112" spans="1:12" ht="15">
      <c r="A1112" s="104" t="s">
        <v>2373</v>
      </c>
      <c r="B1112" s="102" t="s">
        <v>2458</v>
      </c>
      <c r="C1112" s="102">
        <v>6</v>
      </c>
      <c r="D1112" s="106">
        <v>0.006955539423985653</v>
      </c>
      <c r="E1112" s="106">
        <v>1.6089989085302385</v>
      </c>
      <c r="F1112" s="102" t="s">
        <v>2321</v>
      </c>
      <c r="G1112" s="102" t="b">
        <v>0</v>
      </c>
      <c r="H1112" s="102" t="b">
        <v>0</v>
      </c>
      <c r="I1112" s="102" t="b">
        <v>0</v>
      </c>
      <c r="J1112" s="102" t="b">
        <v>0</v>
      </c>
      <c r="K1112" s="102" t="b">
        <v>0</v>
      </c>
      <c r="L1112" s="102" t="b">
        <v>0</v>
      </c>
    </row>
    <row r="1113" spans="1:12" ht="15">
      <c r="A1113" s="104" t="s">
        <v>2350</v>
      </c>
      <c r="B1113" s="102" t="s">
        <v>2623</v>
      </c>
      <c r="C1113" s="102">
        <v>5</v>
      </c>
      <c r="D1113" s="106">
        <v>0.005796282853321377</v>
      </c>
      <c r="E1113" s="106">
        <v>1.5256617027114558</v>
      </c>
      <c r="F1113" s="102" t="s">
        <v>2321</v>
      </c>
      <c r="G1113" s="102" t="b">
        <v>0</v>
      </c>
      <c r="H1113" s="102" t="b">
        <v>0</v>
      </c>
      <c r="I1113" s="102" t="b">
        <v>0</v>
      </c>
      <c r="J1113" s="102" t="b">
        <v>0</v>
      </c>
      <c r="K1113" s="102" t="b">
        <v>0</v>
      </c>
      <c r="L1113" s="102" t="b">
        <v>0</v>
      </c>
    </row>
    <row r="1114" spans="1:12" ht="15">
      <c r="A1114" s="104" t="s">
        <v>2386</v>
      </c>
      <c r="B1114" s="102" t="s">
        <v>2471</v>
      </c>
      <c r="C1114" s="102">
        <v>5</v>
      </c>
      <c r="D1114" s="106">
        <v>0.005796282853321377</v>
      </c>
      <c r="E1114" s="106">
        <v>1.6023683296312254</v>
      </c>
      <c r="F1114" s="102" t="s">
        <v>2321</v>
      </c>
      <c r="G1114" s="102" t="b">
        <v>0</v>
      </c>
      <c r="H1114" s="102" t="b">
        <v>0</v>
      </c>
      <c r="I1114" s="102" t="b">
        <v>0</v>
      </c>
      <c r="J1114" s="102" t="b">
        <v>0</v>
      </c>
      <c r="K1114" s="102" t="b">
        <v>0</v>
      </c>
      <c r="L1114" s="102" t="b">
        <v>0</v>
      </c>
    </row>
    <row r="1115" spans="1:12" ht="15">
      <c r="A1115" s="104" t="s">
        <v>2444</v>
      </c>
      <c r="B1115" s="102" t="s">
        <v>2408</v>
      </c>
      <c r="C1115" s="102">
        <v>5</v>
      </c>
      <c r="D1115" s="106">
        <v>0.005796282853321377</v>
      </c>
      <c r="E1115" s="106">
        <v>1.8522458028478253</v>
      </c>
      <c r="F1115" s="102" t="s">
        <v>2321</v>
      </c>
      <c r="G1115" s="102" t="b">
        <v>0</v>
      </c>
      <c r="H1115" s="102" t="b">
        <v>0</v>
      </c>
      <c r="I1115" s="102" t="b">
        <v>0</v>
      </c>
      <c r="J1115" s="102" t="b">
        <v>0</v>
      </c>
      <c r="K1115" s="102" t="b">
        <v>1</v>
      </c>
      <c r="L1115" s="102" t="b">
        <v>0</v>
      </c>
    </row>
    <row r="1116" spans="1:12" ht="15">
      <c r="A1116" s="104" t="s">
        <v>2408</v>
      </c>
      <c r="B1116" s="102" t="s">
        <v>2493</v>
      </c>
      <c r="C1116" s="102">
        <v>5</v>
      </c>
      <c r="D1116" s="106">
        <v>0.005796282853321377</v>
      </c>
      <c r="E1116" s="106">
        <v>1.9033983252952067</v>
      </c>
      <c r="F1116" s="102" t="s">
        <v>2321</v>
      </c>
      <c r="G1116" s="102" t="b">
        <v>0</v>
      </c>
      <c r="H1116" s="102" t="b">
        <v>1</v>
      </c>
      <c r="I1116" s="102" t="b">
        <v>0</v>
      </c>
      <c r="J1116" s="102" t="b">
        <v>0</v>
      </c>
      <c r="K1116" s="102" t="b">
        <v>0</v>
      </c>
      <c r="L1116" s="102" t="b">
        <v>0</v>
      </c>
    </row>
    <row r="1117" spans="1:12" ht="15">
      <c r="A1117" s="104" t="s">
        <v>2499</v>
      </c>
      <c r="B1117" s="102" t="s">
        <v>2373</v>
      </c>
      <c r="C1117" s="102">
        <v>5</v>
      </c>
      <c r="D1117" s="106">
        <v>0.005796282853321377</v>
      </c>
      <c r="E1117" s="106">
        <v>1.6895185053501256</v>
      </c>
      <c r="F1117" s="102" t="s">
        <v>2321</v>
      </c>
      <c r="G1117" s="102" t="b">
        <v>0</v>
      </c>
      <c r="H1117" s="102" t="b">
        <v>0</v>
      </c>
      <c r="I1117" s="102" t="b">
        <v>0</v>
      </c>
      <c r="J1117" s="102" t="b">
        <v>0</v>
      </c>
      <c r="K1117" s="102" t="b">
        <v>0</v>
      </c>
      <c r="L1117" s="102" t="b">
        <v>0</v>
      </c>
    </row>
    <row r="1118" spans="1:12" ht="15">
      <c r="A1118" s="104" t="s">
        <v>2613</v>
      </c>
      <c r="B1118" s="102" t="s">
        <v>2411</v>
      </c>
      <c r="C1118" s="102">
        <v>4</v>
      </c>
      <c r="D1118" s="106">
        <v>0.0029852841939658472</v>
      </c>
      <c r="E1118" s="106">
        <v>2.546851001781394</v>
      </c>
      <c r="F1118" s="102" t="s">
        <v>2321</v>
      </c>
      <c r="G1118" s="102" t="b">
        <v>1</v>
      </c>
      <c r="H1118" s="102" t="b">
        <v>0</v>
      </c>
      <c r="I1118" s="102" t="b">
        <v>0</v>
      </c>
      <c r="J1118" s="102" t="b">
        <v>0</v>
      </c>
      <c r="K1118" s="102" t="b">
        <v>0</v>
      </c>
      <c r="L1118" s="102" t="b">
        <v>0</v>
      </c>
    </row>
    <row r="1119" spans="1:12" ht="15">
      <c r="A1119" s="104" t="s">
        <v>2351</v>
      </c>
      <c r="B1119" s="102" t="s">
        <v>2348</v>
      </c>
      <c r="C1119" s="102">
        <v>4</v>
      </c>
      <c r="D1119" s="106">
        <v>0.0033280516469378634</v>
      </c>
      <c r="E1119" s="106">
        <v>0.9281493391342142</v>
      </c>
      <c r="F1119" s="102" t="s">
        <v>2321</v>
      </c>
      <c r="G1119" s="102" t="b">
        <v>0</v>
      </c>
      <c r="H1119" s="102" t="b">
        <v>0</v>
      </c>
      <c r="I1119" s="102" t="b">
        <v>0</v>
      </c>
      <c r="J1119" s="102" t="b">
        <v>0</v>
      </c>
      <c r="K1119" s="102" t="b">
        <v>0</v>
      </c>
      <c r="L1119" s="102" t="b">
        <v>0</v>
      </c>
    </row>
    <row r="1120" spans="1:12" ht="15">
      <c r="A1120" s="104" t="s">
        <v>2354</v>
      </c>
      <c r="B1120" s="102" t="s">
        <v>2445</v>
      </c>
      <c r="C1120" s="102">
        <v>4</v>
      </c>
      <c r="D1120" s="106">
        <v>0.0046370262826571015</v>
      </c>
      <c r="E1120" s="106">
        <v>1.4609363730748008</v>
      </c>
      <c r="F1120" s="102" t="s">
        <v>2321</v>
      </c>
      <c r="G1120" s="102" t="b">
        <v>0</v>
      </c>
      <c r="H1120" s="102" t="b">
        <v>0</v>
      </c>
      <c r="I1120" s="102" t="b">
        <v>0</v>
      </c>
      <c r="J1120" s="102" t="b">
        <v>0</v>
      </c>
      <c r="K1120" s="102" t="b">
        <v>0</v>
      </c>
      <c r="L1120" s="102" t="b">
        <v>0</v>
      </c>
    </row>
    <row r="1121" spans="1:12" ht="15">
      <c r="A1121" s="104" t="s">
        <v>2518</v>
      </c>
      <c r="B1121" s="102" t="s">
        <v>2424</v>
      </c>
      <c r="C1121" s="102">
        <v>4</v>
      </c>
      <c r="D1121" s="106">
        <v>0.0046370262826571015</v>
      </c>
      <c r="E1121" s="106">
        <v>1.5926084923420691</v>
      </c>
      <c r="F1121" s="102" t="s">
        <v>2321</v>
      </c>
      <c r="G1121" s="102" t="b">
        <v>0</v>
      </c>
      <c r="H1121" s="102" t="b">
        <v>0</v>
      </c>
      <c r="I1121" s="102" t="b">
        <v>0</v>
      </c>
      <c r="J1121" s="102" t="b">
        <v>0</v>
      </c>
      <c r="K1121" s="102" t="b">
        <v>1</v>
      </c>
      <c r="L1121" s="102" t="b">
        <v>0</v>
      </c>
    </row>
    <row r="1122" spans="1:12" ht="15">
      <c r="A1122" s="104" t="s">
        <v>2424</v>
      </c>
      <c r="B1122" s="102" t="s">
        <v>2518</v>
      </c>
      <c r="C1122" s="102">
        <v>4</v>
      </c>
      <c r="D1122" s="106">
        <v>0.0046370262826571015</v>
      </c>
      <c r="E1122" s="106">
        <v>1.6206372159423126</v>
      </c>
      <c r="F1122" s="102" t="s">
        <v>2321</v>
      </c>
      <c r="G1122" s="102" t="b">
        <v>0</v>
      </c>
      <c r="H1122" s="102" t="b">
        <v>1</v>
      </c>
      <c r="I1122" s="102" t="b">
        <v>0</v>
      </c>
      <c r="J1122" s="102" t="b">
        <v>0</v>
      </c>
      <c r="K1122" s="102" t="b">
        <v>0</v>
      </c>
      <c r="L1122" s="102" t="b">
        <v>0</v>
      </c>
    </row>
    <row r="1123" spans="1:12" ht="15">
      <c r="A1123" s="104" t="s">
        <v>2404</v>
      </c>
      <c r="B1123" s="102" t="s">
        <v>2458</v>
      </c>
      <c r="C1123" s="102">
        <v>4</v>
      </c>
      <c r="D1123" s="106">
        <v>0.0046370262826571015</v>
      </c>
      <c r="E1123" s="106">
        <v>1.335997636466501</v>
      </c>
      <c r="F1123" s="102" t="s">
        <v>2321</v>
      </c>
      <c r="G1123" s="102" t="b">
        <v>0</v>
      </c>
      <c r="H1123" s="102" t="b">
        <v>0</v>
      </c>
      <c r="I1123" s="102" t="b">
        <v>0</v>
      </c>
      <c r="J1123" s="102" t="b">
        <v>0</v>
      </c>
      <c r="K1123" s="102" t="b">
        <v>0</v>
      </c>
      <c r="L1123" s="102" t="b">
        <v>0</v>
      </c>
    </row>
    <row r="1124" spans="1:12" ht="15">
      <c r="A1124" s="104" t="s">
        <v>2404</v>
      </c>
      <c r="B1124" s="102" t="s">
        <v>2373</v>
      </c>
      <c r="C1124" s="102">
        <v>4</v>
      </c>
      <c r="D1124" s="106">
        <v>0.0046370262826571015</v>
      </c>
      <c r="E1124" s="106">
        <v>1.2458210061174129</v>
      </c>
      <c r="F1124" s="102" t="s">
        <v>2321</v>
      </c>
      <c r="G1124" s="102" t="b">
        <v>0</v>
      </c>
      <c r="H1124" s="102" t="b">
        <v>0</v>
      </c>
      <c r="I1124" s="102" t="b">
        <v>0</v>
      </c>
      <c r="J1124" s="102" t="b">
        <v>0</v>
      </c>
      <c r="K1124" s="102" t="b">
        <v>0</v>
      </c>
      <c r="L1124" s="102" t="b">
        <v>0</v>
      </c>
    </row>
    <row r="1125" spans="1:12" ht="15">
      <c r="A1125" s="104" t="s">
        <v>2373</v>
      </c>
      <c r="B1125" s="102" t="s">
        <v>2404</v>
      </c>
      <c r="C1125" s="102">
        <v>4</v>
      </c>
      <c r="D1125" s="106">
        <v>0.0046370262826571015</v>
      </c>
      <c r="E1125" s="106">
        <v>1.268097400828565</v>
      </c>
      <c r="F1125" s="102" t="s">
        <v>2321</v>
      </c>
      <c r="G1125" s="102" t="b">
        <v>0</v>
      </c>
      <c r="H1125" s="102" t="b">
        <v>0</v>
      </c>
      <c r="I1125" s="102" t="b">
        <v>0</v>
      </c>
      <c r="J1125" s="102" t="b">
        <v>0</v>
      </c>
      <c r="K1125" s="102" t="b">
        <v>0</v>
      </c>
      <c r="L1125" s="102" t="b">
        <v>0</v>
      </c>
    </row>
    <row r="1126" spans="1:12" ht="15">
      <c r="A1126" s="104" t="s">
        <v>2348</v>
      </c>
      <c r="B1126" s="102" t="s">
        <v>2348</v>
      </c>
      <c r="C1126" s="102">
        <v>3</v>
      </c>
      <c r="D1126" s="106">
        <v>0.0034777697119928266</v>
      </c>
      <c r="E1126" s="106">
        <v>0.985550810858597</v>
      </c>
      <c r="F1126" s="102" t="s">
        <v>2321</v>
      </c>
      <c r="G1126" s="102" t="b">
        <v>0</v>
      </c>
      <c r="H1126" s="102" t="b">
        <v>0</v>
      </c>
      <c r="I1126" s="102" t="b">
        <v>0</v>
      </c>
      <c r="J1126" s="102" t="b">
        <v>0</v>
      </c>
      <c r="K1126" s="102" t="b">
        <v>0</v>
      </c>
      <c r="L1126" s="102" t="b">
        <v>0</v>
      </c>
    </row>
    <row r="1127" spans="1:12" ht="15">
      <c r="A1127" s="104" t="s">
        <v>2350</v>
      </c>
      <c r="B1127" s="102" t="s">
        <v>2467</v>
      </c>
      <c r="C1127" s="102">
        <v>3</v>
      </c>
      <c r="D1127" s="106">
        <v>0.0024960387352033976</v>
      </c>
      <c r="E1127" s="106">
        <v>1.6048429487590807</v>
      </c>
      <c r="F1127" s="102" t="s">
        <v>2321</v>
      </c>
      <c r="G1127" s="102" t="b">
        <v>0</v>
      </c>
      <c r="H1127" s="102" t="b">
        <v>0</v>
      </c>
      <c r="I1127" s="102" t="b">
        <v>0</v>
      </c>
      <c r="J1127" s="102" t="b">
        <v>0</v>
      </c>
      <c r="K1127" s="102" t="b">
        <v>0</v>
      </c>
      <c r="L1127" s="102" t="b">
        <v>0</v>
      </c>
    </row>
    <row r="1128" spans="1:12" ht="15">
      <c r="A1128" s="104" t="s">
        <v>2564</v>
      </c>
      <c r="B1128" s="102" t="s">
        <v>2412</v>
      </c>
      <c r="C1128" s="102">
        <v>3</v>
      </c>
      <c r="D1128" s="106">
        <v>0.002858366428733606</v>
      </c>
      <c r="E1128" s="106">
        <v>2.1788742164867996</v>
      </c>
      <c r="F1128" s="102" t="s">
        <v>2321</v>
      </c>
      <c r="G1128" s="102" t="b">
        <v>0</v>
      </c>
      <c r="H1128" s="102" t="b">
        <v>0</v>
      </c>
      <c r="I1128" s="102" t="b">
        <v>0</v>
      </c>
      <c r="J1128" s="102" t="b">
        <v>0</v>
      </c>
      <c r="K1128" s="102" t="b">
        <v>0</v>
      </c>
      <c r="L1128" s="102" t="b">
        <v>0</v>
      </c>
    </row>
    <row r="1129" spans="1:12" ht="15">
      <c r="A1129" s="104" t="s">
        <v>2412</v>
      </c>
      <c r="B1129" s="102" t="s">
        <v>2691</v>
      </c>
      <c r="C1129" s="102">
        <v>3</v>
      </c>
      <c r="D1129" s="106">
        <v>0.002858366428733606</v>
      </c>
      <c r="E1129" s="106">
        <v>2.2458210061174126</v>
      </c>
      <c r="F1129" s="102" t="s">
        <v>2321</v>
      </c>
      <c r="G1129" s="102" t="b">
        <v>0</v>
      </c>
      <c r="H1129" s="102" t="b">
        <v>0</v>
      </c>
      <c r="I1129" s="102" t="b">
        <v>0</v>
      </c>
      <c r="J1129" s="102" t="b">
        <v>0</v>
      </c>
      <c r="K1129" s="102" t="b">
        <v>0</v>
      </c>
      <c r="L1129" s="102" t="b">
        <v>0</v>
      </c>
    </row>
    <row r="1130" spans="1:12" ht="15">
      <c r="A1130" s="104" t="s">
        <v>2689</v>
      </c>
      <c r="B1130" s="102" t="s">
        <v>2349</v>
      </c>
      <c r="C1130" s="102">
        <v>3</v>
      </c>
      <c r="D1130" s="106">
        <v>0.0034777697119928266</v>
      </c>
      <c r="E1130" s="106">
        <v>1.4357005496587274</v>
      </c>
      <c r="F1130" s="102" t="s">
        <v>2321</v>
      </c>
      <c r="G1130" s="102" t="b">
        <v>0</v>
      </c>
      <c r="H1130" s="102" t="b">
        <v>0</v>
      </c>
      <c r="I1130" s="102" t="b">
        <v>0</v>
      </c>
      <c r="J1130" s="102" t="b">
        <v>0</v>
      </c>
      <c r="K1130" s="102" t="b">
        <v>0</v>
      </c>
      <c r="L1130" s="102" t="b">
        <v>0</v>
      </c>
    </row>
    <row r="1131" spans="1:12" ht="15">
      <c r="A1131" s="104" t="s">
        <v>2908</v>
      </c>
      <c r="B1131" s="102" t="s">
        <v>2909</v>
      </c>
      <c r="C1131" s="102">
        <v>3</v>
      </c>
      <c r="D1131" s="106">
        <v>0.0034777697119928266</v>
      </c>
      <c r="E1131" s="106">
        <v>2.671789738389694</v>
      </c>
      <c r="F1131" s="102" t="s">
        <v>2321</v>
      </c>
      <c r="G1131" s="102" t="b">
        <v>0</v>
      </c>
      <c r="H1131" s="102" t="b">
        <v>0</v>
      </c>
      <c r="I1131" s="102" t="b">
        <v>0</v>
      </c>
      <c r="J1131" s="102" t="b">
        <v>0</v>
      </c>
      <c r="K1131" s="102" t="b">
        <v>0</v>
      </c>
      <c r="L1131" s="102" t="b">
        <v>0</v>
      </c>
    </row>
    <row r="1132" spans="1:12" ht="15">
      <c r="A1132" s="104" t="s">
        <v>2776</v>
      </c>
      <c r="B1132" s="102" t="s">
        <v>2500</v>
      </c>
      <c r="C1132" s="102">
        <v>3</v>
      </c>
      <c r="D1132" s="106">
        <v>0.0034777697119928266</v>
      </c>
      <c r="E1132" s="106">
        <v>2.0239722565010565</v>
      </c>
      <c r="F1132" s="102" t="s">
        <v>2321</v>
      </c>
      <c r="G1132" s="102" t="b">
        <v>0</v>
      </c>
      <c r="H1132" s="102" t="b">
        <v>0</v>
      </c>
      <c r="I1132" s="102" t="b">
        <v>0</v>
      </c>
      <c r="J1132" s="102" t="b">
        <v>0</v>
      </c>
      <c r="K1132" s="102" t="b">
        <v>0</v>
      </c>
      <c r="L1132" s="102" t="b">
        <v>0</v>
      </c>
    </row>
    <row r="1133" spans="1:12" ht="15">
      <c r="A1133" s="104" t="s">
        <v>2913</v>
      </c>
      <c r="B1133" s="102" t="s">
        <v>2914</v>
      </c>
      <c r="C1133" s="102">
        <v>3</v>
      </c>
      <c r="D1133" s="106">
        <v>0.0034777697119928266</v>
      </c>
      <c r="E1133" s="106">
        <v>2.671789738389694</v>
      </c>
      <c r="F1133" s="102" t="s">
        <v>2321</v>
      </c>
      <c r="G1133" s="102" t="b">
        <v>0</v>
      </c>
      <c r="H1133" s="102" t="b">
        <v>0</v>
      </c>
      <c r="I1133" s="102" t="b">
        <v>0</v>
      </c>
      <c r="J1133" s="102" t="b">
        <v>0</v>
      </c>
      <c r="K1133" s="102" t="b">
        <v>0</v>
      </c>
      <c r="L1133" s="102" t="b">
        <v>0</v>
      </c>
    </row>
    <row r="1134" spans="1:12" ht="15">
      <c r="A1134" s="104" t="s">
        <v>2357</v>
      </c>
      <c r="B1134" s="102" t="s">
        <v>2445</v>
      </c>
      <c r="C1134" s="102">
        <v>3</v>
      </c>
      <c r="D1134" s="106">
        <v>0.0034777697119928266</v>
      </c>
      <c r="E1134" s="106">
        <v>1.365960859843944</v>
      </c>
      <c r="F1134" s="102" t="s">
        <v>2321</v>
      </c>
      <c r="G1134" s="102" t="b">
        <v>0</v>
      </c>
      <c r="H1134" s="102" t="b">
        <v>0</v>
      </c>
      <c r="I1134" s="102" t="b">
        <v>0</v>
      </c>
      <c r="J1134" s="102" t="b">
        <v>0</v>
      </c>
      <c r="K1134" s="102" t="b">
        <v>0</v>
      </c>
      <c r="L1134" s="102" t="b">
        <v>0</v>
      </c>
    </row>
    <row r="1135" spans="1:12" ht="15">
      <c r="A1135" s="104" t="s">
        <v>2471</v>
      </c>
      <c r="B1135" s="102" t="s">
        <v>2622</v>
      </c>
      <c r="C1135" s="102">
        <v>3</v>
      </c>
      <c r="D1135" s="106">
        <v>0.0034777697119928266</v>
      </c>
      <c r="E1135" s="106">
        <v>1.7686997513977505</v>
      </c>
      <c r="F1135" s="102" t="s">
        <v>2321</v>
      </c>
      <c r="G1135" s="102" t="b">
        <v>0</v>
      </c>
      <c r="H1135" s="102" t="b">
        <v>0</v>
      </c>
      <c r="I1135" s="102" t="b">
        <v>0</v>
      </c>
      <c r="J1135" s="102" t="b">
        <v>0</v>
      </c>
      <c r="K1135" s="102" t="b">
        <v>0</v>
      </c>
      <c r="L1135" s="102" t="b">
        <v>0</v>
      </c>
    </row>
    <row r="1136" spans="1:12" ht="15">
      <c r="A1136" s="104" t="s">
        <v>2424</v>
      </c>
      <c r="B1136" s="102" t="s">
        <v>2386</v>
      </c>
      <c r="C1136" s="102">
        <v>3</v>
      </c>
      <c r="D1136" s="106">
        <v>0.0034777697119928266</v>
      </c>
      <c r="E1136" s="106">
        <v>1.2194920673950638</v>
      </c>
      <c r="F1136" s="102" t="s">
        <v>2321</v>
      </c>
      <c r="G1136" s="102" t="b">
        <v>0</v>
      </c>
      <c r="H1136" s="102" t="b">
        <v>1</v>
      </c>
      <c r="I1136" s="102" t="b">
        <v>0</v>
      </c>
      <c r="J1136" s="102" t="b">
        <v>0</v>
      </c>
      <c r="K1136" s="102" t="b">
        <v>0</v>
      </c>
      <c r="L1136" s="102" t="b">
        <v>0</v>
      </c>
    </row>
    <row r="1137" spans="1:12" ht="15">
      <c r="A1137" s="104" t="s">
        <v>2471</v>
      </c>
      <c r="B1137" s="102" t="s">
        <v>2424</v>
      </c>
      <c r="C1137" s="102">
        <v>3</v>
      </c>
      <c r="D1137" s="106">
        <v>0.0034777697119928266</v>
      </c>
      <c r="E1137" s="106">
        <v>1.342731019125469</v>
      </c>
      <c r="F1137" s="102" t="s">
        <v>2321</v>
      </c>
      <c r="G1137" s="102" t="b">
        <v>0</v>
      </c>
      <c r="H1137" s="102" t="b">
        <v>0</v>
      </c>
      <c r="I1137" s="102" t="b">
        <v>0</v>
      </c>
      <c r="J1137" s="102" t="b">
        <v>0</v>
      </c>
      <c r="K1137" s="102" t="b">
        <v>1</v>
      </c>
      <c r="L1137" s="102" t="b">
        <v>0</v>
      </c>
    </row>
    <row r="1138" spans="1:12" ht="15">
      <c r="A1138" s="104" t="s">
        <v>2424</v>
      </c>
      <c r="B1138" s="102" t="s">
        <v>2622</v>
      </c>
      <c r="C1138" s="102">
        <v>3</v>
      </c>
      <c r="D1138" s="106">
        <v>0.0034777697119928266</v>
      </c>
      <c r="E1138" s="106">
        <v>1.671789738389694</v>
      </c>
      <c r="F1138" s="102" t="s">
        <v>2321</v>
      </c>
      <c r="G1138" s="102" t="b">
        <v>0</v>
      </c>
      <c r="H1138" s="102" t="b">
        <v>1</v>
      </c>
      <c r="I1138" s="102" t="b">
        <v>0</v>
      </c>
      <c r="J1138" s="102" t="b">
        <v>0</v>
      </c>
      <c r="K1138" s="102" t="b">
        <v>0</v>
      </c>
      <c r="L1138" s="102" t="b">
        <v>0</v>
      </c>
    </row>
    <row r="1139" spans="1:12" ht="15">
      <c r="A1139" s="104" t="s">
        <v>2774</v>
      </c>
      <c r="B1139" s="102" t="s">
        <v>2493</v>
      </c>
      <c r="C1139" s="102">
        <v>3</v>
      </c>
      <c r="D1139" s="106">
        <v>0.0034777697119928266</v>
      </c>
      <c r="E1139" s="106">
        <v>2.2458210061174126</v>
      </c>
      <c r="F1139" s="102" t="s">
        <v>2321</v>
      </c>
      <c r="G1139" s="102" t="b">
        <v>0</v>
      </c>
      <c r="H1139" s="102" t="b">
        <v>0</v>
      </c>
      <c r="I1139" s="102" t="b">
        <v>0</v>
      </c>
      <c r="J1139" s="102" t="b">
        <v>0</v>
      </c>
      <c r="K1139" s="102" t="b">
        <v>0</v>
      </c>
      <c r="L1139" s="102" t="b">
        <v>0</v>
      </c>
    </row>
    <row r="1140" spans="1:12" ht="15">
      <c r="A1140" s="104" t="s">
        <v>2350</v>
      </c>
      <c r="B1140" s="102" t="s">
        <v>2368</v>
      </c>
      <c r="C1140" s="102">
        <v>2</v>
      </c>
      <c r="D1140" s="106">
        <v>0.001905577619155737</v>
      </c>
      <c r="E1140" s="106">
        <v>1.6048429487590807</v>
      </c>
      <c r="F1140" s="102" t="s">
        <v>2321</v>
      </c>
      <c r="G1140" s="102" t="b">
        <v>0</v>
      </c>
      <c r="H1140" s="102" t="b">
        <v>0</v>
      </c>
      <c r="I1140" s="102" t="b">
        <v>0</v>
      </c>
      <c r="J1140" s="102" t="b">
        <v>0</v>
      </c>
      <c r="K1140" s="102" t="b">
        <v>0</v>
      </c>
      <c r="L1140" s="102" t="b">
        <v>0</v>
      </c>
    </row>
    <row r="1141" spans="1:12" ht="15">
      <c r="A1141" s="104" t="s">
        <v>2402</v>
      </c>
      <c r="B1141" s="102" t="s">
        <v>3334</v>
      </c>
      <c r="C1141" s="102">
        <v>2</v>
      </c>
      <c r="D1141" s="106">
        <v>0.0023185131413285508</v>
      </c>
      <c r="E1141" s="106">
        <v>2.546851001781394</v>
      </c>
      <c r="F1141" s="102" t="s">
        <v>2321</v>
      </c>
      <c r="G1141" s="102" t="b">
        <v>0</v>
      </c>
      <c r="H1141" s="102" t="b">
        <v>0</v>
      </c>
      <c r="I1141" s="102" t="b">
        <v>0</v>
      </c>
      <c r="J1141" s="102" t="b">
        <v>0</v>
      </c>
      <c r="K1141" s="102" t="b">
        <v>0</v>
      </c>
      <c r="L1141" s="102" t="b">
        <v>0</v>
      </c>
    </row>
    <row r="1142" spans="1:12" ht="15">
      <c r="A1142" s="104" t="s">
        <v>3334</v>
      </c>
      <c r="B1142" s="102" t="s">
        <v>2954</v>
      </c>
      <c r="C1142" s="102">
        <v>2</v>
      </c>
      <c r="D1142" s="106">
        <v>0.0023185131413285508</v>
      </c>
      <c r="E1142" s="106">
        <v>2.671789738389694</v>
      </c>
      <c r="F1142" s="102" t="s">
        <v>2321</v>
      </c>
      <c r="G1142" s="102" t="b">
        <v>0</v>
      </c>
      <c r="H1142" s="102" t="b">
        <v>0</v>
      </c>
      <c r="I1142" s="102" t="b">
        <v>0</v>
      </c>
      <c r="J1142" s="102" t="b">
        <v>0</v>
      </c>
      <c r="K1142" s="102" t="b">
        <v>0</v>
      </c>
      <c r="L1142" s="102" t="b">
        <v>0</v>
      </c>
    </row>
    <row r="1143" spans="1:12" ht="15">
      <c r="A1143" s="104" t="s">
        <v>2954</v>
      </c>
      <c r="B1143" s="102" t="s">
        <v>2422</v>
      </c>
      <c r="C1143" s="102">
        <v>2</v>
      </c>
      <c r="D1143" s="106">
        <v>0.0023185131413285508</v>
      </c>
      <c r="E1143" s="106">
        <v>2.671789738389694</v>
      </c>
      <c r="F1143" s="102" t="s">
        <v>2321</v>
      </c>
      <c r="G1143" s="102" t="b">
        <v>0</v>
      </c>
      <c r="H1143" s="102" t="b">
        <v>0</v>
      </c>
      <c r="I1143" s="102" t="b">
        <v>0</v>
      </c>
      <c r="J1143" s="102" t="b">
        <v>0</v>
      </c>
      <c r="K1143" s="102" t="b">
        <v>0</v>
      </c>
      <c r="L1143" s="102" t="b">
        <v>0</v>
      </c>
    </row>
    <row r="1144" spans="1:12" ht="15">
      <c r="A1144" s="104" t="s">
        <v>2903</v>
      </c>
      <c r="B1144" s="102" t="s">
        <v>2351</v>
      </c>
      <c r="C1144" s="102">
        <v>2</v>
      </c>
      <c r="D1144" s="106">
        <v>0.001905577619155737</v>
      </c>
      <c r="E1144" s="106">
        <v>1.6048429487590807</v>
      </c>
      <c r="F1144" s="102" t="s">
        <v>2321</v>
      </c>
      <c r="G1144" s="102" t="b">
        <v>0</v>
      </c>
      <c r="H1144" s="102" t="b">
        <v>0</v>
      </c>
      <c r="I1144" s="102" t="b">
        <v>0</v>
      </c>
      <c r="J1144" s="102" t="b">
        <v>0</v>
      </c>
      <c r="K1144" s="102" t="b">
        <v>0</v>
      </c>
      <c r="L1144" s="102" t="b">
        <v>0</v>
      </c>
    </row>
    <row r="1145" spans="1:12" ht="15">
      <c r="A1145" s="104" t="s">
        <v>2351</v>
      </c>
      <c r="B1145" s="102" t="s">
        <v>2351</v>
      </c>
      <c r="C1145" s="102">
        <v>2</v>
      </c>
      <c r="D1145" s="106">
        <v>0.001905577619155737</v>
      </c>
      <c r="E1145" s="106">
        <v>0.3618049000727864</v>
      </c>
      <c r="F1145" s="102" t="s">
        <v>2321</v>
      </c>
      <c r="G1145" s="102" t="b">
        <v>0</v>
      </c>
      <c r="H1145" s="102" t="b">
        <v>0</v>
      </c>
      <c r="I1145" s="102" t="b">
        <v>0</v>
      </c>
      <c r="J1145" s="102" t="b">
        <v>0</v>
      </c>
      <c r="K1145" s="102" t="b">
        <v>0</v>
      </c>
      <c r="L1145" s="102" t="b">
        <v>0</v>
      </c>
    </row>
    <row r="1146" spans="1:12" ht="15">
      <c r="A1146" s="104" t="s">
        <v>3215</v>
      </c>
      <c r="B1146" s="102" t="s">
        <v>2349</v>
      </c>
      <c r="C1146" s="102">
        <v>2</v>
      </c>
      <c r="D1146" s="106">
        <v>0.001905577619155737</v>
      </c>
      <c r="E1146" s="106">
        <v>1.6575492992750838</v>
      </c>
      <c r="F1146" s="102" t="s">
        <v>2321</v>
      </c>
      <c r="G1146" s="102" t="b">
        <v>0</v>
      </c>
      <c r="H1146" s="102" t="b">
        <v>0</v>
      </c>
      <c r="I1146" s="102" t="b">
        <v>0</v>
      </c>
      <c r="J1146" s="102" t="b">
        <v>0</v>
      </c>
      <c r="K1146" s="102" t="b">
        <v>0</v>
      </c>
      <c r="L1146" s="102" t="b">
        <v>0</v>
      </c>
    </row>
    <row r="1147" spans="1:12" ht="15">
      <c r="A1147" s="104" t="s">
        <v>2349</v>
      </c>
      <c r="B1147" s="102" t="s">
        <v>2356</v>
      </c>
      <c r="C1147" s="102">
        <v>2</v>
      </c>
      <c r="D1147" s="106">
        <v>0.001905577619155737</v>
      </c>
      <c r="E1147" s="106">
        <v>1.6865129952104003</v>
      </c>
      <c r="F1147" s="102" t="s">
        <v>2321</v>
      </c>
      <c r="G1147" s="102" t="b">
        <v>0</v>
      </c>
      <c r="H1147" s="102" t="b">
        <v>0</v>
      </c>
      <c r="I1147" s="102" t="b">
        <v>0</v>
      </c>
      <c r="J1147" s="102" t="b">
        <v>0</v>
      </c>
      <c r="K1147" s="102" t="b">
        <v>0</v>
      </c>
      <c r="L1147" s="102" t="b">
        <v>0</v>
      </c>
    </row>
    <row r="1148" spans="1:12" ht="15">
      <c r="A1148" s="104" t="s">
        <v>2356</v>
      </c>
      <c r="B1148" s="102" t="s">
        <v>2397</v>
      </c>
      <c r="C1148" s="102">
        <v>2</v>
      </c>
      <c r="D1148" s="106">
        <v>0.001905577619155737</v>
      </c>
      <c r="E1148" s="106">
        <v>2.847880997445375</v>
      </c>
      <c r="F1148" s="102" t="s">
        <v>2321</v>
      </c>
      <c r="G1148" s="102" t="b">
        <v>0</v>
      </c>
      <c r="H1148" s="102" t="b">
        <v>0</v>
      </c>
      <c r="I1148" s="102" t="b">
        <v>0</v>
      </c>
      <c r="J1148" s="102" t="b">
        <v>0</v>
      </c>
      <c r="K1148" s="102" t="b">
        <v>0</v>
      </c>
      <c r="L1148" s="102" t="b">
        <v>0</v>
      </c>
    </row>
    <row r="1149" spans="1:12" ht="15">
      <c r="A1149" s="104" t="s">
        <v>2397</v>
      </c>
      <c r="B1149" s="102" t="s">
        <v>2350</v>
      </c>
      <c r="C1149" s="102">
        <v>2</v>
      </c>
      <c r="D1149" s="106">
        <v>0.001905577619155737</v>
      </c>
      <c r="E1149" s="106">
        <v>1.6437610147894504</v>
      </c>
      <c r="F1149" s="102" t="s">
        <v>2321</v>
      </c>
      <c r="G1149" s="102" t="b">
        <v>0</v>
      </c>
      <c r="H1149" s="102" t="b">
        <v>0</v>
      </c>
      <c r="I1149" s="102" t="b">
        <v>0</v>
      </c>
      <c r="J1149" s="102" t="b">
        <v>0</v>
      </c>
      <c r="K1149" s="102" t="b">
        <v>0</v>
      </c>
      <c r="L1149" s="102" t="b">
        <v>0</v>
      </c>
    </row>
    <row r="1150" spans="1:12" ht="15">
      <c r="A1150" s="104" t="s">
        <v>2349</v>
      </c>
      <c r="B1150" s="102" t="s">
        <v>2465</v>
      </c>
      <c r="C1150" s="102">
        <v>2</v>
      </c>
      <c r="D1150" s="106">
        <v>0.001905577619155737</v>
      </c>
      <c r="E1150" s="106">
        <v>1.510421736154719</v>
      </c>
      <c r="F1150" s="102" t="s">
        <v>2321</v>
      </c>
      <c r="G1150" s="102" t="b">
        <v>0</v>
      </c>
      <c r="H1150" s="102" t="b">
        <v>0</v>
      </c>
      <c r="I1150" s="102" t="b">
        <v>0</v>
      </c>
      <c r="J1150" s="102" t="b">
        <v>0</v>
      </c>
      <c r="K1150" s="102" t="b">
        <v>1</v>
      </c>
      <c r="L1150" s="102" t="b">
        <v>0</v>
      </c>
    </row>
    <row r="1151" spans="1:12" ht="15">
      <c r="A1151" s="104" t="s">
        <v>2412</v>
      </c>
      <c r="B1151" s="102" t="s">
        <v>2564</v>
      </c>
      <c r="C1151" s="102">
        <v>2</v>
      </c>
      <c r="D1151" s="106">
        <v>0.001905577619155737</v>
      </c>
      <c r="E1151" s="106">
        <v>2.0697297470617317</v>
      </c>
      <c r="F1151" s="102" t="s">
        <v>2321</v>
      </c>
      <c r="G1151" s="102" t="b">
        <v>0</v>
      </c>
      <c r="H1151" s="102" t="b">
        <v>0</v>
      </c>
      <c r="I1151" s="102" t="b">
        <v>0</v>
      </c>
      <c r="J1151" s="102" t="b">
        <v>0</v>
      </c>
      <c r="K1151" s="102" t="b">
        <v>0</v>
      </c>
      <c r="L1151" s="102" t="b">
        <v>0</v>
      </c>
    </row>
    <row r="1152" spans="1:12" ht="15">
      <c r="A1152" s="104" t="s">
        <v>2383</v>
      </c>
      <c r="B1152" s="102" t="s">
        <v>3247</v>
      </c>
      <c r="C1152" s="102">
        <v>2</v>
      </c>
      <c r="D1152" s="106">
        <v>0.0023185131413285508</v>
      </c>
      <c r="E1152" s="106">
        <v>2.4499409887733377</v>
      </c>
      <c r="F1152" s="102" t="s">
        <v>2321</v>
      </c>
      <c r="G1152" s="102" t="b">
        <v>0</v>
      </c>
      <c r="H1152" s="102" t="b">
        <v>0</v>
      </c>
      <c r="I1152" s="102" t="b">
        <v>0</v>
      </c>
      <c r="J1152" s="102" t="b">
        <v>1</v>
      </c>
      <c r="K1152" s="102" t="b">
        <v>0</v>
      </c>
      <c r="L1152" s="102" t="b">
        <v>0</v>
      </c>
    </row>
    <row r="1153" spans="1:12" ht="15">
      <c r="A1153" s="104" t="s">
        <v>2428</v>
      </c>
      <c r="B1153" s="102" t="s">
        <v>2520</v>
      </c>
      <c r="C1153" s="102">
        <v>2</v>
      </c>
      <c r="D1153" s="106">
        <v>0.0023185131413285508</v>
      </c>
      <c r="E1153" s="106">
        <v>1.5926084923420691</v>
      </c>
      <c r="F1153" s="102" t="s">
        <v>2321</v>
      </c>
      <c r="G1153" s="102" t="b">
        <v>0</v>
      </c>
      <c r="H1153" s="102" t="b">
        <v>0</v>
      </c>
      <c r="I1153" s="102" t="b">
        <v>0</v>
      </c>
      <c r="J1153" s="102" t="b">
        <v>0</v>
      </c>
      <c r="K1153" s="102" t="b">
        <v>0</v>
      </c>
      <c r="L1153" s="102" t="b">
        <v>0</v>
      </c>
    </row>
    <row r="1154" spans="1:12" ht="15">
      <c r="A1154" s="104" t="s">
        <v>3228</v>
      </c>
      <c r="B1154" s="102" t="s">
        <v>3229</v>
      </c>
      <c r="C1154" s="102">
        <v>2</v>
      </c>
      <c r="D1154" s="106">
        <v>0.0023185131413285508</v>
      </c>
      <c r="E1154" s="106">
        <v>2.847880997445375</v>
      </c>
      <c r="F1154" s="102" t="s">
        <v>2321</v>
      </c>
      <c r="G1154" s="102" t="b">
        <v>0</v>
      </c>
      <c r="H1154" s="102" t="b">
        <v>0</v>
      </c>
      <c r="I1154" s="102" t="b">
        <v>0</v>
      </c>
      <c r="J1154" s="102" t="b">
        <v>0</v>
      </c>
      <c r="K1154" s="102" t="b">
        <v>0</v>
      </c>
      <c r="L1154" s="102" t="b">
        <v>0</v>
      </c>
    </row>
    <row r="1155" spans="1:12" ht="15">
      <c r="A1155" s="104" t="s">
        <v>3226</v>
      </c>
      <c r="B1155" s="102" t="s">
        <v>2915</v>
      </c>
      <c r="C1155" s="102">
        <v>2</v>
      </c>
      <c r="D1155" s="106">
        <v>0.0023185131413285508</v>
      </c>
      <c r="E1155" s="106">
        <v>2.671789738389694</v>
      </c>
      <c r="F1155" s="102" t="s">
        <v>2321</v>
      </c>
      <c r="G1155" s="102" t="b">
        <v>0</v>
      </c>
      <c r="H1155" s="102" t="b">
        <v>0</v>
      </c>
      <c r="I1155" s="102" t="b">
        <v>0</v>
      </c>
      <c r="J1155" s="102" t="b">
        <v>0</v>
      </c>
      <c r="K1155" s="102" t="b">
        <v>0</v>
      </c>
      <c r="L1155" s="102" t="b">
        <v>0</v>
      </c>
    </row>
    <row r="1156" spans="1:12" ht="15">
      <c r="A1156" s="104" t="s">
        <v>2500</v>
      </c>
      <c r="B1156" s="102" t="s">
        <v>2910</v>
      </c>
      <c r="C1156" s="102">
        <v>2</v>
      </c>
      <c r="D1156" s="106">
        <v>0.0023185131413285508</v>
      </c>
      <c r="E1156" s="106">
        <v>1.9728197340536753</v>
      </c>
      <c r="F1156" s="102" t="s">
        <v>2321</v>
      </c>
      <c r="G1156" s="102" t="b">
        <v>0</v>
      </c>
      <c r="H1156" s="102" t="b">
        <v>0</v>
      </c>
      <c r="I1156" s="102" t="b">
        <v>0</v>
      </c>
      <c r="J1156" s="102" t="b">
        <v>0</v>
      </c>
      <c r="K1156" s="102" t="b">
        <v>1</v>
      </c>
      <c r="L1156" s="102" t="b">
        <v>0</v>
      </c>
    </row>
    <row r="1157" spans="1:12" ht="15">
      <c r="A1157" s="104" t="s">
        <v>2910</v>
      </c>
      <c r="B1157" s="102" t="s">
        <v>3221</v>
      </c>
      <c r="C1157" s="102">
        <v>2</v>
      </c>
      <c r="D1157" s="106">
        <v>0.0023185131413285508</v>
      </c>
      <c r="E1157" s="106">
        <v>2.671789738389694</v>
      </c>
      <c r="F1157" s="102" t="s">
        <v>2321</v>
      </c>
      <c r="G1157" s="102" t="b">
        <v>0</v>
      </c>
      <c r="H1157" s="102" t="b">
        <v>1</v>
      </c>
      <c r="I1157" s="102" t="b">
        <v>0</v>
      </c>
      <c r="J1157" s="102" t="b">
        <v>0</v>
      </c>
      <c r="K1157" s="102" t="b">
        <v>0</v>
      </c>
      <c r="L1157" s="102" t="b">
        <v>0</v>
      </c>
    </row>
    <row r="1158" spans="1:12" ht="15">
      <c r="A1158" s="104" t="s">
        <v>2911</v>
      </c>
      <c r="B1158" s="102" t="s">
        <v>2500</v>
      </c>
      <c r="C1158" s="102">
        <v>2</v>
      </c>
      <c r="D1158" s="106">
        <v>0.0023185131413285508</v>
      </c>
      <c r="E1158" s="106">
        <v>1.9728197340536753</v>
      </c>
      <c r="F1158" s="102" t="s">
        <v>2321</v>
      </c>
      <c r="G1158" s="102" t="b">
        <v>0</v>
      </c>
      <c r="H1158" s="102" t="b">
        <v>0</v>
      </c>
      <c r="I1158" s="102" t="b">
        <v>0</v>
      </c>
      <c r="J1158" s="102" t="b">
        <v>0</v>
      </c>
      <c r="K1158" s="102" t="b">
        <v>0</v>
      </c>
      <c r="L1158" s="102" t="b">
        <v>0</v>
      </c>
    </row>
    <row r="1159" spans="1:12" ht="15">
      <c r="A1159" s="104" t="s">
        <v>2500</v>
      </c>
      <c r="B1159" s="102" t="s">
        <v>2912</v>
      </c>
      <c r="C1159" s="102">
        <v>2</v>
      </c>
      <c r="D1159" s="106">
        <v>0.0023185131413285508</v>
      </c>
      <c r="E1159" s="106">
        <v>1.9728197340536753</v>
      </c>
      <c r="F1159" s="102" t="s">
        <v>2321</v>
      </c>
      <c r="G1159" s="102" t="b">
        <v>0</v>
      </c>
      <c r="H1159" s="102" t="b">
        <v>0</v>
      </c>
      <c r="I1159" s="102" t="b">
        <v>0</v>
      </c>
      <c r="J1159" s="102" t="b">
        <v>0</v>
      </c>
      <c r="K1159" s="102" t="b">
        <v>0</v>
      </c>
      <c r="L1159" s="102" t="b">
        <v>0</v>
      </c>
    </row>
    <row r="1160" spans="1:12" ht="15">
      <c r="A1160" s="104" t="s">
        <v>2500</v>
      </c>
      <c r="B1160" s="102" t="s">
        <v>2913</v>
      </c>
      <c r="C1160" s="102">
        <v>2</v>
      </c>
      <c r="D1160" s="106">
        <v>0.0023185131413285508</v>
      </c>
      <c r="E1160" s="106">
        <v>1.9728197340536753</v>
      </c>
      <c r="F1160" s="102" t="s">
        <v>2321</v>
      </c>
      <c r="G1160" s="102" t="b">
        <v>0</v>
      </c>
      <c r="H1160" s="102" t="b">
        <v>0</v>
      </c>
      <c r="I1160" s="102" t="b">
        <v>0</v>
      </c>
      <c r="J1160" s="102" t="b">
        <v>0</v>
      </c>
      <c r="K1160" s="102" t="b">
        <v>0</v>
      </c>
      <c r="L1160" s="102" t="b">
        <v>0</v>
      </c>
    </row>
    <row r="1161" spans="1:12" ht="15">
      <c r="A1161" s="104" t="s">
        <v>2353</v>
      </c>
      <c r="B1161" s="102" t="s">
        <v>2357</v>
      </c>
      <c r="C1161" s="102">
        <v>2</v>
      </c>
      <c r="D1161" s="106">
        <v>0.001905577619155737</v>
      </c>
      <c r="E1161" s="106">
        <v>1.3495704436557747</v>
      </c>
      <c r="F1161" s="102" t="s">
        <v>2321</v>
      </c>
      <c r="G1161" s="102" t="b">
        <v>0</v>
      </c>
      <c r="H1161" s="102" t="b">
        <v>0</v>
      </c>
      <c r="I1161" s="102" t="b">
        <v>0</v>
      </c>
      <c r="J1161" s="102" t="b">
        <v>0</v>
      </c>
      <c r="K1161" s="102" t="b">
        <v>0</v>
      </c>
      <c r="L1161" s="102" t="b">
        <v>0</v>
      </c>
    </row>
    <row r="1162" spans="1:12" ht="15">
      <c r="A1162" s="104" t="s">
        <v>2359</v>
      </c>
      <c r="B1162" s="102" t="s">
        <v>2353</v>
      </c>
      <c r="C1162" s="102">
        <v>2</v>
      </c>
      <c r="D1162" s="106">
        <v>0.001905577619155737</v>
      </c>
      <c r="E1162" s="106">
        <v>2.1277216940394186</v>
      </c>
      <c r="F1162" s="102" t="s">
        <v>2321</v>
      </c>
      <c r="G1162" s="102" t="b">
        <v>0</v>
      </c>
      <c r="H1162" s="102" t="b">
        <v>0</v>
      </c>
      <c r="I1162" s="102" t="b">
        <v>0</v>
      </c>
      <c r="J1162" s="102" t="b">
        <v>0</v>
      </c>
      <c r="K1162" s="102" t="b">
        <v>0</v>
      </c>
      <c r="L1162" s="102" t="b">
        <v>0</v>
      </c>
    </row>
    <row r="1163" spans="1:12" ht="15">
      <c r="A1163" s="104" t="s">
        <v>2353</v>
      </c>
      <c r="B1163" s="102" t="s">
        <v>2410</v>
      </c>
      <c r="C1163" s="102">
        <v>2</v>
      </c>
      <c r="D1163" s="106">
        <v>0.001905577619155737</v>
      </c>
      <c r="E1163" s="106">
        <v>2.0185772246143503</v>
      </c>
      <c r="F1163" s="102" t="s">
        <v>2321</v>
      </c>
      <c r="G1163" s="102" t="b">
        <v>0</v>
      </c>
      <c r="H1163" s="102" t="b">
        <v>0</v>
      </c>
      <c r="I1163" s="102" t="b">
        <v>0</v>
      </c>
      <c r="J1163" s="102" t="b">
        <v>0</v>
      </c>
      <c r="K1163" s="102" t="b">
        <v>0</v>
      </c>
      <c r="L1163" s="102" t="b">
        <v>0</v>
      </c>
    </row>
    <row r="1164" spans="1:12" ht="15">
      <c r="A1164" s="104" t="s">
        <v>2349</v>
      </c>
      <c r="B1164" s="102" t="s">
        <v>2362</v>
      </c>
      <c r="C1164" s="102">
        <v>2</v>
      </c>
      <c r="D1164" s="106">
        <v>0.001905577619155737</v>
      </c>
      <c r="E1164" s="106">
        <v>0.8735996385675447</v>
      </c>
      <c r="F1164" s="102" t="s">
        <v>2321</v>
      </c>
      <c r="G1164" s="102" t="b">
        <v>0</v>
      </c>
      <c r="H1164" s="102" t="b">
        <v>0</v>
      </c>
      <c r="I1164" s="102" t="b">
        <v>0</v>
      </c>
      <c r="J1164" s="102" t="b">
        <v>0</v>
      </c>
      <c r="K1164" s="102" t="b">
        <v>0</v>
      </c>
      <c r="L1164" s="102" t="b">
        <v>0</v>
      </c>
    </row>
    <row r="1165" spans="1:12" ht="15">
      <c r="A1165" s="104" t="s">
        <v>2384</v>
      </c>
      <c r="B1165" s="102" t="s">
        <v>2388</v>
      </c>
      <c r="C1165" s="102">
        <v>2</v>
      </c>
      <c r="D1165" s="106">
        <v>0.001905577619155737</v>
      </c>
      <c r="E1165" s="106">
        <v>2.847880997445375</v>
      </c>
      <c r="F1165" s="102" t="s">
        <v>2321</v>
      </c>
      <c r="G1165" s="102" t="b">
        <v>0</v>
      </c>
      <c r="H1165" s="102" t="b">
        <v>0</v>
      </c>
      <c r="I1165" s="102" t="b">
        <v>0</v>
      </c>
      <c r="J1165" s="102" t="b">
        <v>0</v>
      </c>
      <c r="K1165" s="102" t="b">
        <v>0</v>
      </c>
      <c r="L1165" s="102" t="b">
        <v>0</v>
      </c>
    </row>
    <row r="1166" spans="1:12" ht="15">
      <c r="A1166" s="104" t="s">
        <v>2388</v>
      </c>
      <c r="B1166" s="102" t="s">
        <v>2377</v>
      </c>
      <c r="C1166" s="102">
        <v>2</v>
      </c>
      <c r="D1166" s="106">
        <v>0.001905577619155737</v>
      </c>
      <c r="E1166" s="106">
        <v>2.671789738389694</v>
      </c>
      <c r="F1166" s="102" t="s">
        <v>2321</v>
      </c>
      <c r="G1166" s="102" t="b">
        <v>0</v>
      </c>
      <c r="H1166" s="102" t="b">
        <v>0</v>
      </c>
      <c r="I1166" s="102" t="b">
        <v>0</v>
      </c>
      <c r="J1166" s="102" t="b">
        <v>0</v>
      </c>
      <c r="K1166" s="102" t="b">
        <v>0</v>
      </c>
      <c r="L1166" s="102" t="b">
        <v>0</v>
      </c>
    </row>
    <row r="1167" spans="1:12" ht="15">
      <c r="A1167" s="104" t="s">
        <v>2353</v>
      </c>
      <c r="B1167" s="102" t="s">
        <v>2464</v>
      </c>
      <c r="C1167" s="102">
        <v>2</v>
      </c>
      <c r="D1167" s="106">
        <v>0.001905577619155737</v>
      </c>
      <c r="E1167" s="106">
        <v>2.1946684836700316</v>
      </c>
      <c r="F1167" s="102" t="s">
        <v>2321</v>
      </c>
      <c r="G1167" s="102" t="b">
        <v>0</v>
      </c>
      <c r="H1167" s="102" t="b">
        <v>0</v>
      </c>
      <c r="I1167" s="102" t="b">
        <v>0</v>
      </c>
      <c r="J1167" s="102" t="b">
        <v>0</v>
      </c>
      <c r="K1167" s="102" t="b">
        <v>0</v>
      </c>
      <c r="L1167" s="102" t="b">
        <v>0</v>
      </c>
    </row>
    <row r="1168" spans="1:12" ht="15">
      <c r="A1168" s="104" t="s">
        <v>2464</v>
      </c>
      <c r="B1168" s="102" t="s">
        <v>3216</v>
      </c>
      <c r="C1168" s="102">
        <v>2</v>
      </c>
      <c r="D1168" s="106">
        <v>0.001905577619155737</v>
      </c>
      <c r="E1168" s="106">
        <v>2.847880997445375</v>
      </c>
      <c r="F1168" s="102" t="s">
        <v>2321</v>
      </c>
      <c r="G1168" s="102" t="b">
        <v>0</v>
      </c>
      <c r="H1168" s="102" t="b">
        <v>0</v>
      </c>
      <c r="I1168" s="102" t="b">
        <v>0</v>
      </c>
      <c r="J1168" s="102" t="b">
        <v>0</v>
      </c>
      <c r="K1168" s="102" t="b">
        <v>0</v>
      </c>
      <c r="L1168" s="102" t="b">
        <v>0</v>
      </c>
    </row>
    <row r="1169" spans="1:12" ht="15">
      <c r="A1169" s="104" t="s">
        <v>2377</v>
      </c>
      <c r="B1169" s="102" t="s">
        <v>2357</v>
      </c>
      <c r="C1169" s="102">
        <v>2</v>
      </c>
      <c r="D1169" s="106">
        <v>0.001905577619155737</v>
      </c>
      <c r="E1169" s="106">
        <v>1.826691698375437</v>
      </c>
      <c r="F1169" s="102" t="s">
        <v>2321</v>
      </c>
      <c r="G1169" s="102" t="b">
        <v>0</v>
      </c>
      <c r="H1169" s="102" t="b">
        <v>0</v>
      </c>
      <c r="I1169" s="102" t="b">
        <v>0</v>
      </c>
      <c r="J1169" s="102" t="b">
        <v>0</v>
      </c>
      <c r="K1169" s="102" t="b">
        <v>0</v>
      </c>
      <c r="L1169" s="102" t="b">
        <v>0</v>
      </c>
    </row>
    <row r="1170" spans="1:12" ht="15">
      <c r="A1170" s="104" t="s">
        <v>2540</v>
      </c>
      <c r="B1170" s="102" t="s">
        <v>2756</v>
      </c>
      <c r="C1170" s="102">
        <v>2</v>
      </c>
      <c r="D1170" s="106">
        <v>0.001905577619155737</v>
      </c>
      <c r="E1170" s="106">
        <v>2.847880997445375</v>
      </c>
      <c r="F1170" s="102" t="s">
        <v>2321</v>
      </c>
      <c r="G1170" s="102" t="b">
        <v>0</v>
      </c>
      <c r="H1170" s="102" t="b">
        <v>0</v>
      </c>
      <c r="I1170" s="102" t="b">
        <v>0</v>
      </c>
      <c r="J1170" s="102" t="b">
        <v>0</v>
      </c>
      <c r="K1170" s="102" t="b">
        <v>0</v>
      </c>
      <c r="L1170" s="102" t="b">
        <v>0</v>
      </c>
    </row>
    <row r="1171" spans="1:12" ht="15">
      <c r="A1171" s="104" t="s">
        <v>2725</v>
      </c>
      <c r="B1171" s="102" t="s">
        <v>2350</v>
      </c>
      <c r="C1171" s="102">
        <v>2</v>
      </c>
      <c r="D1171" s="106">
        <v>0.0023185131413285508</v>
      </c>
      <c r="E1171" s="106">
        <v>1.6437610147894504</v>
      </c>
      <c r="F1171" s="102" t="s">
        <v>2321</v>
      </c>
      <c r="G1171" s="102" t="b">
        <v>0</v>
      </c>
      <c r="H1171" s="102" t="b">
        <v>0</v>
      </c>
      <c r="I1171" s="102" t="b">
        <v>0</v>
      </c>
      <c r="J1171" s="102" t="b">
        <v>0</v>
      </c>
      <c r="K1171" s="102" t="b">
        <v>0</v>
      </c>
      <c r="L1171" s="102" t="b">
        <v>0</v>
      </c>
    </row>
    <row r="1172" spans="1:12" ht="15">
      <c r="A1172" s="104" t="s">
        <v>3218</v>
      </c>
      <c r="B1172" s="102" t="s">
        <v>2594</v>
      </c>
      <c r="C1172" s="102">
        <v>2</v>
      </c>
      <c r="D1172" s="106">
        <v>0.0023185131413285508</v>
      </c>
      <c r="E1172" s="106">
        <v>2.671789738389694</v>
      </c>
      <c r="F1172" s="102" t="s">
        <v>2321</v>
      </c>
      <c r="G1172" s="102" t="b">
        <v>0</v>
      </c>
      <c r="H1172" s="102" t="b">
        <v>0</v>
      </c>
      <c r="I1172" s="102" t="b">
        <v>0</v>
      </c>
      <c r="J1172" s="102" t="b">
        <v>0</v>
      </c>
      <c r="K1172" s="102" t="b">
        <v>0</v>
      </c>
      <c r="L1172" s="102" t="b">
        <v>0</v>
      </c>
    </row>
    <row r="1173" spans="1:12" ht="15">
      <c r="A1173" s="104" t="s">
        <v>2623</v>
      </c>
      <c r="B1173" s="102" t="s">
        <v>3219</v>
      </c>
      <c r="C1173" s="102">
        <v>2</v>
      </c>
      <c r="D1173" s="106">
        <v>0.0023185131413285508</v>
      </c>
      <c r="E1173" s="106">
        <v>2.3707597427257125</v>
      </c>
      <c r="F1173" s="102" t="s">
        <v>2321</v>
      </c>
      <c r="G1173" s="102" t="b">
        <v>0</v>
      </c>
      <c r="H1173" s="102" t="b">
        <v>0</v>
      </c>
      <c r="I1173" s="102" t="b">
        <v>0</v>
      </c>
      <c r="J1173" s="102" t="b">
        <v>0</v>
      </c>
      <c r="K1173" s="102" t="b">
        <v>0</v>
      </c>
      <c r="L1173" s="102" t="b">
        <v>0</v>
      </c>
    </row>
    <row r="1174" spans="1:12" ht="15">
      <c r="A1174" s="104" t="s">
        <v>2357</v>
      </c>
      <c r="B1174" s="102" t="s">
        <v>2353</v>
      </c>
      <c r="C1174" s="102">
        <v>2</v>
      </c>
      <c r="D1174" s="106">
        <v>0.0023185131413285508</v>
      </c>
      <c r="E1174" s="106">
        <v>1.4587149130808428</v>
      </c>
      <c r="F1174" s="102" t="s">
        <v>2321</v>
      </c>
      <c r="G1174" s="102" t="b">
        <v>0</v>
      </c>
      <c r="H1174" s="102" t="b">
        <v>0</v>
      </c>
      <c r="I1174" s="102" t="b">
        <v>0</v>
      </c>
      <c r="J1174" s="102" t="b">
        <v>0</v>
      </c>
      <c r="K1174" s="102" t="b">
        <v>0</v>
      </c>
      <c r="L1174" s="102" t="b">
        <v>0</v>
      </c>
    </row>
    <row r="1175" spans="1:12" ht="15">
      <c r="A1175" s="104" t="s">
        <v>2349</v>
      </c>
      <c r="B1175" s="102" t="s">
        <v>2385</v>
      </c>
      <c r="C1175" s="102">
        <v>2</v>
      </c>
      <c r="D1175" s="106">
        <v>0.001905577619155737</v>
      </c>
      <c r="E1175" s="106">
        <v>1.510421736154719</v>
      </c>
      <c r="F1175" s="102" t="s">
        <v>2321</v>
      </c>
      <c r="G1175" s="102" t="b">
        <v>0</v>
      </c>
      <c r="H1175" s="102" t="b">
        <v>0</v>
      </c>
      <c r="I1175" s="102" t="b">
        <v>0</v>
      </c>
      <c r="J1175" s="102" t="b">
        <v>0</v>
      </c>
      <c r="K1175" s="102" t="b">
        <v>0</v>
      </c>
      <c r="L1175" s="102" t="b">
        <v>0</v>
      </c>
    </row>
    <row r="1176" spans="1:12" ht="15">
      <c r="A1176" s="104" t="s">
        <v>2351</v>
      </c>
      <c r="B1176" s="102" t="s">
        <v>2355</v>
      </c>
      <c r="C1176" s="102">
        <v>2</v>
      </c>
      <c r="D1176" s="106">
        <v>0.001905577619155737</v>
      </c>
      <c r="E1176" s="106">
        <v>1.1277216940394184</v>
      </c>
      <c r="F1176" s="102" t="s">
        <v>2321</v>
      </c>
      <c r="G1176" s="102" t="b">
        <v>0</v>
      </c>
      <c r="H1176" s="102" t="b">
        <v>0</v>
      </c>
      <c r="I1176" s="102" t="b">
        <v>0</v>
      </c>
      <c r="J1176" s="102" t="b">
        <v>0</v>
      </c>
      <c r="K1176" s="102" t="b">
        <v>0</v>
      </c>
      <c r="L1176" s="102" t="b">
        <v>0</v>
      </c>
    </row>
    <row r="1177" spans="1:12" ht="15">
      <c r="A1177" s="104" t="s">
        <v>2519</v>
      </c>
      <c r="B1177" s="102" t="s">
        <v>2445</v>
      </c>
      <c r="C1177" s="102">
        <v>2</v>
      </c>
      <c r="D1177" s="106">
        <v>0.0023185131413285508</v>
      </c>
      <c r="E1177" s="106">
        <v>1.381755127027176</v>
      </c>
      <c r="F1177" s="102" t="s">
        <v>2321</v>
      </c>
      <c r="G1177" s="102" t="b">
        <v>0</v>
      </c>
      <c r="H1177" s="102" t="b">
        <v>0</v>
      </c>
      <c r="I1177" s="102" t="b">
        <v>0</v>
      </c>
      <c r="J1177" s="102" t="b">
        <v>0</v>
      </c>
      <c r="K1177" s="102" t="b">
        <v>0</v>
      </c>
      <c r="L1177" s="102" t="b">
        <v>0</v>
      </c>
    </row>
    <row r="1178" spans="1:12" ht="15">
      <c r="A1178" s="104" t="s">
        <v>2519</v>
      </c>
      <c r="B1178" s="102" t="s">
        <v>2357</v>
      </c>
      <c r="C1178" s="102">
        <v>2</v>
      </c>
      <c r="D1178" s="106">
        <v>0.0023185131413285508</v>
      </c>
      <c r="E1178" s="106">
        <v>1.3495704436557747</v>
      </c>
      <c r="F1178" s="102" t="s">
        <v>2321</v>
      </c>
      <c r="G1178" s="102" t="b">
        <v>0</v>
      </c>
      <c r="H1178" s="102" t="b">
        <v>0</v>
      </c>
      <c r="I1178" s="102" t="b">
        <v>0</v>
      </c>
      <c r="J1178" s="102" t="b">
        <v>0</v>
      </c>
      <c r="K1178" s="102" t="b">
        <v>0</v>
      </c>
      <c r="L1178" s="102" t="b">
        <v>0</v>
      </c>
    </row>
    <row r="1179" spans="1:12" ht="15">
      <c r="A1179" s="104" t="s">
        <v>2519</v>
      </c>
      <c r="B1179" s="102" t="s">
        <v>2354</v>
      </c>
      <c r="C1179" s="102">
        <v>2</v>
      </c>
      <c r="D1179" s="106">
        <v>0.0023185131413285508</v>
      </c>
      <c r="E1179" s="106">
        <v>1.3196072202783315</v>
      </c>
      <c r="F1179" s="102" t="s">
        <v>2321</v>
      </c>
      <c r="G1179" s="102" t="b">
        <v>0</v>
      </c>
      <c r="H1179" s="102" t="b">
        <v>0</v>
      </c>
      <c r="I1179" s="102" t="b">
        <v>0</v>
      </c>
      <c r="J1179" s="102" t="b">
        <v>0</v>
      </c>
      <c r="K1179" s="102" t="b">
        <v>0</v>
      </c>
      <c r="L1179" s="102" t="b">
        <v>0</v>
      </c>
    </row>
    <row r="1180" spans="1:12" ht="15">
      <c r="A1180" s="104" t="s">
        <v>2354</v>
      </c>
      <c r="B1180" s="102" t="s">
        <v>2354</v>
      </c>
      <c r="C1180" s="102">
        <v>2</v>
      </c>
      <c r="D1180" s="106">
        <v>0.0023185131413285508</v>
      </c>
      <c r="E1180" s="106">
        <v>1.0977584706619752</v>
      </c>
      <c r="F1180" s="102" t="s">
        <v>2321</v>
      </c>
      <c r="G1180" s="102" t="b">
        <v>0</v>
      </c>
      <c r="H1180" s="102" t="b">
        <v>0</v>
      </c>
      <c r="I1180" s="102" t="b">
        <v>0</v>
      </c>
      <c r="J1180" s="102" t="b">
        <v>0</v>
      </c>
      <c r="K1180" s="102" t="b">
        <v>0</v>
      </c>
      <c r="L1180" s="102" t="b">
        <v>0</v>
      </c>
    </row>
    <row r="1181" spans="1:12" ht="15">
      <c r="A1181" s="104" t="s">
        <v>2445</v>
      </c>
      <c r="B1181" s="102" t="s">
        <v>3208</v>
      </c>
      <c r="C1181" s="102">
        <v>2</v>
      </c>
      <c r="D1181" s="106">
        <v>0.0023185131413285508</v>
      </c>
      <c r="E1181" s="106">
        <v>2.0349676408025195</v>
      </c>
      <c r="F1181" s="102" t="s">
        <v>2321</v>
      </c>
      <c r="G1181" s="102" t="b">
        <v>0</v>
      </c>
      <c r="H1181" s="102" t="b">
        <v>0</v>
      </c>
      <c r="I1181" s="102" t="b">
        <v>0</v>
      </c>
      <c r="J1181" s="102" t="b">
        <v>0</v>
      </c>
      <c r="K1181" s="102" t="b">
        <v>0</v>
      </c>
      <c r="L1181" s="102" t="b">
        <v>0</v>
      </c>
    </row>
    <row r="1182" spans="1:12" ht="15">
      <c r="A1182" s="104" t="s">
        <v>2622</v>
      </c>
      <c r="B1182" s="102" t="s">
        <v>2424</v>
      </c>
      <c r="C1182" s="102">
        <v>2</v>
      </c>
      <c r="D1182" s="106">
        <v>0.0023185131413285508</v>
      </c>
      <c r="E1182" s="106">
        <v>1.4676697557337692</v>
      </c>
      <c r="F1182" s="102" t="s">
        <v>2321</v>
      </c>
      <c r="G1182" s="102" t="b">
        <v>0</v>
      </c>
      <c r="H1182" s="102" t="b">
        <v>0</v>
      </c>
      <c r="I1182" s="102" t="b">
        <v>0</v>
      </c>
      <c r="J1182" s="102" t="b">
        <v>0</v>
      </c>
      <c r="K1182" s="102" t="b">
        <v>1</v>
      </c>
      <c r="L1182" s="102" t="b">
        <v>0</v>
      </c>
    </row>
    <row r="1183" spans="1:12" ht="15">
      <c r="A1183" s="104" t="s">
        <v>2424</v>
      </c>
      <c r="B1183" s="102" t="s">
        <v>2906</v>
      </c>
      <c r="C1183" s="102">
        <v>2</v>
      </c>
      <c r="D1183" s="106">
        <v>0.0023185131413285508</v>
      </c>
      <c r="E1183" s="106">
        <v>1.796728474997994</v>
      </c>
      <c r="F1183" s="102" t="s">
        <v>2321</v>
      </c>
      <c r="G1183" s="102" t="b">
        <v>0</v>
      </c>
      <c r="H1183" s="102" t="b">
        <v>1</v>
      </c>
      <c r="I1183" s="102" t="b">
        <v>0</v>
      </c>
      <c r="J1183" s="102" t="b">
        <v>0</v>
      </c>
      <c r="K1183" s="102" t="b">
        <v>0</v>
      </c>
      <c r="L1183" s="102" t="b">
        <v>0</v>
      </c>
    </row>
    <row r="1184" spans="1:12" ht="15">
      <c r="A1184" s="104" t="s">
        <v>2622</v>
      </c>
      <c r="B1184" s="102" t="s">
        <v>2518</v>
      </c>
      <c r="C1184" s="102">
        <v>2</v>
      </c>
      <c r="D1184" s="106">
        <v>0.0023185131413285508</v>
      </c>
      <c r="E1184" s="106">
        <v>1.717547228950369</v>
      </c>
      <c r="F1184" s="102" t="s">
        <v>2321</v>
      </c>
      <c r="G1184" s="102" t="b">
        <v>0</v>
      </c>
      <c r="H1184" s="102" t="b">
        <v>0</v>
      </c>
      <c r="I1184" s="102" t="b">
        <v>0</v>
      </c>
      <c r="J1184" s="102" t="b">
        <v>0</v>
      </c>
      <c r="K1184" s="102" t="b">
        <v>0</v>
      </c>
      <c r="L1184" s="102" t="b">
        <v>0</v>
      </c>
    </row>
    <row r="1185" spans="1:12" ht="15">
      <c r="A1185" s="104" t="s">
        <v>2471</v>
      </c>
      <c r="B1185" s="102" t="s">
        <v>2386</v>
      </c>
      <c r="C1185" s="102">
        <v>2</v>
      </c>
      <c r="D1185" s="106">
        <v>0.0023185131413285508</v>
      </c>
      <c r="E1185" s="106">
        <v>1.1403108213474389</v>
      </c>
      <c r="F1185" s="102" t="s">
        <v>2321</v>
      </c>
      <c r="G1185" s="102" t="b">
        <v>0</v>
      </c>
      <c r="H1185" s="102" t="b">
        <v>0</v>
      </c>
      <c r="I1185" s="102" t="b">
        <v>0</v>
      </c>
      <c r="J1185" s="102" t="b">
        <v>0</v>
      </c>
      <c r="K1185" s="102" t="b">
        <v>0</v>
      </c>
      <c r="L1185" s="102" t="b">
        <v>0</v>
      </c>
    </row>
    <row r="1186" spans="1:12" ht="15">
      <c r="A1186" s="104" t="s">
        <v>2471</v>
      </c>
      <c r="B1186" s="102" t="s">
        <v>2518</v>
      </c>
      <c r="C1186" s="102">
        <v>2</v>
      </c>
      <c r="D1186" s="106">
        <v>0.0023185131413285508</v>
      </c>
      <c r="E1186" s="106">
        <v>1.416517233286388</v>
      </c>
      <c r="F1186" s="102" t="s">
        <v>2321</v>
      </c>
      <c r="G1186" s="102" t="b">
        <v>0</v>
      </c>
      <c r="H1186" s="102" t="b">
        <v>0</v>
      </c>
      <c r="I1186" s="102" t="b">
        <v>0</v>
      </c>
      <c r="J1186" s="102" t="b">
        <v>0</v>
      </c>
      <c r="K1186" s="102" t="b">
        <v>0</v>
      </c>
      <c r="L1186" s="102" t="b">
        <v>0</v>
      </c>
    </row>
    <row r="1187" spans="1:12" ht="15">
      <c r="A1187" s="104" t="s">
        <v>2621</v>
      </c>
      <c r="B1187" s="102" t="s">
        <v>2424</v>
      </c>
      <c r="C1187" s="102">
        <v>2</v>
      </c>
      <c r="D1187" s="106">
        <v>0.0023185131413285508</v>
      </c>
      <c r="E1187" s="106">
        <v>1.5468510017813941</v>
      </c>
      <c r="F1187" s="102" t="s">
        <v>2321</v>
      </c>
      <c r="G1187" s="102" t="b">
        <v>0</v>
      </c>
      <c r="H1187" s="102" t="b">
        <v>0</v>
      </c>
      <c r="I1187" s="102" t="b">
        <v>0</v>
      </c>
      <c r="J1187" s="102" t="b">
        <v>0</v>
      </c>
      <c r="K1187" s="102" t="b">
        <v>1</v>
      </c>
      <c r="L1187" s="102" t="b">
        <v>0</v>
      </c>
    </row>
    <row r="1188" spans="1:12" ht="15">
      <c r="A1188" s="104" t="s">
        <v>2424</v>
      </c>
      <c r="B1188" s="102" t="s">
        <v>2471</v>
      </c>
      <c r="C1188" s="102">
        <v>2</v>
      </c>
      <c r="D1188" s="106">
        <v>0.0023185131413285508</v>
      </c>
      <c r="E1188" s="106">
        <v>1.2324570445594314</v>
      </c>
      <c r="F1188" s="102" t="s">
        <v>2321</v>
      </c>
      <c r="G1188" s="102" t="b">
        <v>0</v>
      </c>
      <c r="H1188" s="102" t="b">
        <v>1</v>
      </c>
      <c r="I1188" s="102" t="b">
        <v>0</v>
      </c>
      <c r="J1188" s="102" t="b">
        <v>0</v>
      </c>
      <c r="K1188" s="102" t="b">
        <v>0</v>
      </c>
      <c r="L1188" s="102" t="b">
        <v>0</v>
      </c>
    </row>
    <row r="1189" spans="1:12" ht="15">
      <c r="A1189" s="104" t="s">
        <v>2518</v>
      </c>
      <c r="B1189" s="102" t="s">
        <v>2775</v>
      </c>
      <c r="C1189" s="102">
        <v>2</v>
      </c>
      <c r="D1189" s="106">
        <v>0.0023185131413285508</v>
      </c>
      <c r="E1189" s="106">
        <v>1.8936384880060504</v>
      </c>
      <c r="F1189" s="102" t="s">
        <v>2321</v>
      </c>
      <c r="G1189" s="102" t="b">
        <v>0</v>
      </c>
      <c r="H1189" s="102" t="b">
        <v>0</v>
      </c>
      <c r="I1189" s="102" t="b">
        <v>0</v>
      </c>
      <c r="J1189" s="102" t="b">
        <v>0</v>
      </c>
      <c r="K1189" s="102" t="b">
        <v>0</v>
      </c>
      <c r="L1189" s="102" t="b">
        <v>0</v>
      </c>
    </row>
    <row r="1190" spans="1:12" ht="15">
      <c r="A1190" s="104" t="s">
        <v>2775</v>
      </c>
      <c r="B1190" s="102" t="s">
        <v>2471</v>
      </c>
      <c r="C1190" s="102">
        <v>2</v>
      </c>
      <c r="D1190" s="106">
        <v>0.0023185131413285508</v>
      </c>
      <c r="E1190" s="106">
        <v>1.8064883122871502</v>
      </c>
      <c r="F1190" s="102" t="s">
        <v>2321</v>
      </c>
      <c r="G1190" s="102" t="b">
        <v>0</v>
      </c>
      <c r="H1190" s="102" t="b">
        <v>0</v>
      </c>
      <c r="I1190" s="102" t="b">
        <v>0</v>
      </c>
      <c r="J1190" s="102" t="b">
        <v>0</v>
      </c>
      <c r="K1190" s="102" t="b">
        <v>0</v>
      </c>
      <c r="L1190" s="102" t="b">
        <v>0</v>
      </c>
    </row>
    <row r="1191" spans="1:12" ht="15">
      <c r="A1191" s="104" t="s">
        <v>2906</v>
      </c>
      <c r="B1191" s="102" t="s">
        <v>3203</v>
      </c>
      <c r="C1191" s="102">
        <v>2</v>
      </c>
      <c r="D1191" s="106">
        <v>0.0023185131413285508</v>
      </c>
      <c r="E1191" s="106">
        <v>2.671789738389694</v>
      </c>
      <c r="F1191" s="102" t="s">
        <v>2321</v>
      </c>
      <c r="G1191" s="102" t="b">
        <v>0</v>
      </c>
      <c r="H1191" s="102" t="b">
        <v>0</v>
      </c>
      <c r="I1191" s="102" t="b">
        <v>0</v>
      </c>
      <c r="J1191" s="102" t="b">
        <v>0</v>
      </c>
      <c r="K1191" s="102" t="b">
        <v>0</v>
      </c>
      <c r="L1191" s="102" t="b">
        <v>0</v>
      </c>
    </row>
    <row r="1192" spans="1:12" ht="15">
      <c r="A1192" s="104" t="s">
        <v>3203</v>
      </c>
      <c r="B1192" s="102" t="s">
        <v>2424</v>
      </c>
      <c r="C1192" s="102">
        <v>2</v>
      </c>
      <c r="D1192" s="106">
        <v>0.0023185131413285508</v>
      </c>
      <c r="E1192" s="106">
        <v>1.9447910104534316</v>
      </c>
      <c r="F1192" s="102" t="s">
        <v>2321</v>
      </c>
      <c r="G1192" s="102" t="b">
        <v>0</v>
      </c>
      <c r="H1192" s="102" t="b">
        <v>0</v>
      </c>
      <c r="I1192" s="102" t="b">
        <v>0</v>
      </c>
      <c r="J1192" s="102" t="b">
        <v>0</v>
      </c>
      <c r="K1192" s="102" t="b">
        <v>1</v>
      </c>
      <c r="L1192" s="102" t="b">
        <v>0</v>
      </c>
    </row>
    <row r="1193" spans="1:12" ht="15">
      <c r="A1193" s="104" t="s">
        <v>2493</v>
      </c>
      <c r="B1193" s="102" t="s">
        <v>2490</v>
      </c>
      <c r="C1193" s="102">
        <v>2</v>
      </c>
      <c r="D1193" s="106">
        <v>0.0023185131413285508</v>
      </c>
      <c r="E1193" s="106">
        <v>2.2458210061174126</v>
      </c>
      <c r="F1193" s="102" t="s">
        <v>2321</v>
      </c>
      <c r="G1193" s="102" t="b">
        <v>0</v>
      </c>
      <c r="H1193" s="102" t="b">
        <v>0</v>
      </c>
      <c r="I1193" s="102" t="b">
        <v>0</v>
      </c>
      <c r="J1193" s="102" t="b">
        <v>0</v>
      </c>
      <c r="K1193" s="102" t="b">
        <v>0</v>
      </c>
      <c r="L1193" s="102" t="b">
        <v>0</v>
      </c>
    </row>
    <row r="1194" spans="1:12" ht="15">
      <c r="A1194" s="104" t="s">
        <v>2490</v>
      </c>
      <c r="B1194" s="102" t="s">
        <v>2498</v>
      </c>
      <c r="C1194" s="102">
        <v>2</v>
      </c>
      <c r="D1194" s="106">
        <v>0.0023185131413285508</v>
      </c>
      <c r="E1194" s="106">
        <v>2.2458210061174126</v>
      </c>
      <c r="F1194" s="102" t="s">
        <v>2321</v>
      </c>
      <c r="G1194" s="102" t="b">
        <v>0</v>
      </c>
      <c r="H1194" s="102" t="b">
        <v>0</v>
      </c>
      <c r="I1194" s="102" t="b">
        <v>0</v>
      </c>
      <c r="J1194" s="102" t="b">
        <v>0</v>
      </c>
      <c r="K1194" s="102" t="b">
        <v>0</v>
      </c>
      <c r="L1194" s="102" t="b">
        <v>0</v>
      </c>
    </row>
    <row r="1195" spans="1:12" ht="15">
      <c r="A1195" s="104" t="s">
        <v>2444</v>
      </c>
      <c r="B1195" s="102" t="s">
        <v>2774</v>
      </c>
      <c r="C1195" s="102">
        <v>2</v>
      </c>
      <c r="D1195" s="106">
        <v>0.0023185131413285508</v>
      </c>
      <c r="E1195" s="106">
        <v>2.0185772246143503</v>
      </c>
      <c r="F1195" s="102" t="s">
        <v>2321</v>
      </c>
      <c r="G1195" s="102" t="b">
        <v>0</v>
      </c>
      <c r="H1195" s="102" t="b">
        <v>0</v>
      </c>
      <c r="I1195" s="102" t="b">
        <v>0</v>
      </c>
      <c r="J1195" s="102" t="b">
        <v>0</v>
      </c>
      <c r="K1195" s="102" t="b">
        <v>0</v>
      </c>
      <c r="L1195" s="102" t="b">
        <v>0</v>
      </c>
    </row>
    <row r="1196" spans="1:12" ht="15">
      <c r="A1196" s="104" t="s">
        <v>2493</v>
      </c>
      <c r="B1196" s="102" t="s">
        <v>2687</v>
      </c>
      <c r="C1196" s="102">
        <v>2</v>
      </c>
      <c r="D1196" s="106">
        <v>0.0023185131413285508</v>
      </c>
      <c r="E1196" s="106">
        <v>1.8478809974453752</v>
      </c>
      <c r="F1196" s="102" t="s">
        <v>2321</v>
      </c>
      <c r="G1196" s="102" t="b">
        <v>0</v>
      </c>
      <c r="H1196" s="102" t="b">
        <v>0</v>
      </c>
      <c r="I1196" s="102" t="b">
        <v>0</v>
      </c>
      <c r="J1196" s="102" t="b">
        <v>0</v>
      </c>
      <c r="K1196" s="102" t="b">
        <v>0</v>
      </c>
      <c r="L1196" s="102" t="b">
        <v>0</v>
      </c>
    </row>
    <row r="1197" spans="1:12" ht="15">
      <c r="A1197" s="104" t="s">
        <v>2687</v>
      </c>
      <c r="B1197" s="102" t="s">
        <v>2408</v>
      </c>
      <c r="C1197" s="102">
        <v>2</v>
      </c>
      <c r="D1197" s="106">
        <v>0.0023185131413285508</v>
      </c>
      <c r="E1197" s="106">
        <v>1.7095782992790938</v>
      </c>
      <c r="F1197" s="102" t="s">
        <v>2321</v>
      </c>
      <c r="G1197" s="102" t="b">
        <v>0</v>
      </c>
      <c r="H1197" s="102" t="b">
        <v>0</v>
      </c>
      <c r="I1197" s="102" t="b">
        <v>0</v>
      </c>
      <c r="J1197" s="102" t="b">
        <v>0</v>
      </c>
      <c r="K1197" s="102" t="b">
        <v>1</v>
      </c>
      <c r="L1197" s="102" t="b">
        <v>0</v>
      </c>
    </row>
    <row r="1198" spans="1:12" ht="15">
      <c r="A1198" s="104" t="s">
        <v>2771</v>
      </c>
      <c r="B1198" s="102" t="s">
        <v>2498</v>
      </c>
      <c r="C1198" s="102">
        <v>2</v>
      </c>
      <c r="D1198" s="106">
        <v>0.0023185131413285508</v>
      </c>
      <c r="E1198" s="106">
        <v>1.9447910104534316</v>
      </c>
      <c r="F1198" s="102" t="s">
        <v>2321</v>
      </c>
      <c r="G1198" s="102" t="b">
        <v>0</v>
      </c>
      <c r="H1198" s="102" t="b">
        <v>0</v>
      </c>
      <c r="I1198" s="102" t="b">
        <v>0</v>
      </c>
      <c r="J1198" s="102" t="b">
        <v>0</v>
      </c>
      <c r="K1198" s="102" t="b">
        <v>0</v>
      </c>
      <c r="L1198" s="102" t="b">
        <v>0</v>
      </c>
    </row>
    <row r="1199" spans="1:12" ht="15">
      <c r="A1199" s="104" t="s">
        <v>2563</v>
      </c>
      <c r="B1199" s="102" t="s">
        <v>2498</v>
      </c>
      <c r="C1199" s="102">
        <v>2</v>
      </c>
      <c r="D1199" s="106">
        <v>0.0023185131413285508</v>
      </c>
      <c r="E1199" s="106">
        <v>1.8478809974453752</v>
      </c>
      <c r="F1199" s="102" t="s">
        <v>2321</v>
      </c>
      <c r="G1199" s="102" t="b">
        <v>0</v>
      </c>
      <c r="H1199" s="102" t="b">
        <v>0</v>
      </c>
      <c r="I1199" s="102" t="b">
        <v>0</v>
      </c>
      <c r="J1199" s="102" t="b">
        <v>0</v>
      </c>
      <c r="K1199" s="102" t="b">
        <v>0</v>
      </c>
      <c r="L1199" s="102" t="b">
        <v>0</v>
      </c>
    </row>
    <row r="1200" spans="1:12" ht="15">
      <c r="A1200" s="104" t="s">
        <v>2563</v>
      </c>
      <c r="B1200" s="102" t="s">
        <v>2687</v>
      </c>
      <c r="C1200" s="102">
        <v>2</v>
      </c>
      <c r="D1200" s="106">
        <v>0.0023185131413285508</v>
      </c>
      <c r="E1200" s="106">
        <v>2.0520009801013</v>
      </c>
      <c r="F1200" s="102" t="s">
        <v>2321</v>
      </c>
      <c r="G1200" s="102" t="b">
        <v>0</v>
      </c>
      <c r="H1200" s="102" t="b">
        <v>0</v>
      </c>
      <c r="I1200" s="102" t="b">
        <v>0</v>
      </c>
      <c r="J1200" s="102" t="b">
        <v>0</v>
      </c>
      <c r="K1200" s="102" t="b">
        <v>0</v>
      </c>
      <c r="L1200" s="102" t="b">
        <v>0</v>
      </c>
    </row>
    <row r="1201" spans="1:12" ht="15">
      <c r="A1201" s="104" t="s">
        <v>3202</v>
      </c>
      <c r="B1201" s="102" t="s">
        <v>2408</v>
      </c>
      <c r="C1201" s="102">
        <v>2</v>
      </c>
      <c r="D1201" s="106">
        <v>0.0023185131413285508</v>
      </c>
      <c r="E1201" s="106">
        <v>2.1075183079511315</v>
      </c>
      <c r="F1201" s="102" t="s">
        <v>2321</v>
      </c>
      <c r="G1201" s="102" t="b">
        <v>0</v>
      </c>
      <c r="H1201" s="102" t="b">
        <v>0</v>
      </c>
      <c r="I1201" s="102" t="b">
        <v>0</v>
      </c>
      <c r="J1201" s="102" t="b">
        <v>0</v>
      </c>
      <c r="K1201" s="102" t="b">
        <v>1</v>
      </c>
      <c r="L1201" s="102" t="b">
        <v>0</v>
      </c>
    </row>
    <row r="1202" spans="1:12" ht="15">
      <c r="A1202" s="104" t="s">
        <v>3197</v>
      </c>
      <c r="B1202" s="102" t="s">
        <v>3198</v>
      </c>
      <c r="C1202" s="102">
        <v>2</v>
      </c>
      <c r="D1202" s="106">
        <v>0.0023185131413285508</v>
      </c>
      <c r="E1202" s="106">
        <v>2.847880997445375</v>
      </c>
      <c r="F1202" s="102" t="s">
        <v>2321</v>
      </c>
      <c r="G1202" s="102" t="b">
        <v>0</v>
      </c>
      <c r="H1202" s="102" t="b">
        <v>0</v>
      </c>
      <c r="I1202" s="102" t="b">
        <v>0</v>
      </c>
      <c r="J1202" s="102" t="b">
        <v>0</v>
      </c>
      <c r="K1202" s="102" t="b">
        <v>0</v>
      </c>
      <c r="L1202" s="102" t="b">
        <v>0</v>
      </c>
    </row>
    <row r="1203" spans="1:12" ht="15">
      <c r="A1203" s="104" t="s">
        <v>2517</v>
      </c>
      <c r="B1203" s="102" t="s">
        <v>2530</v>
      </c>
      <c r="C1203" s="102">
        <v>2</v>
      </c>
      <c r="D1203" s="106">
        <v>0.0023185131413285508</v>
      </c>
      <c r="E1203" s="106">
        <v>2.0185772246143503</v>
      </c>
      <c r="F1203" s="102" t="s">
        <v>2321</v>
      </c>
      <c r="G1203" s="102" t="b">
        <v>0</v>
      </c>
      <c r="H1203" s="102" t="b">
        <v>0</v>
      </c>
      <c r="I1203" s="102" t="b">
        <v>0</v>
      </c>
      <c r="J1203" s="102" t="b">
        <v>0</v>
      </c>
      <c r="K1203" s="102" t="b">
        <v>0</v>
      </c>
      <c r="L1203" s="102" t="b">
        <v>0</v>
      </c>
    </row>
    <row r="1204" spans="1:12" ht="15">
      <c r="A1204" s="104" t="s">
        <v>2530</v>
      </c>
      <c r="B1204" s="102" t="s">
        <v>2351</v>
      </c>
      <c r="C1204" s="102">
        <v>2</v>
      </c>
      <c r="D1204" s="106">
        <v>0.0023185131413285508</v>
      </c>
      <c r="E1204" s="106">
        <v>1.4287516897033996</v>
      </c>
      <c r="F1204" s="102" t="s">
        <v>2321</v>
      </c>
      <c r="G1204" s="102" t="b">
        <v>0</v>
      </c>
      <c r="H1204" s="102" t="b">
        <v>0</v>
      </c>
      <c r="I1204" s="102" t="b">
        <v>0</v>
      </c>
      <c r="J1204" s="102" t="b">
        <v>0</v>
      </c>
      <c r="K1204" s="102" t="b">
        <v>0</v>
      </c>
      <c r="L1204" s="102" t="b">
        <v>0</v>
      </c>
    </row>
    <row r="1205" spans="1:12" ht="15">
      <c r="A1205" s="104" t="s">
        <v>2517</v>
      </c>
      <c r="B1205" s="102" t="s">
        <v>3191</v>
      </c>
      <c r="C1205" s="102">
        <v>2</v>
      </c>
      <c r="D1205" s="106">
        <v>0.0023185131413285508</v>
      </c>
      <c r="E1205" s="106">
        <v>2.1946684836700316</v>
      </c>
      <c r="F1205" s="102" t="s">
        <v>2321</v>
      </c>
      <c r="G1205" s="102" t="b">
        <v>0</v>
      </c>
      <c r="H1205" s="102" t="b">
        <v>0</v>
      </c>
      <c r="I1205" s="102" t="b">
        <v>0</v>
      </c>
      <c r="J1205" s="102" t="b">
        <v>0</v>
      </c>
      <c r="K1205" s="102" t="b">
        <v>0</v>
      </c>
      <c r="L1205" s="102" t="b">
        <v>0</v>
      </c>
    </row>
    <row r="1206" spans="1:12" ht="15">
      <c r="A1206" s="104" t="s">
        <v>2517</v>
      </c>
      <c r="B1206" s="102" t="s">
        <v>3192</v>
      </c>
      <c r="C1206" s="102">
        <v>2</v>
      </c>
      <c r="D1206" s="106">
        <v>0.0023185131413285508</v>
      </c>
      <c r="E1206" s="106">
        <v>2.1946684836700316</v>
      </c>
      <c r="F1206" s="102" t="s">
        <v>2321</v>
      </c>
      <c r="G1206" s="102" t="b">
        <v>0</v>
      </c>
      <c r="H1206" s="102" t="b">
        <v>0</v>
      </c>
      <c r="I1206" s="102" t="b">
        <v>0</v>
      </c>
      <c r="J1206" s="102" t="b">
        <v>0</v>
      </c>
      <c r="K1206" s="102" t="b">
        <v>0</v>
      </c>
      <c r="L1206" s="102" t="b">
        <v>0</v>
      </c>
    </row>
    <row r="1207" spans="1:12" ht="15">
      <c r="A1207" s="104" t="s">
        <v>2350</v>
      </c>
      <c r="B1207" s="102" t="s">
        <v>3189</v>
      </c>
      <c r="C1207" s="102">
        <v>2</v>
      </c>
      <c r="D1207" s="106">
        <v>0.0023185131413285508</v>
      </c>
      <c r="E1207" s="106">
        <v>1.6048429487590807</v>
      </c>
      <c r="F1207" s="102" t="s">
        <v>2321</v>
      </c>
      <c r="G1207" s="102" t="b">
        <v>0</v>
      </c>
      <c r="H1207" s="102" t="b">
        <v>0</v>
      </c>
      <c r="I1207" s="102" t="b">
        <v>0</v>
      </c>
      <c r="J1207" s="102" t="b">
        <v>0</v>
      </c>
      <c r="K1207" s="102" t="b">
        <v>0</v>
      </c>
      <c r="L1207" s="102" t="b">
        <v>0</v>
      </c>
    </row>
    <row r="1208" spans="1:12" ht="15">
      <c r="A1208" s="104" t="s">
        <v>2772</v>
      </c>
      <c r="B1208" s="102" t="s">
        <v>2350</v>
      </c>
      <c r="C1208" s="102">
        <v>2</v>
      </c>
      <c r="D1208" s="106">
        <v>0.0023185131413285508</v>
      </c>
      <c r="E1208" s="106">
        <v>1.4676697557337692</v>
      </c>
      <c r="F1208" s="102" t="s">
        <v>2321</v>
      </c>
      <c r="G1208" s="102" t="b">
        <v>0</v>
      </c>
      <c r="H1208" s="102" t="b">
        <v>0</v>
      </c>
      <c r="I1208" s="102" t="b">
        <v>0</v>
      </c>
      <c r="J1208" s="102" t="b">
        <v>0</v>
      </c>
      <c r="K1208" s="102" t="b">
        <v>0</v>
      </c>
      <c r="L1208" s="102" t="b">
        <v>0</v>
      </c>
    </row>
    <row r="1209" spans="1:12" ht="15">
      <c r="A1209" s="104" t="s">
        <v>2901</v>
      </c>
      <c r="B1209" s="102" t="s">
        <v>3187</v>
      </c>
      <c r="C1209" s="102">
        <v>2</v>
      </c>
      <c r="D1209" s="106">
        <v>0.0023185131413285508</v>
      </c>
      <c r="E1209" s="106">
        <v>2.671789738389694</v>
      </c>
      <c r="F1209" s="102" t="s">
        <v>2321</v>
      </c>
      <c r="G1209" s="102" t="b">
        <v>0</v>
      </c>
      <c r="H1209" s="102" t="b">
        <v>0</v>
      </c>
      <c r="I1209" s="102" t="b">
        <v>0</v>
      </c>
      <c r="J1209" s="102" t="b">
        <v>0</v>
      </c>
      <c r="K1209" s="102" t="b">
        <v>0</v>
      </c>
      <c r="L1209" s="102" t="b">
        <v>0</v>
      </c>
    </row>
    <row r="1210" spans="1:12" ht="15">
      <c r="A1210" s="104" t="s">
        <v>2459</v>
      </c>
      <c r="B1210" s="102" t="s">
        <v>2386</v>
      </c>
      <c r="C1210" s="102">
        <v>2</v>
      </c>
      <c r="D1210" s="106">
        <v>0.0023185131413285508</v>
      </c>
      <c r="E1210" s="106">
        <v>1.1780993822368386</v>
      </c>
      <c r="F1210" s="102" t="s">
        <v>2321</v>
      </c>
      <c r="G1210" s="102" t="b">
        <v>0</v>
      </c>
      <c r="H1210" s="102" t="b">
        <v>0</v>
      </c>
      <c r="I1210" s="102" t="b">
        <v>0</v>
      </c>
      <c r="J1210" s="102" t="b">
        <v>0</v>
      </c>
      <c r="K1210" s="102" t="b">
        <v>0</v>
      </c>
      <c r="L1210" s="102" t="b">
        <v>0</v>
      </c>
    </row>
    <row r="1211" spans="1:12" ht="15">
      <c r="A1211" s="104" t="s">
        <v>2770</v>
      </c>
      <c r="B1211" s="102" t="s">
        <v>3182</v>
      </c>
      <c r="C1211" s="102">
        <v>2</v>
      </c>
      <c r="D1211" s="106">
        <v>0.0023185131413285508</v>
      </c>
      <c r="E1211" s="106">
        <v>2.671789738389694</v>
      </c>
      <c r="F1211" s="102" t="s">
        <v>2321</v>
      </c>
      <c r="G1211" s="102" t="b">
        <v>0</v>
      </c>
      <c r="H1211" s="102" t="b">
        <v>0</v>
      </c>
      <c r="I1211" s="102" t="b">
        <v>0</v>
      </c>
      <c r="J1211" s="102" t="b">
        <v>0</v>
      </c>
      <c r="K1211" s="102" t="b">
        <v>0</v>
      </c>
      <c r="L1211" s="102" t="b">
        <v>0</v>
      </c>
    </row>
    <row r="1212" spans="1:12" ht="15">
      <c r="A1212" s="104" t="s">
        <v>3182</v>
      </c>
      <c r="B1212" s="102" t="s">
        <v>2459</v>
      </c>
      <c r="C1212" s="102">
        <v>2</v>
      </c>
      <c r="D1212" s="106">
        <v>0.0023185131413285508</v>
      </c>
      <c r="E1212" s="106">
        <v>2.1075183079511315</v>
      </c>
      <c r="F1212" s="102" t="s">
        <v>2321</v>
      </c>
      <c r="G1212" s="102" t="b">
        <v>0</v>
      </c>
      <c r="H1212" s="102" t="b">
        <v>0</v>
      </c>
      <c r="I1212" s="102" t="b">
        <v>0</v>
      </c>
      <c r="J1212" s="102" t="b">
        <v>0</v>
      </c>
      <c r="K1212" s="102" t="b">
        <v>0</v>
      </c>
      <c r="L1212" s="102" t="b">
        <v>0</v>
      </c>
    </row>
    <row r="1213" spans="1:12" ht="15">
      <c r="A1213" s="104" t="s">
        <v>2459</v>
      </c>
      <c r="B1213" s="102" t="s">
        <v>3183</v>
      </c>
      <c r="C1213" s="102">
        <v>2</v>
      </c>
      <c r="D1213" s="106">
        <v>0.0023185131413285508</v>
      </c>
      <c r="E1213" s="106">
        <v>2.1075183079511315</v>
      </c>
      <c r="F1213" s="102" t="s">
        <v>2321</v>
      </c>
      <c r="G1213" s="102" t="b">
        <v>0</v>
      </c>
      <c r="H1213" s="102" t="b">
        <v>0</v>
      </c>
      <c r="I1213" s="102" t="b">
        <v>0</v>
      </c>
      <c r="J1213" s="102" t="b">
        <v>0</v>
      </c>
      <c r="K1213" s="102" t="b">
        <v>0</v>
      </c>
      <c r="L1213" s="102" t="b">
        <v>0</v>
      </c>
    </row>
    <row r="1214" spans="1:12" ht="15">
      <c r="A1214" s="104" t="s">
        <v>3184</v>
      </c>
      <c r="B1214" s="102" t="s">
        <v>2386</v>
      </c>
      <c r="C1214" s="102">
        <v>2</v>
      </c>
      <c r="D1214" s="106">
        <v>0.0023185131413285508</v>
      </c>
      <c r="E1214" s="106">
        <v>1.9184620717310825</v>
      </c>
      <c r="F1214" s="102" t="s">
        <v>2321</v>
      </c>
      <c r="G1214" s="102" t="b">
        <v>0</v>
      </c>
      <c r="H1214" s="102" t="b">
        <v>0</v>
      </c>
      <c r="I1214" s="102" t="b">
        <v>0</v>
      </c>
      <c r="J1214" s="102" t="b">
        <v>0</v>
      </c>
      <c r="K1214" s="102" t="b">
        <v>0</v>
      </c>
      <c r="L1214" s="102" t="b">
        <v>0</v>
      </c>
    </row>
    <row r="1215" spans="1:12" ht="15">
      <c r="A1215" s="104" t="s">
        <v>2386</v>
      </c>
      <c r="B1215" s="102" t="s">
        <v>2539</v>
      </c>
      <c r="C1215" s="102">
        <v>2</v>
      </c>
      <c r="D1215" s="106">
        <v>0.0023185131413285508</v>
      </c>
      <c r="E1215" s="106">
        <v>1.7686997513977503</v>
      </c>
      <c r="F1215" s="102" t="s">
        <v>2321</v>
      </c>
      <c r="G1215" s="102" t="b">
        <v>0</v>
      </c>
      <c r="H1215" s="102" t="b">
        <v>0</v>
      </c>
      <c r="I1215" s="102" t="b">
        <v>0</v>
      </c>
      <c r="J1215" s="102" t="b">
        <v>0</v>
      </c>
      <c r="K1215" s="102" t="b">
        <v>0</v>
      </c>
      <c r="L1215" s="102" t="b">
        <v>0</v>
      </c>
    </row>
    <row r="1216" spans="1:12" ht="15">
      <c r="A1216" s="104" t="s">
        <v>2382</v>
      </c>
      <c r="B1216" s="102" t="s">
        <v>2382</v>
      </c>
      <c r="C1216" s="102">
        <v>2</v>
      </c>
      <c r="D1216" s="106">
        <v>0.0023185131413285508</v>
      </c>
      <c r="E1216" s="106">
        <v>2.1489109931093564</v>
      </c>
      <c r="F1216" s="102" t="s">
        <v>2321</v>
      </c>
      <c r="G1216" s="102" t="b">
        <v>0</v>
      </c>
      <c r="H1216" s="102" t="b">
        <v>0</v>
      </c>
      <c r="I1216" s="102" t="b">
        <v>0</v>
      </c>
      <c r="J1216" s="102" t="b">
        <v>0</v>
      </c>
      <c r="K1216" s="102" t="b">
        <v>0</v>
      </c>
      <c r="L1216" s="102" t="b">
        <v>0</v>
      </c>
    </row>
    <row r="1217" spans="1:12" ht="15">
      <c r="A1217" s="104" t="s">
        <v>2349</v>
      </c>
      <c r="B1217" s="102" t="s">
        <v>2365</v>
      </c>
      <c r="C1217" s="102">
        <v>2</v>
      </c>
      <c r="D1217" s="106">
        <v>0.0023185131413285508</v>
      </c>
      <c r="E1217" s="106">
        <v>1.385482999546419</v>
      </c>
      <c r="F1217" s="102" t="s">
        <v>2321</v>
      </c>
      <c r="G1217" s="102" t="b">
        <v>0</v>
      </c>
      <c r="H1217" s="102" t="b">
        <v>0</v>
      </c>
      <c r="I1217" s="102" t="b">
        <v>0</v>
      </c>
      <c r="J1217" s="102" t="b">
        <v>0</v>
      </c>
      <c r="K1217" s="102" t="b">
        <v>0</v>
      </c>
      <c r="L1217" s="102" t="b">
        <v>0</v>
      </c>
    </row>
    <row r="1218" spans="1:12" ht="15">
      <c r="A1218" s="104" t="s">
        <v>2365</v>
      </c>
      <c r="B1218" s="102" t="s">
        <v>2506</v>
      </c>
      <c r="C1218" s="102">
        <v>2</v>
      </c>
      <c r="D1218" s="106">
        <v>0.0023185131413285508</v>
      </c>
      <c r="E1218" s="106">
        <v>2.546851001781394</v>
      </c>
      <c r="F1218" s="102" t="s">
        <v>2321</v>
      </c>
      <c r="G1218" s="102" t="b">
        <v>0</v>
      </c>
      <c r="H1218" s="102" t="b">
        <v>0</v>
      </c>
      <c r="I1218" s="102" t="b">
        <v>0</v>
      </c>
      <c r="J1218" s="102" t="b">
        <v>0</v>
      </c>
      <c r="K1218" s="102" t="b">
        <v>0</v>
      </c>
      <c r="L1218" s="102" t="b">
        <v>0</v>
      </c>
    </row>
    <row r="1219" spans="1:12" ht="15">
      <c r="A1219" s="104" t="s">
        <v>2499</v>
      </c>
      <c r="B1219" s="102" t="s">
        <v>2404</v>
      </c>
      <c r="C1219" s="102">
        <v>2</v>
      </c>
      <c r="D1219" s="106">
        <v>0.0023185131413285508</v>
      </c>
      <c r="E1219" s="106">
        <v>1.2169448783811838</v>
      </c>
      <c r="F1219" s="102" t="s">
        <v>2321</v>
      </c>
      <c r="G1219" s="102" t="b">
        <v>0</v>
      </c>
      <c r="H1219" s="102" t="b">
        <v>0</v>
      </c>
      <c r="I1219" s="102" t="b">
        <v>0</v>
      </c>
      <c r="J1219" s="102" t="b">
        <v>0</v>
      </c>
      <c r="K1219" s="102" t="b">
        <v>0</v>
      </c>
      <c r="L1219" s="102" t="b">
        <v>0</v>
      </c>
    </row>
    <row r="1220" spans="1:12" ht="15">
      <c r="A1220" s="104" t="s">
        <v>2404</v>
      </c>
      <c r="B1220" s="102" t="s">
        <v>2899</v>
      </c>
      <c r="C1220" s="102">
        <v>2</v>
      </c>
      <c r="D1220" s="106">
        <v>0.0023185131413285508</v>
      </c>
      <c r="E1220" s="106">
        <v>1.671789738389694</v>
      </c>
      <c r="F1220" s="102" t="s">
        <v>2321</v>
      </c>
      <c r="G1220" s="102" t="b">
        <v>0</v>
      </c>
      <c r="H1220" s="102" t="b">
        <v>0</v>
      </c>
      <c r="I1220" s="102" t="b">
        <v>0</v>
      </c>
      <c r="J1220" s="102" t="b">
        <v>0</v>
      </c>
      <c r="K1220" s="102" t="b">
        <v>0</v>
      </c>
      <c r="L1220" s="102" t="b">
        <v>0</v>
      </c>
    </row>
    <row r="1221" spans="1:12" ht="15">
      <c r="A1221" s="104" t="s">
        <v>2430</v>
      </c>
      <c r="B1221" s="102" t="s">
        <v>2430</v>
      </c>
      <c r="C1221" s="102">
        <v>2</v>
      </c>
      <c r="D1221" s="106">
        <v>0.0023185131413285508</v>
      </c>
      <c r="E1221" s="106">
        <v>1.1576849174168615</v>
      </c>
      <c r="F1221" s="102" t="s">
        <v>2321</v>
      </c>
      <c r="G1221" s="102" t="b">
        <v>0</v>
      </c>
      <c r="H1221" s="102" t="b">
        <v>0</v>
      </c>
      <c r="I1221" s="102" t="b">
        <v>0</v>
      </c>
      <c r="J1221" s="102" t="b">
        <v>0</v>
      </c>
      <c r="K1221" s="102" t="b">
        <v>0</v>
      </c>
      <c r="L1221" s="102" t="b">
        <v>0</v>
      </c>
    </row>
    <row r="1222" spans="1:12" ht="15">
      <c r="A1222" s="104" t="s">
        <v>2430</v>
      </c>
      <c r="B1222" s="102" t="s">
        <v>2355</v>
      </c>
      <c r="C1222" s="102">
        <v>2</v>
      </c>
      <c r="D1222" s="106">
        <v>0.0023185131413285508</v>
      </c>
      <c r="E1222" s="106">
        <v>1.525661702711456</v>
      </c>
      <c r="F1222" s="102" t="s">
        <v>2321</v>
      </c>
      <c r="G1222" s="102" t="b">
        <v>0</v>
      </c>
      <c r="H1222" s="102" t="b">
        <v>0</v>
      </c>
      <c r="I1222" s="102" t="b">
        <v>0</v>
      </c>
      <c r="J1222" s="102" t="b">
        <v>0</v>
      </c>
      <c r="K1222" s="102" t="b">
        <v>0</v>
      </c>
      <c r="L1222" s="102" t="b">
        <v>0</v>
      </c>
    </row>
    <row r="1223" spans="1:12" ht="15">
      <c r="A1223" s="104" t="s">
        <v>2364</v>
      </c>
      <c r="B1223" s="102" t="s">
        <v>2430</v>
      </c>
      <c r="C1223" s="102">
        <v>2</v>
      </c>
      <c r="D1223" s="106">
        <v>0.0023185131413285508</v>
      </c>
      <c r="E1223" s="106">
        <v>1.4587149130808428</v>
      </c>
      <c r="F1223" s="102" t="s">
        <v>2321</v>
      </c>
      <c r="G1223" s="102" t="b">
        <v>0</v>
      </c>
      <c r="H1223" s="102" t="b">
        <v>0</v>
      </c>
      <c r="I1223" s="102" t="b">
        <v>0</v>
      </c>
      <c r="J1223" s="102" t="b">
        <v>0</v>
      </c>
      <c r="K1223" s="102" t="b">
        <v>0</v>
      </c>
      <c r="L1223" s="102" t="b">
        <v>0</v>
      </c>
    </row>
    <row r="1224" spans="1:12" ht="15">
      <c r="A1224" s="104" t="s">
        <v>2430</v>
      </c>
      <c r="B1224" s="102" t="s">
        <v>2364</v>
      </c>
      <c r="C1224" s="102">
        <v>2</v>
      </c>
      <c r="D1224" s="106">
        <v>0.0023185131413285508</v>
      </c>
      <c r="E1224" s="106">
        <v>1.400722966103156</v>
      </c>
      <c r="F1224" s="102" t="s">
        <v>2321</v>
      </c>
      <c r="G1224" s="102" t="b">
        <v>0</v>
      </c>
      <c r="H1224" s="102" t="b">
        <v>0</v>
      </c>
      <c r="I1224" s="102" t="b">
        <v>0</v>
      </c>
      <c r="J1224" s="102" t="b">
        <v>0</v>
      </c>
      <c r="K1224" s="102" t="b">
        <v>0</v>
      </c>
      <c r="L1224" s="102" t="b">
        <v>0</v>
      </c>
    </row>
    <row r="1225" spans="1:12" ht="15">
      <c r="A1225" s="104" t="s">
        <v>2893</v>
      </c>
      <c r="B1225" s="102" t="s">
        <v>2670</v>
      </c>
      <c r="C1225" s="102">
        <v>2</v>
      </c>
      <c r="D1225" s="106">
        <v>0.0023185131413285508</v>
      </c>
      <c r="E1225" s="106">
        <v>2.671789738389694</v>
      </c>
      <c r="F1225" s="102" t="s">
        <v>2321</v>
      </c>
      <c r="G1225" s="102" t="b">
        <v>0</v>
      </c>
      <c r="H1225" s="102" t="b">
        <v>0</v>
      </c>
      <c r="I1225" s="102" t="b">
        <v>0</v>
      </c>
      <c r="J1225" s="102" t="b">
        <v>0</v>
      </c>
      <c r="K1225" s="102" t="b">
        <v>0</v>
      </c>
      <c r="L1225" s="102" t="b">
        <v>0</v>
      </c>
    </row>
    <row r="1226" spans="1:12" ht="15">
      <c r="A1226" s="104" t="s">
        <v>2670</v>
      </c>
      <c r="B1226" s="102" t="s">
        <v>2392</v>
      </c>
      <c r="C1226" s="102">
        <v>2</v>
      </c>
      <c r="D1226" s="106">
        <v>0.0023185131413285508</v>
      </c>
      <c r="E1226" s="106">
        <v>2.2458210061174126</v>
      </c>
      <c r="F1226" s="102" t="s">
        <v>2321</v>
      </c>
      <c r="G1226" s="102" t="b">
        <v>0</v>
      </c>
      <c r="H1226" s="102" t="b">
        <v>0</v>
      </c>
      <c r="I1226" s="102" t="b">
        <v>0</v>
      </c>
      <c r="J1226" s="102" t="b">
        <v>0</v>
      </c>
      <c r="K1226" s="102" t="b">
        <v>0</v>
      </c>
      <c r="L1226" s="102" t="b">
        <v>0</v>
      </c>
    </row>
    <row r="1227" spans="1:12" ht="15">
      <c r="A1227" s="104" t="s">
        <v>2392</v>
      </c>
      <c r="B1227" s="102" t="s">
        <v>2360</v>
      </c>
      <c r="C1227" s="102">
        <v>2</v>
      </c>
      <c r="D1227" s="106">
        <v>0.0023185131413285508</v>
      </c>
      <c r="E1227" s="106">
        <v>1.6437610147894504</v>
      </c>
      <c r="F1227" s="102" t="s">
        <v>2321</v>
      </c>
      <c r="G1227" s="102" t="b">
        <v>0</v>
      </c>
      <c r="H1227" s="102" t="b">
        <v>0</v>
      </c>
      <c r="I1227" s="102" t="b">
        <v>0</v>
      </c>
      <c r="J1227" s="102" t="b">
        <v>0</v>
      </c>
      <c r="K1227" s="102" t="b">
        <v>1</v>
      </c>
      <c r="L1227" s="102" t="b">
        <v>0</v>
      </c>
    </row>
    <row r="1228" spans="1:12" ht="15">
      <c r="A1228" s="104" t="s">
        <v>2425</v>
      </c>
      <c r="B1228" s="102" t="s">
        <v>2413</v>
      </c>
      <c r="C1228" s="102">
        <v>16</v>
      </c>
      <c r="D1228" s="106">
        <v>0.008295780736428615</v>
      </c>
      <c r="E1228" s="106">
        <v>1.7333389059672812</v>
      </c>
      <c r="F1228" s="102" t="s">
        <v>2322</v>
      </c>
      <c r="G1228" s="102" t="b">
        <v>0</v>
      </c>
      <c r="H1228" s="102" t="b">
        <v>0</v>
      </c>
      <c r="I1228" s="102" t="b">
        <v>0</v>
      </c>
      <c r="J1228" s="102" t="b">
        <v>0</v>
      </c>
      <c r="K1228" s="102" t="b">
        <v>0</v>
      </c>
      <c r="L1228" s="102" t="b">
        <v>0</v>
      </c>
    </row>
    <row r="1229" spans="1:12" ht="15">
      <c r="A1229" s="104" t="s">
        <v>2413</v>
      </c>
      <c r="B1229" s="102" t="s">
        <v>2372</v>
      </c>
      <c r="C1229" s="102">
        <v>16</v>
      </c>
      <c r="D1229" s="106">
        <v>0.008295780736428615</v>
      </c>
      <c r="E1229" s="106">
        <v>1.4323089103033002</v>
      </c>
      <c r="F1229" s="102" t="s">
        <v>2322</v>
      </c>
      <c r="G1229" s="102" t="b">
        <v>0</v>
      </c>
      <c r="H1229" s="102" t="b">
        <v>0</v>
      </c>
      <c r="I1229" s="102" t="b">
        <v>0</v>
      </c>
      <c r="J1229" s="102" t="b">
        <v>0</v>
      </c>
      <c r="K1229" s="102" t="b">
        <v>0</v>
      </c>
      <c r="L1229" s="102" t="b">
        <v>0</v>
      </c>
    </row>
    <row r="1230" spans="1:12" ht="15">
      <c r="A1230" s="104" t="s">
        <v>2372</v>
      </c>
      <c r="B1230" s="102" t="s">
        <v>2407</v>
      </c>
      <c r="C1230" s="102">
        <v>16</v>
      </c>
      <c r="D1230" s="106">
        <v>0.008295780736428615</v>
      </c>
      <c r="E1230" s="106">
        <v>1.4586378490256493</v>
      </c>
      <c r="F1230" s="102" t="s">
        <v>2322</v>
      </c>
      <c r="G1230" s="102" t="b">
        <v>0</v>
      </c>
      <c r="H1230" s="102" t="b">
        <v>0</v>
      </c>
      <c r="I1230" s="102" t="b">
        <v>0</v>
      </c>
      <c r="J1230" s="102" t="b">
        <v>0</v>
      </c>
      <c r="K1230" s="102" t="b">
        <v>0</v>
      </c>
      <c r="L1230" s="102" t="b">
        <v>0</v>
      </c>
    </row>
    <row r="1231" spans="1:12" ht="15">
      <c r="A1231" s="104" t="s">
        <v>2407</v>
      </c>
      <c r="B1231" s="102" t="s">
        <v>2400</v>
      </c>
      <c r="C1231" s="102">
        <v>16</v>
      </c>
      <c r="D1231" s="106">
        <v>0.008295780736428615</v>
      </c>
      <c r="E1231" s="106">
        <v>1.7596678446896303</v>
      </c>
      <c r="F1231" s="102" t="s">
        <v>2322</v>
      </c>
      <c r="G1231" s="102" t="b">
        <v>0</v>
      </c>
      <c r="H1231" s="102" t="b">
        <v>0</v>
      </c>
      <c r="I1231" s="102" t="b">
        <v>0</v>
      </c>
      <c r="J1231" s="102" t="b">
        <v>0</v>
      </c>
      <c r="K1231" s="102" t="b">
        <v>0</v>
      </c>
      <c r="L1231" s="102" t="b">
        <v>0</v>
      </c>
    </row>
    <row r="1232" spans="1:12" ht="15">
      <c r="A1232" s="104" t="s">
        <v>2400</v>
      </c>
      <c r="B1232" s="102" t="s">
        <v>2374</v>
      </c>
      <c r="C1232" s="102">
        <v>16</v>
      </c>
      <c r="D1232" s="106">
        <v>0.008295780736428615</v>
      </c>
      <c r="E1232" s="106">
        <v>1.4724261335112825</v>
      </c>
      <c r="F1232" s="102" t="s">
        <v>2322</v>
      </c>
      <c r="G1232" s="102" t="b">
        <v>0</v>
      </c>
      <c r="H1232" s="102" t="b">
        <v>0</v>
      </c>
      <c r="I1232" s="102" t="b">
        <v>0</v>
      </c>
      <c r="J1232" s="102" t="b">
        <v>0</v>
      </c>
      <c r="K1232" s="102" t="b">
        <v>0</v>
      </c>
      <c r="L1232" s="102" t="b">
        <v>0</v>
      </c>
    </row>
    <row r="1233" spans="1:12" ht="15">
      <c r="A1233" s="104" t="s">
        <v>2374</v>
      </c>
      <c r="B1233" s="102" t="s">
        <v>2372</v>
      </c>
      <c r="C1233" s="102">
        <v>15</v>
      </c>
      <c r="D1233" s="106">
        <v>0.008210281931651728</v>
      </c>
      <c r="E1233" s="106">
        <v>1.4306091254254056</v>
      </c>
      <c r="F1233" s="102" t="s">
        <v>2322</v>
      </c>
      <c r="G1233" s="102" t="b">
        <v>0</v>
      </c>
      <c r="H1233" s="102" t="b">
        <v>0</v>
      </c>
      <c r="I1233" s="102" t="b">
        <v>0</v>
      </c>
      <c r="J1233" s="102" t="b">
        <v>0</v>
      </c>
      <c r="K1233" s="102" t="b">
        <v>0</v>
      </c>
      <c r="L1233" s="102" t="b">
        <v>0</v>
      </c>
    </row>
    <row r="1234" spans="1:12" ht="15">
      <c r="A1234" s="104" t="s">
        <v>2372</v>
      </c>
      <c r="B1234" s="102" t="s">
        <v>2374</v>
      </c>
      <c r="C1234" s="102">
        <v>15</v>
      </c>
      <c r="D1234" s="106">
        <v>0.008210281931651728</v>
      </c>
      <c r="E1234" s="106">
        <v>1.1433674142470578</v>
      </c>
      <c r="F1234" s="102" t="s">
        <v>2322</v>
      </c>
      <c r="G1234" s="102" t="b">
        <v>0</v>
      </c>
      <c r="H1234" s="102" t="b">
        <v>0</v>
      </c>
      <c r="I1234" s="102" t="b">
        <v>0</v>
      </c>
      <c r="J1234" s="102" t="b">
        <v>0</v>
      </c>
      <c r="K1234" s="102" t="b">
        <v>0</v>
      </c>
      <c r="L1234" s="102" t="b">
        <v>0</v>
      </c>
    </row>
    <row r="1235" spans="1:12" ht="15">
      <c r="A1235" s="104" t="s">
        <v>2550</v>
      </c>
      <c r="B1235" s="102" t="s">
        <v>2629</v>
      </c>
      <c r="C1235" s="102">
        <v>6</v>
      </c>
      <c r="D1235" s="106">
        <v>0.010551412004724632</v>
      </c>
      <c r="E1235" s="106">
        <v>2.060697840353612</v>
      </c>
      <c r="F1235" s="102" t="s">
        <v>2322</v>
      </c>
      <c r="G1235" s="102" t="b">
        <v>0</v>
      </c>
      <c r="H1235" s="102" t="b">
        <v>0</v>
      </c>
      <c r="I1235" s="102" t="b">
        <v>0</v>
      </c>
      <c r="J1235" s="102" t="b">
        <v>0</v>
      </c>
      <c r="K1235" s="102" t="b">
        <v>0</v>
      </c>
      <c r="L1235" s="102" t="b">
        <v>0</v>
      </c>
    </row>
    <row r="1236" spans="1:12" ht="15">
      <c r="A1236" s="104" t="s">
        <v>2695</v>
      </c>
      <c r="B1236" s="102" t="s">
        <v>2696</v>
      </c>
      <c r="C1236" s="102">
        <v>5</v>
      </c>
      <c r="D1236" s="106">
        <v>0.008792843337270527</v>
      </c>
      <c r="E1236" s="106">
        <v>2.2648178230095364</v>
      </c>
      <c r="F1236" s="102" t="s">
        <v>2322</v>
      </c>
      <c r="G1236" s="102" t="b">
        <v>0</v>
      </c>
      <c r="H1236" s="102" t="b">
        <v>0</v>
      </c>
      <c r="I1236" s="102" t="b">
        <v>0</v>
      </c>
      <c r="J1236" s="102" t="b">
        <v>0</v>
      </c>
      <c r="K1236" s="102" t="b">
        <v>0</v>
      </c>
      <c r="L1236" s="102" t="b">
        <v>0</v>
      </c>
    </row>
    <row r="1237" spans="1:12" ht="15">
      <c r="A1237" s="104" t="s">
        <v>2787</v>
      </c>
      <c r="B1237" s="102" t="s">
        <v>2444</v>
      </c>
      <c r="C1237" s="102">
        <v>4</v>
      </c>
      <c r="D1237" s="106">
        <v>0.005068790613298759</v>
      </c>
      <c r="E1237" s="106">
        <v>2.3617278360175926</v>
      </c>
      <c r="F1237" s="102" t="s">
        <v>2322</v>
      </c>
      <c r="G1237" s="102" t="b">
        <v>0</v>
      </c>
      <c r="H1237" s="102" t="b">
        <v>0</v>
      </c>
      <c r="I1237" s="102" t="b">
        <v>0</v>
      </c>
      <c r="J1237" s="102" t="b">
        <v>0</v>
      </c>
      <c r="K1237" s="102" t="b">
        <v>0</v>
      </c>
      <c r="L1237" s="102" t="b">
        <v>0</v>
      </c>
    </row>
    <row r="1238" spans="1:12" ht="15">
      <c r="A1238" s="104" t="s">
        <v>2350</v>
      </c>
      <c r="B1238" s="102" t="s">
        <v>2788</v>
      </c>
      <c r="C1238" s="102">
        <v>4</v>
      </c>
      <c r="D1238" s="106">
        <v>0.0045541099269617875</v>
      </c>
      <c r="E1238" s="106">
        <v>1.516629796003336</v>
      </c>
      <c r="F1238" s="102" t="s">
        <v>2322</v>
      </c>
      <c r="G1238" s="102" t="b">
        <v>0</v>
      </c>
      <c r="H1238" s="102" t="b">
        <v>0</v>
      </c>
      <c r="I1238" s="102" t="b">
        <v>0</v>
      </c>
      <c r="J1238" s="102" t="b">
        <v>0</v>
      </c>
      <c r="K1238" s="102" t="b">
        <v>0</v>
      </c>
      <c r="L1238" s="102" t="b">
        <v>0</v>
      </c>
    </row>
    <row r="1239" spans="1:12" ht="15">
      <c r="A1239" s="104" t="s">
        <v>2576</v>
      </c>
      <c r="B1239" s="102" t="s">
        <v>2577</v>
      </c>
      <c r="C1239" s="102">
        <v>4</v>
      </c>
      <c r="D1239" s="106">
        <v>0.005068790613298759</v>
      </c>
      <c r="E1239" s="106">
        <v>2.0095453179062304</v>
      </c>
      <c r="F1239" s="102" t="s">
        <v>2322</v>
      </c>
      <c r="G1239" s="102" t="b">
        <v>0</v>
      </c>
      <c r="H1239" s="102" t="b">
        <v>0</v>
      </c>
      <c r="I1239" s="102" t="b">
        <v>0</v>
      </c>
      <c r="J1239" s="102" t="b">
        <v>0</v>
      </c>
      <c r="K1239" s="102" t="b">
        <v>0</v>
      </c>
      <c r="L1239" s="102" t="b">
        <v>0</v>
      </c>
    </row>
    <row r="1240" spans="1:12" ht="15">
      <c r="A1240" s="104" t="s">
        <v>2521</v>
      </c>
      <c r="B1240" s="102" t="s">
        <v>2405</v>
      </c>
      <c r="C1240" s="102">
        <v>4</v>
      </c>
      <c r="D1240" s="106">
        <v>0.007034274669816421</v>
      </c>
      <c r="E1240" s="106">
        <v>1.3811563878559188</v>
      </c>
      <c r="F1240" s="102" t="s">
        <v>2322</v>
      </c>
      <c r="G1240" s="102" t="b">
        <v>0</v>
      </c>
      <c r="H1240" s="102" t="b">
        <v>1</v>
      </c>
      <c r="I1240" s="102" t="b">
        <v>0</v>
      </c>
      <c r="J1240" s="102" t="b">
        <v>0</v>
      </c>
      <c r="K1240" s="102" t="b">
        <v>0</v>
      </c>
      <c r="L1240" s="102" t="b">
        <v>0</v>
      </c>
    </row>
    <row r="1241" spans="1:12" ht="15">
      <c r="A1241" s="104" t="s">
        <v>2472</v>
      </c>
      <c r="B1241" s="102" t="s">
        <v>2405</v>
      </c>
      <c r="C1241" s="102">
        <v>4</v>
      </c>
      <c r="D1241" s="106">
        <v>0.007034274669816421</v>
      </c>
      <c r="E1241" s="106">
        <v>1.5572476469116001</v>
      </c>
      <c r="F1241" s="102" t="s">
        <v>2322</v>
      </c>
      <c r="G1241" s="102" t="b">
        <v>0</v>
      </c>
      <c r="H1241" s="102" t="b">
        <v>0</v>
      </c>
      <c r="I1241" s="102" t="b">
        <v>0</v>
      </c>
      <c r="J1241" s="102" t="b">
        <v>0</v>
      </c>
      <c r="K1241" s="102" t="b">
        <v>0</v>
      </c>
      <c r="L1241" s="102" t="b">
        <v>0</v>
      </c>
    </row>
    <row r="1242" spans="1:12" ht="15">
      <c r="A1242" s="104" t="s">
        <v>2478</v>
      </c>
      <c r="B1242" s="102" t="s">
        <v>2784</v>
      </c>
      <c r="C1242" s="102">
        <v>4</v>
      </c>
      <c r="D1242" s="106">
        <v>0.007034274669816421</v>
      </c>
      <c r="E1242" s="106">
        <v>1.9223951421873302</v>
      </c>
      <c r="F1242" s="102" t="s">
        <v>2322</v>
      </c>
      <c r="G1242" s="102" t="b">
        <v>0</v>
      </c>
      <c r="H1242" s="102" t="b">
        <v>0</v>
      </c>
      <c r="I1242" s="102" t="b">
        <v>0</v>
      </c>
      <c r="J1242" s="102" t="b">
        <v>0</v>
      </c>
      <c r="K1242" s="102" t="b">
        <v>0</v>
      </c>
      <c r="L1242" s="102" t="b">
        <v>0</v>
      </c>
    </row>
    <row r="1243" spans="1:12" ht="15">
      <c r="A1243" s="104" t="s">
        <v>2612</v>
      </c>
      <c r="B1243" s="102" t="s">
        <v>2478</v>
      </c>
      <c r="C1243" s="102">
        <v>4</v>
      </c>
      <c r="D1243" s="106">
        <v>0.007034274669816421</v>
      </c>
      <c r="E1243" s="106">
        <v>1.8668778143374989</v>
      </c>
      <c r="F1243" s="102" t="s">
        <v>2322</v>
      </c>
      <c r="G1243" s="102" t="b">
        <v>0</v>
      </c>
      <c r="H1243" s="102" t="b">
        <v>0</v>
      </c>
      <c r="I1243" s="102" t="b">
        <v>0</v>
      </c>
      <c r="J1243" s="102" t="b">
        <v>0</v>
      </c>
      <c r="K1243" s="102" t="b">
        <v>0</v>
      </c>
      <c r="L1243" s="102" t="b">
        <v>0</v>
      </c>
    </row>
    <row r="1244" spans="1:12" ht="15">
      <c r="A1244" s="104" t="s">
        <v>2434</v>
      </c>
      <c r="B1244" s="102" t="s">
        <v>2350</v>
      </c>
      <c r="C1244" s="102">
        <v>3</v>
      </c>
      <c r="D1244" s="106">
        <v>0.0038015929599740698</v>
      </c>
      <c r="E1244" s="106">
        <v>1.157607853361668</v>
      </c>
      <c r="F1244" s="102" t="s">
        <v>2322</v>
      </c>
      <c r="G1244" s="102" t="b">
        <v>0</v>
      </c>
      <c r="H1244" s="102" t="b">
        <v>0</v>
      </c>
      <c r="I1244" s="102" t="b">
        <v>0</v>
      </c>
      <c r="J1244" s="102" t="b">
        <v>0</v>
      </c>
      <c r="K1244" s="102" t="b">
        <v>0</v>
      </c>
      <c r="L1244" s="102" t="b">
        <v>0</v>
      </c>
    </row>
    <row r="1245" spans="1:12" ht="15">
      <c r="A1245" s="104" t="s">
        <v>2350</v>
      </c>
      <c r="B1245" s="102" t="s">
        <v>2350</v>
      </c>
      <c r="C1245" s="102">
        <v>3</v>
      </c>
      <c r="D1245" s="106">
        <v>0.0038015929599740698</v>
      </c>
      <c r="E1245" s="106">
        <v>0.4886010724030924</v>
      </c>
      <c r="F1245" s="102" t="s">
        <v>2322</v>
      </c>
      <c r="G1245" s="102" t="b">
        <v>0</v>
      </c>
      <c r="H1245" s="102" t="b">
        <v>0</v>
      </c>
      <c r="I1245" s="102" t="b">
        <v>0</v>
      </c>
      <c r="J1245" s="102" t="b">
        <v>0</v>
      </c>
      <c r="K1245" s="102" t="b">
        <v>0</v>
      </c>
      <c r="L1245" s="102" t="b">
        <v>0</v>
      </c>
    </row>
    <row r="1246" spans="1:12" ht="15">
      <c r="A1246" s="104" t="s">
        <v>2786</v>
      </c>
      <c r="B1246" s="102" t="s">
        <v>2787</v>
      </c>
      <c r="C1246" s="102">
        <v>3</v>
      </c>
      <c r="D1246" s="106">
        <v>0.0038015929599740698</v>
      </c>
      <c r="E1246" s="106">
        <v>2.2367890994092927</v>
      </c>
      <c r="F1246" s="102" t="s">
        <v>2322</v>
      </c>
      <c r="G1246" s="102" t="b">
        <v>0</v>
      </c>
      <c r="H1246" s="102" t="b">
        <v>0</v>
      </c>
      <c r="I1246" s="102" t="b">
        <v>0</v>
      </c>
      <c r="J1246" s="102" t="b">
        <v>0</v>
      </c>
      <c r="K1246" s="102" t="b">
        <v>0</v>
      </c>
      <c r="L1246" s="102" t="b">
        <v>0</v>
      </c>
    </row>
    <row r="1247" spans="1:12" ht="15">
      <c r="A1247" s="104" t="s">
        <v>2405</v>
      </c>
      <c r="B1247" s="102" t="s">
        <v>2521</v>
      </c>
      <c r="C1247" s="102">
        <v>3</v>
      </c>
      <c r="D1247" s="106">
        <v>0.005275706002362316</v>
      </c>
      <c r="E1247" s="106">
        <v>1.282546589969968</v>
      </c>
      <c r="F1247" s="102" t="s">
        <v>2322</v>
      </c>
      <c r="G1247" s="102" t="b">
        <v>0</v>
      </c>
      <c r="H1247" s="102" t="b">
        <v>0</v>
      </c>
      <c r="I1247" s="102" t="b">
        <v>0</v>
      </c>
      <c r="J1247" s="102" t="b">
        <v>0</v>
      </c>
      <c r="K1247" s="102" t="b">
        <v>1</v>
      </c>
      <c r="L1247" s="102" t="b">
        <v>0</v>
      </c>
    </row>
    <row r="1248" spans="1:12" ht="15">
      <c r="A1248" s="104" t="s">
        <v>2405</v>
      </c>
      <c r="B1248" s="102" t="s">
        <v>2406</v>
      </c>
      <c r="C1248" s="102">
        <v>3</v>
      </c>
      <c r="D1248" s="106">
        <v>0.005275706002362316</v>
      </c>
      <c r="E1248" s="106">
        <v>1.4866665726258927</v>
      </c>
      <c r="F1248" s="102" t="s">
        <v>2322</v>
      </c>
      <c r="G1248" s="102" t="b">
        <v>0</v>
      </c>
      <c r="H1248" s="102" t="b">
        <v>0</v>
      </c>
      <c r="I1248" s="102" t="b">
        <v>0</v>
      </c>
      <c r="J1248" s="102" t="b">
        <v>0</v>
      </c>
      <c r="K1248" s="102" t="b">
        <v>1</v>
      </c>
      <c r="L1248" s="102" t="b">
        <v>0</v>
      </c>
    </row>
    <row r="1249" spans="1:12" ht="15">
      <c r="A1249" s="104" t="s">
        <v>2938</v>
      </c>
      <c r="B1249" s="102" t="s">
        <v>2939</v>
      </c>
      <c r="C1249" s="102">
        <v>3</v>
      </c>
      <c r="D1249" s="106">
        <v>0.005275706002362316</v>
      </c>
      <c r="E1249" s="106">
        <v>2.486666572625893</v>
      </c>
      <c r="F1249" s="102" t="s">
        <v>2322</v>
      </c>
      <c r="G1249" s="102" t="b">
        <v>0</v>
      </c>
      <c r="H1249" s="102" t="b">
        <v>0</v>
      </c>
      <c r="I1249" s="102" t="b">
        <v>0</v>
      </c>
      <c r="J1249" s="102" t="b">
        <v>0</v>
      </c>
      <c r="K1249" s="102" t="b">
        <v>0</v>
      </c>
      <c r="L1249" s="102" t="b">
        <v>0</v>
      </c>
    </row>
    <row r="1250" spans="1:12" ht="15">
      <c r="A1250" s="104" t="s">
        <v>2501</v>
      </c>
      <c r="B1250" s="102" t="s">
        <v>2448</v>
      </c>
      <c r="C1250" s="102">
        <v>3</v>
      </c>
      <c r="D1250" s="106">
        <v>0.005275706002362316</v>
      </c>
      <c r="E1250" s="106">
        <v>1.8176597916673172</v>
      </c>
      <c r="F1250" s="102" t="s">
        <v>2322</v>
      </c>
      <c r="G1250" s="102" t="b">
        <v>0</v>
      </c>
      <c r="H1250" s="102" t="b">
        <v>0</v>
      </c>
      <c r="I1250" s="102" t="b">
        <v>0</v>
      </c>
      <c r="J1250" s="102" t="b">
        <v>0</v>
      </c>
      <c r="K1250" s="102" t="b">
        <v>0</v>
      </c>
      <c r="L1250" s="102" t="b">
        <v>0</v>
      </c>
    </row>
    <row r="1251" spans="1:12" ht="15">
      <c r="A1251" s="104" t="s">
        <v>2361</v>
      </c>
      <c r="B1251" s="102" t="s">
        <v>2501</v>
      </c>
      <c r="C1251" s="102">
        <v>3</v>
      </c>
      <c r="D1251" s="106">
        <v>0.005275706002362316</v>
      </c>
      <c r="E1251" s="106">
        <v>2.0429690733931802</v>
      </c>
      <c r="F1251" s="102" t="s">
        <v>2322</v>
      </c>
      <c r="G1251" s="102" t="b">
        <v>0</v>
      </c>
      <c r="H1251" s="102" t="b">
        <v>0</v>
      </c>
      <c r="I1251" s="102" t="b">
        <v>0</v>
      </c>
      <c r="J1251" s="102" t="b">
        <v>0</v>
      </c>
      <c r="K1251" s="102" t="b">
        <v>0</v>
      </c>
      <c r="L1251" s="102" t="b">
        <v>0</v>
      </c>
    </row>
    <row r="1252" spans="1:12" ht="15">
      <c r="A1252" s="104" t="s">
        <v>2678</v>
      </c>
      <c r="B1252" s="102" t="s">
        <v>2612</v>
      </c>
      <c r="C1252" s="102">
        <v>3</v>
      </c>
      <c r="D1252" s="106">
        <v>0.005275706002362316</v>
      </c>
      <c r="E1252" s="106">
        <v>2.1398790864012365</v>
      </c>
      <c r="F1252" s="102" t="s">
        <v>2322</v>
      </c>
      <c r="G1252" s="102" t="b">
        <v>0</v>
      </c>
      <c r="H1252" s="102" t="b">
        <v>0</v>
      </c>
      <c r="I1252" s="102" t="b">
        <v>0</v>
      </c>
      <c r="J1252" s="102" t="b">
        <v>0</v>
      </c>
      <c r="K1252" s="102" t="b">
        <v>0</v>
      </c>
      <c r="L1252" s="102" t="b">
        <v>0</v>
      </c>
    </row>
    <row r="1253" spans="1:12" ht="15">
      <c r="A1253" s="104" t="s">
        <v>2478</v>
      </c>
      <c r="B1253" s="102" t="s">
        <v>2695</v>
      </c>
      <c r="C1253" s="102">
        <v>3</v>
      </c>
      <c r="D1253" s="106">
        <v>0.005275706002362316</v>
      </c>
      <c r="E1253" s="106">
        <v>1.7005463925709738</v>
      </c>
      <c r="F1253" s="102" t="s">
        <v>2322</v>
      </c>
      <c r="G1253" s="102" t="b">
        <v>0</v>
      </c>
      <c r="H1253" s="102" t="b">
        <v>0</v>
      </c>
      <c r="I1253" s="102" t="b">
        <v>0</v>
      </c>
      <c r="J1253" s="102" t="b">
        <v>0</v>
      </c>
      <c r="K1253" s="102" t="b">
        <v>0</v>
      </c>
      <c r="L1253" s="102" t="b">
        <v>0</v>
      </c>
    </row>
    <row r="1254" spans="1:12" ht="15">
      <c r="A1254" s="104" t="s">
        <v>2478</v>
      </c>
      <c r="B1254" s="102" t="s">
        <v>2584</v>
      </c>
      <c r="C1254" s="102">
        <v>3</v>
      </c>
      <c r="D1254" s="106">
        <v>0.005275706002362316</v>
      </c>
      <c r="E1254" s="106">
        <v>1.5544183568927359</v>
      </c>
      <c r="F1254" s="102" t="s">
        <v>2322</v>
      </c>
      <c r="G1254" s="102" t="b">
        <v>0</v>
      </c>
      <c r="H1254" s="102" t="b">
        <v>0</v>
      </c>
      <c r="I1254" s="102" t="b">
        <v>0</v>
      </c>
      <c r="J1254" s="102" t="b">
        <v>0</v>
      </c>
      <c r="K1254" s="102" t="b">
        <v>0</v>
      </c>
      <c r="L1254" s="102" t="b">
        <v>0</v>
      </c>
    </row>
    <row r="1255" spans="1:12" ht="15">
      <c r="A1255" s="104" t="s">
        <v>2783</v>
      </c>
      <c r="B1255" s="102" t="s">
        <v>2469</v>
      </c>
      <c r="C1255" s="102">
        <v>3</v>
      </c>
      <c r="D1255" s="106">
        <v>0.005275706002362316</v>
      </c>
      <c r="E1255" s="106">
        <v>1.9937510507229985</v>
      </c>
      <c r="F1255" s="102" t="s">
        <v>2322</v>
      </c>
      <c r="G1255" s="102" t="b">
        <v>0</v>
      </c>
      <c r="H1255" s="102" t="b">
        <v>1</v>
      </c>
      <c r="I1255" s="102" t="b">
        <v>0</v>
      </c>
      <c r="J1255" s="102" t="b">
        <v>0</v>
      </c>
      <c r="K1255" s="102" t="b">
        <v>0</v>
      </c>
      <c r="L1255" s="102" t="b">
        <v>0</v>
      </c>
    </row>
    <row r="1256" spans="1:12" ht="15">
      <c r="A1256" s="104" t="s">
        <v>2469</v>
      </c>
      <c r="B1256" s="102" t="s">
        <v>2933</v>
      </c>
      <c r="C1256" s="102">
        <v>3</v>
      </c>
      <c r="D1256" s="106">
        <v>0.005275706002362316</v>
      </c>
      <c r="E1256" s="106">
        <v>2.118689787331298</v>
      </c>
      <c r="F1256" s="102" t="s">
        <v>2322</v>
      </c>
      <c r="G1256" s="102" t="b">
        <v>0</v>
      </c>
      <c r="H1256" s="102" t="b">
        <v>0</v>
      </c>
      <c r="I1256" s="102" t="b">
        <v>0</v>
      </c>
      <c r="J1256" s="102" t="b">
        <v>0</v>
      </c>
      <c r="K1256" s="102" t="b">
        <v>1</v>
      </c>
      <c r="L1256" s="102" t="b">
        <v>0</v>
      </c>
    </row>
    <row r="1257" spans="1:12" ht="15">
      <c r="A1257" s="104" t="s">
        <v>2402</v>
      </c>
      <c r="B1257" s="102" t="s">
        <v>2694</v>
      </c>
      <c r="C1257" s="102">
        <v>3</v>
      </c>
      <c r="D1257" s="106">
        <v>0.005275706002362316</v>
      </c>
      <c r="E1257" s="106">
        <v>1.8388490907372552</v>
      </c>
      <c r="F1257" s="102" t="s">
        <v>2322</v>
      </c>
      <c r="G1257" s="102" t="b">
        <v>0</v>
      </c>
      <c r="H1257" s="102" t="b">
        <v>0</v>
      </c>
      <c r="I1257" s="102" t="b">
        <v>0</v>
      </c>
      <c r="J1257" s="102" t="b">
        <v>0</v>
      </c>
      <c r="K1257" s="102" t="b">
        <v>0</v>
      </c>
      <c r="L1257" s="102" t="b">
        <v>0</v>
      </c>
    </row>
    <row r="1258" spans="1:12" ht="15">
      <c r="A1258" s="104" t="s">
        <v>2438</v>
      </c>
      <c r="B1258" s="102" t="s">
        <v>2350</v>
      </c>
      <c r="C1258" s="102">
        <v>2</v>
      </c>
      <c r="D1258" s="106">
        <v>0.0028970961491945526</v>
      </c>
      <c r="E1258" s="106">
        <v>1.2825465899699682</v>
      </c>
      <c r="F1258" s="102" t="s">
        <v>2322</v>
      </c>
      <c r="G1258" s="102" t="b">
        <v>0</v>
      </c>
      <c r="H1258" s="102" t="b">
        <v>0</v>
      </c>
      <c r="I1258" s="102" t="b">
        <v>0</v>
      </c>
      <c r="J1258" s="102" t="b">
        <v>0</v>
      </c>
      <c r="K1258" s="102" t="b">
        <v>0</v>
      </c>
      <c r="L1258" s="102" t="b">
        <v>0</v>
      </c>
    </row>
    <row r="1259" spans="1:12" ht="15">
      <c r="A1259" s="104" t="s">
        <v>2362</v>
      </c>
      <c r="B1259" s="102" t="s">
        <v>2423</v>
      </c>
      <c r="C1259" s="102">
        <v>2</v>
      </c>
      <c r="D1259" s="106">
        <v>0.0028970961491945526</v>
      </c>
      <c r="E1259" s="106">
        <v>1.9637878273455553</v>
      </c>
      <c r="F1259" s="102" t="s">
        <v>2322</v>
      </c>
      <c r="G1259" s="102" t="b">
        <v>0</v>
      </c>
      <c r="H1259" s="102" t="b">
        <v>0</v>
      </c>
      <c r="I1259" s="102" t="b">
        <v>0</v>
      </c>
      <c r="J1259" s="102" t="b">
        <v>0</v>
      </c>
      <c r="K1259" s="102" t="b">
        <v>0</v>
      </c>
      <c r="L1259" s="102" t="b">
        <v>0</v>
      </c>
    </row>
    <row r="1260" spans="1:12" ht="15">
      <c r="A1260" s="104" t="s">
        <v>2434</v>
      </c>
      <c r="B1260" s="102" t="s">
        <v>2532</v>
      </c>
      <c r="C1260" s="102">
        <v>2</v>
      </c>
      <c r="D1260" s="106">
        <v>0.0028970961491945526</v>
      </c>
      <c r="E1260" s="106">
        <v>2.0095453179062304</v>
      </c>
      <c r="F1260" s="102" t="s">
        <v>2322</v>
      </c>
      <c r="G1260" s="102" t="b">
        <v>0</v>
      </c>
      <c r="H1260" s="102" t="b">
        <v>0</v>
      </c>
      <c r="I1260" s="102" t="b">
        <v>0</v>
      </c>
      <c r="J1260" s="102" t="b">
        <v>0</v>
      </c>
      <c r="K1260" s="102" t="b">
        <v>1</v>
      </c>
      <c r="L1260" s="102" t="b">
        <v>0</v>
      </c>
    </row>
    <row r="1261" spans="1:12" ht="15">
      <c r="A1261" s="104" t="s">
        <v>2349</v>
      </c>
      <c r="B1261" s="102" t="s">
        <v>2356</v>
      </c>
      <c r="C1261" s="102">
        <v>2</v>
      </c>
      <c r="D1261" s="106">
        <v>0.0028970961491945526</v>
      </c>
      <c r="E1261" s="106">
        <v>1.662757831681574</v>
      </c>
      <c r="F1261" s="102" t="s">
        <v>2322</v>
      </c>
      <c r="G1261" s="102" t="b">
        <v>0</v>
      </c>
      <c r="H1261" s="102" t="b">
        <v>0</v>
      </c>
      <c r="I1261" s="102" t="b">
        <v>0</v>
      </c>
      <c r="J1261" s="102" t="b">
        <v>0</v>
      </c>
      <c r="K1261" s="102" t="b">
        <v>0</v>
      </c>
      <c r="L1261" s="102" t="b">
        <v>0</v>
      </c>
    </row>
    <row r="1262" spans="1:12" ht="15">
      <c r="A1262" s="104" t="s">
        <v>2356</v>
      </c>
      <c r="B1262" s="102" t="s">
        <v>2397</v>
      </c>
      <c r="C1262" s="102">
        <v>2</v>
      </c>
      <c r="D1262" s="106">
        <v>0.0028970961491945526</v>
      </c>
      <c r="E1262" s="106">
        <v>2.3617278360175926</v>
      </c>
      <c r="F1262" s="102" t="s">
        <v>2322</v>
      </c>
      <c r="G1262" s="102" t="b">
        <v>0</v>
      </c>
      <c r="H1262" s="102" t="b">
        <v>0</v>
      </c>
      <c r="I1262" s="102" t="b">
        <v>0</v>
      </c>
      <c r="J1262" s="102" t="b">
        <v>0</v>
      </c>
      <c r="K1262" s="102" t="b">
        <v>0</v>
      </c>
      <c r="L1262" s="102" t="b">
        <v>0</v>
      </c>
    </row>
    <row r="1263" spans="1:12" ht="15">
      <c r="A1263" s="104" t="s">
        <v>2596</v>
      </c>
      <c r="B1263" s="102" t="s">
        <v>2422</v>
      </c>
      <c r="C1263" s="102">
        <v>2</v>
      </c>
      <c r="D1263" s="106">
        <v>0.0028970961491945526</v>
      </c>
      <c r="E1263" s="106">
        <v>2.486666572625893</v>
      </c>
      <c r="F1263" s="102" t="s">
        <v>2322</v>
      </c>
      <c r="G1263" s="102" t="b">
        <v>0</v>
      </c>
      <c r="H1263" s="102" t="b">
        <v>0</v>
      </c>
      <c r="I1263" s="102" t="b">
        <v>0</v>
      </c>
      <c r="J1263" s="102" t="b">
        <v>0</v>
      </c>
      <c r="K1263" s="102" t="b">
        <v>0</v>
      </c>
      <c r="L1263" s="102" t="b">
        <v>0</v>
      </c>
    </row>
    <row r="1264" spans="1:12" ht="15">
      <c r="A1264" s="104" t="s">
        <v>2648</v>
      </c>
      <c r="B1264" s="102" t="s">
        <v>2434</v>
      </c>
      <c r="C1264" s="102">
        <v>2</v>
      </c>
      <c r="D1264" s="106">
        <v>0.0028970961491945526</v>
      </c>
      <c r="E1264" s="106">
        <v>1.9637878273455553</v>
      </c>
      <c r="F1264" s="102" t="s">
        <v>2322</v>
      </c>
      <c r="G1264" s="102" t="b">
        <v>0</v>
      </c>
      <c r="H1264" s="102" t="b">
        <v>0</v>
      </c>
      <c r="I1264" s="102" t="b">
        <v>0</v>
      </c>
      <c r="J1264" s="102" t="b">
        <v>0</v>
      </c>
      <c r="K1264" s="102" t="b">
        <v>0</v>
      </c>
      <c r="L1264" s="102" t="b">
        <v>0</v>
      </c>
    </row>
    <row r="1265" spans="1:12" ht="15">
      <c r="A1265" s="104" t="s">
        <v>2697</v>
      </c>
      <c r="B1265" s="102" t="s">
        <v>2620</v>
      </c>
      <c r="C1265" s="102">
        <v>2</v>
      </c>
      <c r="D1265" s="106">
        <v>0.0028970961491945526</v>
      </c>
      <c r="E1265" s="106">
        <v>1.8668778143374989</v>
      </c>
      <c r="F1265" s="102" t="s">
        <v>2322</v>
      </c>
      <c r="G1265" s="102" t="b">
        <v>0</v>
      </c>
      <c r="H1265" s="102" t="b">
        <v>0</v>
      </c>
      <c r="I1265" s="102" t="b">
        <v>0</v>
      </c>
      <c r="J1265" s="102" t="b">
        <v>0</v>
      </c>
      <c r="K1265" s="102" t="b">
        <v>0</v>
      </c>
      <c r="L1265" s="102" t="b">
        <v>0</v>
      </c>
    </row>
    <row r="1266" spans="1:12" ht="15">
      <c r="A1266" s="104" t="s">
        <v>2940</v>
      </c>
      <c r="B1266" s="102" t="s">
        <v>2941</v>
      </c>
      <c r="C1266" s="102">
        <v>2</v>
      </c>
      <c r="D1266" s="106">
        <v>0.0028970961491945526</v>
      </c>
      <c r="E1266" s="106">
        <v>2.3105753135702116</v>
      </c>
      <c r="F1266" s="102" t="s">
        <v>2322</v>
      </c>
      <c r="G1266" s="102" t="b">
        <v>0</v>
      </c>
      <c r="H1266" s="102" t="b">
        <v>0</v>
      </c>
      <c r="I1266" s="102" t="b">
        <v>0</v>
      </c>
      <c r="J1266" s="102" t="b">
        <v>0</v>
      </c>
      <c r="K1266" s="102" t="b">
        <v>0</v>
      </c>
      <c r="L1266" s="102" t="b">
        <v>0</v>
      </c>
    </row>
    <row r="1267" spans="1:12" ht="15">
      <c r="A1267" s="104" t="s">
        <v>2350</v>
      </c>
      <c r="B1267" s="102" t="s">
        <v>2369</v>
      </c>
      <c r="C1267" s="102">
        <v>2</v>
      </c>
      <c r="D1267" s="106">
        <v>0.0028970961491945526</v>
      </c>
      <c r="E1267" s="106">
        <v>1.2155998003393549</v>
      </c>
      <c r="F1267" s="102" t="s">
        <v>2322</v>
      </c>
      <c r="G1267" s="102" t="b">
        <v>0</v>
      </c>
      <c r="H1267" s="102" t="b">
        <v>0</v>
      </c>
      <c r="I1267" s="102" t="b">
        <v>0</v>
      </c>
      <c r="J1267" s="102" t="b">
        <v>0</v>
      </c>
      <c r="K1267" s="102" t="b">
        <v>0</v>
      </c>
      <c r="L1267" s="102" t="b">
        <v>0</v>
      </c>
    </row>
    <row r="1268" spans="1:12" ht="15">
      <c r="A1268" s="104" t="s">
        <v>3298</v>
      </c>
      <c r="B1268" s="102" t="s">
        <v>2349</v>
      </c>
      <c r="C1268" s="102">
        <v>2</v>
      </c>
      <c r="D1268" s="106">
        <v>0.0028970961491945526</v>
      </c>
      <c r="E1268" s="106">
        <v>1.9637878273455553</v>
      </c>
      <c r="F1268" s="102" t="s">
        <v>2322</v>
      </c>
      <c r="G1268" s="102" t="b">
        <v>0</v>
      </c>
      <c r="H1268" s="102" t="b">
        <v>0</v>
      </c>
      <c r="I1268" s="102" t="b">
        <v>0</v>
      </c>
      <c r="J1268" s="102" t="b">
        <v>0</v>
      </c>
      <c r="K1268" s="102" t="b">
        <v>0</v>
      </c>
      <c r="L1268" s="102" t="b">
        <v>0</v>
      </c>
    </row>
    <row r="1269" spans="1:12" ht="15">
      <c r="A1269" s="104" t="s">
        <v>2405</v>
      </c>
      <c r="B1269" s="102" t="s">
        <v>2405</v>
      </c>
      <c r="C1269" s="102">
        <v>2</v>
      </c>
      <c r="D1269" s="106">
        <v>0.0035171373349082106</v>
      </c>
      <c r="E1269" s="106">
        <v>0.7790963965279564</v>
      </c>
      <c r="F1269" s="102" t="s">
        <v>2322</v>
      </c>
      <c r="G1269" s="102" t="b">
        <v>0</v>
      </c>
      <c r="H1269" s="102" t="b">
        <v>0</v>
      </c>
      <c r="I1269" s="102" t="b">
        <v>0</v>
      </c>
      <c r="J1269" s="102" t="b">
        <v>0</v>
      </c>
      <c r="K1269" s="102" t="b">
        <v>0</v>
      </c>
      <c r="L1269" s="102" t="b">
        <v>0</v>
      </c>
    </row>
    <row r="1270" spans="1:12" ht="15">
      <c r="A1270" s="104" t="s">
        <v>3302</v>
      </c>
      <c r="B1270" s="102" t="s">
        <v>2472</v>
      </c>
      <c r="C1270" s="102">
        <v>2</v>
      </c>
      <c r="D1270" s="106">
        <v>0.0035171373349082106</v>
      </c>
      <c r="E1270" s="106">
        <v>2.1856365769619117</v>
      </c>
      <c r="F1270" s="102" t="s">
        <v>2322</v>
      </c>
      <c r="G1270" s="102" t="b">
        <v>0</v>
      </c>
      <c r="H1270" s="102" t="b">
        <v>0</v>
      </c>
      <c r="I1270" s="102" t="b">
        <v>0</v>
      </c>
      <c r="J1270" s="102" t="b">
        <v>0</v>
      </c>
      <c r="K1270" s="102" t="b">
        <v>0</v>
      </c>
      <c r="L1270" s="102" t="b">
        <v>0</v>
      </c>
    </row>
    <row r="1271" spans="1:12" ht="15">
      <c r="A1271" s="104" t="s">
        <v>2402</v>
      </c>
      <c r="B1271" s="102" t="s">
        <v>2786</v>
      </c>
      <c r="C1271" s="102">
        <v>2</v>
      </c>
      <c r="D1271" s="106">
        <v>0.0035171373349082106</v>
      </c>
      <c r="E1271" s="106">
        <v>1.8846065812979305</v>
      </c>
      <c r="F1271" s="102" t="s">
        <v>2322</v>
      </c>
      <c r="G1271" s="102" t="b">
        <v>0</v>
      </c>
      <c r="H1271" s="102" t="b">
        <v>0</v>
      </c>
      <c r="I1271" s="102" t="b">
        <v>0</v>
      </c>
      <c r="J1271" s="102" t="b">
        <v>0</v>
      </c>
      <c r="K1271" s="102" t="b">
        <v>0</v>
      </c>
      <c r="L1271" s="102" t="b">
        <v>0</v>
      </c>
    </row>
    <row r="1272" spans="1:12" ht="15">
      <c r="A1272" s="104" t="s">
        <v>2444</v>
      </c>
      <c r="B1272" s="102" t="s">
        <v>2402</v>
      </c>
      <c r="C1272" s="102">
        <v>2</v>
      </c>
      <c r="D1272" s="106">
        <v>0.0028970961491945526</v>
      </c>
      <c r="E1272" s="106">
        <v>1.8176597916673172</v>
      </c>
      <c r="F1272" s="102" t="s">
        <v>2322</v>
      </c>
      <c r="G1272" s="102" t="b">
        <v>0</v>
      </c>
      <c r="H1272" s="102" t="b">
        <v>0</v>
      </c>
      <c r="I1272" s="102" t="b">
        <v>0</v>
      </c>
      <c r="J1272" s="102" t="b">
        <v>0</v>
      </c>
      <c r="K1272" s="102" t="b">
        <v>0</v>
      </c>
      <c r="L1272" s="102" t="b">
        <v>0</v>
      </c>
    </row>
    <row r="1273" spans="1:12" ht="15">
      <c r="A1273" s="104" t="s">
        <v>2350</v>
      </c>
      <c r="B1273" s="102" t="s">
        <v>2467</v>
      </c>
      <c r="C1273" s="102">
        <v>2</v>
      </c>
      <c r="D1273" s="106">
        <v>0.0028970961491945526</v>
      </c>
      <c r="E1273" s="106">
        <v>1.516629796003336</v>
      </c>
      <c r="F1273" s="102" t="s">
        <v>2322</v>
      </c>
      <c r="G1273" s="102" t="b">
        <v>0</v>
      </c>
      <c r="H1273" s="102" t="b">
        <v>0</v>
      </c>
      <c r="I1273" s="102" t="b">
        <v>0</v>
      </c>
      <c r="J1273" s="102" t="b">
        <v>0</v>
      </c>
      <c r="K1273" s="102" t="b">
        <v>0</v>
      </c>
      <c r="L1273" s="102" t="b">
        <v>0</v>
      </c>
    </row>
    <row r="1274" spans="1:12" ht="15">
      <c r="A1274" s="104" t="s">
        <v>2620</v>
      </c>
      <c r="B1274" s="102" t="s">
        <v>2697</v>
      </c>
      <c r="C1274" s="102">
        <v>2</v>
      </c>
      <c r="D1274" s="106">
        <v>0.0035171373349082106</v>
      </c>
      <c r="E1274" s="106">
        <v>1.8668778143374989</v>
      </c>
      <c r="F1274" s="102" t="s">
        <v>2322</v>
      </c>
      <c r="G1274" s="102" t="b">
        <v>0</v>
      </c>
      <c r="H1274" s="102" t="b">
        <v>0</v>
      </c>
      <c r="I1274" s="102" t="b">
        <v>0</v>
      </c>
      <c r="J1274" s="102" t="b">
        <v>0</v>
      </c>
      <c r="K1274" s="102" t="b">
        <v>0</v>
      </c>
      <c r="L1274" s="102" t="b">
        <v>0</v>
      </c>
    </row>
    <row r="1275" spans="1:12" ht="15">
      <c r="A1275" s="104" t="s">
        <v>2516</v>
      </c>
      <c r="B1275" s="102" t="s">
        <v>2516</v>
      </c>
      <c r="C1275" s="102">
        <v>2</v>
      </c>
      <c r="D1275" s="106">
        <v>0.0035171373349082106</v>
      </c>
      <c r="E1275" s="106">
        <v>2.3105753135702116</v>
      </c>
      <c r="F1275" s="102" t="s">
        <v>2322</v>
      </c>
      <c r="G1275" s="102" t="b">
        <v>0</v>
      </c>
      <c r="H1275" s="102" t="b">
        <v>0</v>
      </c>
      <c r="I1275" s="102" t="b">
        <v>0</v>
      </c>
      <c r="J1275" s="102" t="b">
        <v>0</v>
      </c>
      <c r="K1275" s="102" t="b">
        <v>0</v>
      </c>
      <c r="L1275" s="102" t="b">
        <v>0</v>
      </c>
    </row>
    <row r="1276" spans="1:12" ht="15">
      <c r="A1276" s="104" t="s">
        <v>2396</v>
      </c>
      <c r="B1276" s="102" t="s">
        <v>2405</v>
      </c>
      <c r="C1276" s="102">
        <v>2</v>
      </c>
      <c r="D1276" s="106">
        <v>0.0028970961491945526</v>
      </c>
      <c r="E1276" s="106">
        <v>1.3353988972952437</v>
      </c>
      <c r="F1276" s="102" t="s">
        <v>2322</v>
      </c>
      <c r="G1276" s="102" t="b">
        <v>0</v>
      </c>
      <c r="H1276" s="102" t="b">
        <v>0</v>
      </c>
      <c r="I1276" s="102" t="b">
        <v>0</v>
      </c>
      <c r="J1276" s="102" t="b">
        <v>0</v>
      </c>
      <c r="K1276" s="102" t="b">
        <v>0</v>
      </c>
      <c r="L1276" s="102" t="b">
        <v>0</v>
      </c>
    </row>
    <row r="1277" spans="1:12" ht="15">
      <c r="A1277" s="104" t="s">
        <v>2405</v>
      </c>
      <c r="B1277" s="102" t="s">
        <v>2396</v>
      </c>
      <c r="C1277" s="102">
        <v>2</v>
      </c>
      <c r="D1277" s="106">
        <v>0.0028970961491945526</v>
      </c>
      <c r="E1277" s="106">
        <v>1.3105753135702116</v>
      </c>
      <c r="F1277" s="102" t="s">
        <v>2322</v>
      </c>
      <c r="G1277" s="102" t="b">
        <v>0</v>
      </c>
      <c r="H1277" s="102" t="b">
        <v>0</v>
      </c>
      <c r="I1277" s="102" t="b">
        <v>0</v>
      </c>
      <c r="J1277" s="102" t="b">
        <v>0</v>
      </c>
      <c r="K1277" s="102" t="b">
        <v>0</v>
      </c>
      <c r="L1277" s="102" t="b">
        <v>0</v>
      </c>
    </row>
    <row r="1278" spans="1:12" ht="15">
      <c r="A1278" s="104" t="s">
        <v>2785</v>
      </c>
      <c r="B1278" s="102" t="s">
        <v>2383</v>
      </c>
      <c r="C1278" s="102">
        <v>2</v>
      </c>
      <c r="D1278" s="106">
        <v>0.0035171373349082106</v>
      </c>
      <c r="E1278" s="106">
        <v>2.2648178230095364</v>
      </c>
      <c r="F1278" s="102" t="s">
        <v>2322</v>
      </c>
      <c r="G1278" s="102" t="b">
        <v>0</v>
      </c>
      <c r="H1278" s="102" t="b">
        <v>0</v>
      </c>
      <c r="I1278" s="102" t="b">
        <v>0</v>
      </c>
      <c r="J1278" s="102" t="b">
        <v>0</v>
      </c>
      <c r="K1278" s="102" t="b">
        <v>0</v>
      </c>
      <c r="L1278" s="102" t="b">
        <v>0</v>
      </c>
    </row>
    <row r="1279" spans="1:12" ht="15">
      <c r="A1279" s="104" t="s">
        <v>2501</v>
      </c>
      <c r="B1279" s="102" t="s">
        <v>2937</v>
      </c>
      <c r="C1279" s="102">
        <v>2</v>
      </c>
      <c r="D1279" s="106">
        <v>0.0035171373349082106</v>
      </c>
      <c r="E1279" s="106">
        <v>2.0095453179062304</v>
      </c>
      <c r="F1279" s="102" t="s">
        <v>2322</v>
      </c>
      <c r="G1279" s="102" t="b">
        <v>0</v>
      </c>
      <c r="H1279" s="102" t="b">
        <v>0</v>
      </c>
      <c r="I1279" s="102" t="b">
        <v>0</v>
      </c>
      <c r="J1279" s="102" t="b">
        <v>0</v>
      </c>
      <c r="K1279" s="102" t="b">
        <v>0</v>
      </c>
      <c r="L1279" s="102" t="b">
        <v>0</v>
      </c>
    </row>
    <row r="1280" spans="1:12" ht="15">
      <c r="A1280" s="104" t="s">
        <v>2784</v>
      </c>
      <c r="B1280" s="102" t="s">
        <v>2695</v>
      </c>
      <c r="C1280" s="102">
        <v>2</v>
      </c>
      <c r="D1280" s="106">
        <v>0.0035171373349082106</v>
      </c>
      <c r="E1280" s="106">
        <v>1.9637878273455553</v>
      </c>
      <c r="F1280" s="102" t="s">
        <v>2322</v>
      </c>
      <c r="G1280" s="102" t="b">
        <v>0</v>
      </c>
      <c r="H1280" s="102" t="b">
        <v>0</v>
      </c>
      <c r="I1280" s="102" t="b">
        <v>0</v>
      </c>
      <c r="J1280" s="102" t="b">
        <v>0</v>
      </c>
      <c r="K1280" s="102" t="b">
        <v>0</v>
      </c>
      <c r="L1280" s="102" t="b">
        <v>0</v>
      </c>
    </row>
    <row r="1281" spans="1:12" ht="15">
      <c r="A1281" s="104" t="s">
        <v>2696</v>
      </c>
      <c r="B1281" s="102" t="s">
        <v>2584</v>
      </c>
      <c r="C1281" s="102">
        <v>2</v>
      </c>
      <c r="D1281" s="106">
        <v>0.0035171373349082106</v>
      </c>
      <c r="E1281" s="106">
        <v>1.7207497786592607</v>
      </c>
      <c r="F1281" s="102" t="s">
        <v>2322</v>
      </c>
      <c r="G1281" s="102" t="b">
        <v>0</v>
      </c>
      <c r="H1281" s="102" t="b">
        <v>0</v>
      </c>
      <c r="I1281" s="102" t="b">
        <v>0</v>
      </c>
      <c r="J1281" s="102" t="b">
        <v>0</v>
      </c>
      <c r="K1281" s="102" t="b">
        <v>0</v>
      </c>
      <c r="L1281" s="102" t="b">
        <v>0</v>
      </c>
    </row>
    <row r="1282" spans="1:12" ht="15">
      <c r="A1282" s="104" t="s">
        <v>2584</v>
      </c>
      <c r="B1282" s="102" t="s">
        <v>2584</v>
      </c>
      <c r="C1282" s="102">
        <v>2</v>
      </c>
      <c r="D1282" s="106">
        <v>0.0035171373349082106</v>
      </c>
      <c r="E1282" s="106">
        <v>1.5746217429810228</v>
      </c>
      <c r="F1282" s="102" t="s">
        <v>2322</v>
      </c>
      <c r="G1282" s="102" t="b">
        <v>0</v>
      </c>
      <c r="H1282" s="102" t="b">
        <v>0</v>
      </c>
      <c r="I1282" s="102" t="b">
        <v>0</v>
      </c>
      <c r="J1282" s="102" t="b">
        <v>0</v>
      </c>
      <c r="K1282" s="102" t="b">
        <v>0</v>
      </c>
      <c r="L1282" s="102" t="b">
        <v>0</v>
      </c>
    </row>
    <row r="1283" spans="1:12" ht="15">
      <c r="A1283" s="104" t="s">
        <v>2584</v>
      </c>
      <c r="B1283" s="102" t="s">
        <v>2678</v>
      </c>
      <c r="C1283" s="102">
        <v>2</v>
      </c>
      <c r="D1283" s="106">
        <v>0.0035171373349082106</v>
      </c>
      <c r="E1283" s="106">
        <v>1.8176597916673172</v>
      </c>
      <c r="F1283" s="102" t="s">
        <v>2322</v>
      </c>
      <c r="G1283" s="102" t="b">
        <v>0</v>
      </c>
      <c r="H1283" s="102" t="b">
        <v>0</v>
      </c>
      <c r="I1283" s="102" t="b">
        <v>0</v>
      </c>
      <c r="J1283" s="102" t="b">
        <v>0</v>
      </c>
      <c r="K1283" s="102" t="b">
        <v>0</v>
      </c>
      <c r="L1283" s="102" t="b">
        <v>0</v>
      </c>
    </row>
    <row r="1284" spans="1:12" ht="15">
      <c r="A1284" s="104" t="s">
        <v>2935</v>
      </c>
      <c r="B1284" s="102" t="s">
        <v>3290</v>
      </c>
      <c r="C1284" s="102">
        <v>2</v>
      </c>
      <c r="D1284" s="106">
        <v>0.0035171373349082106</v>
      </c>
      <c r="E1284" s="106">
        <v>2.486666572625893</v>
      </c>
      <c r="F1284" s="102" t="s">
        <v>2322</v>
      </c>
      <c r="G1284" s="102" t="b">
        <v>0</v>
      </c>
      <c r="H1284" s="102" t="b">
        <v>0</v>
      </c>
      <c r="I1284" s="102" t="b">
        <v>0</v>
      </c>
      <c r="J1284" s="102" t="b">
        <v>0</v>
      </c>
      <c r="K1284" s="102" t="b">
        <v>0</v>
      </c>
      <c r="L1284" s="102" t="b">
        <v>0</v>
      </c>
    </row>
    <row r="1285" spans="1:12" ht="15">
      <c r="A1285" s="104" t="s">
        <v>2934</v>
      </c>
      <c r="B1285" s="102" t="s">
        <v>2935</v>
      </c>
      <c r="C1285" s="102">
        <v>2</v>
      </c>
      <c r="D1285" s="106">
        <v>0.0035171373349082106</v>
      </c>
      <c r="E1285" s="106">
        <v>2.3105753135702116</v>
      </c>
      <c r="F1285" s="102" t="s">
        <v>2322</v>
      </c>
      <c r="G1285" s="102" t="b">
        <v>1</v>
      </c>
      <c r="H1285" s="102" t="b">
        <v>0</v>
      </c>
      <c r="I1285" s="102" t="b">
        <v>0</v>
      </c>
      <c r="J1285" s="102" t="b">
        <v>0</v>
      </c>
      <c r="K1285" s="102" t="b">
        <v>0</v>
      </c>
      <c r="L1285" s="102" t="b">
        <v>0</v>
      </c>
    </row>
    <row r="1286" spans="1:12" ht="15">
      <c r="A1286" s="104" t="s">
        <v>2367</v>
      </c>
      <c r="B1286" s="102" t="s">
        <v>2369</v>
      </c>
      <c r="C1286" s="102">
        <v>2</v>
      </c>
      <c r="D1286" s="106">
        <v>0.0035171373349082106</v>
      </c>
      <c r="E1286" s="106">
        <v>2.060697840353612</v>
      </c>
      <c r="F1286" s="102" t="s">
        <v>2322</v>
      </c>
      <c r="G1286" s="102" t="b">
        <v>0</v>
      </c>
      <c r="H1286" s="102" t="b">
        <v>0</v>
      </c>
      <c r="I1286" s="102" t="b">
        <v>0</v>
      </c>
      <c r="J1286" s="102" t="b">
        <v>0</v>
      </c>
      <c r="K1286" s="102" t="b">
        <v>0</v>
      </c>
      <c r="L1286" s="102" t="b">
        <v>0</v>
      </c>
    </row>
    <row r="1287" spans="1:12" ht="15">
      <c r="A1287" s="104" t="s">
        <v>2509</v>
      </c>
      <c r="B1287" s="102" t="s">
        <v>2394</v>
      </c>
      <c r="C1287" s="102">
        <v>2</v>
      </c>
      <c r="D1287" s="106">
        <v>0.0035171373349082106</v>
      </c>
      <c r="E1287" s="106">
        <v>2.662757831681574</v>
      </c>
      <c r="F1287" s="102" t="s">
        <v>2322</v>
      </c>
      <c r="G1287" s="102" t="b">
        <v>0</v>
      </c>
      <c r="H1287" s="102" t="b">
        <v>0</v>
      </c>
      <c r="I1287" s="102" t="b">
        <v>0</v>
      </c>
      <c r="J1287" s="102" t="b">
        <v>0</v>
      </c>
      <c r="K1287" s="102" t="b">
        <v>0</v>
      </c>
      <c r="L1287" s="102" t="b">
        <v>0</v>
      </c>
    </row>
    <row r="1288" spans="1:12" ht="15">
      <c r="A1288" s="104" t="s">
        <v>2394</v>
      </c>
      <c r="B1288" s="102" t="s">
        <v>2390</v>
      </c>
      <c r="C1288" s="102">
        <v>2</v>
      </c>
      <c r="D1288" s="106">
        <v>0.0035171373349082106</v>
      </c>
      <c r="E1288" s="106">
        <v>2.662757831681574</v>
      </c>
      <c r="F1288" s="102" t="s">
        <v>2322</v>
      </c>
      <c r="G1288" s="102" t="b">
        <v>0</v>
      </c>
      <c r="H1288" s="102" t="b">
        <v>0</v>
      </c>
      <c r="I1288" s="102" t="b">
        <v>0</v>
      </c>
      <c r="J1288" s="102" t="b">
        <v>0</v>
      </c>
      <c r="K1288" s="102" t="b">
        <v>0</v>
      </c>
      <c r="L1288" s="102" t="b">
        <v>0</v>
      </c>
    </row>
    <row r="1289" spans="1:12" ht="15">
      <c r="A1289" s="104" t="s">
        <v>2380</v>
      </c>
      <c r="B1289" s="102" t="s">
        <v>2610</v>
      </c>
      <c r="C1289" s="102">
        <v>2</v>
      </c>
      <c r="D1289" s="106">
        <v>0.0035171373349082106</v>
      </c>
      <c r="E1289" s="106">
        <v>2.486666572625893</v>
      </c>
      <c r="F1289" s="102" t="s">
        <v>2322</v>
      </c>
      <c r="G1289" s="102" t="b">
        <v>0</v>
      </c>
      <c r="H1289" s="102" t="b">
        <v>0</v>
      </c>
      <c r="I1289" s="102" t="b">
        <v>0</v>
      </c>
      <c r="J1289" s="102" t="b">
        <v>0</v>
      </c>
      <c r="K1289" s="102" t="b">
        <v>0</v>
      </c>
      <c r="L1289" s="102" t="b">
        <v>0</v>
      </c>
    </row>
    <row r="1290" spans="1:12" ht="15">
      <c r="A1290" s="104" t="s">
        <v>2352</v>
      </c>
      <c r="B1290" s="102" t="s">
        <v>2380</v>
      </c>
      <c r="C1290" s="102">
        <v>2</v>
      </c>
      <c r="D1290" s="106">
        <v>0.0035171373349082106</v>
      </c>
      <c r="E1290" s="106">
        <v>2.3617278360175926</v>
      </c>
      <c r="F1290" s="102" t="s">
        <v>2322</v>
      </c>
      <c r="G1290" s="102" t="b">
        <v>0</v>
      </c>
      <c r="H1290" s="102" t="b">
        <v>0</v>
      </c>
      <c r="I1290" s="102" t="b">
        <v>0</v>
      </c>
      <c r="J1290" s="102" t="b">
        <v>0</v>
      </c>
      <c r="K1290" s="102" t="b">
        <v>0</v>
      </c>
      <c r="L1290" s="102" t="b">
        <v>0</v>
      </c>
    </row>
    <row r="1291" spans="1:12" ht="15">
      <c r="A1291" s="104" t="s">
        <v>3285</v>
      </c>
      <c r="B1291" s="102" t="s">
        <v>2469</v>
      </c>
      <c r="C1291" s="102">
        <v>2</v>
      </c>
      <c r="D1291" s="106">
        <v>0.0035171373349082106</v>
      </c>
      <c r="E1291" s="106">
        <v>2.118689787331298</v>
      </c>
      <c r="F1291" s="102" t="s">
        <v>2322</v>
      </c>
      <c r="G1291" s="102" t="b">
        <v>0</v>
      </c>
      <c r="H1291" s="102" t="b">
        <v>1</v>
      </c>
      <c r="I1291" s="102" t="b">
        <v>0</v>
      </c>
      <c r="J1291" s="102" t="b">
        <v>0</v>
      </c>
      <c r="K1291" s="102" t="b">
        <v>0</v>
      </c>
      <c r="L1291" s="102" t="b">
        <v>0</v>
      </c>
    </row>
    <row r="1292" spans="1:12" ht="15">
      <c r="A1292" s="104" t="s">
        <v>2931</v>
      </c>
      <c r="B1292" s="102" t="s">
        <v>3279</v>
      </c>
      <c r="C1292" s="102">
        <v>2</v>
      </c>
      <c r="D1292" s="106">
        <v>0.0035171373349082106</v>
      </c>
      <c r="E1292" s="106">
        <v>2.486666572625893</v>
      </c>
      <c r="F1292" s="102" t="s">
        <v>2322</v>
      </c>
      <c r="G1292" s="102" t="b">
        <v>0</v>
      </c>
      <c r="H1292" s="102" t="b">
        <v>0</v>
      </c>
      <c r="I1292" s="102" t="b">
        <v>0</v>
      </c>
      <c r="J1292" s="102" t="b">
        <v>0</v>
      </c>
      <c r="K1292" s="102" t="b">
        <v>0</v>
      </c>
      <c r="L1292" s="102" t="b">
        <v>0</v>
      </c>
    </row>
    <row r="1293" spans="1:12" ht="15">
      <c r="A1293" s="104" t="s">
        <v>3279</v>
      </c>
      <c r="B1293" s="102" t="s">
        <v>2606</v>
      </c>
      <c r="C1293" s="102">
        <v>2</v>
      </c>
      <c r="D1293" s="106">
        <v>0.0035171373349082106</v>
      </c>
      <c r="E1293" s="106">
        <v>2.662757831681574</v>
      </c>
      <c r="F1293" s="102" t="s">
        <v>2322</v>
      </c>
      <c r="G1293" s="102" t="b">
        <v>0</v>
      </c>
      <c r="H1293" s="102" t="b">
        <v>0</v>
      </c>
      <c r="I1293" s="102" t="b">
        <v>0</v>
      </c>
      <c r="J1293" s="102" t="b">
        <v>0</v>
      </c>
      <c r="K1293" s="102" t="b">
        <v>1</v>
      </c>
      <c r="L1293" s="102" t="b">
        <v>0</v>
      </c>
    </row>
    <row r="1294" spans="1:12" ht="15">
      <c r="A1294" s="104" t="s">
        <v>2694</v>
      </c>
      <c r="B1294" s="102" t="s">
        <v>3280</v>
      </c>
      <c r="C1294" s="102">
        <v>2</v>
      </c>
      <c r="D1294" s="106">
        <v>0.0035171373349082106</v>
      </c>
      <c r="E1294" s="106">
        <v>2.2648178230095364</v>
      </c>
      <c r="F1294" s="102" t="s">
        <v>2322</v>
      </c>
      <c r="G1294" s="102" t="b">
        <v>0</v>
      </c>
      <c r="H1294" s="102" t="b">
        <v>0</v>
      </c>
      <c r="I1294" s="102" t="b">
        <v>0</v>
      </c>
      <c r="J1294" s="102" t="b">
        <v>0</v>
      </c>
      <c r="K1294" s="102" t="b">
        <v>0</v>
      </c>
      <c r="L1294" s="102" t="b">
        <v>0</v>
      </c>
    </row>
    <row r="1295" spans="1:12" ht="15">
      <c r="A1295" s="104" t="s">
        <v>2919</v>
      </c>
      <c r="B1295" s="102" t="s">
        <v>3276</v>
      </c>
      <c r="C1295" s="102">
        <v>2</v>
      </c>
      <c r="D1295" s="106">
        <v>0.0035171373349082106</v>
      </c>
      <c r="E1295" s="106">
        <v>2.662757831681574</v>
      </c>
      <c r="F1295" s="102" t="s">
        <v>2322</v>
      </c>
      <c r="G1295" s="102" t="b">
        <v>0</v>
      </c>
      <c r="H1295" s="102" t="b">
        <v>0</v>
      </c>
      <c r="I1295" s="102" t="b">
        <v>0</v>
      </c>
      <c r="J1295" s="102" t="b">
        <v>0</v>
      </c>
      <c r="K1295" s="102" t="b">
        <v>0</v>
      </c>
      <c r="L1295" s="102" t="b">
        <v>0</v>
      </c>
    </row>
    <row r="1296" spans="1:12" ht="15">
      <c r="A1296" s="104" t="s">
        <v>2550</v>
      </c>
      <c r="B1296" s="102" t="s">
        <v>3272</v>
      </c>
      <c r="C1296" s="102">
        <v>2</v>
      </c>
      <c r="D1296" s="106">
        <v>0.0035171373349082106</v>
      </c>
      <c r="E1296" s="106">
        <v>2.060697840353612</v>
      </c>
      <c r="F1296" s="102" t="s">
        <v>2322</v>
      </c>
      <c r="G1296" s="102" t="b">
        <v>0</v>
      </c>
      <c r="H1296" s="102" t="b">
        <v>0</v>
      </c>
      <c r="I1296" s="102" t="b">
        <v>0</v>
      </c>
      <c r="J1296" s="102" t="b">
        <v>0</v>
      </c>
      <c r="K1296" s="102" t="b">
        <v>0</v>
      </c>
      <c r="L1296" s="102" t="b">
        <v>0</v>
      </c>
    </row>
    <row r="1297" spans="1:12" ht="15">
      <c r="A1297" s="104" t="s">
        <v>3273</v>
      </c>
      <c r="B1297" s="102" t="s">
        <v>2583</v>
      </c>
      <c r="C1297" s="102">
        <v>2</v>
      </c>
      <c r="D1297" s="106">
        <v>0.0035171373349082106</v>
      </c>
      <c r="E1297" s="106">
        <v>2.1856365769619117</v>
      </c>
      <c r="F1297" s="102" t="s">
        <v>2322</v>
      </c>
      <c r="G1297" s="102" t="b">
        <v>0</v>
      </c>
      <c r="H1297" s="102" t="b">
        <v>0</v>
      </c>
      <c r="I1297" s="102" t="b">
        <v>0</v>
      </c>
      <c r="J1297" s="102" t="b">
        <v>0</v>
      </c>
      <c r="K1297" s="102" t="b">
        <v>0</v>
      </c>
      <c r="L1297" s="102" t="b">
        <v>0</v>
      </c>
    </row>
    <row r="1298" spans="1:12" ht="15">
      <c r="A1298" s="104" t="s">
        <v>2583</v>
      </c>
      <c r="B1298" s="102" t="s">
        <v>3274</v>
      </c>
      <c r="C1298" s="102">
        <v>2</v>
      </c>
      <c r="D1298" s="106">
        <v>0.0035171373349082106</v>
      </c>
      <c r="E1298" s="106">
        <v>2.118689787331298</v>
      </c>
      <c r="F1298" s="102" t="s">
        <v>2322</v>
      </c>
      <c r="G1298" s="102" t="b">
        <v>0</v>
      </c>
      <c r="H1298" s="102" t="b">
        <v>0</v>
      </c>
      <c r="I1298" s="102" t="b">
        <v>0</v>
      </c>
      <c r="J1298" s="102" t="b">
        <v>0</v>
      </c>
      <c r="K1298" s="102" t="b">
        <v>0</v>
      </c>
      <c r="L1298" s="102" t="b">
        <v>0</v>
      </c>
    </row>
    <row r="1299" spans="1:12" ht="15">
      <c r="A1299" s="104" t="s">
        <v>2929</v>
      </c>
      <c r="B1299" s="102" t="s">
        <v>2550</v>
      </c>
      <c r="C1299" s="102">
        <v>2</v>
      </c>
      <c r="D1299" s="106">
        <v>0.0035171373349082106</v>
      </c>
      <c r="E1299" s="106">
        <v>2.060697840353612</v>
      </c>
      <c r="F1299" s="102" t="s">
        <v>2322</v>
      </c>
      <c r="G1299" s="102" t="b">
        <v>0</v>
      </c>
      <c r="H1299" s="102" t="b">
        <v>0</v>
      </c>
      <c r="I1299" s="102" t="b">
        <v>0</v>
      </c>
      <c r="J1299" s="102" t="b">
        <v>0</v>
      </c>
      <c r="K1299" s="102" t="b">
        <v>0</v>
      </c>
      <c r="L1299" s="102" t="b">
        <v>0</v>
      </c>
    </row>
    <row r="1300" spans="1:12" ht="15">
      <c r="A1300" s="104" t="s">
        <v>2629</v>
      </c>
      <c r="B1300" s="102" t="s">
        <v>2550</v>
      </c>
      <c r="C1300" s="102">
        <v>2</v>
      </c>
      <c r="D1300" s="106">
        <v>0.0035171373349082106</v>
      </c>
      <c r="E1300" s="106">
        <v>1.5835765856339492</v>
      </c>
      <c r="F1300" s="102" t="s">
        <v>2322</v>
      </c>
      <c r="G1300" s="102" t="b">
        <v>0</v>
      </c>
      <c r="H1300" s="102" t="b">
        <v>0</v>
      </c>
      <c r="I1300" s="102" t="b">
        <v>0</v>
      </c>
      <c r="J1300" s="102" t="b">
        <v>0</v>
      </c>
      <c r="K1300" s="102" t="b">
        <v>0</v>
      </c>
      <c r="L1300" s="102" t="b">
        <v>0</v>
      </c>
    </row>
    <row r="1301" spans="1:12" ht="15">
      <c r="A1301" s="104" t="s">
        <v>2348</v>
      </c>
      <c r="B1301" s="102" t="s">
        <v>2348</v>
      </c>
      <c r="C1301" s="102">
        <v>15</v>
      </c>
      <c r="D1301" s="106">
        <v>0.018647052005025047</v>
      </c>
      <c r="E1301" s="106">
        <v>0.8906850518752343</v>
      </c>
      <c r="F1301" s="102" t="s">
        <v>2323</v>
      </c>
      <c r="G1301" s="102" t="b">
        <v>0</v>
      </c>
      <c r="H1301" s="102" t="b">
        <v>0</v>
      </c>
      <c r="I1301" s="102" t="b">
        <v>0</v>
      </c>
      <c r="J1301" s="102" t="b">
        <v>0</v>
      </c>
      <c r="K1301" s="102" t="b">
        <v>0</v>
      </c>
      <c r="L1301" s="102" t="b">
        <v>0</v>
      </c>
    </row>
    <row r="1302" spans="1:12" ht="15">
      <c r="A1302" s="104" t="s">
        <v>2348</v>
      </c>
      <c r="B1302" s="102" t="s">
        <v>2351</v>
      </c>
      <c r="C1302" s="102">
        <v>14</v>
      </c>
      <c r="D1302" s="106">
        <v>0.01390235658616807</v>
      </c>
      <c r="E1302" s="106">
        <v>1.1295671407903711</v>
      </c>
      <c r="F1302" s="102" t="s">
        <v>2323</v>
      </c>
      <c r="G1302" s="102" t="b">
        <v>0</v>
      </c>
      <c r="H1302" s="102" t="b">
        <v>0</v>
      </c>
      <c r="I1302" s="102" t="b">
        <v>0</v>
      </c>
      <c r="J1302" s="102" t="b">
        <v>0</v>
      </c>
      <c r="K1302" s="102" t="b">
        <v>0</v>
      </c>
      <c r="L1302" s="102" t="b">
        <v>0</v>
      </c>
    </row>
    <row r="1303" spans="1:12" ht="15">
      <c r="A1303" s="104" t="s">
        <v>2384</v>
      </c>
      <c r="B1303" s="102" t="s">
        <v>2388</v>
      </c>
      <c r="C1303" s="102">
        <v>14</v>
      </c>
      <c r="D1303" s="106">
        <v>0.012652596220140169</v>
      </c>
      <c r="E1303" s="106">
        <v>1.7247877075880278</v>
      </c>
      <c r="F1303" s="102" t="s">
        <v>2323</v>
      </c>
      <c r="G1303" s="102" t="b">
        <v>0</v>
      </c>
      <c r="H1303" s="102" t="b">
        <v>0</v>
      </c>
      <c r="I1303" s="102" t="b">
        <v>0</v>
      </c>
      <c r="J1303" s="102" t="b">
        <v>0</v>
      </c>
      <c r="K1303" s="102" t="b">
        <v>0</v>
      </c>
      <c r="L1303" s="102" t="b">
        <v>0</v>
      </c>
    </row>
    <row r="1304" spans="1:12" ht="15">
      <c r="A1304" s="104" t="s">
        <v>2388</v>
      </c>
      <c r="B1304" s="102" t="s">
        <v>2377</v>
      </c>
      <c r="C1304" s="102">
        <v>14</v>
      </c>
      <c r="D1304" s="106">
        <v>0.012652596220140169</v>
      </c>
      <c r="E1304" s="106">
        <v>1.6984587688656787</v>
      </c>
      <c r="F1304" s="102" t="s">
        <v>2323</v>
      </c>
      <c r="G1304" s="102" t="b">
        <v>0</v>
      </c>
      <c r="H1304" s="102" t="b">
        <v>0</v>
      </c>
      <c r="I1304" s="102" t="b">
        <v>0</v>
      </c>
      <c r="J1304" s="102" t="b">
        <v>0</v>
      </c>
      <c r="K1304" s="102" t="b">
        <v>0</v>
      </c>
      <c r="L1304" s="102" t="b">
        <v>0</v>
      </c>
    </row>
    <row r="1305" spans="1:12" ht="15">
      <c r="A1305" s="104" t="s">
        <v>2348</v>
      </c>
      <c r="B1305" s="102" t="s">
        <v>2349</v>
      </c>
      <c r="C1305" s="102">
        <v>10</v>
      </c>
      <c r="D1305" s="106">
        <v>0.011022814039333119</v>
      </c>
      <c r="E1305" s="106">
        <v>0.9834391051121331</v>
      </c>
      <c r="F1305" s="102" t="s">
        <v>2323</v>
      </c>
      <c r="G1305" s="102" t="b">
        <v>0</v>
      </c>
      <c r="H1305" s="102" t="b">
        <v>0</v>
      </c>
      <c r="I1305" s="102" t="b">
        <v>0</v>
      </c>
      <c r="J1305" s="102" t="b">
        <v>0</v>
      </c>
      <c r="K1305" s="102" t="b">
        <v>0</v>
      </c>
      <c r="L1305" s="102" t="b">
        <v>0</v>
      </c>
    </row>
    <row r="1306" spans="1:12" ht="15">
      <c r="A1306" s="104" t="s">
        <v>2353</v>
      </c>
      <c r="B1306" s="102" t="s">
        <v>2384</v>
      </c>
      <c r="C1306" s="102">
        <v>8</v>
      </c>
      <c r="D1306" s="106">
        <v>0.00723005498293724</v>
      </c>
      <c r="E1306" s="106">
        <v>1.1787851634605526</v>
      </c>
      <c r="F1306" s="102" t="s">
        <v>2323</v>
      </c>
      <c r="G1306" s="102" t="b">
        <v>0</v>
      </c>
      <c r="H1306" s="102" t="b">
        <v>0</v>
      </c>
      <c r="I1306" s="102" t="b">
        <v>0</v>
      </c>
      <c r="J1306" s="102" t="b">
        <v>0</v>
      </c>
      <c r="K1306" s="102" t="b">
        <v>0</v>
      </c>
      <c r="L1306" s="102" t="b">
        <v>0</v>
      </c>
    </row>
    <row r="1307" spans="1:12" ht="15">
      <c r="A1307" s="104" t="s">
        <v>2349</v>
      </c>
      <c r="B1307" s="102" t="s">
        <v>2353</v>
      </c>
      <c r="C1307" s="102">
        <v>6</v>
      </c>
      <c r="D1307" s="106">
        <v>0.008649967988406958</v>
      </c>
      <c r="E1307" s="106">
        <v>0.9289076902439526</v>
      </c>
      <c r="F1307" s="102" t="s">
        <v>2323</v>
      </c>
      <c r="G1307" s="102" t="b">
        <v>0</v>
      </c>
      <c r="H1307" s="102" t="b">
        <v>0</v>
      </c>
      <c r="I1307" s="102" t="b">
        <v>0</v>
      </c>
      <c r="J1307" s="102" t="b">
        <v>0</v>
      </c>
      <c r="K1307" s="102" t="b">
        <v>0</v>
      </c>
      <c r="L1307" s="102" t="b">
        <v>0</v>
      </c>
    </row>
    <row r="1308" spans="1:12" ht="15">
      <c r="A1308" s="104" t="s">
        <v>2351</v>
      </c>
      <c r="B1308" s="102" t="s">
        <v>2353</v>
      </c>
      <c r="C1308" s="102">
        <v>6</v>
      </c>
      <c r="D1308" s="106">
        <v>0.008649967988406958</v>
      </c>
      <c r="E1308" s="106">
        <v>0.9077183911740145</v>
      </c>
      <c r="F1308" s="102" t="s">
        <v>2323</v>
      </c>
      <c r="G1308" s="102" t="b">
        <v>0</v>
      </c>
      <c r="H1308" s="102" t="b">
        <v>0</v>
      </c>
      <c r="I1308" s="102" t="b">
        <v>0</v>
      </c>
      <c r="J1308" s="102" t="b">
        <v>0</v>
      </c>
      <c r="K1308" s="102" t="b">
        <v>0</v>
      </c>
      <c r="L1308" s="102" t="b">
        <v>0</v>
      </c>
    </row>
    <row r="1309" spans="1:12" ht="15">
      <c r="A1309" s="104" t="s">
        <v>2353</v>
      </c>
      <c r="B1309" s="102" t="s">
        <v>2348</v>
      </c>
      <c r="C1309" s="102">
        <v>6</v>
      </c>
      <c r="D1309" s="106">
        <v>0.008649967988406958</v>
      </c>
      <c r="E1309" s="106">
        <v>0.6388730788814346</v>
      </c>
      <c r="F1309" s="102" t="s">
        <v>2323</v>
      </c>
      <c r="G1309" s="102" t="b">
        <v>0</v>
      </c>
      <c r="H1309" s="102" t="b">
        <v>0</v>
      </c>
      <c r="I1309" s="102" t="b">
        <v>0</v>
      </c>
      <c r="J1309" s="102" t="b">
        <v>0</v>
      </c>
      <c r="K1309" s="102" t="b">
        <v>0</v>
      </c>
      <c r="L1309" s="102" t="b">
        <v>0</v>
      </c>
    </row>
    <row r="1310" spans="1:12" ht="15">
      <c r="A1310" s="104" t="s">
        <v>2377</v>
      </c>
      <c r="B1310" s="102" t="s">
        <v>2364</v>
      </c>
      <c r="C1310" s="102">
        <v>5</v>
      </c>
      <c r="D1310" s="106">
        <v>0.006215684001675015</v>
      </c>
      <c r="E1310" s="106">
        <v>1.6192775228180538</v>
      </c>
      <c r="F1310" s="102" t="s">
        <v>2323</v>
      </c>
      <c r="G1310" s="102" t="b">
        <v>0</v>
      </c>
      <c r="H1310" s="102" t="b">
        <v>0</v>
      </c>
      <c r="I1310" s="102" t="b">
        <v>0</v>
      </c>
      <c r="J1310" s="102" t="b">
        <v>0</v>
      </c>
      <c r="K1310" s="102" t="b">
        <v>0</v>
      </c>
      <c r="L1310" s="102" t="b">
        <v>0</v>
      </c>
    </row>
    <row r="1311" spans="1:12" ht="15">
      <c r="A1311" s="104" t="s">
        <v>2667</v>
      </c>
      <c r="B1311" s="102" t="s">
        <v>2668</v>
      </c>
      <c r="C1311" s="102">
        <v>5</v>
      </c>
      <c r="D1311" s="106">
        <v>0.00890520629434504</v>
      </c>
      <c r="E1311" s="106">
        <v>2.2299376859079336</v>
      </c>
      <c r="F1311" s="102" t="s">
        <v>2323</v>
      </c>
      <c r="G1311" s="102" t="b">
        <v>0</v>
      </c>
      <c r="H1311" s="102" t="b">
        <v>0</v>
      </c>
      <c r="I1311" s="102" t="b">
        <v>0</v>
      </c>
      <c r="J1311" s="102" t="b">
        <v>0</v>
      </c>
      <c r="K1311" s="102" t="b">
        <v>0</v>
      </c>
      <c r="L1311" s="102" t="b">
        <v>0</v>
      </c>
    </row>
    <row r="1312" spans="1:12" ht="15">
      <c r="A1312" s="104" t="s">
        <v>2353</v>
      </c>
      <c r="B1312" s="102" t="s">
        <v>2411</v>
      </c>
      <c r="C1312" s="102">
        <v>4</v>
      </c>
      <c r="D1312" s="106">
        <v>0.0057666453256046395</v>
      </c>
      <c r="E1312" s="106">
        <v>1.4517864355242902</v>
      </c>
      <c r="F1312" s="102" t="s">
        <v>2323</v>
      </c>
      <c r="G1312" s="102" t="b">
        <v>0</v>
      </c>
      <c r="H1312" s="102" t="b">
        <v>0</v>
      </c>
      <c r="I1312" s="102" t="b">
        <v>0</v>
      </c>
      <c r="J1312" s="102" t="b">
        <v>0</v>
      </c>
      <c r="K1312" s="102" t="b">
        <v>0</v>
      </c>
      <c r="L1312" s="102" t="b">
        <v>0</v>
      </c>
    </row>
    <row r="1313" spans="1:12" ht="15">
      <c r="A1313" s="104" t="s">
        <v>2411</v>
      </c>
      <c r="B1313" s="102" t="s">
        <v>2348</v>
      </c>
      <c r="C1313" s="102">
        <v>4</v>
      </c>
      <c r="D1313" s="106">
        <v>0.0057666453256046395</v>
      </c>
      <c r="E1313" s="106">
        <v>1.3378430832174535</v>
      </c>
      <c r="F1313" s="102" t="s">
        <v>2323</v>
      </c>
      <c r="G1313" s="102" t="b">
        <v>0</v>
      </c>
      <c r="H1313" s="102" t="b">
        <v>0</v>
      </c>
      <c r="I1313" s="102" t="b">
        <v>0</v>
      </c>
      <c r="J1313" s="102" t="b">
        <v>0</v>
      </c>
      <c r="K1313" s="102" t="b">
        <v>0</v>
      </c>
      <c r="L1313" s="102" t="b">
        <v>0</v>
      </c>
    </row>
    <row r="1314" spans="1:12" ht="15">
      <c r="A1314" s="104" t="s">
        <v>2355</v>
      </c>
      <c r="B1314" s="102" t="s">
        <v>2449</v>
      </c>
      <c r="C1314" s="102">
        <v>4</v>
      </c>
      <c r="D1314" s="106">
        <v>0.007124165035476032</v>
      </c>
      <c r="E1314" s="106">
        <v>1.343446960735452</v>
      </c>
      <c r="F1314" s="102" t="s">
        <v>2323</v>
      </c>
      <c r="G1314" s="102" t="b">
        <v>0</v>
      </c>
      <c r="H1314" s="102" t="b">
        <v>0</v>
      </c>
      <c r="I1314" s="102" t="b">
        <v>0</v>
      </c>
      <c r="J1314" s="102" t="b">
        <v>0</v>
      </c>
      <c r="K1314" s="102" t="b">
        <v>0</v>
      </c>
      <c r="L1314" s="102" t="b">
        <v>0</v>
      </c>
    </row>
    <row r="1315" spans="1:12" ht="15">
      <c r="A1315" s="104" t="s">
        <v>2449</v>
      </c>
      <c r="B1315" s="102" t="s">
        <v>2355</v>
      </c>
      <c r="C1315" s="102">
        <v>4</v>
      </c>
      <c r="D1315" s="106">
        <v>0.007124165035476032</v>
      </c>
      <c r="E1315" s="106">
        <v>1.3056583998460523</v>
      </c>
      <c r="F1315" s="102" t="s">
        <v>2323</v>
      </c>
      <c r="G1315" s="102" t="b">
        <v>0</v>
      </c>
      <c r="H1315" s="102" t="b">
        <v>0</v>
      </c>
      <c r="I1315" s="102" t="b">
        <v>0</v>
      </c>
      <c r="J1315" s="102" t="b">
        <v>0</v>
      </c>
      <c r="K1315" s="102" t="b">
        <v>0</v>
      </c>
      <c r="L1315" s="102" t="b">
        <v>0</v>
      </c>
    </row>
    <row r="1316" spans="1:12" ht="15">
      <c r="A1316" s="104" t="s">
        <v>2354</v>
      </c>
      <c r="B1316" s="102" t="s">
        <v>2353</v>
      </c>
      <c r="C1316" s="102">
        <v>4</v>
      </c>
      <c r="D1316" s="106">
        <v>0.007124165035476032</v>
      </c>
      <c r="E1316" s="106">
        <v>1.0996039174129275</v>
      </c>
      <c r="F1316" s="102" t="s">
        <v>2323</v>
      </c>
      <c r="G1316" s="102" t="b">
        <v>0</v>
      </c>
      <c r="H1316" s="102" t="b">
        <v>0</v>
      </c>
      <c r="I1316" s="102" t="b">
        <v>0</v>
      </c>
      <c r="J1316" s="102" t="b">
        <v>0</v>
      </c>
      <c r="K1316" s="102" t="b">
        <v>0</v>
      </c>
      <c r="L1316" s="102" t="b">
        <v>0</v>
      </c>
    </row>
    <row r="1317" spans="1:12" ht="15">
      <c r="A1317" s="104" t="s">
        <v>2659</v>
      </c>
      <c r="B1317" s="102" t="s">
        <v>2736</v>
      </c>
      <c r="C1317" s="102">
        <v>4</v>
      </c>
      <c r="D1317" s="106">
        <v>0.007124165035476032</v>
      </c>
      <c r="E1317" s="106">
        <v>2.229937685907934</v>
      </c>
      <c r="F1317" s="102" t="s">
        <v>2323</v>
      </c>
      <c r="G1317" s="102" t="b">
        <v>0</v>
      </c>
      <c r="H1317" s="102" t="b">
        <v>0</v>
      </c>
      <c r="I1317" s="102" t="b">
        <v>0</v>
      </c>
      <c r="J1317" s="102" t="b">
        <v>0</v>
      </c>
      <c r="K1317" s="102" t="b">
        <v>0</v>
      </c>
      <c r="L1317" s="102" t="b">
        <v>0</v>
      </c>
    </row>
    <row r="1318" spans="1:12" ht="15">
      <c r="A1318" s="104" t="s">
        <v>2736</v>
      </c>
      <c r="B1318" s="102" t="s">
        <v>2660</v>
      </c>
      <c r="C1318" s="102">
        <v>4</v>
      </c>
      <c r="D1318" s="106">
        <v>0.007124165035476032</v>
      </c>
      <c r="E1318" s="106">
        <v>2.229937685907934</v>
      </c>
      <c r="F1318" s="102" t="s">
        <v>2323</v>
      </c>
      <c r="G1318" s="102" t="b">
        <v>0</v>
      </c>
      <c r="H1318" s="102" t="b">
        <v>0</v>
      </c>
      <c r="I1318" s="102" t="b">
        <v>0</v>
      </c>
      <c r="J1318" s="102" t="b">
        <v>0</v>
      </c>
      <c r="K1318" s="102" t="b">
        <v>0</v>
      </c>
      <c r="L1318" s="102" t="b">
        <v>0</v>
      </c>
    </row>
    <row r="1319" spans="1:12" ht="15">
      <c r="A1319" s="104" t="s">
        <v>2731</v>
      </c>
      <c r="B1319" s="102" t="s">
        <v>2655</v>
      </c>
      <c r="C1319" s="102">
        <v>4</v>
      </c>
      <c r="D1319" s="106">
        <v>0.007124165035476032</v>
      </c>
      <c r="E1319" s="106">
        <v>2.229937685907934</v>
      </c>
      <c r="F1319" s="102" t="s">
        <v>2323</v>
      </c>
      <c r="G1319" s="102" t="b">
        <v>0</v>
      </c>
      <c r="H1319" s="102" t="b">
        <v>0</v>
      </c>
      <c r="I1319" s="102" t="b">
        <v>0</v>
      </c>
      <c r="J1319" s="102" t="b">
        <v>0</v>
      </c>
      <c r="K1319" s="102" t="b">
        <v>0</v>
      </c>
      <c r="L1319" s="102" t="b">
        <v>0</v>
      </c>
    </row>
    <row r="1320" spans="1:12" ht="15">
      <c r="A1320" s="104" t="s">
        <v>2431</v>
      </c>
      <c r="B1320" s="102" t="s">
        <v>2463</v>
      </c>
      <c r="C1320" s="102">
        <v>3</v>
      </c>
      <c r="D1320" s="106">
        <v>0.004324983994203479</v>
      </c>
      <c r="E1320" s="106">
        <v>2.150756439860309</v>
      </c>
      <c r="F1320" s="102" t="s">
        <v>2323</v>
      </c>
      <c r="G1320" s="102" t="b">
        <v>1</v>
      </c>
      <c r="H1320" s="102" t="b">
        <v>0</v>
      </c>
      <c r="I1320" s="102" t="b">
        <v>0</v>
      </c>
      <c r="J1320" s="102" t="b">
        <v>0</v>
      </c>
      <c r="K1320" s="102" t="b">
        <v>0</v>
      </c>
      <c r="L1320" s="102" t="b">
        <v>0</v>
      </c>
    </row>
    <row r="1321" spans="1:12" ht="15">
      <c r="A1321" s="104" t="s">
        <v>2350</v>
      </c>
      <c r="B1321" s="102" t="s">
        <v>2429</v>
      </c>
      <c r="C1321" s="102">
        <v>3</v>
      </c>
      <c r="D1321" s="106">
        <v>0.003729410401005009</v>
      </c>
      <c r="E1321" s="106">
        <v>1.2854550137577652</v>
      </c>
      <c r="F1321" s="102" t="s">
        <v>2323</v>
      </c>
      <c r="G1321" s="102" t="b">
        <v>0</v>
      </c>
      <c r="H1321" s="102" t="b">
        <v>0</v>
      </c>
      <c r="I1321" s="102" t="b">
        <v>0</v>
      </c>
      <c r="J1321" s="102" t="b">
        <v>0</v>
      </c>
      <c r="K1321" s="102" t="b">
        <v>0</v>
      </c>
      <c r="L1321" s="102" t="b">
        <v>0</v>
      </c>
    </row>
    <row r="1322" spans="1:12" ht="15">
      <c r="A1322" s="104" t="s">
        <v>2351</v>
      </c>
      <c r="B1322" s="102" t="s">
        <v>2348</v>
      </c>
      <c r="C1322" s="102">
        <v>3</v>
      </c>
      <c r="D1322" s="106">
        <v>0.004324983994203479</v>
      </c>
      <c r="E1322" s="106">
        <v>0.4927450432031966</v>
      </c>
      <c r="F1322" s="102" t="s">
        <v>2323</v>
      </c>
      <c r="G1322" s="102" t="b">
        <v>0</v>
      </c>
      <c r="H1322" s="102" t="b">
        <v>0</v>
      </c>
      <c r="I1322" s="102" t="b">
        <v>0</v>
      </c>
      <c r="J1322" s="102" t="b">
        <v>0</v>
      </c>
      <c r="K1322" s="102" t="b">
        <v>0</v>
      </c>
      <c r="L1322" s="102" t="b">
        <v>0</v>
      </c>
    </row>
    <row r="1323" spans="1:12" ht="15">
      <c r="A1323" s="104" t="s">
        <v>2666</v>
      </c>
      <c r="B1323" s="102" t="s">
        <v>2377</v>
      </c>
      <c r="C1323" s="102">
        <v>3</v>
      </c>
      <c r="D1323" s="106">
        <v>0.003729410401005009</v>
      </c>
      <c r="E1323" s="106">
        <v>1.6984587688656787</v>
      </c>
      <c r="F1323" s="102" t="s">
        <v>2323</v>
      </c>
      <c r="G1323" s="102" t="b">
        <v>0</v>
      </c>
      <c r="H1323" s="102" t="b">
        <v>0</v>
      </c>
      <c r="I1323" s="102" t="b">
        <v>0</v>
      </c>
      <c r="J1323" s="102" t="b">
        <v>0</v>
      </c>
      <c r="K1323" s="102" t="b">
        <v>0</v>
      </c>
      <c r="L1323" s="102" t="b">
        <v>0</v>
      </c>
    </row>
    <row r="1324" spans="1:12" ht="15">
      <c r="A1324" s="104" t="s">
        <v>2348</v>
      </c>
      <c r="B1324" s="102" t="s">
        <v>2420</v>
      </c>
      <c r="C1324" s="102">
        <v>3</v>
      </c>
      <c r="D1324" s="106">
        <v>0.003729410401005009</v>
      </c>
      <c r="E1324" s="106">
        <v>1.1807196632377523</v>
      </c>
      <c r="F1324" s="102" t="s">
        <v>2323</v>
      </c>
      <c r="G1324" s="102" t="b">
        <v>0</v>
      </c>
      <c r="H1324" s="102" t="b">
        <v>0</v>
      </c>
      <c r="I1324" s="102" t="b">
        <v>0</v>
      </c>
      <c r="J1324" s="102" t="b">
        <v>0</v>
      </c>
      <c r="K1324" s="102" t="b">
        <v>0</v>
      </c>
      <c r="L1324" s="102" t="b">
        <v>0</v>
      </c>
    </row>
    <row r="1325" spans="1:12" ht="15">
      <c r="A1325" s="104" t="s">
        <v>2420</v>
      </c>
      <c r="B1325" s="102" t="s">
        <v>2351</v>
      </c>
      <c r="C1325" s="102">
        <v>3</v>
      </c>
      <c r="D1325" s="106">
        <v>0.003729410401005009</v>
      </c>
      <c r="E1325" s="106">
        <v>1.4817496589017334</v>
      </c>
      <c r="F1325" s="102" t="s">
        <v>2323</v>
      </c>
      <c r="G1325" s="102" t="b">
        <v>0</v>
      </c>
      <c r="H1325" s="102" t="b">
        <v>0</v>
      </c>
      <c r="I1325" s="102" t="b">
        <v>0</v>
      </c>
      <c r="J1325" s="102" t="b">
        <v>0</v>
      </c>
      <c r="K1325" s="102" t="b">
        <v>0</v>
      </c>
      <c r="L1325" s="102" t="b">
        <v>0</v>
      </c>
    </row>
    <row r="1326" spans="1:12" ht="15">
      <c r="A1326" s="104" t="s">
        <v>2353</v>
      </c>
      <c r="B1326" s="102" t="s">
        <v>2491</v>
      </c>
      <c r="C1326" s="102">
        <v>3</v>
      </c>
      <c r="D1326" s="106">
        <v>0.003729410401005009</v>
      </c>
      <c r="E1326" s="106">
        <v>1.2299376859079338</v>
      </c>
      <c r="F1326" s="102" t="s">
        <v>2323</v>
      </c>
      <c r="G1326" s="102" t="b">
        <v>0</v>
      </c>
      <c r="H1326" s="102" t="b">
        <v>0</v>
      </c>
      <c r="I1326" s="102" t="b">
        <v>0</v>
      </c>
      <c r="J1326" s="102" t="b">
        <v>0</v>
      </c>
      <c r="K1326" s="102" t="b">
        <v>0</v>
      </c>
      <c r="L1326" s="102" t="b">
        <v>0</v>
      </c>
    </row>
    <row r="1327" spans="1:12" ht="15">
      <c r="A1327" s="104" t="s">
        <v>2537</v>
      </c>
      <c r="B1327" s="102" t="s">
        <v>2604</v>
      </c>
      <c r="C1327" s="102">
        <v>3</v>
      </c>
      <c r="D1327" s="106">
        <v>0.0053431237766070235</v>
      </c>
      <c r="E1327" s="106">
        <v>1.9008789666437091</v>
      </c>
      <c r="F1327" s="102" t="s">
        <v>2323</v>
      </c>
      <c r="G1327" s="102" t="b">
        <v>0</v>
      </c>
      <c r="H1327" s="102" t="b">
        <v>0</v>
      </c>
      <c r="I1327" s="102" t="b">
        <v>0</v>
      </c>
      <c r="J1327" s="102" t="b">
        <v>0</v>
      </c>
      <c r="K1327" s="102" t="b">
        <v>0</v>
      </c>
      <c r="L1327" s="102" t="b">
        <v>0</v>
      </c>
    </row>
    <row r="1328" spans="1:12" ht="15">
      <c r="A1328" s="104" t="s">
        <v>2359</v>
      </c>
      <c r="B1328" s="102" t="s">
        <v>2352</v>
      </c>
      <c r="C1328" s="102">
        <v>3</v>
      </c>
      <c r="D1328" s="106">
        <v>0.0053431237766070235</v>
      </c>
      <c r="E1328" s="106">
        <v>1.8039689536356527</v>
      </c>
      <c r="F1328" s="102" t="s">
        <v>2323</v>
      </c>
      <c r="G1328" s="102" t="b">
        <v>0</v>
      </c>
      <c r="H1328" s="102" t="b">
        <v>0</v>
      </c>
      <c r="I1328" s="102" t="b">
        <v>0</v>
      </c>
      <c r="J1328" s="102" t="b">
        <v>0</v>
      </c>
      <c r="K1328" s="102" t="b">
        <v>0</v>
      </c>
      <c r="L1328" s="102" t="b">
        <v>0</v>
      </c>
    </row>
    <row r="1329" spans="1:12" ht="15">
      <c r="A1329" s="104" t="s">
        <v>2361</v>
      </c>
      <c r="B1329" s="102" t="s">
        <v>2602</v>
      </c>
      <c r="C1329" s="102">
        <v>3</v>
      </c>
      <c r="D1329" s="106">
        <v>0.004324983994203479</v>
      </c>
      <c r="E1329" s="106">
        <v>1.849726444196328</v>
      </c>
      <c r="F1329" s="102" t="s">
        <v>2323</v>
      </c>
      <c r="G1329" s="102" t="b">
        <v>0</v>
      </c>
      <c r="H1329" s="102" t="b">
        <v>0</v>
      </c>
      <c r="I1329" s="102" t="b">
        <v>0</v>
      </c>
      <c r="J1329" s="102" t="b">
        <v>0</v>
      </c>
      <c r="K1329" s="102" t="b">
        <v>0</v>
      </c>
      <c r="L1329" s="102" t="b">
        <v>0</v>
      </c>
    </row>
    <row r="1330" spans="1:12" ht="15">
      <c r="A1330" s="104" t="s">
        <v>2475</v>
      </c>
      <c r="B1330" s="102" t="s">
        <v>2475</v>
      </c>
      <c r="C1330" s="102">
        <v>3</v>
      </c>
      <c r="D1330" s="106">
        <v>0.0053431237766070235</v>
      </c>
      <c r="E1330" s="106">
        <v>1.36463625980539</v>
      </c>
      <c r="F1330" s="102" t="s">
        <v>2323</v>
      </c>
      <c r="G1330" s="102" t="b">
        <v>0</v>
      </c>
      <c r="H1330" s="102" t="b">
        <v>0</v>
      </c>
      <c r="I1330" s="102" t="b">
        <v>0</v>
      </c>
      <c r="J1330" s="102" t="b">
        <v>0</v>
      </c>
      <c r="K1330" s="102" t="b">
        <v>0</v>
      </c>
      <c r="L1330" s="102" t="b">
        <v>0</v>
      </c>
    </row>
    <row r="1331" spans="1:12" ht="15">
      <c r="A1331" s="104" t="s">
        <v>2353</v>
      </c>
      <c r="B1331" s="102" t="s">
        <v>2361</v>
      </c>
      <c r="C1331" s="102">
        <v>3</v>
      </c>
      <c r="D1331" s="106">
        <v>0.003729410401005009</v>
      </c>
      <c r="E1331" s="106">
        <v>0.8875150050857276</v>
      </c>
      <c r="F1331" s="102" t="s">
        <v>2323</v>
      </c>
      <c r="G1331" s="102" t="b">
        <v>0</v>
      </c>
      <c r="H1331" s="102" t="b">
        <v>0</v>
      </c>
      <c r="I1331" s="102" t="b">
        <v>0</v>
      </c>
      <c r="J1331" s="102" t="b">
        <v>0</v>
      </c>
      <c r="K1331" s="102" t="b">
        <v>0</v>
      </c>
      <c r="L1331" s="102" t="b">
        <v>0</v>
      </c>
    </row>
    <row r="1332" spans="1:12" ht="15">
      <c r="A1332" s="104" t="s">
        <v>2361</v>
      </c>
      <c r="B1332" s="102" t="s">
        <v>2427</v>
      </c>
      <c r="C1332" s="102">
        <v>3</v>
      </c>
      <c r="D1332" s="106">
        <v>0.003729410401005009</v>
      </c>
      <c r="E1332" s="106">
        <v>1.724787707588028</v>
      </c>
      <c r="F1332" s="102" t="s">
        <v>2323</v>
      </c>
      <c r="G1332" s="102" t="b">
        <v>0</v>
      </c>
      <c r="H1332" s="102" t="b">
        <v>0</v>
      </c>
      <c r="I1332" s="102" t="b">
        <v>0</v>
      </c>
      <c r="J1332" s="102" t="b">
        <v>0</v>
      </c>
      <c r="K1332" s="102" t="b">
        <v>0</v>
      </c>
      <c r="L1332" s="102" t="b">
        <v>0</v>
      </c>
    </row>
    <row r="1333" spans="1:12" ht="15">
      <c r="A1333" s="104" t="s">
        <v>2353</v>
      </c>
      <c r="B1333" s="102" t="s">
        <v>2354</v>
      </c>
      <c r="C1333" s="102">
        <v>3</v>
      </c>
      <c r="D1333" s="106">
        <v>0.0053431237766070235</v>
      </c>
      <c r="E1333" s="106">
        <v>0.8875150050857276</v>
      </c>
      <c r="F1333" s="102" t="s">
        <v>2323</v>
      </c>
      <c r="G1333" s="102" t="b">
        <v>0</v>
      </c>
      <c r="H1333" s="102" t="b">
        <v>0</v>
      </c>
      <c r="I1333" s="102" t="b">
        <v>0</v>
      </c>
      <c r="J1333" s="102" t="b">
        <v>0</v>
      </c>
      <c r="K1333" s="102" t="b">
        <v>0</v>
      </c>
      <c r="L1333" s="102" t="b">
        <v>0</v>
      </c>
    </row>
    <row r="1334" spans="1:12" ht="15">
      <c r="A1334" s="104" t="s">
        <v>2837</v>
      </c>
      <c r="B1334" s="102" t="s">
        <v>2649</v>
      </c>
      <c r="C1334" s="102">
        <v>3</v>
      </c>
      <c r="D1334" s="106">
        <v>0.0053431237766070235</v>
      </c>
      <c r="E1334" s="106">
        <v>2.3268476989159903</v>
      </c>
      <c r="F1334" s="102" t="s">
        <v>2323</v>
      </c>
      <c r="G1334" s="102" t="b">
        <v>0</v>
      </c>
      <c r="H1334" s="102" t="b">
        <v>0</v>
      </c>
      <c r="I1334" s="102" t="b">
        <v>0</v>
      </c>
      <c r="J1334" s="102" t="b">
        <v>0</v>
      </c>
      <c r="K1334" s="102" t="b">
        <v>0</v>
      </c>
      <c r="L1334" s="102" t="b">
        <v>0</v>
      </c>
    </row>
    <row r="1335" spans="1:12" ht="15">
      <c r="A1335" s="104" t="s">
        <v>2649</v>
      </c>
      <c r="B1335" s="102" t="s">
        <v>2350</v>
      </c>
      <c r="C1335" s="102">
        <v>3</v>
      </c>
      <c r="D1335" s="106">
        <v>0.0053431237766070235</v>
      </c>
      <c r="E1335" s="106">
        <v>1.4422411176180598</v>
      </c>
      <c r="F1335" s="102" t="s">
        <v>2323</v>
      </c>
      <c r="G1335" s="102" t="b">
        <v>0</v>
      </c>
      <c r="H1335" s="102" t="b">
        <v>0</v>
      </c>
      <c r="I1335" s="102" t="b">
        <v>0</v>
      </c>
      <c r="J1335" s="102" t="b">
        <v>0</v>
      </c>
      <c r="K1335" s="102" t="b">
        <v>0</v>
      </c>
      <c r="L1335" s="102" t="b">
        <v>0</v>
      </c>
    </row>
    <row r="1336" spans="1:12" ht="15">
      <c r="A1336" s="104" t="s">
        <v>2838</v>
      </c>
      <c r="B1336" s="102" t="s">
        <v>2391</v>
      </c>
      <c r="C1336" s="102">
        <v>3</v>
      </c>
      <c r="D1336" s="106">
        <v>0.0053431237766070235</v>
      </c>
      <c r="E1336" s="106">
        <v>2.229937685907934</v>
      </c>
      <c r="F1336" s="102" t="s">
        <v>2323</v>
      </c>
      <c r="G1336" s="102" t="b">
        <v>0</v>
      </c>
      <c r="H1336" s="102" t="b">
        <v>0</v>
      </c>
      <c r="I1336" s="102" t="b">
        <v>0</v>
      </c>
      <c r="J1336" s="102" t="b">
        <v>0</v>
      </c>
      <c r="K1336" s="102" t="b">
        <v>0</v>
      </c>
      <c r="L1336" s="102" t="b">
        <v>0</v>
      </c>
    </row>
    <row r="1337" spans="1:12" ht="15">
      <c r="A1337" s="104" t="s">
        <v>2391</v>
      </c>
      <c r="B1337" s="102" t="s">
        <v>2661</v>
      </c>
      <c r="C1337" s="102">
        <v>3</v>
      </c>
      <c r="D1337" s="106">
        <v>0.0053431237766070235</v>
      </c>
      <c r="E1337" s="106">
        <v>2.104998949299634</v>
      </c>
      <c r="F1337" s="102" t="s">
        <v>2323</v>
      </c>
      <c r="G1337" s="102" t="b">
        <v>0</v>
      </c>
      <c r="H1337" s="102" t="b">
        <v>0</v>
      </c>
      <c r="I1337" s="102" t="b">
        <v>0</v>
      </c>
      <c r="J1337" s="102" t="b">
        <v>0</v>
      </c>
      <c r="K1337" s="102" t="b">
        <v>0</v>
      </c>
      <c r="L1337" s="102" t="b">
        <v>0</v>
      </c>
    </row>
    <row r="1338" spans="1:12" ht="15">
      <c r="A1338" s="104" t="s">
        <v>2661</v>
      </c>
      <c r="B1338" s="102" t="s">
        <v>2839</v>
      </c>
      <c r="C1338" s="102">
        <v>3</v>
      </c>
      <c r="D1338" s="106">
        <v>0.0053431237766070235</v>
      </c>
      <c r="E1338" s="106">
        <v>2.229937685907934</v>
      </c>
      <c r="F1338" s="102" t="s">
        <v>2323</v>
      </c>
      <c r="G1338" s="102" t="b">
        <v>0</v>
      </c>
      <c r="H1338" s="102" t="b">
        <v>0</v>
      </c>
      <c r="I1338" s="102" t="b">
        <v>0</v>
      </c>
      <c r="J1338" s="102" t="b">
        <v>0</v>
      </c>
      <c r="K1338" s="102" t="b">
        <v>0</v>
      </c>
      <c r="L1338" s="102" t="b">
        <v>0</v>
      </c>
    </row>
    <row r="1339" spans="1:12" ht="15">
      <c r="A1339" s="104" t="s">
        <v>2735</v>
      </c>
      <c r="B1339" s="102" t="s">
        <v>2489</v>
      </c>
      <c r="C1339" s="102">
        <v>3</v>
      </c>
      <c r="D1339" s="106">
        <v>0.0053431237766070235</v>
      </c>
      <c r="E1339" s="106">
        <v>2.150756439860309</v>
      </c>
      <c r="F1339" s="102" t="s">
        <v>2323</v>
      </c>
      <c r="G1339" s="102" t="b">
        <v>1</v>
      </c>
      <c r="H1339" s="102" t="b">
        <v>0</v>
      </c>
      <c r="I1339" s="102" t="b">
        <v>0</v>
      </c>
      <c r="J1339" s="102" t="b">
        <v>0</v>
      </c>
      <c r="K1339" s="102" t="b">
        <v>0</v>
      </c>
      <c r="L1339" s="102" t="b">
        <v>0</v>
      </c>
    </row>
    <row r="1340" spans="1:12" ht="15">
      <c r="A1340" s="104" t="s">
        <v>2463</v>
      </c>
      <c r="B1340" s="102" t="s">
        <v>2367</v>
      </c>
      <c r="C1340" s="102">
        <v>2</v>
      </c>
      <c r="D1340" s="106">
        <v>0.003562082517738016</v>
      </c>
      <c r="E1340" s="106">
        <v>2.0538464268522527</v>
      </c>
      <c r="F1340" s="102" t="s">
        <v>2323</v>
      </c>
      <c r="G1340" s="102" t="b">
        <v>0</v>
      </c>
      <c r="H1340" s="102" t="b">
        <v>0</v>
      </c>
      <c r="I1340" s="102" t="b">
        <v>0</v>
      </c>
      <c r="J1340" s="102" t="b">
        <v>0</v>
      </c>
      <c r="K1340" s="102" t="b">
        <v>0</v>
      </c>
      <c r="L1340" s="102" t="b">
        <v>0</v>
      </c>
    </row>
    <row r="1341" spans="1:12" ht="15">
      <c r="A1341" s="104" t="s">
        <v>2768</v>
      </c>
      <c r="B1341" s="102" t="s">
        <v>2551</v>
      </c>
      <c r="C1341" s="102">
        <v>2</v>
      </c>
      <c r="D1341" s="106">
        <v>0.003562082517738016</v>
      </c>
      <c r="E1341" s="106">
        <v>2.6278776945799716</v>
      </c>
      <c r="F1341" s="102" t="s">
        <v>2323</v>
      </c>
      <c r="G1341" s="102" t="b">
        <v>0</v>
      </c>
      <c r="H1341" s="102" t="b">
        <v>1</v>
      </c>
      <c r="I1341" s="102" t="b">
        <v>0</v>
      </c>
      <c r="J1341" s="102" t="b">
        <v>0</v>
      </c>
      <c r="K1341" s="102" t="b">
        <v>0</v>
      </c>
      <c r="L1341" s="102" t="b">
        <v>0</v>
      </c>
    </row>
    <row r="1342" spans="1:12" ht="15">
      <c r="A1342" s="104" t="s">
        <v>2350</v>
      </c>
      <c r="B1342" s="102" t="s">
        <v>2350</v>
      </c>
      <c r="C1342" s="102">
        <v>2</v>
      </c>
      <c r="D1342" s="106">
        <v>0.003562082517738016</v>
      </c>
      <c r="E1342" s="106">
        <v>0.5257871690681346</v>
      </c>
      <c r="F1342" s="102" t="s">
        <v>2323</v>
      </c>
      <c r="G1342" s="102" t="b">
        <v>0</v>
      </c>
      <c r="H1342" s="102" t="b">
        <v>0</v>
      </c>
      <c r="I1342" s="102" t="b">
        <v>0</v>
      </c>
      <c r="J1342" s="102" t="b">
        <v>0</v>
      </c>
      <c r="K1342" s="102" t="b">
        <v>0</v>
      </c>
      <c r="L1342" s="102" t="b">
        <v>0</v>
      </c>
    </row>
    <row r="1343" spans="1:12" ht="15">
      <c r="A1343" s="104" t="s">
        <v>2429</v>
      </c>
      <c r="B1343" s="102" t="s">
        <v>2686</v>
      </c>
      <c r="C1343" s="102">
        <v>2</v>
      </c>
      <c r="D1343" s="106">
        <v>0.0028833226628023198</v>
      </c>
      <c r="E1343" s="106">
        <v>2.229937685907934</v>
      </c>
      <c r="F1343" s="102" t="s">
        <v>2323</v>
      </c>
      <c r="G1343" s="102" t="b">
        <v>0</v>
      </c>
      <c r="H1343" s="102" t="b">
        <v>0</v>
      </c>
      <c r="I1343" s="102" t="b">
        <v>0</v>
      </c>
      <c r="J1343" s="102" t="b">
        <v>0</v>
      </c>
      <c r="K1343" s="102" t="b">
        <v>0</v>
      </c>
      <c r="L1343" s="102" t="b">
        <v>0</v>
      </c>
    </row>
    <row r="1344" spans="1:12" ht="15">
      <c r="A1344" s="104" t="s">
        <v>2686</v>
      </c>
      <c r="B1344" s="102" t="s">
        <v>2429</v>
      </c>
      <c r="C1344" s="102">
        <v>2</v>
      </c>
      <c r="D1344" s="106">
        <v>0.0028833226628023198</v>
      </c>
      <c r="E1344" s="106">
        <v>2.150756439860309</v>
      </c>
      <c r="F1344" s="102" t="s">
        <v>2323</v>
      </c>
      <c r="G1344" s="102" t="b">
        <v>0</v>
      </c>
      <c r="H1344" s="102" t="b">
        <v>0</v>
      </c>
      <c r="I1344" s="102" t="b">
        <v>0</v>
      </c>
      <c r="J1344" s="102" t="b">
        <v>0</v>
      </c>
      <c r="K1344" s="102" t="b">
        <v>0</v>
      </c>
      <c r="L1344" s="102" t="b">
        <v>0</v>
      </c>
    </row>
    <row r="1345" spans="1:12" ht="15">
      <c r="A1345" s="104" t="s">
        <v>2350</v>
      </c>
      <c r="B1345" s="102" t="s">
        <v>2467</v>
      </c>
      <c r="C1345" s="102">
        <v>2</v>
      </c>
      <c r="D1345" s="106">
        <v>0.0028833226628023198</v>
      </c>
      <c r="E1345" s="106">
        <v>1.5864850094217464</v>
      </c>
      <c r="F1345" s="102" t="s">
        <v>2323</v>
      </c>
      <c r="G1345" s="102" t="b">
        <v>0</v>
      </c>
      <c r="H1345" s="102" t="b">
        <v>0</v>
      </c>
      <c r="I1345" s="102" t="b">
        <v>0</v>
      </c>
      <c r="J1345" s="102" t="b">
        <v>0</v>
      </c>
      <c r="K1345" s="102" t="b">
        <v>0</v>
      </c>
      <c r="L1345" s="102" t="b">
        <v>0</v>
      </c>
    </row>
    <row r="1346" spans="1:12" ht="15">
      <c r="A1346" s="104" t="s">
        <v>2724</v>
      </c>
      <c r="B1346" s="102" t="s">
        <v>3040</v>
      </c>
      <c r="C1346" s="102">
        <v>2</v>
      </c>
      <c r="D1346" s="106">
        <v>0.0028833226628023198</v>
      </c>
      <c r="E1346" s="106">
        <v>2.45178643552429</v>
      </c>
      <c r="F1346" s="102" t="s">
        <v>2323</v>
      </c>
      <c r="G1346" s="102" t="b">
        <v>0</v>
      </c>
      <c r="H1346" s="102" t="b">
        <v>0</v>
      </c>
      <c r="I1346" s="102" t="b">
        <v>0</v>
      </c>
      <c r="J1346" s="102" t="b">
        <v>0</v>
      </c>
      <c r="K1346" s="102" t="b">
        <v>0</v>
      </c>
      <c r="L1346" s="102" t="b">
        <v>0</v>
      </c>
    </row>
    <row r="1347" spans="1:12" ht="15">
      <c r="A1347" s="104" t="s">
        <v>2541</v>
      </c>
      <c r="B1347" s="102" t="s">
        <v>2579</v>
      </c>
      <c r="C1347" s="102">
        <v>2</v>
      </c>
      <c r="D1347" s="106">
        <v>0.003562082517738016</v>
      </c>
      <c r="E1347" s="106">
        <v>2.6278776945799716</v>
      </c>
      <c r="F1347" s="102" t="s">
        <v>2323</v>
      </c>
      <c r="G1347" s="102" t="b">
        <v>0</v>
      </c>
      <c r="H1347" s="102" t="b">
        <v>0</v>
      </c>
      <c r="I1347" s="102" t="b">
        <v>0</v>
      </c>
      <c r="J1347" s="102" t="b">
        <v>1</v>
      </c>
      <c r="K1347" s="102" t="b">
        <v>0</v>
      </c>
      <c r="L1347" s="102" t="b">
        <v>0</v>
      </c>
    </row>
    <row r="1348" spans="1:12" ht="15">
      <c r="A1348" s="104" t="s">
        <v>2579</v>
      </c>
      <c r="B1348" s="102" t="s">
        <v>2580</v>
      </c>
      <c r="C1348" s="102">
        <v>2</v>
      </c>
      <c r="D1348" s="106">
        <v>0.003562082517738016</v>
      </c>
      <c r="E1348" s="106">
        <v>2.6278776945799716</v>
      </c>
      <c r="F1348" s="102" t="s">
        <v>2323</v>
      </c>
      <c r="G1348" s="102" t="b">
        <v>1</v>
      </c>
      <c r="H1348" s="102" t="b">
        <v>0</v>
      </c>
      <c r="I1348" s="102" t="b">
        <v>0</v>
      </c>
      <c r="J1348" s="102" t="b">
        <v>0</v>
      </c>
      <c r="K1348" s="102" t="b">
        <v>0</v>
      </c>
      <c r="L1348" s="102" t="b">
        <v>0</v>
      </c>
    </row>
    <row r="1349" spans="1:12" ht="15">
      <c r="A1349" s="104" t="s">
        <v>2377</v>
      </c>
      <c r="B1349" s="102" t="s">
        <v>2348</v>
      </c>
      <c r="C1349" s="102">
        <v>2</v>
      </c>
      <c r="D1349" s="106">
        <v>0.0028833226628023198</v>
      </c>
      <c r="E1349" s="106">
        <v>0.4084241575031607</v>
      </c>
      <c r="F1349" s="102" t="s">
        <v>2323</v>
      </c>
      <c r="G1349" s="102" t="b">
        <v>0</v>
      </c>
      <c r="H1349" s="102" t="b">
        <v>0</v>
      </c>
      <c r="I1349" s="102" t="b">
        <v>0</v>
      </c>
      <c r="J1349" s="102" t="b">
        <v>0</v>
      </c>
      <c r="K1349" s="102" t="b">
        <v>0</v>
      </c>
      <c r="L1349" s="102" t="b">
        <v>0</v>
      </c>
    </row>
    <row r="1350" spans="1:12" ht="15">
      <c r="A1350" s="104" t="s">
        <v>2351</v>
      </c>
      <c r="B1350" s="102" t="s">
        <v>2384</v>
      </c>
      <c r="C1350" s="102">
        <v>2</v>
      </c>
      <c r="D1350" s="106">
        <v>0.0028833226628023198</v>
      </c>
      <c r="E1350" s="106">
        <v>0.7316271321183333</v>
      </c>
      <c r="F1350" s="102" t="s">
        <v>2323</v>
      </c>
      <c r="G1350" s="102" t="b">
        <v>0</v>
      </c>
      <c r="H1350" s="102" t="b">
        <v>0</v>
      </c>
      <c r="I1350" s="102" t="b">
        <v>0</v>
      </c>
      <c r="J1350" s="102" t="b">
        <v>0</v>
      </c>
      <c r="K1350" s="102" t="b">
        <v>0</v>
      </c>
      <c r="L1350" s="102" t="b">
        <v>0</v>
      </c>
    </row>
    <row r="1351" spans="1:12" ht="15">
      <c r="A1351" s="104" t="s">
        <v>2384</v>
      </c>
      <c r="B1351" s="102" t="s">
        <v>2666</v>
      </c>
      <c r="C1351" s="102">
        <v>2</v>
      </c>
      <c r="D1351" s="106">
        <v>0.0028833226628023198</v>
      </c>
      <c r="E1351" s="106">
        <v>1.5486964485323467</v>
      </c>
      <c r="F1351" s="102" t="s">
        <v>2323</v>
      </c>
      <c r="G1351" s="102" t="b">
        <v>0</v>
      </c>
      <c r="H1351" s="102" t="b">
        <v>0</v>
      </c>
      <c r="I1351" s="102" t="b">
        <v>0</v>
      </c>
      <c r="J1351" s="102" t="b">
        <v>0</v>
      </c>
      <c r="K1351" s="102" t="b">
        <v>0</v>
      </c>
      <c r="L1351" s="102" t="b">
        <v>0</v>
      </c>
    </row>
    <row r="1352" spans="1:12" ht="15">
      <c r="A1352" s="104" t="s">
        <v>2377</v>
      </c>
      <c r="B1352" s="102" t="s">
        <v>2353</v>
      </c>
      <c r="C1352" s="102">
        <v>2</v>
      </c>
      <c r="D1352" s="106">
        <v>0.0028833226628023198</v>
      </c>
      <c r="E1352" s="106">
        <v>0.5223675098099975</v>
      </c>
      <c r="F1352" s="102" t="s">
        <v>2323</v>
      </c>
      <c r="G1352" s="102" t="b">
        <v>0</v>
      </c>
      <c r="H1352" s="102" t="b">
        <v>0</v>
      </c>
      <c r="I1352" s="102" t="b">
        <v>0</v>
      </c>
      <c r="J1352" s="102" t="b">
        <v>0</v>
      </c>
      <c r="K1352" s="102" t="b">
        <v>0</v>
      </c>
      <c r="L1352" s="102" t="b">
        <v>0</v>
      </c>
    </row>
    <row r="1353" spans="1:12" ht="15">
      <c r="A1353" s="104" t="s">
        <v>2491</v>
      </c>
      <c r="B1353" s="102" t="s">
        <v>2348</v>
      </c>
      <c r="C1353" s="102">
        <v>2</v>
      </c>
      <c r="D1353" s="106">
        <v>0.0028833226628023198</v>
      </c>
      <c r="E1353" s="106">
        <v>1.1617518241617721</v>
      </c>
      <c r="F1353" s="102" t="s">
        <v>2323</v>
      </c>
      <c r="G1353" s="102" t="b">
        <v>0</v>
      </c>
      <c r="H1353" s="102" t="b">
        <v>0</v>
      </c>
      <c r="I1353" s="102" t="b">
        <v>0</v>
      </c>
      <c r="J1353" s="102" t="b">
        <v>0</v>
      </c>
      <c r="K1353" s="102" t="b">
        <v>0</v>
      </c>
      <c r="L1353" s="102" t="b">
        <v>0</v>
      </c>
    </row>
    <row r="1354" spans="1:12" ht="15">
      <c r="A1354" s="104" t="s">
        <v>2349</v>
      </c>
      <c r="B1354" s="102" t="s">
        <v>2491</v>
      </c>
      <c r="C1354" s="102">
        <v>2</v>
      </c>
      <c r="D1354" s="106">
        <v>0.0028833226628023198</v>
      </c>
      <c r="E1354" s="106">
        <v>1.2299376859079338</v>
      </c>
      <c r="F1354" s="102" t="s">
        <v>2323</v>
      </c>
      <c r="G1354" s="102" t="b">
        <v>0</v>
      </c>
      <c r="H1354" s="102" t="b">
        <v>0</v>
      </c>
      <c r="I1354" s="102" t="b">
        <v>0</v>
      </c>
      <c r="J1354" s="102" t="b">
        <v>0</v>
      </c>
      <c r="K1354" s="102" t="b">
        <v>0</v>
      </c>
      <c r="L1354" s="102" t="b">
        <v>0</v>
      </c>
    </row>
    <row r="1355" spans="1:12" ht="15">
      <c r="A1355" s="104" t="s">
        <v>2349</v>
      </c>
      <c r="B1355" s="102" t="s">
        <v>2349</v>
      </c>
      <c r="C1355" s="102">
        <v>2</v>
      </c>
      <c r="D1355" s="106">
        <v>0.0028833226628023198</v>
      </c>
      <c r="E1355" s="106">
        <v>0.6066883955100334</v>
      </c>
      <c r="F1355" s="102" t="s">
        <v>2323</v>
      </c>
      <c r="G1355" s="102" t="b">
        <v>0</v>
      </c>
      <c r="H1355" s="102" t="b">
        <v>0</v>
      </c>
      <c r="I1355" s="102" t="b">
        <v>0</v>
      </c>
      <c r="J1355" s="102" t="b">
        <v>0</v>
      </c>
      <c r="K1355" s="102" t="b">
        <v>0</v>
      </c>
      <c r="L1355" s="102" t="b">
        <v>0</v>
      </c>
    </row>
    <row r="1356" spans="1:12" ht="15">
      <c r="A1356" s="104" t="s">
        <v>2349</v>
      </c>
      <c r="B1356" s="102" t="s">
        <v>2356</v>
      </c>
      <c r="C1356" s="102">
        <v>2</v>
      </c>
      <c r="D1356" s="106">
        <v>0.0028833226628023198</v>
      </c>
      <c r="E1356" s="106">
        <v>1.4517864355242902</v>
      </c>
      <c r="F1356" s="102" t="s">
        <v>2323</v>
      </c>
      <c r="G1356" s="102" t="b">
        <v>0</v>
      </c>
      <c r="H1356" s="102" t="b">
        <v>0</v>
      </c>
      <c r="I1356" s="102" t="b">
        <v>0</v>
      </c>
      <c r="J1356" s="102" t="b">
        <v>0</v>
      </c>
      <c r="K1356" s="102" t="b">
        <v>0</v>
      </c>
      <c r="L1356" s="102" t="b">
        <v>0</v>
      </c>
    </row>
    <row r="1357" spans="1:12" ht="15">
      <c r="A1357" s="104" t="s">
        <v>2356</v>
      </c>
      <c r="B1357" s="102" t="s">
        <v>2397</v>
      </c>
      <c r="C1357" s="102">
        <v>2</v>
      </c>
      <c r="D1357" s="106">
        <v>0.0028833226628023198</v>
      </c>
      <c r="E1357" s="106">
        <v>2.3268476989159903</v>
      </c>
      <c r="F1357" s="102" t="s">
        <v>2323</v>
      </c>
      <c r="G1357" s="102" t="b">
        <v>0</v>
      </c>
      <c r="H1357" s="102" t="b">
        <v>0</v>
      </c>
      <c r="I1357" s="102" t="b">
        <v>0</v>
      </c>
      <c r="J1357" s="102" t="b">
        <v>0</v>
      </c>
      <c r="K1357" s="102" t="b">
        <v>0</v>
      </c>
      <c r="L1357" s="102" t="b">
        <v>0</v>
      </c>
    </row>
    <row r="1358" spans="1:12" ht="15">
      <c r="A1358" s="104" t="s">
        <v>2438</v>
      </c>
      <c r="B1358" s="102" t="s">
        <v>2350</v>
      </c>
      <c r="C1358" s="102">
        <v>2</v>
      </c>
      <c r="D1358" s="106">
        <v>0.003562082517738016</v>
      </c>
      <c r="E1358" s="106">
        <v>1.3910885951706784</v>
      </c>
      <c r="F1358" s="102" t="s">
        <v>2323</v>
      </c>
      <c r="G1358" s="102" t="b">
        <v>0</v>
      </c>
      <c r="H1358" s="102" t="b">
        <v>0</v>
      </c>
      <c r="I1358" s="102" t="b">
        <v>0</v>
      </c>
      <c r="J1358" s="102" t="b">
        <v>0</v>
      </c>
      <c r="K1358" s="102" t="b">
        <v>0</v>
      </c>
      <c r="L1358" s="102" t="b">
        <v>0</v>
      </c>
    </row>
    <row r="1359" spans="1:12" ht="15">
      <c r="A1359" s="104" t="s">
        <v>2349</v>
      </c>
      <c r="B1359" s="102" t="s">
        <v>2465</v>
      </c>
      <c r="C1359" s="102">
        <v>2</v>
      </c>
      <c r="D1359" s="106">
        <v>0.0028833226628023198</v>
      </c>
      <c r="E1359" s="106">
        <v>1.6278776945799716</v>
      </c>
      <c r="F1359" s="102" t="s">
        <v>2323</v>
      </c>
      <c r="G1359" s="102" t="b">
        <v>0</v>
      </c>
      <c r="H1359" s="102" t="b">
        <v>0</v>
      </c>
      <c r="I1359" s="102" t="b">
        <v>0</v>
      </c>
      <c r="J1359" s="102" t="b">
        <v>0</v>
      </c>
      <c r="K1359" s="102" t="b">
        <v>1</v>
      </c>
      <c r="L1359" s="102" t="b">
        <v>0</v>
      </c>
    </row>
    <row r="1360" spans="1:12" ht="15">
      <c r="A1360" s="104" t="s">
        <v>2351</v>
      </c>
      <c r="B1360" s="102" t="s">
        <v>2355</v>
      </c>
      <c r="C1360" s="102">
        <v>2</v>
      </c>
      <c r="D1360" s="106">
        <v>0.003562082517738016</v>
      </c>
      <c r="E1360" s="106">
        <v>0.8285371451263898</v>
      </c>
      <c r="F1360" s="102" t="s">
        <v>2323</v>
      </c>
      <c r="G1360" s="102" t="b">
        <v>0</v>
      </c>
      <c r="H1360" s="102" t="b">
        <v>0</v>
      </c>
      <c r="I1360" s="102" t="b">
        <v>0</v>
      </c>
      <c r="J1360" s="102" t="b">
        <v>0</v>
      </c>
      <c r="K1360" s="102" t="b">
        <v>0</v>
      </c>
      <c r="L1360" s="102" t="b">
        <v>0</v>
      </c>
    </row>
    <row r="1361" spans="1:12" ht="15">
      <c r="A1361" s="104" t="s">
        <v>2355</v>
      </c>
      <c r="B1361" s="102" t="s">
        <v>2348</v>
      </c>
      <c r="C1361" s="102">
        <v>2</v>
      </c>
      <c r="D1361" s="106">
        <v>0.003562082517738016</v>
      </c>
      <c r="E1361" s="106">
        <v>0.5974803937232096</v>
      </c>
      <c r="F1361" s="102" t="s">
        <v>2323</v>
      </c>
      <c r="G1361" s="102" t="b">
        <v>0</v>
      </c>
      <c r="H1361" s="102" t="b">
        <v>0</v>
      </c>
      <c r="I1361" s="102" t="b">
        <v>0</v>
      </c>
      <c r="J1361" s="102" t="b">
        <v>0</v>
      </c>
      <c r="K1361" s="102" t="b">
        <v>0</v>
      </c>
      <c r="L1361" s="102" t="b">
        <v>0</v>
      </c>
    </row>
    <row r="1362" spans="1:12" ht="15">
      <c r="A1362" s="104" t="s">
        <v>2449</v>
      </c>
      <c r="B1362" s="102" t="s">
        <v>2365</v>
      </c>
      <c r="C1362" s="102">
        <v>2</v>
      </c>
      <c r="D1362" s="106">
        <v>0.003562082517738016</v>
      </c>
      <c r="E1362" s="106">
        <v>1.6066883955100335</v>
      </c>
      <c r="F1362" s="102" t="s">
        <v>2323</v>
      </c>
      <c r="G1362" s="102" t="b">
        <v>0</v>
      </c>
      <c r="H1362" s="102" t="b">
        <v>0</v>
      </c>
      <c r="I1362" s="102" t="b">
        <v>0</v>
      </c>
      <c r="J1362" s="102" t="b">
        <v>0</v>
      </c>
      <c r="K1362" s="102" t="b">
        <v>0</v>
      </c>
      <c r="L1362" s="102" t="b">
        <v>0</v>
      </c>
    </row>
    <row r="1363" spans="1:12" ht="15">
      <c r="A1363" s="104" t="s">
        <v>2449</v>
      </c>
      <c r="B1363" s="102" t="s">
        <v>3164</v>
      </c>
      <c r="C1363" s="102">
        <v>2</v>
      </c>
      <c r="D1363" s="106">
        <v>0.003562082517738016</v>
      </c>
      <c r="E1363" s="106">
        <v>1.7827796545657146</v>
      </c>
      <c r="F1363" s="102" t="s">
        <v>2323</v>
      </c>
      <c r="G1363" s="102" t="b">
        <v>0</v>
      </c>
      <c r="H1363" s="102" t="b">
        <v>0</v>
      </c>
      <c r="I1363" s="102" t="b">
        <v>0</v>
      </c>
      <c r="J1363" s="102" t="b">
        <v>0</v>
      </c>
      <c r="K1363" s="102" t="b">
        <v>0</v>
      </c>
      <c r="L1363" s="102" t="b">
        <v>0</v>
      </c>
    </row>
    <row r="1364" spans="1:12" ht="15">
      <c r="A1364" s="104" t="s">
        <v>2598</v>
      </c>
      <c r="B1364" s="102" t="s">
        <v>2455</v>
      </c>
      <c r="C1364" s="102">
        <v>2</v>
      </c>
      <c r="D1364" s="106">
        <v>0.0028833226628023198</v>
      </c>
      <c r="E1364" s="106">
        <v>2.45178643552429</v>
      </c>
      <c r="F1364" s="102" t="s">
        <v>2323</v>
      </c>
      <c r="G1364" s="102" t="b">
        <v>0</v>
      </c>
      <c r="H1364" s="102" t="b">
        <v>0</v>
      </c>
      <c r="I1364" s="102" t="b">
        <v>0</v>
      </c>
      <c r="J1364" s="102" t="b">
        <v>0</v>
      </c>
      <c r="K1364" s="102" t="b">
        <v>0</v>
      </c>
      <c r="L1364" s="102" t="b">
        <v>0</v>
      </c>
    </row>
    <row r="1365" spans="1:12" ht="15">
      <c r="A1365" s="104" t="s">
        <v>2412</v>
      </c>
      <c r="B1365" s="102" t="s">
        <v>2412</v>
      </c>
      <c r="C1365" s="102">
        <v>2</v>
      </c>
      <c r="D1365" s="106">
        <v>0.003562082517738016</v>
      </c>
      <c r="E1365" s="106">
        <v>2.025817703252009</v>
      </c>
      <c r="F1365" s="102" t="s">
        <v>2323</v>
      </c>
      <c r="G1365" s="102" t="b">
        <v>0</v>
      </c>
      <c r="H1365" s="102" t="b">
        <v>0</v>
      </c>
      <c r="I1365" s="102" t="b">
        <v>0</v>
      </c>
      <c r="J1365" s="102" t="b">
        <v>0</v>
      </c>
      <c r="K1365" s="102" t="b">
        <v>0</v>
      </c>
      <c r="L1365" s="102" t="b">
        <v>0</v>
      </c>
    </row>
    <row r="1366" spans="1:12" ht="15">
      <c r="A1366" s="104" t="s">
        <v>3062</v>
      </c>
      <c r="B1366" s="102" t="s">
        <v>3063</v>
      </c>
      <c r="C1366" s="102">
        <v>2</v>
      </c>
      <c r="D1366" s="106">
        <v>0.003562082517738016</v>
      </c>
      <c r="E1366" s="106">
        <v>2.6278776945799716</v>
      </c>
      <c r="F1366" s="102" t="s">
        <v>2323</v>
      </c>
      <c r="G1366" s="102" t="b">
        <v>0</v>
      </c>
      <c r="H1366" s="102" t="b">
        <v>0</v>
      </c>
      <c r="I1366" s="102" t="b">
        <v>0</v>
      </c>
      <c r="J1366" s="102" t="b">
        <v>0</v>
      </c>
      <c r="K1366" s="102" t="b">
        <v>0</v>
      </c>
      <c r="L1366" s="102" t="b">
        <v>0</v>
      </c>
    </row>
    <row r="1367" spans="1:12" ht="15">
      <c r="A1367" s="104" t="s">
        <v>2537</v>
      </c>
      <c r="B1367" s="102" t="s">
        <v>2537</v>
      </c>
      <c r="C1367" s="102">
        <v>2</v>
      </c>
      <c r="D1367" s="106">
        <v>0.003562082517738016</v>
      </c>
      <c r="E1367" s="106">
        <v>1.4817496589017334</v>
      </c>
      <c r="F1367" s="102" t="s">
        <v>2323</v>
      </c>
      <c r="G1367" s="102" t="b">
        <v>0</v>
      </c>
      <c r="H1367" s="102" t="b">
        <v>0</v>
      </c>
      <c r="I1367" s="102" t="b">
        <v>0</v>
      </c>
      <c r="J1367" s="102" t="b">
        <v>0</v>
      </c>
      <c r="K1367" s="102" t="b">
        <v>0</v>
      </c>
      <c r="L1367" s="102" t="b">
        <v>0</v>
      </c>
    </row>
    <row r="1368" spans="1:12" ht="15">
      <c r="A1368" s="104" t="s">
        <v>3056</v>
      </c>
      <c r="B1368" s="102" t="s">
        <v>2537</v>
      </c>
      <c r="C1368" s="102">
        <v>2</v>
      </c>
      <c r="D1368" s="106">
        <v>0.003562082517738016</v>
      </c>
      <c r="E1368" s="106">
        <v>2.083809650229696</v>
      </c>
      <c r="F1368" s="102" t="s">
        <v>2323</v>
      </c>
      <c r="G1368" s="102" t="b">
        <v>0</v>
      </c>
      <c r="H1368" s="102" t="b">
        <v>0</v>
      </c>
      <c r="I1368" s="102" t="b">
        <v>0</v>
      </c>
      <c r="J1368" s="102" t="b">
        <v>0</v>
      </c>
      <c r="K1368" s="102" t="b">
        <v>0</v>
      </c>
      <c r="L1368" s="102" t="b">
        <v>0</v>
      </c>
    </row>
    <row r="1369" spans="1:12" ht="15">
      <c r="A1369" s="104" t="s">
        <v>3057</v>
      </c>
      <c r="B1369" s="102" t="s">
        <v>3058</v>
      </c>
      <c r="C1369" s="102">
        <v>2</v>
      </c>
      <c r="D1369" s="106">
        <v>0.003562082517738016</v>
      </c>
      <c r="E1369" s="106">
        <v>2.6278776945799716</v>
      </c>
      <c r="F1369" s="102" t="s">
        <v>2323</v>
      </c>
      <c r="G1369" s="102" t="b">
        <v>0</v>
      </c>
      <c r="H1369" s="102" t="b">
        <v>0</v>
      </c>
      <c r="I1369" s="102" t="b">
        <v>0</v>
      </c>
      <c r="J1369" s="102" t="b">
        <v>0</v>
      </c>
      <c r="K1369" s="102" t="b">
        <v>0</v>
      </c>
      <c r="L1369" s="102" t="b">
        <v>0</v>
      </c>
    </row>
    <row r="1370" spans="1:12" ht="15">
      <c r="A1370" s="104" t="s">
        <v>2361</v>
      </c>
      <c r="B1370" s="102" t="s">
        <v>2359</v>
      </c>
      <c r="C1370" s="102">
        <v>2</v>
      </c>
      <c r="D1370" s="106">
        <v>0.003562082517738016</v>
      </c>
      <c r="E1370" s="106">
        <v>1.5486964485323467</v>
      </c>
      <c r="F1370" s="102" t="s">
        <v>2323</v>
      </c>
      <c r="G1370" s="102" t="b">
        <v>0</v>
      </c>
      <c r="H1370" s="102" t="b">
        <v>0</v>
      </c>
      <c r="I1370" s="102" t="b">
        <v>0</v>
      </c>
      <c r="J1370" s="102" t="b">
        <v>0</v>
      </c>
      <c r="K1370" s="102" t="b">
        <v>0</v>
      </c>
      <c r="L1370" s="102" t="b">
        <v>0</v>
      </c>
    </row>
    <row r="1371" spans="1:12" ht="15">
      <c r="A1371" s="104" t="s">
        <v>2352</v>
      </c>
      <c r="B1371" s="102" t="s">
        <v>2359</v>
      </c>
      <c r="C1371" s="102">
        <v>2</v>
      </c>
      <c r="D1371" s="106">
        <v>0.003562082517738016</v>
      </c>
      <c r="E1371" s="106">
        <v>1.5864850094217464</v>
      </c>
      <c r="F1371" s="102" t="s">
        <v>2323</v>
      </c>
      <c r="G1371" s="102" t="b">
        <v>0</v>
      </c>
      <c r="H1371" s="102" t="b">
        <v>0</v>
      </c>
      <c r="I1371" s="102" t="b">
        <v>0</v>
      </c>
      <c r="J1371" s="102" t="b">
        <v>0</v>
      </c>
      <c r="K1371" s="102" t="b">
        <v>0</v>
      </c>
      <c r="L1371" s="102" t="b">
        <v>0</v>
      </c>
    </row>
    <row r="1372" spans="1:12" ht="15">
      <c r="A1372" s="104" t="s">
        <v>2358</v>
      </c>
      <c r="B1372" s="102" t="s">
        <v>2366</v>
      </c>
      <c r="C1372" s="102">
        <v>2</v>
      </c>
      <c r="D1372" s="106">
        <v>0.003562082517738016</v>
      </c>
      <c r="E1372" s="106">
        <v>2.275695176468609</v>
      </c>
      <c r="F1372" s="102" t="s">
        <v>2323</v>
      </c>
      <c r="G1372" s="102" t="b">
        <v>0</v>
      </c>
      <c r="H1372" s="102" t="b">
        <v>0</v>
      </c>
      <c r="I1372" s="102" t="b">
        <v>0</v>
      </c>
      <c r="J1372" s="102" t="b">
        <v>0</v>
      </c>
      <c r="K1372" s="102" t="b">
        <v>0</v>
      </c>
      <c r="L1372" s="102" t="b">
        <v>0</v>
      </c>
    </row>
    <row r="1373" spans="1:12" ht="15">
      <c r="A1373" s="104" t="s">
        <v>2352</v>
      </c>
      <c r="B1373" s="102" t="s">
        <v>2361</v>
      </c>
      <c r="C1373" s="102">
        <v>2</v>
      </c>
      <c r="D1373" s="106">
        <v>0.003562082517738016</v>
      </c>
      <c r="E1373" s="106">
        <v>1.1471523155914838</v>
      </c>
      <c r="F1373" s="102" t="s">
        <v>2323</v>
      </c>
      <c r="G1373" s="102" t="b">
        <v>0</v>
      </c>
      <c r="H1373" s="102" t="b">
        <v>0</v>
      </c>
      <c r="I1373" s="102" t="b">
        <v>0</v>
      </c>
      <c r="J1373" s="102" t="b">
        <v>0</v>
      </c>
      <c r="K1373" s="102" t="b">
        <v>0</v>
      </c>
      <c r="L1373" s="102" t="b">
        <v>0</v>
      </c>
    </row>
    <row r="1374" spans="1:12" ht="15">
      <c r="A1374" s="104" t="s">
        <v>2475</v>
      </c>
      <c r="B1374" s="102" t="s">
        <v>2350</v>
      </c>
      <c r="C1374" s="102">
        <v>2</v>
      </c>
      <c r="D1374" s="106">
        <v>0.003562082517738016</v>
      </c>
      <c r="E1374" s="106">
        <v>0.8268171647321159</v>
      </c>
      <c r="F1374" s="102" t="s">
        <v>2323</v>
      </c>
      <c r="G1374" s="102" t="b">
        <v>0</v>
      </c>
      <c r="H1374" s="102" t="b">
        <v>0</v>
      </c>
      <c r="I1374" s="102" t="b">
        <v>0</v>
      </c>
      <c r="J1374" s="102" t="b">
        <v>0</v>
      </c>
      <c r="K1374" s="102" t="b">
        <v>0</v>
      </c>
      <c r="L1374" s="102" t="b">
        <v>0</v>
      </c>
    </row>
    <row r="1375" spans="1:12" ht="15">
      <c r="A1375" s="104" t="s">
        <v>2536</v>
      </c>
      <c r="B1375" s="102" t="s">
        <v>2384</v>
      </c>
      <c r="C1375" s="102">
        <v>2</v>
      </c>
      <c r="D1375" s="106">
        <v>0.0028833226628023198</v>
      </c>
      <c r="E1375" s="106">
        <v>1.2087483868379958</v>
      </c>
      <c r="F1375" s="102" t="s">
        <v>2323</v>
      </c>
      <c r="G1375" s="102" t="b">
        <v>0</v>
      </c>
      <c r="H1375" s="102" t="b">
        <v>0</v>
      </c>
      <c r="I1375" s="102" t="b">
        <v>0</v>
      </c>
      <c r="J1375" s="102" t="b">
        <v>0</v>
      </c>
      <c r="K1375" s="102" t="b">
        <v>0</v>
      </c>
      <c r="L1375" s="102" t="b">
        <v>0</v>
      </c>
    </row>
    <row r="1376" spans="1:12" ht="15">
      <c r="A1376" s="104" t="s">
        <v>2377</v>
      </c>
      <c r="B1376" s="102" t="s">
        <v>2567</v>
      </c>
      <c r="C1376" s="102">
        <v>2</v>
      </c>
      <c r="D1376" s="106">
        <v>0.0028833226628023198</v>
      </c>
      <c r="E1376" s="106">
        <v>1.6984587688656787</v>
      </c>
      <c r="F1376" s="102" t="s">
        <v>2323</v>
      </c>
      <c r="G1376" s="102" t="b">
        <v>0</v>
      </c>
      <c r="H1376" s="102" t="b">
        <v>0</v>
      </c>
      <c r="I1376" s="102" t="b">
        <v>0</v>
      </c>
      <c r="J1376" s="102" t="b">
        <v>0</v>
      </c>
      <c r="K1376" s="102" t="b">
        <v>0</v>
      </c>
      <c r="L1376" s="102" t="b">
        <v>0</v>
      </c>
    </row>
    <row r="1377" spans="1:12" ht="15">
      <c r="A1377" s="104" t="s">
        <v>2840</v>
      </c>
      <c r="B1377" s="102" t="s">
        <v>2353</v>
      </c>
      <c r="C1377" s="102">
        <v>2</v>
      </c>
      <c r="D1377" s="106">
        <v>0.0028833226628023198</v>
      </c>
      <c r="E1377" s="106">
        <v>1.4517864355242902</v>
      </c>
      <c r="F1377" s="102" t="s">
        <v>2323</v>
      </c>
      <c r="G1377" s="102" t="b">
        <v>0</v>
      </c>
      <c r="H1377" s="102" t="b">
        <v>0</v>
      </c>
      <c r="I1377" s="102" t="b">
        <v>0</v>
      </c>
      <c r="J1377" s="102" t="b">
        <v>0</v>
      </c>
      <c r="K1377" s="102" t="b">
        <v>0</v>
      </c>
      <c r="L1377" s="102" t="b">
        <v>0</v>
      </c>
    </row>
    <row r="1378" spans="1:12" ht="15">
      <c r="A1378" s="104" t="s">
        <v>2377</v>
      </c>
      <c r="B1378" s="102" t="s">
        <v>2490</v>
      </c>
      <c r="C1378" s="102">
        <v>2</v>
      </c>
      <c r="D1378" s="106">
        <v>0.0028833226628023198</v>
      </c>
      <c r="E1378" s="106">
        <v>1.6984587688656787</v>
      </c>
      <c r="F1378" s="102" t="s">
        <v>2323</v>
      </c>
      <c r="G1378" s="102" t="b">
        <v>0</v>
      </c>
      <c r="H1378" s="102" t="b">
        <v>0</v>
      </c>
      <c r="I1378" s="102" t="b">
        <v>0</v>
      </c>
      <c r="J1378" s="102" t="b">
        <v>0</v>
      </c>
      <c r="K1378" s="102" t="b">
        <v>0</v>
      </c>
      <c r="L1378" s="102" t="b">
        <v>0</v>
      </c>
    </row>
    <row r="1379" spans="1:12" ht="15">
      <c r="A1379" s="104" t="s">
        <v>2668</v>
      </c>
      <c r="B1379" s="102" t="s">
        <v>3050</v>
      </c>
      <c r="C1379" s="102">
        <v>2</v>
      </c>
      <c r="D1379" s="106">
        <v>0.003562082517738016</v>
      </c>
      <c r="E1379" s="106">
        <v>2.229937685907934</v>
      </c>
      <c r="F1379" s="102" t="s">
        <v>2323</v>
      </c>
      <c r="G1379" s="102" t="b">
        <v>0</v>
      </c>
      <c r="H1379" s="102" t="b">
        <v>0</v>
      </c>
      <c r="I1379" s="102" t="b">
        <v>0</v>
      </c>
      <c r="J1379" s="102" t="b">
        <v>0</v>
      </c>
      <c r="K1379" s="102" t="b">
        <v>0</v>
      </c>
      <c r="L1379" s="102" t="b">
        <v>0</v>
      </c>
    </row>
    <row r="1380" spans="1:12" ht="15">
      <c r="A1380" s="104" t="s">
        <v>2353</v>
      </c>
      <c r="B1380" s="102" t="s">
        <v>2536</v>
      </c>
      <c r="C1380" s="102">
        <v>2</v>
      </c>
      <c r="D1380" s="106">
        <v>0.003562082517738016</v>
      </c>
      <c r="E1380" s="106">
        <v>0.9746651808046278</v>
      </c>
      <c r="F1380" s="102" t="s">
        <v>2323</v>
      </c>
      <c r="G1380" s="102" t="b">
        <v>0</v>
      </c>
      <c r="H1380" s="102" t="b">
        <v>0</v>
      </c>
      <c r="I1380" s="102" t="b">
        <v>0</v>
      </c>
      <c r="J1380" s="102" t="b">
        <v>0</v>
      </c>
      <c r="K1380" s="102" t="b">
        <v>0</v>
      </c>
      <c r="L1380" s="102" t="b">
        <v>0</v>
      </c>
    </row>
    <row r="1381" spans="1:12" ht="15">
      <c r="A1381" s="104" t="s">
        <v>2535</v>
      </c>
      <c r="B1381" s="102" t="s">
        <v>2535</v>
      </c>
      <c r="C1381" s="102">
        <v>2</v>
      </c>
      <c r="D1381" s="106">
        <v>0.003562082517738016</v>
      </c>
      <c r="E1381" s="106">
        <v>1.5397416058794202</v>
      </c>
      <c r="F1381" s="102" t="s">
        <v>2323</v>
      </c>
      <c r="G1381" s="102" t="b">
        <v>0</v>
      </c>
      <c r="H1381" s="102" t="b">
        <v>0</v>
      </c>
      <c r="I1381" s="102" t="b">
        <v>0</v>
      </c>
      <c r="J1381" s="102" t="b">
        <v>0</v>
      </c>
      <c r="K1381" s="102" t="b">
        <v>0</v>
      </c>
      <c r="L1381" s="102" t="b">
        <v>0</v>
      </c>
    </row>
    <row r="1382" spans="1:12" ht="15">
      <c r="A1382" s="104" t="s">
        <v>3042</v>
      </c>
      <c r="B1382" s="102" t="s">
        <v>2535</v>
      </c>
      <c r="C1382" s="102">
        <v>2</v>
      </c>
      <c r="D1382" s="106">
        <v>0.003562082517738016</v>
      </c>
      <c r="E1382" s="106">
        <v>2.083809650229696</v>
      </c>
      <c r="F1382" s="102" t="s">
        <v>2323</v>
      </c>
      <c r="G1382" s="102" t="b">
        <v>0</v>
      </c>
      <c r="H1382" s="102" t="b">
        <v>0</v>
      </c>
      <c r="I1382" s="102" t="b">
        <v>0</v>
      </c>
      <c r="J1382" s="102" t="b">
        <v>0</v>
      </c>
      <c r="K1382" s="102" t="b">
        <v>0</v>
      </c>
      <c r="L1382" s="102" t="b">
        <v>0</v>
      </c>
    </row>
    <row r="1383" spans="1:12" ht="15">
      <c r="A1383" s="104" t="s">
        <v>2535</v>
      </c>
      <c r="B1383" s="102" t="s">
        <v>2662</v>
      </c>
      <c r="C1383" s="102">
        <v>2</v>
      </c>
      <c r="D1383" s="106">
        <v>0.003562082517738016</v>
      </c>
      <c r="E1383" s="106">
        <v>1.6858696415576582</v>
      </c>
      <c r="F1383" s="102" t="s">
        <v>2323</v>
      </c>
      <c r="G1383" s="102" t="b">
        <v>0</v>
      </c>
      <c r="H1383" s="102" t="b">
        <v>0</v>
      </c>
      <c r="I1383" s="102" t="b">
        <v>0</v>
      </c>
      <c r="J1383" s="102" t="b">
        <v>0</v>
      </c>
      <c r="K1383" s="102" t="b">
        <v>0</v>
      </c>
      <c r="L1383" s="102" t="b">
        <v>0</v>
      </c>
    </row>
    <row r="1384" spans="1:12" ht="15">
      <c r="A1384" s="104" t="s">
        <v>2660</v>
      </c>
      <c r="B1384" s="102" t="s">
        <v>2837</v>
      </c>
      <c r="C1384" s="102">
        <v>2</v>
      </c>
      <c r="D1384" s="106">
        <v>0.003562082517738016</v>
      </c>
      <c r="E1384" s="106">
        <v>2.0538464268522527</v>
      </c>
      <c r="F1384" s="102" t="s">
        <v>2323</v>
      </c>
      <c r="G1384" s="102" t="b">
        <v>0</v>
      </c>
      <c r="H1384" s="102" t="b">
        <v>0</v>
      </c>
      <c r="I1384" s="102" t="b">
        <v>0</v>
      </c>
      <c r="J1384" s="102" t="b">
        <v>0</v>
      </c>
      <c r="K1384" s="102" t="b">
        <v>0</v>
      </c>
      <c r="L1384" s="102" t="b">
        <v>0</v>
      </c>
    </row>
    <row r="1385" spans="1:12" ht="15">
      <c r="A1385" s="104" t="s">
        <v>2350</v>
      </c>
      <c r="B1385" s="102" t="s">
        <v>2659</v>
      </c>
      <c r="C1385" s="102">
        <v>2</v>
      </c>
      <c r="D1385" s="106">
        <v>0.003562082517738016</v>
      </c>
      <c r="E1385" s="106">
        <v>1.1885450007497087</v>
      </c>
      <c r="F1385" s="102" t="s">
        <v>2323</v>
      </c>
      <c r="G1385" s="102" t="b">
        <v>0</v>
      </c>
      <c r="H1385" s="102" t="b">
        <v>0</v>
      </c>
      <c r="I1385" s="102" t="b">
        <v>0</v>
      </c>
      <c r="J1385" s="102" t="b">
        <v>0</v>
      </c>
      <c r="K1385" s="102" t="b">
        <v>0</v>
      </c>
      <c r="L1385" s="102" t="b">
        <v>0</v>
      </c>
    </row>
    <row r="1386" spans="1:12" ht="15">
      <c r="A1386" s="104" t="s">
        <v>2839</v>
      </c>
      <c r="B1386" s="102" t="s">
        <v>2838</v>
      </c>
      <c r="C1386" s="102">
        <v>2</v>
      </c>
      <c r="D1386" s="106">
        <v>0.003562082517738016</v>
      </c>
      <c r="E1386" s="106">
        <v>2.275695176468609</v>
      </c>
      <c r="F1386" s="102" t="s">
        <v>2323</v>
      </c>
      <c r="G1386" s="102" t="b">
        <v>0</v>
      </c>
      <c r="H1386" s="102" t="b">
        <v>0</v>
      </c>
      <c r="I1386" s="102" t="b">
        <v>0</v>
      </c>
      <c r="J1386" s="102" t="b">
        <v>0</v>
      </c>
      <c r="K1386" s="102" t="b">
        <v>0</v>
      </c>
      <c r="L1386" s="102" t="b">
        <v>0</v>
      </c>
    </row>
    <row r="1387" spans="1:12" ht="15">
      <c r="A1387" s="104" t="s">
        <v>2383</v>
      </c>
      <c r="B1387" s="102" t="s">
        <v>2566</v>
      </c>
      <c r="C1387" s="102">
        <v>2</v>
      </c>
      <c r="D1387" s="106">
        <v>0.0028833226628023198</v>
      </c>
      <c r="E1387" s="106">
        <v>2.0538464268522527</v>
      </c>
      <c r="F1387" s="102" t="s">
        <v>2323</v>
      </c>
      <c r="G1387" s="102" t="b">
        <v>0</v>
      </c>
      <c r="H1387" s="102" t="b">
        <v>0</v>
      </c>
      <c r="I1387" s="102" t="b">
        <v>0</v>
      </c>
      <c r="J1387" s="102" t="b">
        <v>0</v>
      </c>
      <c r="K1387" s="102" t="b">
        <v>0</v>
      </c>
      <c r="L1387" s="102" t="b">
        <v>0</v>
      </c>
    </row>
    <row r="1388" spans="1:12" ht="15">
      <c r="A1388" s="104" t="s">
        <v>2566</v>
      </c>
      <c r="B1388" s="102" t="s">
        <v>2732</v>
      </c>
      <c r="C1388" s="102">
        <v>2</v>
      </c>
      <c r="D1388" s="106">
        <v>0.0028833226628023198</v>
      </c>
      <c r="E1388" s="106">
        <v>2.150756439860309</v>
      </c>
      <c r="F1388" s="102" t="s">
        <v>2323</v>
      </c>
      <c r="G1388" s="102" t="b">
        <v>0</v>
      </c>
      <c r="H1388" s="102" t="b">
        <v>0</v>
      </c>
      <c r="I1388" s="102" t="b">
        <v>0</v>
      </c>
      <c r="J1388" s="102" t="b">
        <v>0</v>
      </c>
      <c r="K1388" s="102" t="b">
        <v>0</v>
      </c>
      <c r="L1388" s="102" t="b">
        <v>0</v>
      </c>
    </row>
    <row r="1389" spans="1:12" ht="15">
      <c r="A1389" s="104" t="s">
        <v>2732</v>
      </c>
      <c r="B1389" s="102" t="s">
        <v>2732</v>
      </c>
      <c r="C1389" s="102">
        <v>2</v>
      </c>
      <c r="D1389" s="106">
        <v>0.0028833226628023198</v>
      </c>
      <c r="E1389" s="106">
        <v>2.025817703252009</v>
      </c>
      <c r="F1389" s="102" t="s">
        <v>2323</v>
      </c>
      <c r="G1389" s="102" t="b">
        <v>0</v>
      </c>
      <c r="H1389" s="102" t="b">
        <v>0</v>
      </c>
      <c r="I1389" s="102" t="b">
        <v>0</v>
      </c>
      <c r="J1389" s="102" t="b">
        <v>0</v>
      </c>
      <c r="K1389" s="102" t="b">
        <v>0</v>
      </c>
      <c r="L1389" s="102" t="b">
        <v>0</v>
      </c>
    </row>
    <row r="1390" spans="1:12" ht="15">
      <c r="A1390" s="104" t="s">
        <v>2734</v>
      </c>
      <c r="B1390" s="102" t="s">
        <v>2735</v>
      </c>
      <c r="C1390" s="102">
        <v>2</v>
      </c>
      <c r="D1390" s="106">
        <v>0.003562082517738016</v>
      </c>
      <c r="E1390" s="106">
        <v>2.150756439860309</v>
      </c>
      <c r="F1390" s="102" t="s">
        <v>2323</v>
      </c>
      <c r="G1390" s="102" t="b">
        <v>0</v>
      </c>
      <c r="H1390" s="102" t="b">
        <v>0</v>
      </c>
      <c r="I1390" s="102" t="b">
        <v>0</v>
      </c>
      <c r="J1390" s="102" t="b">
        <v>1</v>
      </c>
      <c r="K1390" s="102" t="b">
        <v>0</v>
      </c>
      <c r="L1390" s="102" t="b">
        <v>0</v>
      </c>
    </row>
    <row r="1391" spans="1:12" ht="15">
      <c r="A1391" s="104" t="s">
        <v>2416</v>
      </c>
      <c r="B1391" s="102" t="s">
        <v>2534</v>
      </c>
      <c r="C1391" s="102">
        <v>2</v>
      </c>
      <c r="D1391" s="106">
        <v>0.0028833226628023198</v>
      </c>
      <c r="E1391" s="106">
        <v>1.7985739217489465</v>
      </c>
      <c r="F1391" s="102" t="s">
        <v>2323</v>
      </c>
      <c r="G1391" s="102" t="b">
        <v>0</v>
      </c>
      <c r="H1391" s="102" t="b">
        <v>0</v>
      </c>
      <c r="I1391" s="102" t="b">
        <v>0</v>
      </c>
      <c r="J1391" s="102" t="b">
        <v>0</v>
      </c>
      <c r="K1391" s="102" t="b">
        <v>0</v>
      </c>
      <c r="L1391" s="102" t="b">
        <v>0</v>
      </c>
    </row>
    <row r="1392" spans="1:12" ht="15">
      <c r="A1392" s="104" t="s">
        <v>2416</v>
      </c>
      <c r="B1392" s="102" t="s">
        <v>3038</v>
      </c>
      <c r="C1392" s="102">
        <v>2</v>
      </c>
      <c r="D1392" s="106">
        <v>0.003562082517738016</v>
      </c>
      <c r="E1392" s="106">
        <v>1.9746651808046278</v>
      </c>
      <c r="F1392" s="102" t="s">
        <v>2323</v>
      </c>
      <c r="G1392" s="102" t="b">
        <v>0</v>
      </c>
      <c r="H1392" s="102" t="b">
        <v>0</v>
      </c>
      <c r="I1392" s="102" t="b">
        <v>0</v>
      </c>
      <c r="J1392" s="102" t="b">
        <v>0</v>
      </c>
      <c r="K1392" s="102" t="b">
        <v>0</v>
      </c>
      <c r="L1392" s="102" t="b">
        <v>0</v>
      </c>
    </row>
    <row r="1393" spans="1:12" ht="15">
      <c r="A1393" s="104" t="s">
        <v>2602</v>
      </c>
      <c r="B1393" s="102" t="s">
        <v>2731</v>
      </c>
      <c r="C1393" s="102">
        <v>2</v>
      </c>
      <c r="D1393" s="106">
        <v>0.003562082517738016</v>
      </c>
      <c r="E1393" s="106">
        <v>2.150756439860309</v>
      </c>
      <c r="F1393" s="102" t="s">
        <v>2323</v>
      </c>
      <c r="G1393" s="102" t="b">
        <v>0</v>
      </c>
      <c r="H1393" s="102" t="b">
        <v>0</v>
      </c>
      <c r="I1393" s="102" t="b">
        <v>0</v>
      </c>
      <c r="J1393" s="102" t="b">
        <v>0</v>
      </c>
      <c r="K1393" s="102" t="b">
        <v>0</v>
      </c>
      <c r="L1393" s="102" t="b">
        <v>0</v>
      </c>
    </row>
    <row r="1394" spans="1:12" ht="15">
      <c r="A1394" s="104" t="s">
        <v>2358</v>
      </c>
      <c r="B1394" s="102" t="s">
        <v>2363</v>
      </c>
      <c r="C1394" s="102">
        <v>19</v>
      </c>
      <c r="D1394" s="106">
        <v>0.019935137030335195</v>
      </c>
      <c r="E1394" s="106">
        <v>1.6555043105549285</v>
      </c>
      <c r="F1394" s="102" t="s">
        <v>2324</v>
      </c>
      <c r="G1394" s="102" t="b">
        <v>0</v>
      </c>
      <c r="H1394" s="102" t="b">
        <v>0</v>
      </c>
      <c r="I1394" s="102" t="b">
        <v>0</v>
      </c>
      <c r="J1394" s="102" t="b">
        <v>0</v>
      </c>
      <c r="K1394" s="102" t="b">
        <v>0</v>
      </c>
      <c r="L1394" s="102" t="b">
        <v>0</v>
      </c>
    </row>
    <row r="1395" spans="1:12" ht="15">
      <c r="A1395" s="104" t="s">
        <v>2370</v>
      </c>
      <c r="B1395" s="102" t="s">
        <v>2378</v>
      </c>
      <c r="C1395" s="102">
        <v>12</v>
      </c>
      <c r="D1395" s="106">
        <v>0.015503806367689959</v>
      </c>
      <c r="E1395" s="106">
        <v>1.8683278807327317</v>
      </c>
      <c r="F1395" s="102" t="s">
        <v>2324</v>
      </c>
      <c r="G1395" s="102" t="b">
        <v>0</v>
      </c>
      <c r="H1395" s="102" t="b">
        <v>0</v>
      </c>
      <c r="I1395" s="102" t="b">
        <v>0</v>
      </c>
      <c r="J1395" s="102" t="b">
        <v>0</v>
      </c>
      <c r="K1395" s="102" t="b">
        <v>0</v>
      </c>
      <c r="L1395" s="102" t="b">
        <v>0</v>
      </c>
    </row>
    <row r="1396" spans="1:12" ht="15">
      <c r="A1396" s="104" t="s">
        <v>2348</v>
      </c>
      <c r="B1396" s="102" t="s">
        <v>2349</v>
      </c>
      <c r="C1396" s="102">
        <v>11</v>
      </c>
      <c r="D1396" s="106">
        <v>0.007308867863215731</v>
      </c>
      <c r="E1396" s="106">
        <v>1.3338225090602887</v>
      </c>
      <c r="F1396" s="102" t="s">
        <v>2324</v>
      </c>
      <c r="G1396" s="102" t="b">
        <v>0</v>
      </c>
      <c r="H1396" s="102" t="b">
        <v>0</v>
      </c>
      <c r="I1396" s="102" t="b">
        <v>0</v>
      </c>
      <c r="J1396" s="102" t="b">
        <v>0</v>
      </c>
      <c r="K1396" s="102" t="b">
        <v>0</v>
      </c>
      <c r="L1396" s="102" t="b">
        <v>0</v>
      </c>
    </row>
    <row r="1397" spans="1:12" ht="15">
      <c r="A1397" s="104" t="s">
        <v>2371</v>
      </c>
      <c r="B1397" s="102" t="s">
        <v>2358</v>
      </c>
      <c r="C1397" s="102">
        <v>11</v>
      </c>
      <c r="D1397" s="106">
        <v>0.01154139512282564</v>
      </c>
      <c r="E1397" s="106">
        <v>1.5642714304385625</v>
      </c>
      <c r="F1397" s="102" t="s">
        <v>2324</v>
      </c>
      <c r="G1397" s="102" t="b">
        <v>0</v>
      </c>
      <c r="H1397" s="102" t="b">
        <v>0</v>
      </c>
      <c r="I1397" s="102" t="b">
        <v>0</v>
      </c>
      <c r="J1397" s="102" t="b">
        <v>0</v>
      </c>
      <c r="K1397" s="102" t="b">
        <v>0</v>
      </c>
      <c r="L1397" s="102" t="b">
        <v>0</v>
      </c>
    </row>
    <row r="1398" spans="1:12" ht="15">
      <c r="A1398" s="104" t="s">
        <v>2399</v>
      </c>
      <c r="B1398" s="102" t="s">
        <v>2391</v>
      </c>
      <c r="C1398" s="102">
        <v>8</v>
      </c>
      <c r="D1398" s="106">
        <v>0.010335870911793305</v>
      </c>
      <c r="E1398" s="106">
        <v>1.7104296265030694</v>
      </c>
      <c r="F1398" s="102" t="s">
        <v>2324</v>
      </c>
      <c r="G1398" s="102" t="b">
        <v>0</v>
      </c>
      <c r="H1398" s="102" t="b">
        <v>0</v>
      </c>
      <c r="I1398" s="102" t="b">
        <v>0</v>
      </c>
      <c r="J1398" s="102" t="b">
        <v>0</v>
      </c>
      <c r="K1398" s="102" t="b">
        <v>0</v>
      </c>
      <c r="L1398" s="102" t="b">
        <v>0</v>
      </c>
    </row>
    <row r="1399" spans="1:12" ht="15">
      <c r="A1399" s="104" t="s">
        <v>2391</v>
      </c>
      <c r="B1399" s="102" t="s">
        <v>2399</v>
      </c>
      <c r="C1399" s="102">
        <v>7</v>
      </c>
      <c r="D1399" s="106">
        <v>0.009043887047819141</v>
      </c>
      <c r="E1399" s="106">
        <v>1.6276140958003504</v>
      </c>
      <c r="F1399" s="102" t="s">
        <v>2324</v>
      </c>
      <c r="G1399" s="102" t="b">
        <v>0</v>
      </c>
      <c r="H1399" s="102" t="b">
        <v>0</v>
      </c>
      <c r="I1399" s="102" t="b">
        <v>0</v>
      </c>
      <c r="J1399" s="102" t="b">
        <v>0</v>
      </c>
      <c r="K1399" s="102" t="b">
        <v>0</v>
      </c>
      <c r="L1399" s="102" t="b">
        <v>0</v>
      </c>
    </row>
    <row r="1400" spans="1:12" ht="15">
      <c r="A1400" s="104" t="s">
        <v>2348</v>
      </c>
      <c r="B1400" s="102" t="s">
        <v>2351</v>
      </c>
      <c r="C1400" s="102">
        <v>6</v>
      </c>
      <c r="D1400" s="106">
        <v>0.004369790259638437</v>
      </c>
      <c r="E1400" s="106">
        <v>1.228943566380957</v>
      </c>
      <c r="F1400" s="102" t="s">
        <v>2324</v>
      </c>
      <c r="G1400" s="102" t="b">
        <v>0</v>
      </c>
      <c r="H1400" s="102" t="b">
        <v>0</v>
      </c>
      <c r="I1400" s="102" t="b">
        <v>0</v>
      </c>
      <c r="J1400" s="102" t="b">
        <v>0</v>
      </c>
      <c r="K1400" s="102" t="b">
        <v>0</v>
      </c>
      <c r="L1400" s="102" t="b">
        <v>0</v>
      </c>
    </row>
    <row r="1401" spans="1:12" ht="15">
      <c r="A1401" s="104" t="s">
        <v>2350</v>
      </c>
      <c r="B1401" s="102" t="s">
        <v>2349</v>
      </c>
      <c r="C1401" s="102">
        <v>5</v>
      </c>
      <c r="D1401" s="106">
        <v>0.005246088692193473</v>
      </c>
      <c r="E1401" s="106">
        <v>0.8601209135987635</v>
      </c>
      <c r="F1401" s="102" t="s">
        <v>2324</v>
      </c>
      <c r="G1401" s="102" t="b">
        <v>0</v>
      </c>
      <c r="H1401" s="102" t="b">
        <v>0</v>
      </c>
      <c r="I1401" s="102" t="b">
        <v>0</v>
      </c>
      <c r="J1401" s="102" t="b">
        <v>0</v>
      </c>
      <c r="K1401" s="102" t="b">
        <v>0</v>
      </c>
      <c r="L1401" s="102" t="b">
        <v>0</v>
      </c>
    </row>
    <row r="1402" spans="1:12" ht="15">
      <c r="A1402" s="104" t="s">
        <v>2440</v>
      </c>
      <c r="B1402" s="102" t="s">
        <v>2351</v>
      </c>
      <c r="C1402" s="102">
        <v>4</v>
      </c>
      <c r="D1402" s="106">
        <v>0.004196870953754778</v>
      </c>
      <c r="E1402" s="106">
        <v>1.4382031886892928</v>
      </c>
      <c r="F1402" s="102" t="s">
        <v>2324</v>
      </c>
      <c r="G1402" s="102" t="b">
        <v>0</v>
      </c>
      <c r="H1402" s="102" t="b">
        <v>0</v>
      </c>
      <c r="I1402" s="102" t="b">
        <v>0</v>
      </c>
      <c r="J1402" s="102" t="b">
        <v>0</v>
      </c>
      <c r="K1402" s="102" t="b">
        <v>0</v>
      </c>
      <c r="L1402" s="102" t="b">
        <v>0</v>
      </c>
    </row>
    <row r="1403" spans="1:12" ht="15">
      <c r="A1403" s="104" t="s">
        <v>2351</v>
      </c>
      <c r="B1403" s="102" t="s">
        <v>2409</v>
      </c>
      <c r="C1403" s="102">
        <v>4</v>
      </c>
      <c r="D1403" s="106">
        <v>0.005167935455896652</v>
      </c>
      <c r="E1403" s="106">
        <v>1.3120253799654444</v>
      </c>
      <c r="F1403" s="102" t="s">
        <v>2324</v>
      </c>
      <c r="G1403" s="102" t="b">
        <v>0</v>
      </c>
      <c r="H1403" s="102" t="b">
        <v>0</v>
      </c>
      <c r="I1403" s="102" t="b">
        <v>0</v>
      </c>
      <c r="J1403" s="102" t="b">
        <v>0</v>
      </c>
      <c r="K1403" s="102" t="b">
        <v>0</v>
      </c>
      <c r="L1403" s="102" t="b">
        <v>0</v>
      </c>
    </row>
    <row r="1404" spans="1:12" ht="15">
      <c r="A1404" s="104" t="s">
        <v>2352</v>
      </c>
      <c r="B1404" s="102" t="s">
        <v>2389</v>
      </c>
      <c r="C1404" s="102">
        <v>4</v>
      </c>
      <c r="D1404" s="106">
        <v>0.003628834634220322</v>
      </c>
      <c r="E1404" s="106">
        <v>2.1371731930253115</v>
      </c>
      <c r="F1404" s="102" t="s">
        <v>2324</v>
      </c>
      <c r="G1404" s="102" t="b">
        <v>0</v>
      </c>
      <c r="H1404" s="102" t="b">
        <v>0</v>
      </c>
      <c r="I1404" s="102" t="b">
        <v>0</v>
      </c>
      <c r="J1404" s="102" t="b">
        <v>0</v>
      </c>
      <c r="K1404" s="102" t="b">
        <v>0</v>
      </c>
      <c r="L1404" s="102" t="b">
        <v>0</v>
      </c>
    </row>
    <row r="1405" spans="1:12" ht="15">
      <c r="A1405" s="104" t="s">
        <v>2378</v>
      </c>
      <c r="B1405" s="102" t="s">
        <v>1884</v>
      </c>
      <c r="C1405" s="102">
        <v>4</v>
      </c>
      <c r="D1405" s="106">
        <v>0.005167935455896652</v>
      </c>
      <c r="E1405" s="106">
        <v>1.806179973983887</v>
      </c>
      <c r="F1405" s="102" t="s">
        <v>2324</v>
      </c>
      <c r="G1405" s="102" t="b">
        <v>0</v>
      </c>
      <c r="H1405" s="102" t="b">
        <v>0</v>
      </c>
      <c r="I1405" s="102" t="b">
        <v>0</v>
      </c>
      <c r="J1405" s="102" t="b">
        <v>0</v>
      </c>
      <c r="K1405" s="102" t="b">
        <v>0</v>
      </c>
      <c r="L1405" s="102" t="b">
        <v>0</v>
      </c>
    </row>
    <row r="1406" spans="1:12" ht="15">
      <c r="A1406" s="104" t="s">
        <v>2378</v>
      </c>
      <c r="B1406" s="102" t="s">
        <v>2370</v>
      </c>
      <c r="C1406" s="102">
        <v>4</v>
      </c>
      <c r="D1406" s="106">
        <v>0.005167935455896652</v>
      </c>
      <c r="E1406" s="106">
        <v>1.391206626013069</v>
      </c>
      <c r="F1406" s="102" t="s">
        <v>2324</v>
      </c>
      <c r="G1406" s="102" t="b">
        <v>0</v>
      </c>
      <c r="H1406" s="102" t="b">
        <v>0</v>
      </c>
      <c r="I1406" s="102" t="b">
        <v>0</v>
      </c>
      <c r="J1406" s="102" t="b">
        <v>0</v>
      </c>
      <c r="K1406" s="102" t="b">
        <v>0</v>
      </c>
      <c r="L1406" s="102" t="b">
        <v>0</v>
      </c>
    </row>
    <row r="1407" spans="1:12" ht="15">
      <c r="A1407" s="104" t="s">
        <v>2363</v>
      </c>
      <c r="B1407" s="102" t="s">
        <v>2464</v>
      </c>
      <c r="C1407" s="102">
        <v>4</v>
      </c>
      <c r="D1407" s="106">
        <v>0.004196870953754778</v>
      </c>
      <c r="E1407" s="106">
        <v>1.7781512503836436</v>
      </c>
      <c r="F1407" s="102" t="s">
        <v>2324</v>
      </c>
      <c r="G1407" s="102" t="b">
        <v>0</v>
      </c>
      <c r="H1407" s="102" t="b">
        <v>0</v>
      </c>
      <c r="I1407" s="102" t="b">
        <v>0</v>
      </c>
      <c r="J1407" s="102" t="b">
        <v>0</v>
      </c>
      <c r="K1407" s="102" t="b">
        <v>0</v>
      </c>
      <c r="L1407" s="102" t="b">
        <v>0</v>
      </c>
    </row>
    <row r="1408" spans="1:12" ht="15">
      <c r="A1408" s="104" t="s">
        <v>2464</v>
      </c>
      <c r="B1408" s="102" t="s">
        <v>2485</v>
      </c>
      <c r="C1408" s="102">
        <v>4</v>
      </c>
      <c r="D1408" s="106">
        <v>0.004196870953754778</v>
      </c>
      <c r="E1408" s="106">
        <v>2.477121254719662</v>
      </c>
      <c r="F1408" s="102" t="s">
        <v>2324</v>
      </c>
      <c r="G1408" s="102" t="b">
        <v>0</v>
      </c>
      <c r="H1408" s="102" t="b">
        <v>0</v>
      </c>
      <c r="I1408" s="102" t="b">
        <v>0</v>
      </c>
      <c r="J1408" s="102" t="b">
        <v>0</v>
      </c>
      <c r="K1408" s="102" t="b">
        <v>0</v>
      </c>
      <c r="L1408" s="102" t="b">
        <v>0</v>
      </c>
    </row>
    <row r="1409" spans="1:12" ht="15">
      <c r="A1409" s="104" t="s">
        <v>2394</v>
      </c>
      <c r="B1409" s="102" t="s">
        <v>2390</v>
      </c>
      <c r="C1409" s="102">
        <v>4</v>
      </c>
      <c r="D1409" s="106">
        <v>0.004196870953754778</v>
      </c>
      <c r="E1409" s="106">
        <v>2.477121254719662</v>
      </c>
      <c r="F1409" s="102" t="s">
        <v>2324</v>
      </c>
      <c r="G1409" s="102" t="b">
        <v>0</v>
      </c>
      <c r="H1409" s="102" t="b">
        <v>0</v>
      </c>
      <c r="I1409" s="102" t="b">
        <v>0</v>
      </c>
      <c r="J1409" s="102" t="b">
        <v>0</v>
      </c>
      <c r="K1409" s="102" t="b">
        <v>0</v>
      </c>
      <c r="L1409" s="102" t="b">
        <v>0</v>
      </c>
    </row>
    <row r="1410" spans="1:12" ht="15">
      <c r="A1410" s="104" t="s">
        <v>2390</v>
      </c>
      <c r="B1410" s="102" t="s">
        <v>2358</v>
      </c>
      <c r="C1410" s="102">
        <v>4</v>
      </c>
      <c r="D1410" s="106">
        <v>0.004196870953754778</v>
      </c>
      <c r="E1410" s="106">
        <v>1.6989700043360187</v>
      </c>
      <c r="F1410" s="102" t="s">
        <v>2324</v>
      </c>
      <c r="G1410" s="102" t="b">
        <v>0</v>
      </c>
      <c r="H1410" s="102" t="b">
        <v>0</v>
      </c>
      <c r="I1410" s="102" t="b">
        <v>0</v>
      </c>
      <c r="J1410" s="102" t="b">
        <v>0</v>
      </c>
      <c r="K1410" s="102" t="b">
        <v>0</v>
      </c>
      <c r="L1410" s="102" t="b">
        <v>0</v>
      </c>
    </row>
    <row r="1411" spans="1:12" ht="15">
      <c r="A1411" s="104" t="s">
        <v>2541</v>
      </c>
      <c r="B1411" s="102" t="s">
        <v>2579</v>
      </c>
      <c r="C1411" s="102">
        <v>4</v>
      </c>
      <c r="D1411" s="106">
        <v>0.004196870953754778</v>
      </c>
      <c r="E1411" s="106">
        <v>2.477121254719662</v>
      </c>
      <c r="F1411" s="102" t="s">
        <v>2324</v>
      </c>
      <c r="G1411" s="102" t="b">
        <v>0</v>
      </c>
      <c r="H1411" s="102" t="b">
        <v>0</v>
      </c>
      <c r="I1411" s="102" t="b">
        <v>0</v>
      </c>
      <c r="J1411" s="102" t="b">
        <v>1</v>
      </c>
      <c r="K1411" s="102" t="b">
        <v>0</v>
      </c>
      <c r="L1411" s="102" t="b">
        <v>0</v>
      </c>
    </row>
    <row r="1412" spans="1:12" ht="15">
      <c r="A1412" s="104" t="s">
        <v>2579</v>
      </c>
      <c r="B1412" s="102" t="s">
        <v>2580</v>
      </c>
      <c r="C1412" s="102">
        <v>4</v>
      </c>
      <c r="D1412" s="106">
        <v>0.004196870953754778</v>
      </c>
      <c r="E1412" s="106">
        <v>2.477121254719662</v>
      </c>
      <c r="F1412" s="102" t="s">
        <v>2324</v>
      </c>
      <c r="G1412" s="102" t="b">
        <v>1</v>
      </c>
      <c r="H1412" s="102" t="b">
        <v>0</v>
      </c>
      <c r="I1412" s="102" t="b">
        <v>0</v>
      </c>
      <c r="J1412" s="102" t="b">
        <v>0</v>
      </c>
      <c r="K1412" s="102" t="b">
        <v>0</v>
      </c>
      <c r="L1412" s="102" t="b">
        <v>0</v>
      </c>
    </row>
    <row r="1413" spans="1:12" ht="15">
      <c r="A1413" s="104" t="s">
        <v>2412</v>
      </c>
      <c r="B1413" s="102" t="s">
        <v>2412</v>
      </c>
      <c r="C1413" s="102">
        <v>3</v>
      </c>
      <c r="D1413" s="106">
        <v>0.003147653215316084</v>
      </c>
      <c r="E1413" s="106">
        <v>2.0122344564170116</v>
      </c>
      <c r="F1413" s="102" t="s">
        <v>2324</v>
      </c>
      <c r="G1413" s="102" t="b">
        <v>0</v>
      </c>
      <c r="H1413" s="102" t="b">
        <v>0</v>
      </c>
      <c r="I1413" s="102" t="b">
        <v>0</v>
      </c>
      <c r="J1413" s="102" t="b">
        <v>0</v>
      </c>
      <c r="K1413" s="102" t="b">
        <v>0</v>
      </c>
      <c r="L1413" s="102" t="b">
        <v>0</v>
      </c>
    </row>
    <row r="1414" spans="1:12" ht="15">
      <c r="A1414" s="104" t="s">
        <v>2440</v>
      </c>
      <c r="B1414" s="102" t="s">
        <v>2349</v>
      </c>
      <c r="C1414" s="102">
        <v>3</v>
      </c>
      <c r="D1414" s="106">
        <v>0.003147653215316084</v>
      </c>
      <c r="E1414" s="106">
        <v>1.1549019599857433</v>
      </c>
      <c r="F1414" s="102" t="s">
        <v>2324</v>
      </c>
      <c r="G1414" s="102" t="b">
        <v>0</v>
      </c>
      <c r="H1414" s="102" t="b">
        <v>0</v>
      </c>
      <c r="I1414" s="102" t="b">
        <v>0</v>
      </c>
      <c r="J1414" s="102" t="b">
        <v>0</v>
      </c>
      <c r="K1414" s="102" t="b">
        <v>0</v>
      </c>
      <c r="L1414" s="102" t="b">
        <v>0</v>
      </c>
    </row>
    <row r="1415" spans="1:12" ht="15">
      <c r="A1415" s="104" t="s">
        <v>2362</v>
      </c>
      <c r="B1415" s="102" t="s">
        <v>2350</v>
      </c>
      <c r="C1415" s="102">
        <v>3</v>
      </c>
      <c r="D1415" s="106">
        <v>0.003147653215316084</v>
      </c>
      <c r="E1415" s="106">
        <v>1.3309932190414244</v>
      </c>
      <c r="F1415" s="102" t="s">
        <v>2324</v>
      </c>
      <c r="G1415" s="102" t="b">
        <v>0</v>
      </c>
      <c r="H1415" s="102" t="b">
        <v>0</v>
      </c>
      <c r="I1415" s="102" t="b">
        <v>0</v>
      </c>
      <c r="J1415" s="102" t="b">
        <v>0</v>
      </c>
      <c r="K1415" s="102" t="b">
        <v>0</v>
      </c>
      <c r="L1415" s="102" t="b">
        <v>0</v>
      </c>
    </row>
    <row r="1416" spans="1:12" ht="15">
      <c r="A1416" s="104" t="s">
        <v>2409</v>
      </c>
      <c r="B1416" s="102" t="s">
        <v>2351</v>
      </c>
      <c r="C1416" s="102">
        <v>3</v>
      </c>
      <c r="D1416" s="106">
        <v>0.0038759515919224896</v>
      </c>
      <c r="E1416" s="106">
        <v>1.2041199826559248</v>
      </c>
      <c r="F1416" s="102" t="s">
        <v>2324</v>
      </c>
      <c r="G1416" s="102" t="b">
        <v>0</v>
      </c>
      <c r="H1416" s="102" t="b">
        <v>0</v>
      </c>
      <c r="I1416" s="102" t="b">
        <v>0</v>
      </c>
      <c r="J1416" s="102" t="b">
        <v>0</v>
      </c>
      <c r="K1416" s="102" t="b">
        <v>0</v>
      </c>
      <c r="L1416" s="102" t="b">
        <v>0</v>
      </c>
    </row>
    <row r="1417" spans="1:12" ht="15">
      <c r="A1417" s="104" t="s">
        <v>2362</v>
      </c>
      <c r="B1417" s="102" t="s">
        <v>2351</v>
      </c>
      <c r="C1417" s="102">
        <v>3</v>
      </c>
      <c r="D1417" s="106">
        <v>0.0038759515919224896</v>
      </c>
      <c r="E1417" s="106">
        <v>1.255272505103306</v>
      </c>
      <c r="F1417" s="102" t="s">
        <v>2324</v>
      </c>
      <c r="G1417" s="102" t="b">
        <v>0</v>
      </c>
      <c r="H1417" s="102" t="b">
        <v>0</v>
      </c>
      <c r="I1417" s="102" t="b">
        <v>0</v>
      </c>
      <c r="J1417" s="102" t="b">
        <v>0</v>
      </c>
      <c r="K1417" s="102" t="b">
        <v>0</v>
      </c>
      <c r="L1417" s="102" t="b">
        <v>0</v>
      </c>
    </row>
    <row r="1418" spans="1:12" ht="15">
      <c r="A1418" s="104" t="s">
        <v>2587</v>
      </c>
      <c r="B1418" s="102" t="s">
        <v>2470</v>
      </c>
      <c r="C1418" s="102">
        <v>3</v>
      </c>
      <c r="D1418" s="106">
        <v>0.0038759515919224896</v>
      </c>
      <c r="E1418" s="106">
        <v>2.3010299956639813</v>
      </c>
      <c r="F1418" s="102" t="s">
        <v>2324</v>
      </c>
      <c r="G1418" s="102" t="b">
        <v>0</v>
      </c>
      <c r="H1418" s="102" t="b">
        <v>0</v>
      </c>
      <c r="I1418" s="102" t="b">
        <v>0</v>
      </c>
      <c r="J1418" s="102" t="b">
        <v>0</v>
      </c>
      <c r="K1418" s="102" t="b">
        <v>0</v>
      </c>
      <c r="L1418" s="102" t="b">
        <v>0</v>
      </c>
    </row>
    <row r="1419" spans="1:12" ht="15">
      <c r="A1419" s="104" t="s">
        <v>2403</v>
      </c>
      <c r="B1419" s="102" t="s">
        <v>2357</v>
      </c>
      <c r="C1419" s="102">
        <v>3</v>
      </c>
      <c r="D1419" s="106">
        <v>0.002721625975665242</v>
      </c>
      <c r="E1419" s="106">
        <v>1.4735171304508372</v>
      </c>
      <c r="F1419" s="102" t="s">
        <v>2324</v>
      </c>
      <c r="G1419" s="102" t="b">
        <v>0</v>
      </c>
      <c r="H1419" s="102" t="b">
        <v>0</v>
      </c>
      <c r="I1419" s="102" t="b">
        <v>0</v>
      </c>
      <c r="J1419" s="102" t="b">
        <v>0</v>
      </c>
      <c r="K1419" s="102" t="b">
        <v>0</v>
      </c>
      <c r="L1419" s="102" t="b">
        <v>0</v>
      </c>
    </row>
    <row r="1420" spans="1:12" ht="15">
      <c r="A1420" s="104" t="s">
        <v>2441</v>
      </c>
      <c r="B1420" s="102" t="s">
        <v>2559</v>
      </c>
      <c r="C1420" s="102">
        <v>3</v>
      </c>
      <c r="D1420" s="106">
        <v>0.0038759515919224896</v>
      </c>
      <c r="E1420" s="106">
        <v>2.6020599913279625</v>
      </c>
      <c r="F1420" s="102" t="s">
        <v>2324</v>
      </c>
      <c r="G1420" s="102" t="b">
        <v>0</v>
      </c>
      <c r="H1420" s="102" t="b">
        <v>1</v>
      </c>
      <c r="I1420" s="102" t="b">
        <v>0</v>
      </c>
      <c r="J1420" s="102" t="b">
        <v>0</v>
      </c>
      <c r="K1420" s="102" t="b">
        <v>0</v>
      </c>
      <c r="L1420" s="102" t="b">
        <v>0</v>
      </c>
    </row>
    <row r="1421" spans="1:12" ht="15">
      <c r="A1421" s="104" t="s">
        <v>2403</v>
      </c>
      <c r="B1421" s="102" t="s">
        <v>2354</v>
      </c>
      <c r="C1421" s="102">
        <v>3</v>
      </c>
      <c r="D1421" s="106">
        <v>0.003147653215316084</v>
      </c>
      <c r="E1421" s="106">
        <v>1.338818556553381</v>
      </c>
      <c r="F1421" s="102" t="s">
        <v>2324</v>
      </c>
      <c r="G1421" s="102" t="b">
        <v>0</v>
      </c>
      <c r="H1421" s="102" t="b">
        <v>0</v>
      </c>
      <c r="I1421" s="102" t="b">
        <v>0</v>
      </c>
      <c r="J1421" s="102" t="b">
        <v>0</v>
      </c>
      <c r="K1421" s="102" t="b">
        <v>0</v>
      </c>
      <c r="L1421" s="102" t="b">
        <v>0</v>
      </c>
    </row>
    <row r="1422" spans="1:12" ht="15">
      <c r="A1422" s="104" t="s">
        <v>2476</v>
      </c>
      <c r="B1422" s="102" t="s">
        <v>2399</v>
      </c>
      <c r="C1422" s="102">
        <v>3</v>
      </c>
      <c r="D1422" s="106">
        <v>0.0038759515919224896</v>
      </c>
      <c r="E1422" s="106">
        <v>1.8239087409443189</v>
      </c>
      <c r="F1422" s="102" t="s">
        <v>2324</v>
      </c>
      <c r="G1422" s="102" t="b">
        <v>0</v>
      </c>
      <c r="H1422" s="102" t="b">
        <v>1</v>
      </c>
      <c r="I1422" s="102" t="b">
        <v>0</v>
      </c>
      <c r="J1422" s="102" t="b">
        <v>0</v>
      </c>
      <c r="K1422" s="102" t="b">
        <v>0</v>
      </c>
      <c r="L1422" s="102" t="b">
        <v>0</v>
      </c>
    </row>
    <row r="1423" spans="1:12" ht="15">
      <c r="A1423" s="104" t="s">
        <v>2955</v>
      </c>
      <c r="B1423" s="102" t="s">
        <v>2956</v>
      </c>
      <c r="C1423" s="102">
        <v>3</v>
      </c>
      <c r="D1423" s="106">
        <v>0.0038759515919224896</v>
      </c>
      <c r="E1423" s="106">
        <v>2.6020599913279625</v>
      </c>
      <c r="F1423" s="102" t="s">
        <v>2324</v>
      </c>
      <c r="G1423" s="102" t="b">
        <v>0</v>
      </c>
      <c r="H1423" s="102" t="b">
        <v>0</v>
      </c>
      <c r="I1423" s="102" t="b">
        <v>0</v>
      </c>
      <c r="J1423" s="102" t="b">
        <v>0</v>
      </c>
      <c r="K1423" s="102" t="b">
        <v>0</v>
      </c>
      <c r="L1423" s="102" t="b">
        <v>0</v>
      </c>
    </row>
    <row r="1424" spans="1:12" ht="15">
      <c r="A1424" s="104" t="s">
        <v>2516</v>
      </c>
      <c r="B1424" s="102" t="s">
        <v>2516</v>
      </c>
      <c r="C1424" s="102">
        <v>3</v>
      </c>
      <c r="D1424" s="106">
        <v>0.0038759515919224896</v>
      </c>
      <c r="E1424" s="106">
        <v>2.3521825181113623</v>
      </c>
      <c r="F1424" s="102" t="s">
        <v>2324</v>
      </c>
      <c r="G1424" s="102" t="b">
        <v>0</v>
      </c>
      <c r="H1424" s="102" t="b">
        <v>0</v>
      </c>
      <c r="I1424" s="102" t="b">
        <v>0</v>
      </c>
      <c r="J1424" s="102" t="b">
        <v>0</v>
      </c>
      <c r="K1424" s="102" t="b">
        <v>0</v>
      </c>
      <c r="L1424" s="102" t="b">
        <v>0</v>
      </c>
    </row>
    <row r="1425" spans="1:12" ht="15">
      <c r="A1425" s="104" t="s">
        <v>2381</v>
      </c>
      <c r="B1425" s="102" t="s">
        <v>2399</v>
      </c>
      <c r="C1425" s="102">
        <v>3</v>
      </c>
      <c r="D1425" s="106">
        <v>0.0038759515919224896</v>
      </c>
      <c r="E1425" s="106">
        <v>1.3467874862246563</v>
      </c>
      <c r="F1425" s="102" t="s">
        <v>2324</v>
      </c>
      <c r="G1425" s="102" t="b">
        <v>0</v>
      </c>
      <c r="H1425" s="102" t="b">
        <v>0</v>
      </c>
      <c r="I1425" s="102" t="b">
        <v>0</v>
      </c>
      <c r="J1425" s="102" t="b">
        <v>0</v>
      </c>
      <c r="K1425" s="102" t="b">
        <v>0</v>
      </c>
      <c r="L1425" s="102" t="b">
        <v>0</v>
      </c>
    </row>
    <row r="1426" spans="1:12" ht="15">
      <c r="A1426" s="104" t="s">
        <v>2349</v>
      </c>
      <c r="B1426" s="102" t="s">
        <v>2350</v>
      </c>
      <c r="C1426" s="102">
        <v>3</v>
      </c>
      <c r="D1426" s="106">
        <v>0.003147653215316084</v>
      </c>
      <c r="E1426" s="106">
        <v>0.7155692661554804</v>
      </c>
      <c r="F1426" s="102" t="s">
        <v>2324</v>
      </c>
      <c r="G1426" s="102" t="b">
        <v>0</v>
      </c>
      <c r="H1426" s="102" t="b">
        <v>0</v>
      </c>
      <c r="I1426" s="102" t="b">
        <v>0</v>
      </c>
      <c r="J1426" s="102" t="b">
        <v>0</v>
      </c>
      <c r="K1426" s="102" t="b">
        <v>0</v>
      </c>
      <c r="L1426" s="102" t="b">
        <v>0</v>
      </c>
    </row>
    <row r="1427" spans="1:12" ht="15">
      <c r="A1427" s="104" t="s">
        <v>2349</v>
      </c>
      <c r="B1427" s="102" t="s">
        <v>2358</v>
      </c>
      <c r="C1427" s="102">
        <v>3</v>
      </c>
      <c r="D1427" s="106">
        <v>0.0038759515919224896</v>
      </c>
      <c r="E1427" s="106">
        <v>0.6575773191777937</v>
      </c>
      <c r="F1427" s="102" t="s">
        <v>2324</v>
      </c>
      <c r="G1427" s="102" t="b">
        <v>0</v>
      </c>
      <c r="H1427" s="102" t="b">
        <v>0</v>
      </c>
      <c r="I1427" s="102" t="b">
        <v>0</v>
      </c>
      <c r="J1427" s="102" t="b">
        <v>0</v>
      </c>
      <c r="K1427" s="102" t="b">
        <v>0</v>
      </c>
      <c r="L1427" s="102" t="b">
        <v>0</v>
      </c>
    </row>
    <row r="1428" spans="1:12" ht="15">
      <c r="A1428" s="104" t="s">
        <v>1884</v>
      </c>
      <c r="B1428" s="102" t="s">
        <v>2370</v>
      </c>
      <c r="C1428" s="102">
        <v>3</v>
      </c>
      <c r="D1428" s="106">
        <v>0.0038759515919224896</v>
      </c>
      <c r="E1428" s="106">
        <v>1.664207898076807</v>
      </c>
      <c r="F1428" s="102" t="s">
        <v>2324</v>
      </c>
      <c r="G1428" s="102" t="b">
        <v>0</v>
      </c>
      <c r="H1428" s="102" t="b">
        <v>0</v>
      </c>
      <c r="I1428" s="102" t="b">
        <v>0</v>
      </c>
      <c r="J1428" s="102" t="b">
        <v>0</v>
      </c>
      <c r="K1428" s="102" t="b">
        <v>0</v>
      </c>
      <c r="L1428" s="102" t="b">
        <v>0</v>
      </c>
    </row>
    <row r="1429" spans="1:12" ht="15">
      <c r="A1429" s="104" t="s">
        <v>2631</v>
      </c>
      <c r="B1429" s="102" t="s">
        <v>2442</v>
      </c>
      <c r="C1429" s="102">
        <v>3</v>
      </c>
      <c r="D1429" s="106">
        <v>0.0038759515919224896</v>
      </c>
      <c r="E1429" s="106">
        <v>2.4771212547196626</v>
      </c>
      <c r="F1429" s="102" t="s">
        <v>2324</v>
      </c>
      <c r="G1429" s="102" t="b">
        <v>0</v>
      </c>
      <c r="H1429" s="102" t="b">
        <v>0</v>
      </c>
      <c r="I1429" s="102" t="b">
        <v>0</v>
      </c>
      <c r="J1429" s="102" t="b">
        <v>0</v>
      </c>
      <c r="K1429" s="102" t="b">
        <v>0</v>
      </c>
      <c r="L1429" s="102" t="b">
        <v>0</v>
      </c>
    </row>
    <row r="1430" spans="1:12" ht="15">
      <c r="A1430" s="104" t="s">
        <v>2363</v>
      </c>
      <c r="B1430" s="102" t="s">
        <v>2352</v>
      </c>
      <c r="C1430" s="102">
        <v>3</v>
      </c>
      <c r="D1430" s="106">
        <v>0.003147653215316084</v>
      </c>
      <c r="E1430" s="106">
        <v>1.3521825181113625</v>
      </c>
      <c r="F1430" s="102" t="s">
        <v>2324</v>
      </c>
      <c r="G1430" s="102" t="b">
        <v>0</v>
      </c>
      <c r="H1430" s="102" t="b">
        <v>0</v>
      </c>
      <c r="I1430" s="102" t="b">
        <v>0</v>
      </c>
      <c r="J1430" s="102" t="b">
        <v>0</v>
      </c>
      <c r="K1430" s="102" t="b">
        <v>0</v>
      </c>
      <c r="L1430" s="102" t="b">
        <v>0</v>
      </c>
    </row>
    <row r="1431" spans="1:12" ht="15">
      <c r="A1431" s="104" t="s">
        <v>2943</v>
      </c>
      <c r="B1431" s="102" t="s">
        <v>2375</v>
      </c>
      <c r="C1431" s="102">
        <v>3</v>
      </c>
      <c r="D1431" s="106">
        <v>0.002721625975665242</v>
      </c>
      <c r="E1431" s="106">
        <v>1.5878195522133522</v>
      </c>
      <c r="F1431" s="102" t="s">
        <v>2324</v>
      </c>
      <c r="G1431" s="102" t="b">
        <v>0</v>
      </c>
      <c r="H1431" s="102" t="b">
        <v>0</v>
      </c>
      <c r="I1431" s="102" t="b">
        <v>0</v>
      </c>
      <c r="J1431" s="102" t="b">
        <v>0</v>
      </c>
      <c r="K1431" s="102" t="b">
        <v>0</v>
      </c>
      <c r="L1431" s="102" t="b">
        <v>0</v>
      </c>
    </row>
    <row r="1432" spans="1:12" ht="15">
      <c r="A1432" s="104" t="s">
        <v>2375</v>
      </c>
      <c r="B1432" s="102" t="s">
        <v>2944</v>
      </c>
      <c r="C1432" s="102">
        <v>3</v>
      </c>
      <c r="D1432" s="106">
        <v>0.002721625975665242</v>
      </c>
      <c r="E1432" s="106">
        <v>1.6020599913279623</v>
      </c>
      <c r="F1432" s="102" t="s">
        <v>2324</v>
      </c>
      <c r="G1432" s="102" t="b">
        <v>0</v>
      </c>
      <c r="H1432" s="102" t="b">
        <v>0</v>
      </c>
      <c r="I1432" s="102" t="b">
        <v>0</v>
      </c>
      <c r="J1432" s="102" t="b">
        <v>0</v>
      </c>
      <c r="K1432" s="102" t="b">
        <v>0</v>
      </c>
      <c r="L1432" s="102" t="b">
        <v>0</v>
      </c>
    </row>
    <row r="1433" spans="1:12" ht="15">
      <c r="A1433" s="104" t="s">
        <v>2944</v>
      </c>
      <c r="B1433" s="102" t="s">
        <v>2945</v>
      </c>
      <c r="C1433" s="102">
        <v>3</v>
      </c>
      <c r="D1433" s="106">
        <v>0.002721625975665242</v>
      </c>
      <c r="E1433" s="106">
        <v>2.6020599913279625</v>
      </c>
      <c r="F1433" s="102" t="s">
        <v>2324</v>
      </c>
      <c r="G1433" s="102" t="b">
        <v>0</v>
      </c>
      <c r="H1433" s="102" t="b">
        <v>0</v>
      </c>
      <c r="I1433" s="102" t="b">
        <v>0</v>
      </c>
      <c r="J1433" s="102" t="b">
        <v>0</v>
      </c>
      <c r="K1433" s="102" t="b">
        <v>0</v>
      </c>
      <c r="L1433" s="102" t="b">
        <v>0</v>
      </c>
    </row>
    <row r="1434" spans="1:12" ht="15">
      <c r="A1434" s="104" t="s">
        <v>2945</v>
      </c>
      <c r="B1434" s="102" t="s">
        <v>2375</v>
      </c>
      <c r="C1434" s="102">
        <v>3</v>
      </c>
      <c r="D1434" s="106">
        <v>0.002721625975665242</v>
      </c>
      <c r="E1434" s="106">
        <v>1.5878195522133522</v>
      </c>
      <c r="F1434" s="102" t="s">
        <v>2324</v>
      </c>
      <c r="G1434" s="102" t="b">
        <v>0</v>
      </c>
      <c r="H1434" s="102" t="b">
        <v>0</v>
      </c>
      <c r="I1434" s="102" t="b">
        <v>0</v>
      </c>
      <c r="J1434" s="102" t="b">
        <v>0</v>
      </c>
      <c r="K1434" s="102" t="b">
        <v>0</v>
      </c>
      <c r="L1434" s="102" t="b">
        <v>0</v>
      </c>
    </row>
    <row r="1435" spans="1:12" ht="15">
      <c r="A1435" s="104" t="s">
        <v>2375</v>
      </c>
      <c r="B1435" s="102" t="s">
        <v>2942</v>
      </c>
      <c r="C1435" s="102">
        <v>3</v>
      </c>
      <c r="D1435" s="106">
        <v>0.002721625975665242</v>
      </c>
      <c r="E1435" s="106">
        <v>1.6020599913279623</v>
      </c>
      <c r="F1435" s="102" t="s">
        <v>2324</v>
      </c>
      <c r="G1435" s="102" t="b">
        <v>0</v>
      </c>
      <c r="H1435" s="102" t="b">
        <v>0</v>
      </c>
      <c r="I1435" s="102" t="b">
        <v>0</v>
      </c>
      <c r="J1435" s="102" t="b">
        <v>0</v>
      </c>
      <c r="K1435" s="102" t="b">
        <v>0</v>
      </c>
      <c r="L1435" s="102" t="b">
        <v>0</v>
      </c>
    </row>
    <row r="1436" spans="1:12" ht="15">
      <c r="A1436" s="104" t="s">
        <v>2942</v>
      </c>
      <c r="B1436" s="102" t="s">
        <v>2375</v>
      </c>
      <c r="C1436" s="102">
        <v>3</v>
      </c>
      <c r="D1436" s="106">
        <v>0.002721625975665242</v>
      </c>
      <c r="E1436" s="106">
        <v>1.5878195522133522</v>
      </c>
      <c r="F1436" s="102" t="s">
        <v>2324</v>
      </c>
      <c r="G1436" s="102" t="b">
        <v>0</v>
      </c>
      <c r="H1436" s="102" t="b">
        <v>0</v>
      </c>
      <c r="I1436" s="102" t="b">
        <v>0</v>
      </c>
      <c r="J1436" s="102" t="b">
        <v>0</v>
      </c>
      <c r="K1436" s="102" t="b">
        <v>0</v>
      </c>
      <c r="L1436" s="102" t="b">
        <v>0</v>
      </c>
    </row>
    <row r="1437" spans="1:12" ht="15">
      <c r="A1437" s="104" t="s">
        <v>2502</v>
      </c>
      <c r="B1437" s="102" t="s">
        <v>2947</v>
      </c>
      <c r="C1437" s="102">
        <v>3</v>
      </c>
      <c r="D1437" s="106">
        <v>0.0038759515919224896</v>
      </c>
      <c r="E1437" s="106">
        <v>2.0791812460476247</v>
      </c>
      <c r="F1437" s="102" t="s">
        <v>2324</v>
      </c>
      <c r="G1437" s="102" t="b">
        <v>0</v>
      </c>
      <c r="H1437" s="102" t="b">
        <v>0</v>
      </c>
      <c r="I1437" s="102" t="b">
        <v>0</v>
      </c>
      <c r="J1437" s="102" t="b">
        <v>0</v>
      </c>
      <c r="K1437" s="102" t="b">
        <v>0</v>
      </c>
      <c r="L1437" s="102" t="b">
        <v>0</v>
      </c>
    </row>
    <row r="1438" spans="1:12" ht="15">
      <c r="A1438" s="104" t="s">
        <v>2351</v>
      </c>
      <c r="B1438" s="102" t="s">
        <v>2440</v>
      </c>
      <c r="C1438" s="102">
        <v>2</v>
      </c>
      <c r="D1438" s="106">
        <v>0.002583967727948326</v>
      </c>
      <c r="E1438" s="106">
        <v>1.1870866433571445</v>
      </c>
      <c r="F1438" s="102" t="s">
        <v>2324</v>
      </c>
      <c r="G1438" s="102" t="b">
        <v>0</v>
      </c>
      <c r="H1438" s="102" t="b">
        <v>0</v>
      </c>
      <c r="I1438" s="102" t="b">
        <v>0</v>
      </c>
      <c r="J1438" s="102" t="b">
        <v>0</v>
      </c>
      <c r="K1438" s="102" t="b">
        <v>0</v>
      </c>
      <c r="L1438" s="102" t="b">
        <v>0</v>
      </c>
    </row>
    <row r="1439" spans="1:12" ht="15">
      <c r="A1439" s="104" t="s">
        <v>2349</v>
      </c>
      <c r="B1439" s="102" t="s">
        <v>2440</v>
      </c>
      <c r="C1439" s="102">
        <v>2</v>
      </c>
      <c r="D1439" s="106">
        <v>0.002098435476877389</v>
      </c>
      <c r="E1439" s="106">
        <v>1.083546051450075</v>
      </c>
      <c r="F1439" s="102" t="s">
        <v>2324</v>
      </c>
      <c r="G1439" s="102" t="b">
        <v>0</v>
      </c>
      <c r="H1439" s="102" t="b">
        <v>0</v>
      </c>
      <c r="I1439" s="102" t="b">
        <v>0</v>
      </c>
      <c r="J1439" s="102" t="b">
        <v>0</v>
      </c>
      <c r="K1439" s="102" t="b">
        <v>0</v>
      </c>
      <c r="L1439" s="102" t="b">
        <v>0</v>
      </c>
    </row>
    <row r="1440" spans="1:12" ht="15">
      <c r="A1440" s="104" t="s">
        <v>2349</v>
      </c>
      <c r="B1440" s="102" t="s">
        <v>2348</v>
      </c>
      <c r="C1440" s="102">
        <v>2</v>
      </c>
      <c r="D1440" s="106">
        <v>0.002098435476877389</v>
      </c>
      <c r="E1440" s="106">
        <v>0.6312483804554446</v>
      </c>
      <c r="F1440" s="102" t="s">
        <v>2324</v>
      </c>
      <c r="G1440" s="102" t="b">
        <v>0</v>
      </c>
      <c r="H1440" s="102" t="b">
        <v>0</v>
      </c>
      <c r="I1440" s="102" t="b">
        <v>0</v>
      </c>
      <c r="J1440" s="102" t="b">
        <v>0</v>
      </c>
      <c r="K1440" s="102" t="b">
        <v>0</v>
      </c>
      <c r="L1440" s="102" t="b">
        <v>0</v>
      </c>
    </row>
    <row r="1441" spans="1:12" ht="15">
      <c r="A1441" s="104" t="s">
        <v>2573</v>
      </c>
      <c r="B1441" s="102" t="s">
        <v>2362</v>
      </c>
      <c r="C1441" s="102">
        <v>2</v>
      </c>
      <c r="D1441" s="106">
        <v>0.002583967727948326</v>
      </c>
      <c r="E1441" s="106">
        <v>2</v>
      </c>
      <c r="F1441" s="102" t="s">
        <v>2324</v>
      </c>
      <c r="G1441" s="102" t="b">
        <v>0</v>
      </c>
      <c r="H1441" s="102" t="b">
        <v>0</v>
      </c>
      <c r="I1441" s="102" t="b">
        <v>0</v>
      </c>
      <c r="J1441" s="102" t="b">
        <v>0</v>
      </c>
      <c r="K1441" s="102" t="b">
        <v>0</v>
      </c>
      <c r="L1441" s="102" t="b">
        <v>0</v>
      </c>
    </row>
    <row r="1442" spans="1:12" ht="15">
      <c r="A1442" s="104" t="s">
        <v>2351</v>
      </c>
      <c r="B1442" s="102" t="s">
        <v>2573</v>
      </c>
      <c r="C1442" s="102">
        <v>2</v>
      </c>
      <c r="D1442" s="106">
        <v>0.002583967727948326</v>
      </c>
      <c r="E1442" s="106">
        <v>1.4881166390211256</v>
      </c>
      <c r="F1442" s="102" t="s">
        <v>2324</v>
      </c>
      <c r="G1442" s="102" t="b">
        <v>0</v>
      </c>
      <c r="H1442" s="102" t="b">
        <v>0</v>
      </c>
      <c r="I1442" s="102" t="b">
        <v>0</v>
      </c>
      <c r="J1442" s="102" t="b">
        <v>0</v>
      </c>
      <c r="K1442" s="102" t="b">
        <v>0</v>
      </c>
      <c r="L1442" s="102" t="b">
        <v>0</v>
      </c>
    </row>
    <row r="1443" spans="1:12" ht="15">
      <c r="A1443" s="104" t="s">
        <v>3355</v>
      </c>
      <c r="B1443" s="102" t="s">
        <v>2351</v>
      </c>
      <c r="C1443" s="102">
        <v>2</v>
      </c>
      <c r="D1443" s="106">
        <v>0.002583967727948326</v>
      </c>
      <c r="E1443" s="106">
        <v>1.6812412373755872</v>
      </c>
      <c r="F1443" s="102" t="s">
        <v>2324</v>
      </c>
      <c r="G1443" s="102" t="b">
        <v>0</v>
      </c>
      <c r="H1443" s="102" t="b">
        <v>0</v>
      </c>
      <c r="I1443" s="102" t="b">
        <v>0</v>
      </c>
      <c r="J1443" s="102" t="b">
        <v>0</v>
      </c>
      <c r="K1443" s="102" t="b">
        <v>0</v>
      </c>
      <c r="L1443" s="102" t="b">
        <v>0</v>
      </c>
    </row>
    <row r="1444" spans="1:12" ht="15">
      <c r="A1444" s="104" t="s">
        <v>2351</v>
      </c>
      <c r="B1444" s="102" t="s">
        <v>2362</v>
      </c>
      <c r="C1444" s="102">
        <v>2</v>
      </c>
      <c r="D1444" s="106">
        <v>0.002583967727948326</v>
      </c>
      <c r="E1444" s="106">
        <v>1.0621479067488444</v>
      </c>
      <c r="F1444" s="102" t="s">
        <v>2324</v>
      </c>
      <c r="G1444" s="102" t="b">
        <v>0</v>
      </c>
      <c r="H1444" s="102" t="b">
        <v>0</v>
      </c>
      <c r="I1444" s="102" t="b">
        <v>0</v>
      </c>
      <c r="J1444" s="102" t="b">
        <v>0</v>
      </c>
      <c r="K1444" s="102" t="b">
        <v>0</v>
      </c>
      <c r="L1444" s="102" t="b">
        <v>0</v>
      </c>
    </row>
    <row r="1445" spans="1:12" ht="15">
      <c r="A1445" s="104" t="s">
        <v>2470</v>
      </c>
      <c r="B1445" s="102" t="s">
        <v>2443</v>
      </c>
      <c r="C1445" s="102">
        <v>2</v>
      </c>
      <c r="D1445" s="106">
        <v>0.002583967727948326</v>
      </c>
      <c r="E1445" s="106">
        <v>2.3010299956639813</v>
      </c>
      <c r="F1445" s="102" t="s">
        <v>2324</v>
      </c>
      <c r="G1445" s="102" t="b">
        <v>0</v>
      </c>
      <c r="H1445" s="102" t="b">
        <v>0</v>
      </c>
      <c r="I1445" s="102" t="b">
        <v>0</v>
      </c>
      <c r="J1445" s="102" t="b">
        <v>0</v>
      </c>
      <c r="K1445" s="102" t="b">
        <v>0</v>
      </c>
      <c r="L1445" s="102" t="b">
        <v>0</v>
      </c>
    </row>
    <row r="1446" spans="1:12" ht="15">
      <c r="A1446" s="104" t="s">
        <v>2443</v>
      </c>
      <c r="B1446" s="102" t="s">
        <v>2587</v>
      </c>
      <c r="C1446" s="102">
        <v>2</v>
      </c>
      <c r="D1446" s="106">
        <v>0.002583967727948326</v>
      </c>
      <c r="E1446" s="106">
        <v>2.6020599913279625</v>
      </c>
      <c r="F1446" s="102" t="s">
        <v>2324</v>
      </c>
      <c r="G1446" s="102" t="b">
        <v>0</v>
      </c>
      <c r="H1446" s="102" t="b">
        <v>0</v>
      </c>
      <c r="I1446" s="102" t="b">
        <v>0</v>
      </c>
      <c r="J1446" s="102" t="b">
        <v>0</v>
      </c>
      <c r="K1446" s="102" t="b">
        <v>0</v>
      </c>
      <c r="L1446" s="102" t="b">
        <v>0</v>
      </c>
    </row>
    <row r="1447" spans="1:12" ht="15">
      <c r="A1447" s="104" t="s">
        <v>2470</v>
      </c>
      <c r="B1447" s="102" t="s">
        <v>2607</v>
      </c>
      <c r="C1447" s="102">
        <v>2</v>
      </c>
      <c r="D1447" s="106">
        <v>0.002583967727948326</v>
      </c>
      <c r="E1447" s="106">
        <v>2.3010299956639813</v>
      </c>
      <c r="F1447" s="102" t="s">
        <v>2324</v>
      </c>
      <c r="G1447" s="102" t="b">
        <v>0</v>
      </c>
      <c r="H1447" s="102" t="b">
        <v>0</v>
      </c>
      <c r="I1447" s="102" t="b">
        <v>0</v>
      </c>
      <c r="J1447" s="102" t="b">
        <v>0</v>
      </c>
      <c r="K1447" s="102" t="b">
        <v>0</v>
      </c>
      <c r="L1447" s="102" t="b">
        <v>0</v>
      </c>
    </row>
    <row r="1448" spans="1:12" ht="15">
      <c r="A1448" s="104" t="s">
        <v>2598</v>
      </c>
      <c r="B1448" s="102" t="s">
        <v>2455</v>
      </c>
      <c r="C1448" s="102">
        <v>2</v>
      </c>
      <c r="D1448" s="106">
        <v>0.002098435476877389</v>
      </c>
      <c r="E1448" s="106">
        <v>2.7781512503836434</v>
      </c>
      <c r="F1448" s="102" t="s">
        <v>2324</v>
      </c>
      <c r="G1448" s="102" t="b">
        <v>0</v>
      </c>
      <c r="H1448" s="102" t="b">
        <v>0</v>
      </c>
      <c r="I1448" s="102" t="b">
        <v>0</v>
      </c>
      <c r="J1448" s="102" t="b">
        <v>0</v>
      </c>
      <c r="K1448" s="102" t="b">
        <v>0</v>
      </c>
      <c r="L1448" s="102" t="b">
        <v>0</v>
      </c>
    </row>
    <row r="1449" spans="1:12" ht="15">
      <c r="A1449" s="104" t="s">
        <v>2434</v>
      </c>
      <c r="B1449" s="102" t="s">
        <v>2350</v>
      </c>
      <c r="C1449" s="102">
        <v>2</v>
      </c>
      <c r="D1449" s="106">
        <v>0.002098435476877389</v>
      </c>
      <c r="E1449" s="106">
        <v>1.5808706922580242</v>
      </c>
      <c r="F1449" s="102" t="s">
        <v>2324</v>
      </c>
      <c r="G1449" s="102" t="b">
        <v>0</v>
      </c>
      <c r="H1449" s="102" t="b">
        <v>0</v>
      </c>
      <c r="I1449" s="102" t="b">
        <v>0</v>
      </c>
      <c r="J1449" s="102" t="b">
        <v>0</v>
      </c>
      <c r="K1449" s="102" t="b">
        <v>0</v>
      </c>
      <c r="L1449" s="102" t="b">
        <v>0</v>
      </c>
    </row>
    <row r="1450" spans="1:12" ht="15">
      <c r="A1450" s="104" t="s">
        <v>2351</v>
      </c>
      <c r="B1450" s="102" t="s">
        <v>2348</v>
      </c>
      <c r="C1450" s="102">
        <v>2</v>
      </c>
      <c r="D1450" s="106">
        <v>0.002098435476877389</v>
      </c>
      <c r="E1450" s="106">
        <v>0.7347889723625142</v>
      </c>
      <c r="F1450" s="102" t="s">
        <v>2324</v>
      </c>
      <c r="G1450" s="102" t="b">
        <v>0</v>
      </c>
      <c r="H1450" s="102" t="b">
        <v>0</v>
      </c>
      <c r="I1450" s="102" t="b">
        <v>0</v>
      </c>
      <c r="J1450" s="102" t="b">
        <v>0</v>
      </c>
      <c r="K1450" s="102" t="b">
        <v>0</v>
      </c>
      <c r="L1450" s="102" t="b">
        <v>0</v>
      </c>
    </row>
    <row r="1451" spans="1:12" ht="15">
      <c r="A1451" s="104" t="s">
        <v>2350</v>
      </c>
      <c r="B1451" s="102" t="s">
        <v>2350</v>
      </c>
      <c r="C1451" s="102">
        <v>2</v>
      </c>
      <c r="D1451" s="106">
        <v>0.002583967727948326</v>
      </c>
      <c r="E1451" s="106">
        <v>0.6962641109600939</v>
      </c>
      <c r="F1451" s="102" t="s">
        <v>2324</v>
      </c>
      <c r="G1451" s="102" t="b">
        <v>0</v>
      </c>
      <c r="H1451" s="102" t="b">
        <v>0</v>
      </c>
      <c r="I1451" s="102" t="b">
        <v>0</v>
      </c>
      <c r="J1451" s="102" t="b">
        <v>0</v>
      </c>
      <c r="K1451" s="102" t="b">
        <v>0</v>
      </c>
      <c r="L1451" s="102" t="b">
        <v>0</v>
      </c>
    </row>
    <row r="1452" spans="1:12" ht="15">
      <c r="A1452" s="104" t="s">
        <v>2350</v>
      </c>
      <c r="B1452" s="102" t="s">
        <v>2383</v>
      </c>
      <c r="C1452" s="102">
        <v>2</v>
      </c>
      <c r="D1452" s="106">
        <v>0.002098435476877389</v>
      </c>
      <c r="E1452" s="106">
        <v>1.1153934187020698</v>
      </c>
      <c r="F1452" s="102" t="s">
        <v>2324</v>
      </c>
      <c r="G1452" s="102" t="b">
        <v>0</v>
      </c>
      <c r="H1452" s="102" t="b">
        <v>0</v>
      </c>
      <c r="I1452" s="102" t="b">
        <v>0</v>
      </c>
      <c r="J1452" s="102" t="b">
        <v>0</v>
      </c>
      <c r="K1452" s="102" t="b">
        <v>0</v>
      </c>
      <c r="L1452" s="102" t="b">
        <v>0</v>
      </c>
    </row>
    <row r="1453" spans="1:12" ht="15">
      <c r="A1453" s="104" t="s">
        <v>2354</v>
      </c>
      <c r="B1453" s="102" t="s">
        <v>2685</v>
      </c>
      <c r="C1453" s="102">
        <v>2</v>
      </c>
      <c r="D1453" s="106">
        <v>0.002098435476877389</v>
      </c>
      <c r="E1453" s="106">
        <v>1.7269987279362624</v>
      </c>
      <c r="F1453" s="102" t="s">
        <v>2324</v>
      </c>
      <c r="G1453" s="102" t="b">
        <v>0</v>
      </c>
      <c r="H1453" s="102" t="b">
        <v>0</v>
      </c>
      <c r="I1453" s="102" t="b">
        <v>0</v>
      </c>
      <c r="J1453" s="102" t="b">
        <v>0</v>
      </c>
      <c r="K1453" s="102" t="b">
        <v>0</v>
      </c>
      <c r="L1453" s="102" t="b">
        <v>0</v>
      </c>
    </row>
    <row r="1454" spans="1:12" ht="15">
      <c r="A1454" s="104" t="s">
        <v>3336</v>
      </c>
      <c r="B1454" s="102" t="s">
        <v>2354</v>
      </c>
      <c r="C1454" s="102">
        <v>2</v>
      </c>
      <c r="D1454" s="106">
        <v>0.002098435476877389</v>
      </c>
      <c r="E1454" s="106">
        <v>1.9030899869919435</v>
      </c>
      <c r="F1454" s="102" t="s">
        <v>2324</v>
      </c>
      <c r="G1454" s="102" t="b">
        <v>0</v>
      </c>
      <c r="H1454" s="102" t="b">
        <v>0</v>
      </c>
      <c r="I1454" s="102" t="b">
        <v>0</v>
      </c>
      <c r="J1454" s="102" t="b">
        <v>0</v>
      </c>
      <c r="K1454" s="102" t="b">
        <v>0</v>
      </c>
      <c r="L1454" s="102" t="b">
        <v>0</v>
      </c>
    </row>
    <row r="1455" spans="1:12" ht="15">
      <c r="A1455" s="104" t="s">
        <v>2354</v>
      </c>
      <c r="B1455" s="102" t="s">
        <v>2403</v>
      </c>
      <c r="C1455" s="102">
        <v>2</v>
      </c>
      <c r="D1455" s="106">
        <v>0.002098435476877389</v>
      </c>
      <c r="E1455" s="106">
        <v>1.3010299956639813</v>
      </c>
      <c r="F1455" s="102" t="s">
        <v>2324</v>
      </c>
      <c r="G1455" s="102" t="b">
        <v>0</v>
      </c>
      <c r="H1455" s="102" t="b">
        <v>0</v>
      </c>
      <c r="I1455" s="102" t="b">
        <v>0</v>
      </c>
      <c r="J1455" s="102" t="b">
        <v>0</v>
      </c>
      <c r="K1455" s="102" t="b">
        <v>0</v>
      </c>
      <c r="L1455" s="102" t="b">
        <v>0</v>
      </c>
    </row>
    <row r="1456" spans="1:12" ht="15">
      <c r="A1456" s="104" t="s">
        <v>3337</v>
      </c>
      <c r="B1456" s="102" t="s">
        <v>3338</v>
      </c>
      <c r="C1456" s="102">
        <v>2</v>
      </c>
      <c r="D1456" s="106">
        <v>0.002098435476877389</v>
      </c>
      <c r="E1456" s="106">
        <v>2.7781512503836434</v>
      </c>
      <c r="F1456" s="102" t="s">
        <v>2324</v>
      </c>
      <c r="G1456" s="102" t="b">
        <v>0</v>
      </c>
      <c r="H1456" s="102" t="b">
        <v>0</v>
      </c>
      <c r="I1456" s="102" t="b">
        <v>0</v>
      </c>
      <c r="J1456" s="102" t="b">
        <v>0</v>
      </c>
      <c r="K1456" s="102" t="b">
        <v>0</v>
      </c>
      <c r="L1456" s="102" t="b">
        <v>0</v>
      </c>
    </row>
    <row r="1457" spans="1:12" ht="15">
      <c r="A1457" s="104" t="s">
        <v>2399</v>
      </c>
      <c r="B1457" s="102" t="s">
        <v>2674</v>
      </c>
      <c r="C1457" s="102">
        <v>2</v>
      </c>
      <c r="D1457" s="106">
        <v>0.002583967727948326</v>
      </c>
      <c r="E1457" s="106">
        <v>1.848732324669351</v>
      </c>
      <c r="F1457" s="102" t="s">
        <v>2324</v>
      </c>
      <c r="G1457" s="102" t="b">
        <v>0</v>
      </c>
      <c r="H1457" s="102" t="b">
        <v>0</v>
      </c>
      <c r="I1457" s="102" t="b">
        <v>0</v>
      </c>
      <c r="J1457" s="102" t="b">
        <v>0</v>
      </c>
      <c r="K1457" s="102" t="b">
        <v>0</v>
      </c>
      <c r="L1457" s="102" t="b">
        <v>0</v>
      </c>
    </row>
    <row r="1458" spans="1:12" ht="15">
      <c r="A1458" s="104" t="s">
        <v>2585</v>
      </c>
      <c r="B1458" s="102" t="s">
        <v>2690</v>
      </c>
      <c r="C1458" s="102">
        <v>2</v>
      </c>
      <c r="D1458" s="106">
        <v>0.002583967727948326</v>
      </c>
      <c r="E1458" s="106">
        <v>1.933053210369387</v>
      </c>
      <c r="F1458" s="102" t="s">
        <v>2324</v>
      </c>
      <c r="G1458" s="102" t="b">
        <v>0</v>
      </c>
      <c r="H1458" s="102" t="b">
        <v>0</v>
      </c>
      <c r="I1458" s="102" t="b">
        <v>0</v>
      </c>
      <c r="J1458" s="102" t="b">
        <v>0</v>
      </c>
      <c r="K1458" s="102" t="b">
        <v>0</v>
      </c>
      <c r="L1458" s="102" t="b">
        <v>0</v>
      </c>
    </row>
    <row r="1459" spans="1:12" ht="15">
      <c r="A1459" s="104" t="s">
        <v>3349</v>
      </c>
      <c r="B1459" s="102" t="s">
        <v>3350</v>
      </c>
      <c r="C1459" s="102">
        <v>2</v>
      </c>
      <c r="D1459" s="106">
        <v>0.002583967727948326</v>
      </c>
      <c r="E1459" s="106">
        <v>2.7781512503836434</v>
      </c>
      <c r="F1459" s="102" t="s">
        <v>2324</v>
      </c>
      <c r="G1459" s="102" t="b">
        <v>0</v>
      </c>
      <c r="H1459" s="102" t="b">
        <v>0</v>
      </c>
      <c r="I1459" s="102" t="b">
        <v>0</v>
      </c>
      <c r="J1459" s="102" t="b">
        <v>0</v>
      </c>
      <c r="K1459" s="102" t="b">
        <v>0</v>
      </c>
      <c r="L1459" s="102" t="b">
        <v>0</v>
      </c>
    </row>
    <row r="1460" spans="1:12" ht="15">
      <c r="A1460" s="104" t="s">
        <v>3350</v>
      </c>
      <c r="B1460" s="102" t="s">
        <v>2515</v>
      </c>
      <c r="C1460" s="102">
        <v>2</v>
      </c>
      <c r="D1460" s="106">
        <v>0.002583967727948326</v>
      </c>
      <c r="E1460" s="106">
        <v>2.477121254719662</v>
      </c>
      <c r="F1460" s="102" t="s">
        <v>2324</v>
      </c>
      <c r="G1460" s="102" t="b">
        <v>0</v>
      </c>
      <c r="H1460" s="102" t="b">
        <v>0</v>
      </c>
      <c r="I1460" s="102" t="b">
        <v>0</v>
      </c>
      <c r="J1460" s="102" t="b">
        <v>0</v>
      </c>
      <c r="K1460" s="102" t="b">
        <v>0</v>
      </c>
      <c r="L1460" s="102" t="b">
        <v>0</v>
      </c>
    </row>
    <row r="1461" spans="1:12" ht="15">
      <c r="A1461" s="104" t="s">
        <v>2818</v>
      </c>
      <c r="B1461" s="102" t="s">
        <v>2779</v>
      </c>
      <c r="C1461" s="102">
        <v>2</v>
      </c>
      <c r="D1461" s="106">
        <v>0.002583967727948326</v>
      </c>
      <c r="E1461" s="106">
        <v>2.6020599913279625</v>
      </c>
      <c r="F1461" s="102" t="s">
        <v>2324</v>
      </c>
      <c r="G1461" s="102" t="b">
        <v>0</v>
      </c>
      <c r="H1461" s="102" t="b">
        <v>0</v>
      </c>
      <c r="I1461" s="102" t="b">
        <v>0</v>
      </c>
      <c r="J1461" s="102" t="b">
        <v>0</v>
      </c>
      <c r="K1461" s="102" t="b">
        <v>0</v>
      </c>
      <c r="L1461" s="102" t="b">
        <v>0</v>
      </c>
    </row>
    <row r="1462" spans="1:12" ht="15">
      <c r="A1462" s="104" t="s">
        <v>2582</v>
      </c>
      <c r="B1462" s="102" t="s">
        <v>2349</v>
      </c>
      <c r="C1462" s="102">
        <v>2</v>
      </c>
      <c r="D1462" s="106">
        <v>0.002583967727948326</v>
      </c>
      <c r="E1462" s="106">
        <v>1.0457574905606752</v>
      </c>
      <c r="F1462" s="102" t="s">
        <v>2324</v>
      </c>
      <c r="G1462" s="102" t="b">
        <v>0</v>
      </c>
      <c r="H1462" s="102" t="b">
        <v>0</v>
      </c>
      <c r="I1462" s="102" t="b">
        <v>0</v>
      </c>
      <c r="J1462" s="102" t="b">
        <v>0</v>
      </c>
      <c r="K1462" s="102" t="b">
        <v>0</v>
      </c>
      <c r="L1462" s="102" t="b">
        <v>0</v>
      </c>
    </row>
    <row r="1463" spans="1:12" ht="15">
      <c r="A1463" s="104" t="s">
        <v>2582</v>
      </c>
      <c r="B1463" s="102" t="s">
        <v>3348</v>
      </c>
      <c r="C1463" s="102">
        <v>2</v>
      </c>
      <c r="D1463" s="106">
        <v>0.002583967727948326</v>
      </c>
      <c r="E1463" s="106">
        <v>2.3010299956639813</v>
      </c>
      <c r="F1463" s="102" t="s">
        <v>2324</v>
      </c>
      <c r="G1463" s="102" t="b">
        <v>0</v>
      </c>
      <c r="H1463" s="102" t="b">
        <v>0</v>
      </c>
      <c r="I1463" s="102" t="b">
        <v>0</v>
      </c>
      <c r="J1463" s="102" t="b">
        <v>0</v>
      </c>
      <c r="K1463" s="102" t="b">
        <v>0</v>
      </c>
      <c r="L1463" s="102" t="b">
        <v>0</v>
      </c>
    </row>
    <row r="1464" spans="1:12" ht="15">
      <c r="A1464" s="104" t="s">
        <v>2349</v>
      </c>
      <c r="B1464" s="102" t="s">
        <v>2403</v>
      </c>
      <c r="C1464" s="102">
        <v>2</v>
      </c>
      <c r="D1464" s="106">
        <v>0.002583967727948326</v>
      </c>
      <c r="E1464" s="106">
        <v>0.958607314841775</v>
      </c>
      <c r="F1464" s="102" t="s">
        <v>2324</v>
      </c>
      <c r="G1464" s="102" t="b">
        <v>0</v>
      </c>
      <c r="H1464" s="102" t="b">
        <v>0</v>
      </c>
      <c r="I1464" s="102" t="b">
        <v>0</v>
      </c>
      <c r="J1464" s="102" t="b">
        <v>0</v>
      </c>
      <c r="K1464" s="102" t="b">
        <v>0</v>
      </c>
      <c r="L1464" s="102" t="b">
        <v>0</v>
      </c>
    </row>
    <row r="1465" spans="1:12" ht="15">
      <c r="A1465" s="104" t="s">
        <v>2403</v>
      </c>
      <c r="B1465" s="102" t="s">
        <v>2762</v>
      </c>
      <c r="C1465" s="102">
        <v>2</v>
      </c>
      <c r="D1465" s="106">
        <v>0.002583967727948326</v>
      </c>
      <c r="E1465" s="106">
        <v>1.8616973018337186</v>
      </c>
      <c r="F1465" s="102" t="s">
        <v>2324</v>
      </c>
      <c r="G1465" s="102" t="b">
        <v>0</v>
      </c>
      <c r="H1465" s="102" t="b">
        <v>0</v>
      </c>
      <c r="I1465" s="102" t="b">
        <v>0</v>
      </c>
      <c r="J1465" s="102" t="b">
        <v>0</v>
      </c>
      <c r="K1465" s="102" t="b">
        <v>0</v>
      </c>
      <c r="L1465" s="102" t="b">
        <v>0</v>
      </c>
    </row>
    <row r="1466" spans="1:12" ht="15">
      <c r="A1466" s="104" t="s">
        <v>2683</v>
      </c>
      <c r="B1466" s="102" t="s">
        <v>2381</v>
      </c>
      <c r="C1466" s="102">
        <v>2</v>
      </c>
      <c r="D1466" s="106">
        <v>0.002583967727948326</v>
      </c>
      <c r="E1466" s="106">
        <v>2.1249387366083</v>
      </c>
      <c r="F1466" s="102" t="s">
        <v>2324</v>
      </c>
      <c r="G1466" s="102" t="b">
        <v>0</v>
      </c>
      <c r="H1466" s="102" t="b">
        <v>0</v>
      </c>
      <c r="I1466" s="102" t="b">
        <v>0</v>
      </c>
      <c r="J1466" s="102" t="b">
        <v>0</v>
      </c>
      <c r="K1466" s="102" t="b">
        <v>0</v>
      </c>
      <c r="L1466" s="102" t="b">
        <v>0</v>
      </c>
    </row>
    <row r="1467" spans="1:12" ht="15">
      <c r="A1467" s="104" t="s">
        <v>2431</v>
      </c>
      <c r="B1467" s="102" t="s">
        <v>2463</v>
      </c>
      <c r="C1467" s="102">
        <v>2</v>
      </c>
      <c r="D1467" s="106">
        <v>0.002583967727948326</v>
      </c>
      <c r="E1467" s="106">
        <v>2.1760912590556813</v>
      </c>
      <c r="F1467" s="102" t="s">
        <v>2324</v>
      </c>
      <c r="G1467" s="102" t="b">
        <v>1</v>
      </c>
      <c r="H1467" s="102" t="b">
        <v>0</v>
      </c>
      <c r="I1467" s="102" t="b">
        <v>0</v>
      </c>
      <c r="J1467" s="102" t="b">
        <v>0</v>
      </c>
      <c r="K1467" s="102" t="b">
        <v>0</v>
      </c>
      <c r="L1467" s="102" t="b">
        <v>0</v>
      </c>
    </row>
    <row r="1468" spans="1:12" ht="15">
      <c r="A1468" s="104" t="s">
        <v>2357</v>
      </c>
      <c r="B1468" s="102" t="s">
        <v>2357</v>
      </c>
      <c r="C1468" s="102">
        <v>2</v>
      </c>
      <c r="D1468" s="106">
        <v>0.002098435476877389</v>
      </c>
      <c r="E1468" s="106">
        <v>1.297425871395156</v>
      </c>
      <c r="F1468" s="102" t="s">
        <v>2324</v>
      </c>
      <c r="G1468" s="102" t="b">
        <v>0</v>
      </c>
      <c r="H1468" s="102" t="b">
        <v>0</v>
      </c>
      <c r="I1468" s="102" t="b">
        <v>0</v>
      </c>
      <c r="J1468" s="102" t="b">
        <v>0</v>
      </c>
      <c r="K1468" s="102" t="b">
        <v>0</v>
      </c>
      <c r="L1468" s="102" t="b">
        <v>0</v>
      </c>
    </row>
    <row r="1469" spans="1:12" ht="15">
      <c r="A1469" s="104" t="s">
        <v>2354</v>
      </c>
      <c r="B1469" s="102" t="s">
        <v>3330</v>
      </c>
      <c r="C1469" s="102">
        <v>2</v>
      </c>
      <c r="D1469" s="106">
        <v>0.002583967727948326</v>
      </c>
      <c r="E1469" s="106">
        <v>1.9030899869919435</v>
      </c>
      <c r="F1469" s="102" t="s">
        <v>2324</v>
      </c>
      <c r="G1469" s="102" t="b">
        <v>0</v>
      </c>
      <c r="H1469" s="102" t="b">
        <v>0</v>
      </c>
      <c r="I1469" s="102" t="b">
        <v>0</v>
      </c>
      <c r="J1469" s="102" t="b">
        <v>0</v>
      </c>
      <c r="K1469" s="102" t="b">
        <v>0</v>
      </c>
      <c r="L1469" s="102" t="b">
        <v>0</v>
      </c>
    </row>
    <row r="1470" spans="1:12" ht="15">
      <c r="A1470" s="104" t="s">
        <v>2392</v>
      </c>
      <c r="B1470" s="102" t="s">
        <v>2434</v>
      </c>
      <c r="C1470" s="102">
        <v>2</v>
      </c>
      <c r="D1470" s="106">
        <v>0.002583967727948326</v>
      </c>
      <c r="E1470" s="106">
        <v>2.204119982655925</v>
      </c>
      <c r="F1470" s="102" t="s">
        <v>2324</v>
      </c>
      <c r="G1470" s="102" t="b">
        <v>0</v>
      </c>
      <c r="H1470" s="102" t="b">
        <v>0</v>
      </c>
      <c r="I1470" s="102" t="b">
        <v>0</v>
      </c>
      <c r="J1470" s="102" t="b">
        <v>0</v>
      </c>
      <c r="K1470" s="102" t="b">
        <v>0</v>
      </c>
      <c r="L1470" s="102" t="b">
        <v>0</v>
      </c>
    </row>
    <row r="1471" spans="1:12" ht="15">
      <c r="A1471" s="104" t="s">
        <v>2351</v>
      </c>
      <c r="B1471" s="102" t="s">
        <v>2365</v>
      </c>
      <c r="C1471" s="102">
        <v>2</v>
      </c>
      <c r="D1471" s="106">
        <v>0.002583967727948326</v>
      </c>
      <c r="E1471" s="106">
        <v>1.0621479067488444</v>
      </c>
      <c r="F1471" s="102" t="s">
        <v>2324</v>
      </c>
      <c r="G1471" s="102" t="b">
        <v>0</v>
      </c>
      <c r="H1471" s="102" t="b">
        <v>0</v>
      </c>
      <c r="I1471" s="102" t="b">
        <v>0</v>
      </c>
      <c r="J1471" s="102" t="b">
        <v>0</v>
      </c>
      <c r="K1471" s="102" t="b">
        <v>0</v>
      </c>
      <c r="L1471" s="102" t="b">
        <v>0</v>
      </c>
    </row>
    <row r="1472" spans="1:12" ht="15">
      <c r="A1472" s="104" t="s">
        <v>2365</v>
      </c>
      <c r="B1472" s="102" t="s">
        <v>2365</v>
      </c>
      <c r="C1472" s="102">
        <v>2</v>
      </c>
      <c r="D1472" s="106">
        <v>0.002583967727948326</v>
      </c>
      <c r="E1472" s="106">
        <v>1.6320232147054057</v>
      </c>
      <c r="F1472" s="102" t="s">
        <v>2324</v>
      </c>
      <c r="G1472" s="102" t="b">
        <v>0</v>
      </c>
      <c r="H1472" s="102" t="b">
        <v>0</v>
      </c>
      <c r="I1472" s="102" t="b">
        <v>0</v>
      </c>
      <c r="J1472" s="102" t="b">
        <v>0</v>
      </c>
      <c r="K1472" s="102" t="b">
        <v>0</v>
      </c>
      <c r="L1472" s="102" t="b">
        <v>0</v>
      </c>
    </row>
    <row r="1473" spans="1:12" ht="15">
      <c r="A1473" s="104" t="s">
        <v>2474</v>
      </c>
      <c r="B1473" s="102" t="s">
        <v>2350</v>
      </c>
      <c r="C1473" s="102">
        <v>2</v>
      </c>
      <c r="D1473" s="106">
        <v>0.002583967727948326</v>
      </c>
      <c r="E1473" s="106">
        <v>1.3590219426416679</v>
      </c>
      <c r="F1473" s="102" t="s">
        <v>2324</v>
      </c>
      <c r="G1473" s="102" t="b">
        <v>0</v>
      </c>
      <c r="H1473" s="102" t="b">
        <v>0</v>
      </c>
      <c r="I1473" s="102" t="b">
        <v>0</v>
      </c>
      <c r="J1473" s="102" t="b">
        <v>0</v>
      </c>
      <c r="K1473" s="102" t="b">
        <v>0</v>
      </c>
      <c r="L1473" s="102" t="b">
        <v>0</v>
      </c>
    </row>
    <row r="1474" spans="1:12" ht="15">
      <c r="A1474" s="104" t="s">
        <v>2531</v>
      </c>
      <c r="B1474" s="102" t="s">
        <v>2561</v>
      </c>
      <c r="C1474" s="102">
        <v>2</v>
      </c>
      <c r="D1474" s="106">
        <v>0.002098435476877389</v>
      </c>
      <c r="E1474" s="106">
        <v>2.477121254719662</v>
      </c>
      <c r="F1474" s="102" t="s">
        <v>2324</v>
      </c>
      <c r="G1474" s="102" t="b">
        <v>0</v>
      </c>
      <c r="H1474" s="102" t="b">
        <v>0</v>
      </c>
      <c r="I1474" s="102" t="b">
        <v>0</v>
      </c>
      <c r="J1474" s="102" t="b">
        <v>0</v>
      </c>
      <c r="K1474" s="102" t="b">
        <v>0</v>
      </c>
      <c r="L1474" s="102" t="b">
        <v>0</v>
      </c>
    </row>
    <row r="1475" spans="1:12" ht="15">
      <c r="A1475" s="104" t="s">
        <v>2358</v>
      </c>
      <c r="B1475" s="102" t="s">
        <v>2755</v>
      </c>
      <c r="C1475" s="102">
        <v>2</v>
      </c>
      <c r="D1475" s="106">
        <v>0.002583967727948326</v>
      </c>
      <c r="E1475" s="106">
        <v>1.6989700043360187</v>
      </c>
      <c r="F1475" s="102" t="s">
        <v>2324</v>
      </c>
      <c r="G1475" s="102" t="b">
        <v>0</v>
      </c>
      <c r="H1475" s="102" t="b">
        <v>0</v>
      </c>
      <c r="I1475" s="102" t="b">
        <v>0</v>
      </c>
      <c r="J1475" s="102" t="b">
        <v>0</v>
      </c>
      <c r="K1475" s="102" t="b">
        <v>0</v>
      </c>
      <c r="L1475" s="102" t="b">
        <v>0</v>
      </c>
    </row>
    <row r="1476" spans="1:12" ht="15">
      <c r="A1476" s="104" t="s">
        <v>2358</v>
      </c>
      <c r="B1476" s="102" t="s">
        <v>2348</v>
      </c>
      <c r="C1476" s="102">
        <v>2</v>
      </c>
      <c r="D1476" s="106">
        <v>0.002583967727948326</v>
      </c>
      <c r="E1476" s="106">
        <v>0.7695510786217261</v>
      </c>
      <c r="F1476" s="102" t="s">
        <v>2324</v>
      </c>
      <c r="G1476" s="102" t="b">
        <v>0</v>
      </c>
      <c r="H1476" s="102" t="b">
        <v>0</v>
      </c>
      <c r="I1476" s="102" t="b">
        <v>0</v>
      </c>
      <c r="J1476" s="102" t="b">
        <v>0</v>
      </c>
      <c r="K1476" s="102" t="b">
        <v>0</v>
      </c>
      <c r="L1476" s="102" t="b">
        <v>0</v>
      </c>
    </row>
    <row r="1477" spans="1:12" ht="15">
      <c r="A1477" s="104" t="s">
        <v>2376</v>
      </c>
      <c r="B1477" s="102" t="s">
        <v>2376</v>
      </c>
      <c r="C1477" s="102">
        <v>2</v>
      </c>
      <c r="D1477" s="106">
        <v>0.002583967727948326</v>
      </c>
      <c r="E1477" s="106">
        <v>1.9822712330395684</v>
      </c>
      <c r="F1477" s="102" t="s">
        <v>2324</v>
      </c>
      <c r="G1477" s="102" t="b">
        <v>0</v>
      </c>
      <c r="H1477" s="102" t="b">
        <v>0</v>
      </c>
      <c r="I1477" s="102" t="b">
        <v>0</v>
      </c>
      <c r="J1477" s="102" t="b">
        <v>0</v>
      </c>
      <c r="K1477" s="102" t="b">
        <v>0</v>
      </c>
      <c r="L1477" s="102" t="b">
        <v>0</v>
      </c>
    </row>
    <row r="1478" spans="1:12" ht="15">
      <c r="A1478" s="104" t="s">
        <v>2460</v>
      </c>
      <c r="B1478" s="102" t="s">
        <v>2522</v>
      </c>
      <c r="C1478" s="102">
        <v>2</v>
      </c>
      <c r="D1478" s="106">
        <v>0.002583967727948326</v>
      </c>
      <c r="E1478" s="106">
        <v>1.3120253799654444</v>
      </c>
      <c r="F1478" s="102" t="s">
        <v>2324</v>
      </c>
      <c r="G1478" s="102" t="b">
        <v>0</v>
      </c>
      <c r="H1478" s="102" t="b">
        <v>0</v>
      </c>
      <c r="I1478" s="102" t="b">
        <v>0</v>
      </c>
      <c r="J1478" s="102" t="b">
        <v>0</v>
      </c>
      <c r="K1478" s="102" t="b">
        <v>0</v>
      </c>
      <c r="L1478" s="102" t="b">
        <v>0</v>
      </c>
    </row>
    <row r="1479" spans="1:12" ht="15">
      <c r="A1479" s="104" t="s">
        <v>2460</v>
      </c>
      <c r="B1479" s="102" t="s">
        <v>2409</v>
      </c>
      <c r="C1479" s="102">
        <v>2</v>
      </c>
      <c r="D1479" s="106">
        <v>0.002583967727948326</v>
      </c>
      <c r="E1479" s="106">
        <v>1.3120253799654444</v>
      </c>
      <c r="F1479" s="102" t="s">
        <v>2324</v>
      </c>
      <c r="G1479" s="102" t="b">
        <v>0</v>
      </c>
      <c r="H1479" s="102" t="b">
        <v>0</v>
      </c>
      <c r="I1479" s="102" t="b">
        <v>0</v>
      </c>
      <c r="J1479" s="102" t="b">
        <v>0</v>
      </c>
      <c r="K1479" s="102" t="b">
        <v>0</v>
      </c>
      <c r="L1479" s="102" t="b">
        <v>0</v>
      </c>
    </row>
    <row r="1480" spans="1:12" ht="15">
      <c r="A1480" s="104" t="s">
        <v>3324</v>
      </c>
      <c r="B1480" s="102" t="s">
        <v>2522</v>
      </c>
      <c r="C1480" s="102">
        <v>2</v>
      </c>
      <c r="D1480" s="106">
        <v>0.002583967727948326</v>
      </c>
      <c r="E1480" s="106">
        <v>2.1249387366083</v>
      </c>
      <c r="F1480" s="102" t="s">
        <v>2324</v>
      </c>
      <c r="G1480" s="102" t="b">
        <v>0</v>
      </c>
      <c r="H1480" s="102" t="b">
        <v>0</v>
      </c>
      <c r="I1480" s="102" t="b">
        <v>0</v>
      </c>
      <c r="J1480" s="102" t="b">
        <v>0</v>
      </c>
      <c r="K1480" s="102" t="b">
        <v>0</v>
      </c>
      <c r="L1480" s="102" t="b">
        <v>0</v>
      </c>
    </row>
    <row r="1481" spans="1:12" ht="15">
      <c r="A1481" s="104" t="s">
        <v>2378</v>
      </c>
      <c r="B1481" s="102" t="s">
        <v>2433</v>
      </c>
      <c r="C1481" s="102">
        <v>2</v>
      </c>
      <c r="D1481" s="106">
        <v>0.002583967727948326</v>
      </c>
      <c r="E1481" s="106">
        <v>1.9030899869919435</v>
      </c>
      <c r="F1481" s="102" t="s">
        <v>2324</v>
      </c>
      <c r="G1481" s="102" t="b">
        <v>0</v>
      </c>
      <c r="H1481" s="102" t="b">
        <v>0</v>
      </c>
      <c r="I1481" s="102" t="b">
        <v>0</v>
      </c>
      <c r="J1481" s="102" t="b">
        <v>0</v>
      </c>
      <c r="K1481" s="102" t="b">
        <v>0</v>
      </c>
      <c r="L1481" s="102" t="b">
        <v>0</v>
      </c>
    </row>
    <row r="1482" spans="1:12" ht="15">
      <c r="A1482" s="104" t="s">
        <v>2356</v>
      </c>
      <c r="B1482" s="102" t="s">
        <v>2711</v>
      </c>
      <c r="C1482" s="102">
        <v>2</v>
      </c>
      <c r="D1482" s="106">
        <v>0.002098435476877389</v>
      </c>
      <c r="E1482" s="106">
        <v>2.1760912590556813</v>
      </c>
      <c r="F1482" s="102" t="s">
        <v>2324</v>
      </c>
      <c r="G1482" s="102" t="b">
        <v>0</v>
      </c>
      <c r="H1482" s="102" t="b">
        <v>0</v>
      </c>
      <c r="I1482" s="102" t="b">
        <v>0</v>
      </c>
      <c r="J1482" s="102" t="b">
        <v>0</v>
      </c>
      <c r="K1482" s="102" t="b">
        <v>0</v>
      </c>
      <c r="L1482" s="102" t="b">
        <v>0</v>
      </c>
    </row>
    <row r="1483" spans="1:12" ht="15">
      <c r="A1483" s="104" t="s">
        <v>2711</v>
      </c>
      <c r="B1483" s="102" t="s">
        <v>2352</v>
      </c>
      <c r="C1483" s="102">
        <v>2</v>
      </c>
      <c r="D1483" s="106">
        <v>0.002098435476877389</v>
      </c>
      <c r="E1483" s="106">
        <v>2.1760912590556813</v>
      </c>
      <c r="F1483" s="102" t="s">
        <v>2324</v>
      </c>
      <c r="G1483" s="102" t="b">
        <v>0</v>
      </c>
      <c r="H1483" s="102" t="b">
        <v>0</v>
      </c>
      <c r="I1483" s="102" t="b">
        <v>0</v>
      </c>
      <c r="J1483" s="102" t="b">
        <v>0</v>
      </c>
      <c r="K1483" s="102" t="b">
        <v>0</v>
      </c>
      <c r="L1483" s="102" t="b">
        <v>0</v>
      </c>
    </row>
    <row r="1484" spans="1:12" ht="15">
      <c r="A1484" s="104" t="s">
        <v>2352</v>
      </c>
      <c r="B1484" s="102" t="s">
        <v>2381</v>
      </c>
      <c r="C1484" s="102">
        <v>2</v>
      </c>
      <c r="D1484" s="106">
        <v>0.002098435476877389</v>
      </c>
      <c r="E1484" s="106">
        <v>1.5808706922580242</v>
      </c>
      <c r="F1484" s="102" t="s">
        <v>2324</v>
      </c>
      <c r="G1484" s="102" t="b">
        <v>0</v>
      </c>
      <c r="H1484" s="102" t="b">
        <v>0</v>
      </c>
      <c r="I1484" s="102" t="b">
        <v>0</v>
      </c>
      <c r="J1484" s="102" t="b">
        <v>0</v>
      </c>
      <c r="K1484" s="102" t="b">
        <v>0</v>
      </c>
      <c r="L1484" s="102" t="b">
        <v>0</v>
      </c>
    </row>
    <row r="1485" spans="1:12" ht="15">
      <c r="A1485" s="104" t="s">
        <v>2381</v>
      </c>
      <c r="B1485" s="102" t="s">
        <v>2356</v>
      </c>
      <c r="C1485" s="102">
        <v>2</v>
      </c>
      <c r="D1485" s="106">
        <v>0.002098435476877389</v>
      </c>
      <c r="E1485" s="106">
        <v>1.6478174818886375</v>
      </c>
      <c r="F1485" s="102" t="s">
        <v>2324</v>
      </c>
      <c r="G1485" s="102" t="b">
        <v>0</v>
      </c>
      <c r="H1485" s="102" t="b">
        <v>0</v>
      </c>
      <c r="I1485" s="102" t="b">
        <v>0</v>
      </c>
      <c r="J1485" s="102" t="b">
        <v>0</v>
      </c>
      <c r="K1485" s="102" t="b">
        <v>0</v>
      </c>
      <c r="L1485" s="102" t="b">
        <v>0</v>
      </c>
    </row>
    <row r="1486" spans="1:12" ht="15">
      <c r="A1486" s="104" t="s">
        <v>2356</v>
      </c>
      <c r="B1486" s="102" t="s">
        <v>2381</v>
      </c>
      <c r="C1486" s="102">
        <v>2</v>
      </c>
      <c r="D1486" s="106">
        <v>0.002098435476877389</v>
      </c>
      <c r="E1486" s="106">
        <v>1.5228787452803376</v>
      </c>
      <c r="F1486" s="102" t="s">
        <v>2324</v>
      </c>
      <c r="G1486" s="102" t="b">
        <v>0</v>
      </c>
      <c r="H1486" s="102" t="b">
        <v>0</v>
      </c>
      <c r="I1486" s="102" t="b">
        <v>0</v>
      </c>
      <c r="J1486" s="102" t="b">
        <v>0</v>
      </c>
      <c r="K1486" s="102" t="b">
        <v>0</v>
      </c>
      <c r="L1486" s="102" t="b">
        <v>0</v>
      </c>
    </row>
    <row r="1487" spans="1:12" ht="15">
      <c r="A1487" s="104" t="s">
        <v>2381</v>
      </c>
      <c r="B1487" s="102" t="s">
        <v>2592</v>
      </c>
      <c r="C1487" s="102">
        <v>2</v>
      </c>
      <c r="D1487" s="106">
        <v>0.002098435476877389</v>
      </c>
      <c r="E1487" s="106">
        <v>2.1249387366083</v>
      </c>
      <c r="F1487" s="102" t="s">
        <v>2324</v>
      </c>
      <c r="G1487" s="102" t="b">
        <v>0</v>
      </c>
      <c r="H1487" s="102" t="b">
        <v>0</v>
      </c>
      <c r="I1487" s="102" t="b">
        <v>0</v>
      </c>
      <c r="J1487" s="102" t="b">
        <v>0</v>
      </c>
      <c r="K1487" s="102" t="b">
        <v>0</v>
      </c>
      <c r="L1487" s="102" t="b">
        <v>0</v>
      </c>
    </row>
    <row r="1488" spans="1:12" ht="15">
      <c r="A1488" s="104" t="s">
        <v>2592</v>
      </c>
      <c r="B1488" s="102" t="s">
        <v>2364</v>
      </c>
      <c r="C1488" s="102">
        <v>2</v>
      </c>
      <c r="D1488" s="106">
        <v>0.002098435476877389</v>
      </c>
      <c r="E1488" s="106">
        <v>2.477121254719662</v>
      </c>
      <c r="F1488" s="102" t="s">
        <v>2324</v>
      </c>
      <c r="G1488" s="102" t="b">
        <v>0</v>
      </c>
      <c r="H1488" s="102" t="b">
        <v>0</v>
      </c>
      <c r="I1488" s="102" t="b">
        <v>0</v>
      </c>
      <c r="J1488" s="102" t="b">
        <v>0</v>
      </c>
      <c r="K1488" s="102" t="b">
        <v>0</v>
      </c>
      <c r="L1488" s="102" t="b">
        <v>0</v>
      </c>
    </row>
    <row r="1489" spans="1:12" ht="15">
      <c r="A1489" s="104" t="s">
        <v>2364</v>
      </c>
      <c r="B1489" s="102" t="s">
        <v>2643</v>
      </c>
      <c r="C1489" s="102">
        <v>2</v>
      </c>
      <c r="D1489" s="106">
        <v>0.002098435476877389</v>
      </c>
      <c r="E1489" s="106">
        <v>2.477121254719662</v>
      </c>
      <c r="F1489" s="102" t="s">
        <v>2324</v>
      </c>
      <c r="G1489" s="102" t="b">
        <v>0</v>
      </c>
      <c r="H1489" s="102" t="b">
        <v>0</v>
      </c>
      <c r="I1489" s="102" t="b">
        <v>0</v>
      </c>
      <c r="J1489" s="102" t="b">
        <v>0</v>
      </c>
      <c r="K1489" s="102" t="b">
        <v>0</v>
      </c>
      <c r="L1489" s="102" t="b">
        <v>0</v>
      </c>
    </row>
    <row r="1490" spans="1:12" ht="15">
      <c r="A1490" s="104" t="s">
        <v>2643</v>
      </c>
      <c r="B1490" s="102" t="s">
        <v>2358</v>
      </c>
      <c r="C1490" s="102">
        <v>2</v>
      </c>
      <c r="D1490" s="106">
        <v>0.002098435476877389</v>
      </c>
      <c r="E1490" s="106">
        <v>1.6989700043360187</v>
      </c>
      <c r="F1490" s="102" t="s">
        <v>2324</v>
      </c>
      <c r="G1490" s="102" t="b">
        <v>0</v>
      </c>
      <c r="H1490" s="102" t="b">
        <v>0</v>
      </c>
      <c r="I1490" s="102" t="b">
        <v>0</v>
      </c>
      <c r="J1490" s="102" t="b">
        <v>0</v>
      </c>
      <c r="K1490" s="102" t="b">
        <v>0</v>
      </c>
      <c r="L1490" s="102" t="b">
        <v>0</v>
      </c>
    </row>
    <row r="1491" spans="1:12" ht="15">
      <c r="A1491" s="104" t="s">
        <v>2485</v>
      </c>
      <c r="B1491" s="102" t="s">
        <v>2380</v>
      </c>
      <c r="C1491" s="102">
        <v>2</v>
      </c>
      <c r="D1491" s="106">
        <v>0.002098435476877389</v>
      </c>
      <c r="E1491" s="106">
        <v>2.477121254719662</v>
      </c>
      <c r="F1491" s="102" t="s">
        <v>2324</v>
      </c>
      <c r="G1491" s="102" t="b">
        <v>0</v>
      </c>
      <c r="H1491" s="102" t="b">
        <v>0</v>
      </c>
      <c r="I1491" s="102" t="b">
        <v>0</v>
      </c>
      <c r="J1491" s="102" t="b">
        <v>0</v>
      </c>
      <c r="K1491" s="102" t="b">
        <v>0</v>
      </c>
      <c r="L1491" s="102" t="b">
        <v>0</v>
      </c>
    </row>
    <row r="1492" spans="1:12" ht="15">
      <c r="A1492" s="104" t="s">
        <v>2380</v>
      </c>
      <c r="B1492" s="102" t="s">
        <v>2366</v>
      </c>
      <c r="C1492" s="102">
        <v>2</v>
      </c>
      <c r="D1492" s="106">
        <v>0.002098435476877389</v>
      </c>
      <c r="E1492" s="106">
        <v>2.477121254719662</v>
      </c>
      <c r="F1492" s="102" t="s">
        <v>2324</v>
      </c>
      <c r="G1492" s="102" t="b">
        <v>0</v>
      </c>
      <c r="H1492" s="102" t="b">
        <v>0</v>
      </c>
      <c r="I1492" s="102" t="b">
        <v>0</v>
      </c>
      <c r="J1492" s="102" t="b">
        <v>0</v>
      </c>
      <c r="K1492" s="102" t="b">
        <v>0</v>
      </c>
      <c r="L1492" s="102" t="b">
        <v>0</v>
      </c>
    </row>
    <row r="1493" spans="1:12" ht="15">
      <c r="A1493" s="104" t="s">
        <v>2366</v>
      </c>
      <c r="B1493" s="102" t="s">
        <v>2371</v>
      </c>
      <c r="C1493" s="102">
        <v>2</v>
      </c>
      <c r="D1493" s="106">
        <v>0.002098435476877389</v>
      </c>
      <c r="E1493" s="106">
        <v>1.6020599913279623</v>
      </c>
      <c r="F1493" s="102" t="s">
        <v>2324</v>
      </c>
      <c r="G1493" s="102" t="b">
        <v>0</v>
      </c>
      <c r="H1493" s="102" t="b">
        <v>0</v>
      </c>
      <c r="I1493" s="102" t="b">
        <v>0</v>
      </c>
      <c r="J1493" s="102" t="b">
        <v>0</v>
      </c>
      <c r="K1493" s="102" t="b">
        <v>0</v>
      </c>
      <c r="L1493" s="102" t="b">
        <v>0</v>
      </c>
    </row>
    <row r="1494" spans="1:12" ht="15">
      <c r="A1494" s="104" t="s">
        <v>2371</v>
      </c>
      <c r="B1494" s="102" t="s">
        <v>2394</v>
      </c>
      <c r="C1494" s="102">
        <v>2</v>
      </c>
      <c r="D1494" s="106">
        <v>0.002098435476877389</v>
      </c>
      <c r="E1494" s="106">
        <v>1.6020599913279623</v>
      </c>
      <c r="F1494" s="102" t="s">
        <v>2324</v>
      </c>
      <c r="G1494" s="102" t="b">
        <v>0</v>
      </c>
      <c r="H1494" s="102" t="b">
        <v>0</v>
      </c>
      <c r="I1494" s="102" t="b">
        <v>0</v>
      </c>
      <c r="J1494" s="102" t="b">
        <v>0</v>
      </c>
      <c r="K1494" s="102" t="b">
        <v>0</v>
      </c>
      <c r="L1494" s="102" t="b">
        <v>0</v>
      </c>
    </row>
    <row r="1495" spans="1:12" ht="15">
      <c r="A1495" s="104" t="s">
        <v>2485</v>
      </c>
      <c r="B1495" s="102" t="s">
        <v>2358</v>
      </c>
      <c r="C1495" s="102">
        <v>2</v>
      </c>
      <c r="D1495" s="106">
        <v>0.002098435476877389</v>
      </c>
      <c r="E1495" s="106">
        <v>1.3979400086720377</v>
      </c>
      <c r="F1495" s="102" t="s">
        <v>2324</v>
      </c>
      <c r="G1495" s="102" t="b">
        <v>0</v>
      </c>
      <c r="H1495" s="102" t="b">
        <v>0</v>
      </c>
      <c r="I1495" s="102" t="b">
        <v>0</v>
      </c>
      <c r="J1495" s="102" t="b">
        <v>0</v>
      </c>
      <c r="K1495" s="102" t="b">
        <v>0</v>
      </c>
      <c r="L1495" s="102" t="b">
        <v>0</v>
      </c>
    </row>
    <row r="1496" spans="1:12" ht="15">
      <c r="A1496" s="104" t="s">
        <v>2363</v>
      </c>
      <c r="B1496" s="102" t="s">
        <v>2555</v>
      </c>
      <c r="C1496" s="102">
        <v>2</v>
      </c>
      <c r="D1496" s="106">
        <v>0.002098435476877389</v>
      </c>
      <c r="E1496" s="106">
        <v>1.7781512503836436</v>
      </c>
      <c r="F1496" s="102" t="s">
        <v>2324</v>
      </c>
      <c r="G1496" s="102" t="b">
        <v>0</v>
      </c>
      <c r="H1496" s="102" t="b">
        <v>0</v>
      </c>
      <c r="I1496" s="102" t="b">
        <v>0</v>
      </c>
      <c r="J1496" s="102" t="b">
        <v>0</v>
      </c>
      <c r="K1496" s="102" t="b">
        <v>0</v>
      </c>
      <c r="L1496" s="102" t="b">
        <v>0</v>
      </c>
    </row>
    <row r="1497" spans="1:12" ht="15">
      <c r="A1497" s="104" t="s">
        <v>2555</v>
      </c>
      <c r="B1497" s="102" t="s">
        <v>2371</v>
      </c>
      <c r="C1497" s="102">
        <v>2</v>
      </c>
      <c r="D1497" s="106">
        <v>0.002098435476877389</v>
      </c>
      <c r="E1497" s="106">
        <v>1.9030899869919435</v>
      </c>
      <c r="F1497" s="102" t="s">
        <v>2324</v>
      </c>
      <c r="G1497" s="102" t="b">
        <v>0</v>
      </c>
      <c r="H1497" s="102" t="b">
        <v>0</v>
      </c>
      <c r="I1497" s="102" t="b">
        <v>0</v>
      </c>
      <c r="J1497" s="102" t="b">
        <v>0</v>
      </c>
      <c r="K1497" s="102" t="b">
        <v>0</v>
      </c>
      <c r="L1497" s="102" t="b">
        <v>0</v>
      </c>
    </row>
    <row r="1498" spans="1:12" ht="15">
      <c r="A1498" s="104" t="s">
        <v>2363</v>
      </c>
      <c r="B1498" s="102" t="s">
        <v>2366</v>
      </c>
      <c r="C1498" s="102">
        <v>2</v>
      </c>
      <c r="D1498" s="106">
        <v>0.002098435476877389</v>
      </c>
      <c r="E1498" s="106">
        <v>1.4771212547196624</v>
      </c>
      <c r="F1498" s="102" t="s">
        <v>2324</v>
      </c>
      <c r="G1498" s="102" t="b">
        <v>0</v>
      </c>
      <c r="H1498" s="102" t="b">
        <v>0</v>
      </c>
      <c r="I1498" s="102" t="b">
        <v>0</v>
      </c>
      <c r="J1498" s="102" t="b">
        <v>0</v>
      </c>
      <c r="K1498" s="102" t="b">
        <v>0</v>
      </c>
      <c r="L1498" s="102" t="b">
        <v>0</v>
      </c>
    </row>
    <row r="1499" spans="1:12" ht="15">
      <c r="A1499" s="104" t="s">
        <v>2366</v>
      </c>
      <c r="B1499" s="102" t="s">
        <v>2712</v>
      </c>
      <c r="C1499" s="102">
        <v>2</v>
      </c>
      <c r="D1499" s="106">
        <v>0.002098435476877389</v>
      </c>
      <c r="E1499" s="106">
        <v>2.477121254719662</v>
      </c>
      <c r="F1499" s="102" t="s">
        <v>2324</v>
      </c>
      <c r="G1499" s="102" t="b">
        <v>0</v>
      </c>
      <c r="H1499" s="102" t="b">
        <v>0</v>
      </c>
      <c r="I1499" s="102" t="b">
        <v>0</v>
      </c>
      <c r="J1499" s="102" t="b">
        <v>0</v>
      </c>
      <c r="K1499" s="102" t="b">
        <v>0</v>
      </c>
      <c r="L1499" s="102" t="b">
        <v>0</v>
      </c>
    </row>
    <row r="1500" spans="1:12" ht="15">
      <c r="A1500" s="104" t="s">
        <v>2712</v>
      </c>
      <c r="B1500" s="102" t="s">
        <v>2371</v>
      </c>
      <c r="C1500" s="102">
        <v>2</v>
      </c>
      <c r="D1500" s="106">
        <v>0.002098435476877389</v>
      </c>
      <c r="E1500" s="106">
        <v>1.9030899869919435</v>
      </c>
      <c r="F1500" s="102" t="s">
        <v>2324</v>
      </c>
      <c r="G1500" s="102" t="b">
        <v>0</v>
      </c>
      <c r="H1500" s="102" t="b">
        <v>0</v>
      </c>
      <c r="I1500" s="102" t="b">
        <v>0</v>
      </c>
      <c r="J1500" s="102" t="b">
        <v>0</v>
      </c>
      <c r="K1500" s="102" t="b">
        <v>0</v>
      </c>
      <c r="L1500" s="102" t="b">
        <v>0</v>
      </c>
    </row>
    <row r="1501" spans="1:12" ht="15">
      <c r="A1501" s="104" t="s">
        <v>2644</v>
      </c>
      <c r="B1501" s="102" t="s">
        <v>2645</v>
      </c>
      <c r="C1501" s="102">
        <v>2</v>
      </c>
      <c r="D1501" s="106">
        <v>0.002098435476877389</v>
      </c>
      <c r="E1501" s="106">
        <v>2.7781512503836434</v>
      </c>
      <c r="F1501" s="102" t="s">
        <v>2324</v>
      </c>
      <c r="G1501" s="102" t="b">
        <v>0</v>
      </c>
      <c r="H1501" s="102" t="b">
        <v>0</v>
      </c>
      <c r="I1501" s="102" t="b">
        <v>0</v>
      </c>
      <c r="J1501" s="102" t="b">
        <v>0</v>
      </c>
      <c r="K1501" s="102" t="b">
        <v>0</v>
      </c>
      <c r="L1501" s="102" t="b">
        <v>0</v>
      </c>
    </row>
    <row r="1502" spans="1:12" ht="15">
      <c r="A1502" s="104" t="s">
        <v>2645</v>
      </c>
      <c r="B1502" s="102" t="s">
        <v>2371</v>
      </c>
      <c r="C1502" s="102">
        <v>2</v>
      </c>
      <c r="D1502" s="106">
        <v>0.002098435476877389</v>
      </c>
      <c r="E1502" s="106">
        <v>1.9030899869919435</v>
      </c>
      <c r="F1502" s="102" t="s">
        <v>2324</v>
      </c>
      <c r="G1502" s="102" t="b">
        <v>0</v>
      </c>
      <c r="H1502" s="102" t="b">
        <v>0</v>
      </c>
      <c r="I1502" s="102" t="b">
        <v>0</v>
      </c>
      <c r="J1502" s="102" t="b">
        <v>0</v>
      </c>
      <c r="K1502" s="102" t="b">
        <v>0</v>
      </c>
      <c r="L1502" s="102" t="b">
        <v>0</v>
      </c>
    </row>
    <row r="1503" spans="1:12" ht="15">
      <c r="A1503" s="104" t="s">
        <v>2371</v>
      </c>
      <c r="B1503" s="102" t="s">
        <v>2646</v>
      </c>
      <c r="C1503" s="102">
        <v>2</v>
      </c>
      <c r="D1503" s="106">
        <v>0.002098435476877389</v>
      </c>
      <c r="E1503" s="106">
        <v>1.9030899869919435</v>
      </c>
      <c r="F1503" s="102" t="s">
        <v>2324</v>
      </c>
      <c r="G1503" s="102" t="b">
        <v>0</v>
      </c>
      <c r="H1503" s="102" t="b">
        <v>0</v>
      </c>
      <c r="I1503" s="102" t="b">
        <v>0</v>
      </c>
      <c r="J1503" s="102" t="b">
        <v>0</v>
      </c>
      <c r="K1503" s="102" t="b">
        <v>0</v>
      </c>
      <c r="L1503" s="102" t="b">
        <v>0</v>
      </c>
    </row>
    <row r="1504" spans="1:12" ht="15">
      <c r="A1504" s="104" t="s">
        <v>2646</v>
      </c>
      <c r="B1504" s="102" t="s">
        <v>2363</v>
      </c>
      <c r="C1504" s="102">
        <v>2</v>
      </c>
      <c r="D1504" s="106">
        <v>0.002098435476877389</v>
      </c>
      <c r="E1504" s="106">
        <v>1.7569619513137056</v>
      </c>
      <c r="F1504" s="102" t="s">
        <v>2324</v>
      </c>
      <c r="G1504" s="102" t="b">
        <v>0</v>
      </c>
      <c r="H1504" s="102" t="b">
        <v>0</v>
      </c>
      <c r="I1504" s="102" t="b">
        <v>0</v>
      </c>
      <c r="J1504" s="102" t="b">
        <v>0</v>
      </c>
      <c r="K1504" s="102" t="b">
        <v>0</v>
      </c>
      <c r="L1504" s="102" t="b">
        <v>0</v>
      </c>
    </row>
    <row r="1505" spans="1:12" ht="15">
      <c r="A1505" s="104" t="s">
        <v>2389</v>
      </c>
      <c r="B1505" s="102" t="s">
        <v>2371</v>
      </c>
      <c r="C1505" s="102">
        <v>2</v>
      </c>
      <c r="D1505" s="106">
        <v>0.002098435476877389</v>
      </c>
      <c r="E1505" s="106">
        <v>1.505149978319906</v>
      </c>
      <c r="F1505" s="102" t="s">
        <v>2324</v>
      </c>
      <c r="G1505" s="102" t="b">
        <v>0</v>
      </c>
      <c r="H1505" s="102" t="b">
        <v>0</v>
      </c>
      <c r="I1505" s="102" t="b">
        <v>0</v>
      </c>
      <c r="J1505" s="102" t="b">
        <v>0</v>
      </c>
      <c r="K1505" s="102" t="b">
        <v>0</v>
      </c>
      <c r="L1505" s="102" t="b">
        <v>0</v>
      </c>
    </row>
    <row r="1506" spans="1:12" ht="15">
      <c r="A1506" s="104" t="s">
        <v>2363</v>
      </c>
      <c r="B1506" s="102" t="s">
        <v>2713</v>
      </c>
      <c r="C1506" s="102">
        <v>2</v>
      </c>
      <c r="D1506" s="106">
        <v>0.002098435476877389</v>
      </c>
      <c r="E1506" s="106">
        <v>1.7781512503836436</v>
      </c>
      <c r="F1506" s="102" t="s">
        <v>2324</v>
      </c>
      <c r="G1506" s="102" t="b">
        <v>0</v>
      </c>
      <c r="H1506" s="102" t="b">
        <v>0</v>
      </c>
      <c r="I1506" s="102" t="b">
        <v>0</v>
      </c>
      <c r="J1506" s="102" t="b">
        <v>0</v>
      </c>
      <c r="K1506" s="102" t="b">
        <v>0</v>
      </c>
      <c r="L1506" s="102" t="b">
        <v>0</v>
      </c>
    </row>
    <row r="1507" spans="1:12" ht="15">
      <c r="A1507" s="104" t="s">
        <v>2713</v>
      </c>
      <c r="B1507" s="102" t="s">
        <v>2371</v>
      </c>
      <c r="C1507" s="102">
        <v>2</v>
      </c>
      <c r="D1507" s="106">
        <v>0.002098435476877389</v>
      </c>
      <c r="E1507" s="106">
        <v>1.9030899869919435</v>
      </c>
      <c r="F1507" s="102" t="s">
        <v>2324</v>
      </c>
      <c r="G1507" s="102" t="b">
        <v>0</v>
      </c>
      <c r="H1507" s="102" t="b">
        <v>0</v>
      </c>
      <c r="I1507" s="102" t="b">
        <v>0</v>
      </c>
      <c r="J1507" s="102" t="b">
        <v>0</v>
      </c>
      <c r="K1507" s="102" t="b">
        <v>0</v>
      </c>
      <c r="L1507" s="102" t="b">
        <v>0</v>
      </c>
    </row>
    <row r="1508" spans="1:12" ht="15">
      <c r="A1508" s="104" t="s">
        <v>2363</v>
      </c>
      <c r="B1508" s="102" t="s">
        <v>2435</v>
      </c>
      <c r="C1508" s="102">
        <v>2</v>
      </c>
      <c r="D1508" s="106">
        <v>0.002098435476877389</v>
      </c>
      <c r="E1508" s="106">
        <v>1.7781512503836436</v>
      </c>
      <c r="F1508" s="102" t="s">
        <v>2324</v>
      </c>
      <c r="G1508" s="102" t="b">
        <v>0</v>
      </c>
      <c r="H1508" s="102" t="b">
        <v>0</v>
      </c>
      <c r="I1508" s="102" t="b">
        <v>0</v>
      </c>
      <c r="J1508" s="102" t="b">
        <v>0</v>
      </c>
      <c r="K1508" s="102" t="b">
        <v>0</v>
      </c>
      <c r="L1508" s="102" t="b">
        <v>0</v>
      </c>
    </row>
    <row r="1509" spans="1:12" ht="15">
      <c r="A1509" s="104" t="s">
        <v>2435</v>
      </c>
      <c r="B1509" s="102" t="s">
        <v>2394</v>
      </c>
      <c r="C1509" s="102">
        <v>2</v>
      </c>
      <c r="D1509" s="106">
        <v>0.002098435476877389</v>
      </c>
      <c r="E1509" s="106">
        <v>2.477121254719662</v>
      </c>
      <c r="F1509" s="102" t="s">
        <v>2324</v>
      </c>
      <c r="G1509" s="102" t="b">
        <v>0</v>
      </c>
      <c r="H1509" s="102" t="b">
        <v>0</v>
      </c>
      <c r="I1509" s="102" t="b">
        <v>0</v>
      </c>
      <c r="J1509" s="102" t="b">
        <v>0</v>
      </c>
      <c r="K1509" s="102" t="b">
        <v>0</v>
      </c>
      <c r="L1509" s="102" t="b">
        <v>0</v>
      </c>
    </row>
    <row r="1510" spans="1:12" ht="15">
      <c r="A1510" s="104" t="s">
        <v>2363</v>
      </c>
      <c r="B1510" s="102" t="s">
        <v>2376</v>
      </c>
      <c r="C1510" s="102">
        <v>2</v>
      </c>
      <c r="D1510" s="106">
        <v>0.002098435476877389</v>
      </c>
      <c r="E1510" s="106">
        <v>1.380211241711606</v>
      </c>
      <c r="F1510" s="102" t="s">
        <v>2324</v>
      </c>
      <c r="G1510" s="102" t="b">
        <v>0</v>
      </c>
      <c r="H1510" s="102" t="b">
        <v>0</v>
      </c>
      <c r="I1510" s="102" t="b">
        <v>0</v>
      </c>
      <c r="J1510" s="102" t="b">
        <v>0</v>
      </c>
      <c r="K1510" s="102" t="b">
        <v>0</v>
      </c>
      <c r="L1510" s="102" t="b">
        <v>0</v>
      </c>
    </row>
    <row r="1511" spans="1:12" ht="15">
      <c r="A1511" s="104" t="s">
        <v>2376</v>
      </c>
      <c r="B1511" s="102" t="s">
        <v>2371</v>
      </c>
      <c r="C1511" s="102">
        <v>2</v>
      </c>
      <c r="D1511" s="106">
        <v>0.002098435476877389</v>
      </c>
      <c r="E1511" s="106">
        <v>1.505149978319906</v>
      </c>
      <c r="F1511" s="102" t="s">
        <v>2324</v>
      </c>
      <c r="G1511" s="102" t="b">
        <v>0</v>
      </c>
      <c r="H1511" s="102" t="b">
        <v>0</v>
      </c>
      <c r="I1511" s="102" t="b">
        <v>0</v>
      </c>
      <c r="J1511" s="102" t="b">
        <v>0</v>
      </c>
      <c r="K1511" s="102" t="b">
        <v>0</v>
      </c>
      <c r="L1511" s="102" t="b">
        <v>0</v>
      </c>
    </row>
    <row r="1512" spans="1:12" ht="15">
      <c r="A1512" s="104" t="s">
        <v>2375</v>
      </c>
      <c r="B1512" s="102" t="s">
        <v>3312</v>
      </c>
      <c r="C1512" s="102">
        <v>2</v>
      </c>
      <c r="D1512" s="106">
        <v>0.002098435476877389</v>
      </c>
      <c r="E1512" s="106">
        <v>1.6020599913279623</v>
      </c>
      <c r="F1512" s="102" t="s">
        <v>2324</v>
      </c>
      <c r="G1512" s="102" t="b">
        <v>0</v>
      </c>
      <c r="H1512" s="102" t="b">
        <v>0</v>
      </c>
      <c r="I1512" s="102" t="b">
        <v>0</v>
      </c>
      <c r="J1512" s="102" t="b">
        <v>0</v>
      </c>
      <c r="K1512" s="102" t="b">
        <v>0</v>
      </c>
      <c r="L1512" s="102" t="b">
        <v>0</v>
      </c>
    </row>
    <row r="1513" spans="1:12" ht="15">
      <c r="A1513" s="104" t="s">
        <v>3312</v>
      </c>
      <c r="B1513" s="102" t="s">
        <v>2375</v>
      </c>
      <c r="C1513" s="102">
        <v>2</v>
      </c>
      <c r="D1513" s="106">
        <v>0.002098435476877389</v>
      </c>
      <c r="E1513" s="106">
        <v>1.5878195522133522</v>
      </c>
      <c r="F1513" s="102" t="s">
        <v>2324</v>
      </c>
      <c r="G1513" s="102" t="b">
        <v>0</v>
      </c>
      <c r="H1513" s="102" t="b">
        <v>0</v>
      </c>
      <c r="I1513" s="102" t="b">
        <v>0</v>
      </c>
      <c r="J1513" s="102" t="b">
        <v>0</v>
      </c>
      <c r="K1513" s="102" t="b">
        <v>0</v>
      </c>
      <c r="L1513" s="102" t="b">
        <v>0</v>
      </c>
    </row>
    <row r="1514" spans="1:12" ht="15">
      <c r="A1514" s="104" t="s">
        <v>2375</v>
      </c>
      <c r="B1514" s="102" t="s">
        <v>3318</v>
      </c>
      <c r="C1514" s="102">
        <v>2</v>
      </c>
      <c r="D1514" s="106">
        <v>0.002098435476877389</v>
      </c>
      <c r="E1514" s="106">
        <v>1.6020599913279623</v>
      </c>
      <c r="F1514" s="102" t="s">
        <v>2324</v>
      </c>
      <c r="G1514" s="102" t="b">
        <v>0</v>
      </c>
      <c r="H1514" s="102" t="b">
        <v>0</v>
      </c>
      <c r="I1514" s="102" t="b">
        <v>0</v>
      </c>
      <c r="J1514" s="102" t="b">
        <v>0</v>
      </c>
      <c r="K1514" s="102" t="b">
        <v>0</v>
      </c>
      <c r="L1514" s="102" t="b">
        <v>0</v>
      </c>
    </row>
    <row r="1515" spans="1:12" ht="15">
      <c r="A1515" s="104" t="s">
        <v>3318</v>
      </c>
      <c r="B1515" s="102" t="s">
        <v>2375</v>
      </c>
      <c r="C1515" s="102">
        <v>2</v>
      </c>
      <c r="D1515" s="106">
        <v>0.002098435476877389</v>
      </c>
      <c r="E1515" s="106">
        <v>1.5878195522133522</v>
      </c>
      <c r="F1515" s="102" t="s">
        <v>2324</v>
      </c>
      <c r="G1515" s="102" t="b">
        <v>0</v>
      </c>
      <c r="H1515" s="102" t="b">
        <v>0</v>
      </c>
      <c r="I1515" s="102" t="b">
        <v>0</v>
      </c>
      <c r="J1515" s="102" t="b">
        <v>0</v>
      </c>
      <c r="K1515" s="102" t="b">
        <v>0</v>
      </c>
      <c r="L1515" s="102" t="b">
        <v>0</v>
      </c>
    </row>
    <row r="1516" spans="1:12" ht="15">
      <c r="A1516" s="104" t="s">
        <v>2375</v>
      </c>
      <c r="B1516" s="102" t="s">
        <v>3313</v>
      </c>
      <c r="C1516" s="102">
        <v>2</v>
      </c>
      <c r="D1516" s="106">
        <v>0.002098435476877389</v>
      </c>
      <c r="E1516" s="106">
        <v>1.6020599913279623</v>
      </c>
      <c r="F1516" s="102" t="s">
        <v>2324</v>
      </c>
      <c r="G1516" s="102" t="b">
        <v>0</v>
      </c>
      <c r="H1516" s="102" t="b">
        <v>0</v>
      </c>
      <c r="I1516" s="102" t="b">
        <v>0</v>
      </c>
      <c r="J1516" s="102" t="b">
        <v>0</v>
      </c>
      <c r="K1516" s="102" t="b">
        <v>0</v>
      </c>
      <c r="L1516" s="102" t="b">
        <v>0</v>
      </c>
    </row>
    <row r="1517" spans="1:12" ht="15">
      <c r="A1517" s="104" t="s">
        <v>3313</v>
      </c>
      <c r="B1517" s="102" t="s">
        <v>2375</v>
      </c>
      <c r="C1517" s="102">
        <v>2</v>
      </c>
      <c r="D1517" s="106">
        <v>0.002098435476877389</v>
      </c>
      <c r="E1517" s="106">
        <v>1.5878195522133522</v>
      </c>
      <c r="F1517" s="102" t="s">
        <v>2324</v>
      </c>
      <c r="G1517" s="102" t="b">
        <v>0</v>
      </c>
      <c r="H1517" s="102" t="b">
        <v>0</v>
      </c>
      <c r="I1517" s="102" t="b">
        <v>0</v>
      </c>
      <c r="J1517" s="102" t="b">
        <v>0</v>
      </c>
      <c r="K1517" s="102" t="b">
        <v>0</v>
      </c>
      <c r="L1517" s="102" t="b">
        <v>0</v>
      </c>
    </row>
    <row r="1518" spans="1:12" ht="15">
      <c r="A1518" s="104" t="s">
        <v>2502</v>
      </c>
      <c r="B1518" s="102" t="s">
        <v>2791</v>
      </c>
      <c r="C1518" s="102">
        <v>2</v>
      </c>
      <c r="D1518" s="106">
        <v>0.002098435476877389</v>
      </c>
      <c r="E1518" s="106">
        <v>1.7781512503836436</v>
      </c>
      <c r="F1518" s="102" t="s">
        <v>2324</v>
      </c>
      <c r="G1518" s="102" t="b">
        <v>0</v>
      </c>
      <c r="H1518" s="102" t="b">
        <v>0</v>
      </c>
      <c r="I1518" s="102" t="b">
        <v>0</v>
      </c>
      <c r="J1518" s="102" t="b">
        <v>0</v>
      </c>
      <c r="K1518" s="102" t="b">
        <v>0</v>
      </c>
      <c r="L1518" s="102" t="b">
        <v>0</v>
      </c>
    </row>
    <row r="1519" spans="1:12" ht="15">
      <c r="A1519" s="104" t="s">
        <v>2580</v>
      </c>
      <c r="B1519" s="102" t="s">
        <v>2541</v>
      </c>
      <c r="C1519" s="102">
        <v>2</v>
      </c>
      <c r="D1519" s="106">
        <v>0.002098435476877389</v>
      </c>
      <c r="E1519" s="106">
        <v>2.477121254719662</v>
      </c>
      <c r="F1519" s="102" t="s">
        <v>2324</v>
      </c>
      <c r="G1519" s="102" t="b">
        <v>0</v>
      </c>
      <c r="H1519" s="102" t="b">
        <v>0</v>
      </c>
      <c r="I1519" s="102" t="b">
        <v>0</v>
      </c>
      <c r="J1519" s="102" t="b">
        <v>0</v>
      </c>
      <c r="K1519" s="102" t="b">
        <v>0</v>
      </c>
      <c r="L1519" s="102" t="b">
        <v>0</v>
      </c>
    </row>
    <row r="1520" spans="1:12" ht="15">
      <c r="A1520" s="104" t="s">
        <v>2947</v>
      </c>
      <c r="B1520" s="102" t="s">
        <v>2790</v>
      </c>
      <c r="C1520" s="102">
        <v>2</v>
      </c>
      <c r="D1520" s="106">
        <v>0.002583967727948326</v>
      </c>
      <c r="E1520" s="106">
        <v>2.3010299956639813</v>
      </c>
      <c r="F1520" s="102" t="s">
        <v>2324</v>
      </c>
      <c r="G1520" s="102" t="b">
        <v>0</v>
      </c>
      <c r="H1520" s="102" t="b">
        <v>0</v>
      </c>
      <c r="I1520" s="102" t="b">
        <v>0</v>
      </c>
      <c r="J1520" s="102" t="b">
        <v>0</v>
      </c>
      <c r="K1520" s="102" t="b">
        <v>0</v>
      </c>
      <c r="L1520" s="102" t="b">
        <v>0</v>
      </c>
    </row>
    <row r="1521" spans="1:12" ht="15">
      <c r="A1521" s="104" t="s">
        <v>2502</v>
      </c>
      <c r="B1521" s="102" t="s">
        <v>2948</v>
      </c>
      <c r="C1521" s="102">
        <v>2</v>
      </c>
      <c r="D1521" s="106">
        <v>0.002583967727948326</v>
      </c>
      <c r="E1521" s="106">
        <v>1.9030899869919438</v>
      </c>
      <c r="F1521" s="102" t="s">
        <v>2324</v>
      </c>
      <c r="G1521" s="102" t="b">
        <v>0</v>
      </c>
      <c r="H1521" s="102" t="b">
        <v>0</v>
      </c>
      <c r="I1521" s="102" t="b">
        <v>0</v>
      </c>
      <c r="J1521" s="102" t="b">
        <v>0</v>
      </c>
      <c r="K1521" s="102" t="b">
        <v>0</v>
      </c>
      <c r="L1521" s="102" t="b">
        <v>0</v>
      </c>
    </row>
    <row r="1522" spans="1:12" ht="15">
      <c r="A1522" s="104" t="s">
        <v>2790</v>
      </c>
      <c r="B1522" s="102" t="s">
        <v>2502</v>
      </c>
      <c r="C1522" s="102">
        <v>2</v>
      </c>
      <c r="D1522" s="106">
        <v>0.002583967727948326</v>
      </c>
      <c r="E1522" s="106">
        <v>1.7781512503836436</v>
      </c>
      <c r="F1522" s="102" t="s">
        <v>2324</v>
      </c>
      <c r="G1522" s="102" t="b">
        <v>0</v>
      </c>
      <c r="H1522" s="102" t="b">
        <v>0</v>
      </c>
      <c r="I1522" s="102" t="b">
        <v>0</v>
      </c>
      <c r="J1522" s="102" t="b">
        <v>0</v>
      </c>
      <c r="K1522" s="102" t="b">
        <v>0</v>
      </c>
      <c r="L1522" s="102" t="b">
        <v>0</v>
      </c>
    </row>
    <row r="1523" spans="1:12" ht="15">
      <c r="A1523" s="104" t="s">
        <v>2789</v>
      </c>
      <c r="B1523" s="102" t="s">
        <v>3311</v>
      </c>
      <c r="C1523" s="102">
        <v>2</v>
      </c>
      <c r="D1523" s="106">
        <v>0.002583967727948326</v>
      </c>
      <c r="E1523" s="106">
        <v>2.477121254719662</v>
      </c>
      <c r="F1523" s="102" t="s">
        <v>2324</v>
      </c>
      <c r="G1523" s="102" t="b">
        <v>0</v>
      </c>
      <c r="H1523" s="102" t="b">
        <v>0</v>
      </c>
      <c r="I1523" s="102" t="b">
        <v>0</v>
      </c>
      <c r="J1523" s="102" t="b">
        <v>0</v>
      </c>
      <c r="K1523" s="102" t="b">
        <v>0</v>
      </c>
      <c r="L1523" s="102" t="b">
        <v>0</v>
      </c>
    </row>
    <row r="1524" spans="1:12" ht="15">
      <c r="A1524" s="104" t="s">
        <v>3311</v>
      </c>
      <c r="B1524" s="102" t="s">
        <v>2789</v>
      </c>
      <c r="C1524" s="102">
        <v>2</v>
      </c>
      <c r="D1524" s="106">
        <v>0.002583967727948326</v>
      </c>
      <c r="E1524" s="106">
        <v>2.477121254719662</v>
      </c>
      <c r="F1524" s="102" t="s">
        <v>2324</v>
      </c>
      <c r="G1524" s="102" t="b">
        <v>0</v>
      </c>
      <c r="H1524" s="102" t="b">
        <v>0</v>
      </c>
      <c r="I1524" s="102" t="b">
        <v>0</v>
      </c>
      <c r="J1524" s="102" t="b">
        <v>0</v>
      </c>
      <c r="K1524" s="102" t="b">
        <v>0</v>
      </c>
      <c r="L1524" s="102" t="b">
        <v>0</v>
      </c>
    </row>
    <row r="1525" spans="1:12" ht="15">
      <c r="A1525" s="104" t="s">
        <v>2348</v>
      </c>
      <c r="B1525" s="102" t="s">
        <v>2349</v>
      </c>
      <c r="C1525" s="102">
        <v>36</v>
      </c>
      <c r="D1525" s="106">
        <v>0.013514721953081673</v>
      </c>
      <c r="E1525" s="106">
        <v>0.9993186009196536</v>
      </c>
      <c r="F1525" s="102" t="s">
        <v>2325</v>
      </c>
      <c r="G1525" s="102" t="b">
        <v>0</v>
      </c>
      <c r="H1525" s="102" t="b">
        <v>0</v>
      </c>
      <c r="I1525" s="102" t="b">
        <v>0</v>
      </c>
      <c r="J1525" s="102" t="b">
        <v>0</v>
      </c>
      <c r="K1525" s="102" t="b">
        <v>0</v>
      </c>
      <c r="L1525" s="102" t="b">
        <v>0</v>
      </c>
    </row>
    <row r="1526" spans="1:12" ht="15">
      <c r="A1526" s="104" t="s">
        <v>2348</v>
      </c>
      <c r="B1526" s="102" t="s">
        <v>2351</v>
      </c>
      <c r="C1526" s="102">
        <v>30</v>
      </c>
      <c r="D1526" s="106">
        <v>0.014383457405651896</v>
      </c>
      <c r="E1526" s="106">
        <v>0.9947709731689329</v>
      </c>
      <c r="F1526" s="102" t="s">
        <v>2325</v>
      </c>
      <c r="G1526" s="102" t="b">
        <v>0</v>
      </c>
      <c r="H1526" s="102" t="b">
        <v>0</v>
      </c>
      <c r="I1526" s="102" t="b">
        <v>0</v>
      </c>
      <c r="J1526" s="102" t="b">
        <v>0</v>
      </c>
      <c r="K1526" s="102" t="b">
        <v>0</v>
      </c>
      <c r="L1526" s="102" t="b">
        <v>0</v>
      </c>
    </row>
    <row r="1527" spans="1:12" ht="15">
      <c r="A1527" s="104" t="s">
        <v>2352</v>
      </c>
      <c r="B1527" s="102" t="s">
        <v>2359</v>
      </c>
      <c r="C1527" s="102">
        <v>23</v>
      </c>
      <c r="D1527" s="106">
        <v>0.014852247388226308</v>
      </c>
      <c r="E1527" s="106">
        <v>1.057639928601958</v>
      </c>
      <c r="F1527" s="102" t="s">
        <v>2325</v>
      </c>
      <c r="G1527" s="102" t="b">
        <v>0</v>
      </c>
      <c r="H1527" s="102" t="b">
        <v>0</v>
      </c>
      <c r="I1527" s="102" t="b">
        <v>0</v>
      </c>
      <c r="J1527" s="102" t="b">
        <v>0</v>
      </c>
      <c r="K1527" s="102" t="b">
        <v>0</v>
      </c>
      <c r="L1527" s="102" t="b">
        <v>0</v>
      </c>
    </row>
    <row r="1528" spans="1:12" ht="15">
      <c r="A1528" s="104" t="s">
        <v>2348</v>
      </c>
      <c r="B1528" s="102" t="s">
        <v>2348</v>
      </c>
      <c r="C1528" s="102">
        <v>21</v>
      </c>
      <c r="D1528" s="106">
        <v>0.01247748626875718</v>
      </c>
      <c r="E1528" s="106">
        <v>0.5866117993152093</v>
      </c>
      <c r="F1528" s="102" t="s">
        <v>2325</v>
      </c>
      <c r="G1528" s="102" t="b">
        <v>0</v>
      </c>
      <c r="H1528" s="102" t="b">
        <v>0</v>
      </c>
      <c r="I1528" s="102" t="b">
        <v>0</v>
      </c>
      <c r="J1528" s="102" t="b">
        <v>0</v>
      </c>
      <c r="K1528" s="102" t="b">
        <v>0</v>
      </c>
      <c r="L1528" s="102" t="b">
        <v>0</v>
      </c>
    </row>
    <row r="1529" spans="1:12" ht="15">
      <c r="A1529" s="104" t="s">
        <v>2370</v>
      </c>
      <c r="B1529" s="102" t="s">
        <v>2378</v>
      </c>
      <c r="C1529" s="102">
        <v>12</v>
      </c>
      <c r="D1529" s="106">
        <v>0.013213259257551898</v>
      </c>
      <c r="E1529" s="106">
        <v>1.7963551954636712</v>
      </c>
      <c r="F1529" s="102" t="s">
        <v>2325</v>
      </c>
      <c r="G1529" s="102" t="b">
        <v>0</v>
      </c>
      <c r="H1529" s="102" t="b">
        <v>0</v>
      </c>
      <c r="I1529" s="102" t="b">
        <v>0</v>
      </c>
      <c r="J1529" s="102" t="b">
        <v>0</v>
      </c>
      <c r="K1529" s="102" t="b">
        <v>0</v>
      </c>
      <c r="L1529" s="102" t="b">
        <v>0</v>
      </c>
    </row>
    <row r="1530" spans="1:12" ht="15">
      <c r="A1530" s="104" t="s">
        <v>2355</v>
      </c>
      <c r="B1530" s="102" t="s">
        <v>2456</v>
      </c>
      <c r="C1530" s="102">
        <v>11</v>
      </c>
      <c r="D1530" s="106">
        <v>0.012112154319422573</v>
      </c>
      <c r="E1530" s="106">
        <v>1.89534815962002</v>
      </c>
      <c r="F1530" s="102" t="s">
        <v>2325</v>
      </c>
      <c r="G1530" s="102" t="b">
        <v>0</v>
      </c>
      <c r="H1530" s="102" t="b">
        <v>0</v>
      </c>
      <c r="I1530" s="102" t="b">
        <v>0</v>
      </c>
      <c r="J1530" s="102" t="b">
        <v>0</v>
      </c>
      <c r="K1530" s="102" t="b">
        <v>0</v>
      </c>
      <c r="L1530" s="102" t="b">
        <v>0</v>
      </c>
    </row>
    <row r="1531" spans="1:12" ht="15">
      <c r="A1531" s="104" t="s">
        <v>2352</v>
      </c>
      <c r="B1531" s="102" t="s">
        <v>2361</v>
      </c>
      <c r="C1531" s="102">
        <v>10</v>
      </c>
      <c r="D1531" s="106">
        <v>0.005941660127979609</v>
      </c>
      <c r="E1531" s="106">
        <v>1.0299423483512717</v>
      </c>
      <c r="F1531" s="102" t="s">
        <v>2325</v>
      </c>
      <c r="G1531" s="102" t="b">
        <v>0</v>
      </c>
      <c r="H1531" s="102" t="b">
        <v>0</v>
      </c>
      <c r="I1531" s="102" t="b">
        <v>0</v>
      </c>
      <c r="J1531" s="102" t="b">
        <v>0</v>
      </c>
      <c r="K1531" s="102" t="b">
        <v>0</v>
      </c>
      <c r="L1531" s="102" t="b">
        <v>0</v>
      </c>
    </row>
    <row r="1532" spans="1:12" ht="15">
      <c r="A1532" s="104" t="s">
        <v>2349</v>
      </c>
      <c r="B1532" s="102" t="s">
        <v>2353</v>
      </c>
      <c r="C1532" s="102">
        <v>9</v>
      </c>
      <c r="D1532" s="106">
        <v>0.007112490832429747</v>
      </c>
      <c r="E1532" s="106">
        <v>0.8497995146906373</v>
      </c>
      <c r="F1532" s="102" t="s">
        <v>2325</v>
      </c>
      <c r="G1532" s="102" t="b">
        <v>0</v>
      </c>
      <c r="H1532" s="102" t="b">
        <v>0</v>
      </c>
      <c r="I1532" s="102" t="b">
        <v>0</v>
      </c>
      <c r="J1532" s="102" t="b">
        <v>0</v>
      </c>
      <c r="K1532" s="102" t="b">
        <v>0</v>
      </c>
      <c r="L1532" s="102" t="b">
        <v>0</v>
      </c>
    </row>
    <row r="1533" spans="1:12" ht="15">
      <c r="A1533" s="104" t="s">
        <v>2361</v>
      </c>
      <c r="B1533" s="102" t="s">
        <v>2359</v>
      </c>
      <c r="C1533" s="102">
        <v>9</v>
      </c>
      <c r="D1533" s="106">
        <v>0.005811748978001598</v>
      </c>
      <c r="E1533" s="106">
        <v>1.234723861191317</v>
      </c>
      <c r="F1533" s="102" t="s">
        <v>2325</v>
      </c>
      <c r="G1533" s="102" t="b">
        <v>0</v>
      </c>
      <c r="H1533" s="102" t="b">
        <v>0</v>
      </c>
      <c r="I1533" s="102" t="b">
        <v>0</v>
      </c>
      <c r="J1533" s="102" t="b">
        <v>0</v>
      </c>
      <c r="K1533" s="102" t="b">
        <v>0</v>
      </c>
      <c r="L1533" s="102" t="b">
        <v>0</v>
      </c>
    </row>
    <row r="1534" spans="1:12" ht="15">
      <c r="A1534" s="104" t="s">
        <v>2359</v>
      </c>
      <c r="B1534" s="102" t="s">
        <v>2352</v>
      </c>
      <c r="C1534" s="102">
        <v>9</v>
      </c>
      <c r="D1534" s="106">
        <v>0.005811748978001598</v>
      </c>
      <c r="E1534" s="106">
        <v>0.7076286315098159</v>
      </c>
      <c r="F1534" s="102" t="s">
        <v>2325</v>
      </c>
      <c r="G1534" s="102" t="b">
        <v>0</v>
      </c>
      <c r="H1534" s="102" t="b">
        <v>0</v>
      </c>
      <c r="I1534" s="102" t="b">
        <v>0</v>
      </c>
      <c r="J1534" s="102" t="b">
        <v>0</v>
      </c>
      <c r="K1534" s="102" t="b">
        <v>0</v>
      </c>
      <c r="L1534" s="102" t="b">
        <v>0</v>
      </c>
    </row>
    <row r="1535" spans="1:12" ht="15">
      <c r="A1535" s="104" t="s">
        <v>2349</v>
      </c>
      <c r="B1535" s="102" t="s">
        <v>2348</v>
      </c>
      <c r="C1535" s="102">
        <v>8</v>
      </c>
      <c r="D1535" s="106">
        <v>0.0051659990915569765</v>
      </c>
      <c r="E1535" s="106">
        <v>0.40821658534996386</v>
      </c>
      <c r="F1535" s="102" t="s">
        <v>2325</v>
      </c>
      <c r="G1535" s="102" t="b">
        <v>0</v>
      </c>
      <c r="H1535" s="102" t="b">
        <v>0</v>
      </c>
      <c r="I1535" s="102" t="b">
        <v>0</v>
      </c>
      <c r="J1535" s="102" t="b">
        <v>0</v>
      </c>
      <c r="K1535" s="102" t="b">
        <v>0</v>
      </c>
      <c r="L1535" s="102" t="b">
        <v>0</v>
      </c>
    </row>
    <row r="1536" spans="1:12" ht="15">
      <c r="A1536" s="104" t="s">
        <v>2388</v>
      </c>
      <c r="B1536" s="102" t="s">
        <v>2377</v>
      </c>
      <c r="C1536" s="102">
        <v>8</v>
      </c>
      <c r="D1536" s="106">
        <v>0.004753328102383688</v>
      </c>
      <c r="E1536" s="106">
        <v>2.1720188094245563</v>
      </c>
      <c r="F1536" s="102" t="s">
        <v>2325</v>
      </c>
      <c r="G1536" s="102" t="b">
        <v>0</v>
      </c>
      <c r="H1536" s="102" t="b">
        <v>0</v>
      </c>
      <c r="I1536" s="102" t="b">
        <v>0</v>
      </c>
      <c r="J1536" s="102" t="b">
        <v>0</v>
      </c>
      <c r="K1536" s="102" t="b">
        <v>0</v>
      </c>
      <c r="L1536" s="102" t="b">
        <v>0</v>
      </c>
    </row>
    <row r="1537" spans="1:12" ht="15">
      <c r="A1537" s="104" t="s">
        <v>2351</v>
      </c>
      <c r="B1537" s="102" t="s">
        <v>2348</v>
      </c>
      <c r="C1537" s="102">
        <v>7</v>
      </c>
      <c r="D1537" s="106">
        <v>0.004962184117852677</v>
      </c>
      <c r="E1537" s="106">
        <v>0.41052054025952817</v>
      </c>
      <c r="F1537" s="102" t="s">
        <v>2325</v>
      </c>
      <c r="G1537" s="102" t="b">
        <v>0</v>
      </c>
      <c r="H1537" s="102" t="b">
        <v>0</v>
      </c>
      <c r="I1537" s="102" t="b">
        <v>0</v>
      </c>
      <c r="J1537" s="102" t="b">
        <v>0</v>
      </c>
      <c r="K1537" s="102" t="b">
        <v>0</v>
      </c>
      <c r="L1537" s="102" t="b">
        <v>0</v>
      </c>
    </row>
    <row r="1538" spans="1:12" ht="15">
      <c r="A1538" s="104" t="s">
        <v>2403</v>
      </c>
      <c r="B1538" s="102" t="s">
        <v>2357</v>
      </c>
      <c r="C1538" s="102">
        <v>7</v>
      </c>
      <c r="D1538" s="106">
        <v>0.0077077345669052735</v>
      </c>
      <c r="E1538" s="106">
        <v>1.8076018348961824</v>
      </c>
      <c r="F1538" s="102" t="s">
        <v>2325</v>
      </c>
      <c r="G1538" s="102" t="b">
        <v>0</v>
      </c>
      <c r="H1538" s="102" t="b">
        <v>0</v>
      </c>
      <c r="I1538" s="102" t="b">
        <v>0</v>
      </c>
      <c r="J1538" s="102" t="b">
        <v>0</v>
      </c>
      <c r="K1538" s="102" t="b">
        <v>0</v>
      </c>
      <c r="L1538" s="102" t="b">
        <v>0</v>
      </c>
    </row>
    <row r="1539" spans="1:12" ht="15">
      <c r="A1539" s="104" t="s">
        <v>2384</v>
      </c>
      <c r="B1539" s="102" t="s">
        <v>2388</v>
      </c>
      <c r="C1539" s="102">
        <v>7</v>
      </c>
      <c r="D1539" s="106">
        <v>0.004520249205112355</v>
      </c>
      <c r="E1539" s="106">
        <v>2.1597843530075447</v>
      </c>
      <c r="F1539" s="102" t="s">
        <v>2325</v>
      </c>
      <c r="G1539" s="102" t="b">
        <v>0</v>
      </c>
      <c r="H1539" s="102" t="b">
        <v>0</v>
      </c>
      <c r="I1539" s="102" t="b">
        <v>0</v>
      </c>
      <c r="J1539" s="102" t="b">
        <v>0</v>
      </c>
      <c r="K1539" s="102" t="b">
        <v>0</v>
      </c>
      <c r="L1539" s="102" t="b">
        <v>0</v>
      </c>
    </row>
    <row r="1540" spans="1:12" ht="15">
      <c r="A1540" s="104" t="s">
        <v>2353</v>
      </c>
      <c r="B1540" s="102" t="s">
        <v>2411</v>
      </c>
      <c r="C1540" s="102">
        <v>7</v>
      </c>
      <c r="D1540" s="106">
        <v>0.004520249205112355</v>
      </c>
      <c r="E1540" s="106">
        <v>1.437333252822003</v>
      </c>
      <c r="F1540" s="102" t="s">
        <v>2325</v>
      </c>
      <c r="G1540" s="102" t="b">
        <v>0</v>
      </c>
      <c r="H1540" s="102" t="b">
        <v>0</v>
      </c>
      <c r="I1540" s="102" t="b">
        <v>0</v>
      </c>
      <c r="J1540" s="102" t="b">
        <v>0</v>
      </c>
      <c r="K1540" s="102" t="b">
        <v>0</v>
      </c>
      <c r="L1540" s="102" t="b">
        <v>0</v>
      </c>
    </row>
    <row r="1541" spans="1:12" ht="15">
      <c r="A1541" s="104" t="s">
        <v>2352</v>
      </c>
      <c r="B1541" s="102" t="s">
        <v>2389</v>
      </c>
      <c r="C1541" s="102">
        <v>7</v>
      </c>
      <c r="D1541" s="106">
        <v>0.0038538672834526368</v>
      </c>
      <c r="E1541" s="106">
        <v>1.1995514798790325</v>
      </c>
      <c r="F1541" s="102" t="s">
        <v>2325</v>
      </c>
      <c r="G1541" s="102" t="b">
        <v>0</v>
      </c>
      <c r="H1541" s="102" t="b">
        <v>0</v>
      </c>
      <c r="I1541" s="102" t="b">
        <v>0</v>
      </c>
      <c r="J1541" s="102" t="b">
        <v>0</v>
      </c>
      <c r="K1541" s="102" t="b">
        <v>0</v>
      </c>
      <c r="L1541" s="102" t="b">
        <v>0</v>
      </c>
    </row>
    <row r="1542" spans="1:12" ht="15">
      <c r="A1542" s="104" t="s">
        <v>2361</v>
      </c>
      <c r="B1542" s="102" t="s">
        <v>2352</v>
      </c>
      <c r="C1542" s="102">
        <v>7</v>
      </c>
      <c r="D1542" s="106">
        <v>0.005531937314112025</v>
      </c>
      <c r="E1542" s="106">
        <v>0.8995141577487291</v>
      </c>
      <c r="F1542" s="102" t="s">
        <v>2325</v>
      </c>
      <c r="G1542" s="102" t="b">
        <v>0</v>
      </c>
      <c r="H1542" s="102" t="b">
        <v>0</v>
      </c>
      <c r="I1542" s="102" t="b">
        <v>0</v>
      </c>
      <c r="J1542" s="102" t="b">
        <v>0</v>
      </c>
      <c r="K1542" s="102" t="b">
        <v>0</v>
      </c>
      <c r="L1542" s="102" t="b">
        <v>0</v>
      </c>
    </row>
    <row r="1543" spans="1:12" ht="15">
      <c r="A1543" s="104" t="s">
        <v>2574</v>
      </c>
      <c r="B1543" s="102" t="s">
        <v>2614</v>
      </c>
      <c r="C1543" s="102">
        <v>6</v>
      </c>
      <c r="D1543" s="106">
        <v>0.006606629628775949</v>
      </c>
      <c r="E1543" s="106">
        <v>2.3269207694103</v>
      </c>
      <c r="F1543" s="102" t="s">
        <v>2325</v>
      </c>
      <c r="G1543" s="102" t="b">
        <v>0</v>
      </c>
      <c r="H1543" s="102" t="b">
        <v>0</v>
      </c>
      <c r="I1543" s="102" t="b">
        <v>0</v>
      </c>
      <c r="J1543" s="102" t="b">
        <v>0</v>
      </c>
      <c r="K1543" s="102" t="b">
        <v>0</v>
      </c>
      <c r="L1543" s="102" t="b">
        <v>0</v>
      </c>
    </row>
    <row r="1544" spans="1:12" ht="15">
      <c r="A1544" s="104" t="s">
        <v>2394</v>
      </c>
      <c r="B1544" s="102" t="s">
        <v>2390</v>
      </c>
      <c r="C1544" s="102">
        <v>6</v>
      </c>
      <c r="D1544" s="106">
        <v>0.0035649960767877658</v>
      </c>
      <c r="E1544" s="106">
        <v>2.268928822432613</v>
      </c>
      <c r="F1544" s="102" t="s">
        <v>2325</v>
      </c>
      <c r="G1544" s="102" t="b">
        <v>0</v>
      </c>
      <c r="H1544" s="102" t="b">
        <v>0</v>
      </c>
      <c r="I1544" s="102" t="b">
        <v>0</v>
      </c>
      <c r="J1544" s="102" t="b">
        <v>0</v>
      </c>
      <c r="K1544" s="102" t="b">
        <v>0</v>
      </c>
      <c r="L1544" s="102" t="b">
        <v>0</v>
      </c>
    </row>
    <row r="1545" spans="1:12" ht="15">
      <c r="A1545" s="104" t="s">
        <v>2352</v>
      </c>
      <c r="B1545" s="102" t="s">
        <v>2364</v>
      </c>
      <c r="C1545" s="102">
        <v>6</v>
      </c>
      <c r="D1545" s="106">
        <v>0.0038744993186677324</v>
      </c>
      <c r="E1545" s="106">
        <v>0.7858172040237631</v>
      </c>
      <c r="F1545" s="102" t="s">
        <v>2325</v>
      </c>
      <c r="G1545" s="102" t="b">
        <v>0</v>
      </c>
      <c r="H1545" s="102" t="b">
        <v>0</v>
      </c>
      <c r="I1545" s="102" t="b">
        <v>0</v>
      </c>
      <c r="J1545" s="102" t="b">
        <v>0</v>
      </c>
      <c r="K1545" s="102" t="b">
        <v>0</v>
      </c>
      <c r="L1545" s="102" t="b">
        <v>0</v>
      </c>
    </row>
    <row r="1546" spans="1:12" ht="15">
      <c r="A1546" s="104" t="s">
        <v>2367</v>
      </c>
      <c r="B1546" s="102" t="s">
        <v>2350</v>
      </c>
      <c r="C1546" s="102">
        <v>6</v>
      </c>
      <c r="D1546" s="106">
        <v>0.004741660554953165</v>
      </c>
      <c r="E1546" s="106">
        <v>1.503012028465981</v>
      </c>
      <c r="F1546" s="102" t="s">
        <v>2325</v>
      </c>
      <c r="G1546" s="102" t="b">
        <v>0</v>
      </c>
      <c r="H1546" s="102" t="b">
        <v>0</v>
      </c>
      <c r="I1546" s="102" t="b">
        <v>0</v>
      </c>
      <c r="J1546" s="102" t="b">
        <v>0</v>
      </c>
      <c r="K1546" s="102" t="b">
        <v>0</v>
      </c>
      <c r="L1546" s="102" t="b">
        <v>0</v>
      </c>
    </row>
    <row r="1547" spans="1:12" ht="15">
      <c r="A1547" s="104" t="s">
        <v>2411</v>
      </c>
      <c r="B1547" s="102" t="s">
        <v>2348</v>
      </c>
      <c r="C1547" s="102">
        <v>6</v>
      </c>
      <c r="D1547" s="106">
        <v>0.004741660554953165</v>
      </c>
      <c r="E1547" s="106">
        <v>1.0614290991253075</v>
      </c>
      <c r="F1547" s="102" t="s">
        <v>2325</v>
      </c>
      <c r="G1547" s="102" t="b">
        <v>0</v>
      </c>
      <c r="H1547" s="102" t="b">
        <v>0</v>
      </c>
      <c r="I1547" s="102" t="b">
        <v>0</v>
      </c>
      <c r="J1547" s="102" t="b">
        <v>0</v>
      </c>
      <c r="K1547" s="102" t="b">
        <v>0</v>
      </c>
      <c r="L1547" s="102" t="b">
        <v>0</v>
      </c>
    </row>
    <row r="1548" spans="1:12" ht="15">
      <c r="A1548" s="104" t="s">
        <v>2351</v>
      </c>
      <c r="B1548" s="102" t="s">
        <v>2353</v>
      </c>
      <c r="C1548" s="102">
        <v>6</v>
      </c>
      <c r="D1548" s="106">
        <v>0.00542996515061055</v>
      </c>
      <c r="E1548" s="106">
        <v>0.734004157522207</v>
      </c>
      <c r="F1548" s="102" t="s">
        <v>2325</v>
      </c>
      <c r="G1548" s="102" t="b">
        <v>0</v>
      </c>
      <c r="H1548" s="102" t="b">
        <v>0</v>
      </c>
      <c r="I1548" s="102" t="b">
        <v>0</v>
      </c>
      <c r="J1548" s="102" t="b">
        <v>0</v>
      </c>
      <c r="K1548" s="102" t="b">
        <v>0</v>
      </c>
      <c r="L1548" s="102" t="b">
        <v>0</v>
      </c>
    </row>
    <row r="1549" spans="1:12" ht="15">
      <c r="A1549" s="104" t="s">
        <v>2512</v>
      </c>
      <c r="B1549" s="102" t="s">
        <v>2447</v>
      </c>
      <c r="C1549" s="102">
        <v>6</v>
      </c>
      <c r="D1549" s="106">
        <v>0.006606629628775949</v>
      </c>
      <c r="E1549" s="106">
        <v>1.8819841980620384</v>
      </c>
      <c r="F1549" s="102" t="s">
        <v>2325</v>
      </c>
      <c r="G1549" s="102" t="b">
        <v>0</v>
      </c>
      <c r="H1549" s="102" t="b">
        <v>0</v>
      </c>
      <c r="I1549" s="102" t="b">
        <v>0</v>
      </c>
      <c r="J1549" s="102" t="b">
        <v>0</v>
      </c>
      <c r="K1549" s="102" t="b">
        <v>0</v>
      </c>
      <c r="L1549" s="102" t="b">
        <v>0</v>
      </c>
    </row>
    <row r="1550" spans="1:12" ht="15">
      <c r="A1550" s="104" t="s">
        <v>2456</v>
      </c>
      <c r="B1550" s="102" t="s">
        <v>2443</v>
      </c>
      <c r="C1550" s="102">
        <v>6</v>
      </c>
      <c r="D1550" s="106">
        <v>0.006606629628775949</v>
      </c>
      <c r="E1550" s="106">
        <v>1.8362267075013634</v>
      </c>
      <c r="F1550" s="102" t="s">
        <v>2325</v>
      </c>
      <c r="G1550" s="102" t="b">
        <v>0</v>
      </c>
      <c r="H1550" s="102" t="b">
        <v>0</v>
      </c>
      <c r="I1550" s="102" t="b">
        <v>0</v>
      </c>
      <c r="J1550" s="102" t="b">
        <v>0</v>
      </c>
      <c r="K1550" s="102" t="b">
        <v>0</v>
      </c>
      <c r="L1550" s="102" t="b">
        <v>0</v>
      </c>
    </row>
    <row r="1551" spans="1:12" ht="15">
      <c r="A1551" s="104" t="s">
        <v>2359</v>
      </c>
      <c r="B1551" s="102" t="s">
        <v>2481</v>
      </c>
      <c r="C1551" s="102">
        <v>5</v>
      </c>
      <c r="D1551" s="106">
        <v>0.0032287494322231105</v>
      </c>
      <c r="E1551" s="106">
        <v>1.5130539667601215</v>
      </c>
      <c r="F1551" s="102" t="s">
        <v>2325</v>
      </c>
      <c r="G1551" s="102" t="b">
        <v>0</v>
      </c>
      <c r="H1551" s="102" t="b">
        <v>0</v>
      </c>
      <c r="I1551" s="102" t="b">
        <v>0</v>
      </c>
      <c r="J1551" s="102" t="b">
        <v>0</v>
      </c>
      <c r="K1551" s="102" t="b">
        <v>0</v>
      </c>
      <c r="L1551" s="102" t="b">
        <v>0</v>
      </c>
    </row>
    <row r="1552" spans="1:12" ht="15">
      <c r="A1552" s="104" t="s">
        <v>2352</v>
      </c>
      <c r="B1552" s="102" t="s">
        <v>2508</v>
      </c>
      <c r="C1552" s="102">
        <v>5</v>
      </c>
      <c r="D1552" s="106">
        <v>0.0032287494322231105</v>
      </c>
      <c r="E1552" s="106">
        <v>1.2295147032564757</v>
      </c>
      <c r="F1552" s="102" t="s">
        <v>2325</v>
      </c>
      <c r="G1552" s="102" t="b">
        <v>0</v>
      </c>
      <c r="H1552" s="102" t="b">
        <v>0</v>
      </c>
      <c r="I1552" s="102" t="b">
        <v>0</v>
      </c>
      <c r="J1552" s="102" t="b">
        <v>0</v>
      </c>
      <c r="K1552" s="102" t="b">
        <v>0</v>
      </c>
      <c r="L1552" s="102" t="b">
        <v>0</v>
      </c>
    </row>
    <row r="1553" spans="1:12" ht="15">
      <c r="A1553" s="104" t="s">
        <v>2353</v>
      </c>
      <c r="B1553" s="102" t="s">
        <v>2348</v>
      </c>
      <c r="C1553" s="102">
        <v>5</v>
      </c>
      <c r="D1553" s="106">
        <v>0.004524970958842125</v>
      </c>
      <c r="E1553" s="106">
        <v>0.35670676590019745</v>
      </c>
      <c r="F1553" s="102" t="s">
        <v>2325</v>
      </c>
      <c r="G1553" s="102" t="b">
        <v>0</v>
      </c>
      <c r="H1553" s="102" t="b">
        <v>0</v>
      </c>
      <c r="I1553" s="102" t="b">
        <v>0</v>
      </c>
      <c r="J1553" s="102" t="b">
        <v>0</v>
      </c>
      <c r="K1553" s="102" t="b">
        <v>0</v>
      </c>
      <c r="L1553" s="102" t="b">
        <v>0</v>
      </c>
    </row>
    <row r="1554" spans="1:12" ht="15">
      <c r="A1554" s="104" t="s">
        <v>2432</v>
      </c>
      <c r="B1554" s="102" t="s">
        <v>2608</v>
      </c>
      <c r="C1554" s="102">
        <v>5</v>
      </c>
      <c r="D1554" s="106">
        <v>0.0055055246906466244</v>
      </c>
      <c r="E1554" s="106">
        <v>2.1720188094245563</v>
      </c>
      <c r="F1554" s="102" t="s">
        <v>2325</v>
      </c>
      <c r="G1554" s="102" t="b">
        <v>0</v>
      </c>
      <c r="H1554" s="102" t="b">
        <v>0</v>
      </c>
      <c r="I1554" s="102" t="b">
        <v>0</v>
      </c>
      <c r="J1554" s="102" t="b">
        <v>0</v>
      </c>
      <c r="K1554" s="102" t="b">
        <v>0</v>
      </c>
      <c r="L1554" s="102" t="b">
        <v>0</v>
      </c>
    </row>
    <row r="1555" spans="1:12" ht="15">
      <c r="A1555" s="104" t="s">
        <v>2608</v>
      </c>
      <c r="B1555" s="102" t="s">
        <v>2417</v>
      </c>
      <c r="C1555" s="102">
        <v>5</v>
      </c>
      <c r="D1555" s="106">
        <v>0.0055055246906466244</v>
      </c>
      <c r="E1555" s="106">
        <v>2.2177762999852315</v>
      </c>
      <c r="F1555" s="102" t="s">
        <v>2325</v>
      </c>
      <c r="G1555" s="102" t="b">
        <v>0</v>
      </c>
      <c r="H1555" s="102" t="b">
        <v>0</v>
      </c>
      <c r="I1555" s="102" t="b">
        <v>0</v>
      </c>
      <c r="J1555" s="102" t="b">
        <v>0</v>
      </c>
      <c r="K1555" s="102" t="b">
        <v>0</v>
      </c>
      <c r="L1555" s="102" t="b">
        <v>0</v>
      </c>
    </row>
    <row r="1556" spans="1:12" ht="15">
      <c r="A1556" s="104" t="s">
        <v>2348</v>
      </c>
      <c r="B1556" s="102" t="s">
        <v>2420</v>
      </c>
      <c r="C1556" s="102">
        <v>4</v>
      </c>
      <c r="D1556" s="106">
        <v>0.003161107036635443</v>
      </c>
      <c r="E1556" s="106">
        <v>1.1988909558248577</v>
      </c>
      <c r="F1556" s="102" t="s">
        <v>2325</v>
      </c>
      <c r="G1556" s="102" t="b">
        <v>0</v>
      </c>
      <c r="H1556" s="102" t="b">
        <v>0</v>
      </c>
      <c r="I1556" s="102" t="b">
        <v>0</v>
      </c>
      <c r="J1556" s="102" t="b">
        <v>0</v>
      </c>
      <c r="K1556" s="102" t="b">
        <v>0</v>
      </c>
      <c r="L1556" s="102" t="b">
        <v>0</v>
      </c>
    </row>
    <row r="1557" spans="1:12" ht="15">
      <c r="A1557" s="104" t="s">
        <v>2420</v>
      </c>
      <c r="B1557" s="102" t="s">
        <v>2351</v>
      </c>
      <c r="C1557" s="102">
        <v>4</v>
      </c>
      <c r="D1557" s="106">
        <v>0.003161107036635443</v>
      </c>
      <c r="E1557" s="106">
        <v>1.4907775720489693</v>
      </c>
      <c r="F1557" s="102" t="s">
        <v>2325</v>
      </c>
      <c r="G1557" s="102" t="b">
        <v>0</v>
      </c>
      <c r="H1557" s="102" t="b">
        <v>0</v>
      </c>
      <c r="I1557" s="102" t="b">
        <v>0</v>
      </c>
      <c r="J1557" s="102" t="b">
        <v>0</v>
      </c>
      <c r="K1557" s="102" t="b">
        <v>0</v>
      </c>
      <c r="L1557" s="102" t="b">
        <v>0</v>
      </c>
    </row>
    <row r="1558" spans="1:12" ht="15">
      <c r="A1558" s="104" t="s">
        <v>2378</v>
      </c>
      <c r="B1558" s="102" t="s">
        <v>1884</v>
      </c>
      <c r="C1558" s="102">
        <v>4</v>
      </c>
      <c r="D1558" s="106">
        <v>0.0044044197525173</v>
      </c>
      <c r="E1558" s="106">
        <v>1.899017537360819</v>
      </c>
      <c r="F1558" s="102" t="s">
        <v>2325</v>
      </c>
      <c r="G1558" s="102" t="b">
        <v>0</v>
      </c>
      <c r="H1558" s="102" t="b">
        <v>0</v>
      </c>
      <c r="I1558" s="102" t="b">
        <v>0</v>
      </c>
      <c r="J1558" s="102" t="b">
        <v>0</v>
      </c>
      <c r="K1558" s="102" t="b">
        <v>0</v>
      </c>
      <c r="L1558" s="102" t="b">
        <v>0</v>
      </c>
    </row>
    <row r="1559" spans="1:12" ht="15">
      <c r="A1559" s="104" t="s">
        <v>2378</v>
      </c>
      <c r="B1559" s="102" t="s">
        <v>2370</v>
      </c>
      <c r="C1559" s="102">
        <v>4</v>
      </c>
      <c r="D1559" s="106">
        <v>0.0044044197525173</v>
      </c>
      <c r="E1559" s="106">
        <v>1.3192339407440088</v>
      </c>
      <c r="F1559" s="102" t="s">
        <v>2325</v>
      </c>
      <c r="G1559" s="102" t="b">
        <v>0</v>
      </c>
      <c r="H1559" s="102" t="b">
        <v>0</v>
      </c>
      <c r="I1559" s="102" t="b">
        <v>0</v>
      </c>
      <c r="J1559" s="102" t="b">
        <v>0</v>
      </c>
      <c r="K1559" s="102" t="b">
        <v>0</v>
      </c>
      <c r="L1559" s="102" t="b">
        <v>0</v>
      </c>
    </row>
    <row r="1560" spans="1:12" ht="15">
      <c r="A1560" s="104" t="s">
        <v>2392</v>
      </c>
      <c r="B1560" s="102" t="s">
        <v>2348</v>
      </c>
      <c r="C1560" s="102">
        <v>4</v>
      </c>
      <c r="D1560" s="106">
        <v>0.0036199767670737</v>
      </c>
      <c r="E1560" s="106">
        <v>1.0614290991253075</v>
      </c>
      <c r="F1560" s="102" t="s">
        <v>2325</v>
      </c>
      <c r="G1560" s="102" t="b">
        <v>0</v>
      </c>
      <c r="H1560" s="102" t="b">
        <v>0</v>
      </c>
      <c r="I1560" s="102" t="b">
        <v>0</v>
      </c>
      <c r="J1560" s="102" t="b">
        <v>0</v>
      </c>
      <c r="K1560" s="102" t="b">
        <v>0</v>
      </c>
      <c r="L1560" s="102" t="b">
        <v>0</v>
      </c>
    </row>
    <row r="1561" spans="1:12" ht="15">
      <c r="A1561" s="104" t="s">
        <v>2380</v>
      </c>
      <c r="B1561" s="102" t="s">
        <v>2610</v>
      </c>
      <c r="C1561" s="102">
        <v>4</v>
      </c>
      <c r="D1561" s="106">
        <v>0.003161107036635443</v>
      </c>
      <c r="E1561" s="106">
        <v>2.2177762999852315</v>
      </c>
      <c r="F1561" s="102" t="s">
        <v>2325</v>
      </c>
      <c r="G1561" s="102" t="b">
        <v>0</v>
      </c>
      <c r="H1561" s="102" t="b">
        <v>0</v>
      </c>
      <c r="I1561" s="102" t="b">
        <v>0</v>
      </c>
      <c r="J1561" s="102" t="b">
        <v>0</v>
      </c>
      <c r="K1561" s="102" t="b">
        <v>0</v>
      </c>
      <c r="L1561" s="102" t="b">
        <v>0</v>
      </c>
    </row>
    <row r="1562" spans="1:12" ht="15">
      <c r="A1562" s="104" t="s">
        <v>2352</v>
      </c>
      <c r="B1562" s="102" t="s">
        <v>2387</v>
      </c>
      <c r="C1562" s="102">
        <v>4</v>
      </c>
      <c r="D1562" s="106">
        <v>0.0028355337816301012</v>
      </c>
      <c r="E1562" s="106">
        <v>0.910755940632063</v>
      </c>
      <c r="F1562" s="102" t="s">
        <v>2325</v>
      </c>
      <c r="G1562" s="102" t="b">
        <v>0</v>
      </c>
      <c r="H1562" s="102" t="b">
        <v>0</v>
      </c>
      <c r="I1562" s="102" t="b">
        <v>0</v>
      </c>
      <c r="J1562" s="102" t="b">
        <v>0</v>
      </c>
      <c r="K1562" s="102" t="b">
        <v>0</v>
      </c>
      <c r="L1562" s="102" t="b">
        <v>0</v>
      </c>
    </row>
    <row r="1563" spans="1:12" ht="15">
      <c r="A1563" s="104" t="s">
        <v>2358</v>
      </c>
      <c r="B1563" s="102" t="s">
        <v>2366</v>
      </c>
      <c r="C1563" s="102">
        <v>4</v>
      </c>
      <c r="D1563" s="106">
        <v>0.0036199767670737</v>
      </c>
      <c r="E1563" s="106">
        <v>1.653504869546669</v>
      </c>
      <c r="F1563" s="102" t="s">
        <v>2325</v>
      </c>
      <c r="G1563" s="102" t="b">
        <v>0</v>
      </c>
      <c r="H1563" s="102" t="b">
        <v>0</v>
      </c>
      <c r="I1563" s="102" t="b">
        <v>0</v>
      </c>
      <c r="J1563" s="102" t="b">
        <v>0</v>
      </c>
      <c r="K1563" s="102" t="b">
        <v>0</v>
      </c>
      <c r="L1563" s="102" t="b">
        <v>0</v>
      </c>
    </row>
    <row r="1564" spans="1:12" ht="15">
      <c r="A1564" s="104" t="s">
        <v>2389</v>
      </c>
      <c r="B1564" s="102" t="s">
        <v>2352</v>
      </c>
      <c r="C1564" s="102">
        <v>4</v>
      </c>
      <c r="D1564" s="106">
        <v>0.0028355337816301012</v>
      </c>
      <c r="E1564" s="106">
        <v>0.9809872005759387</v>
      </c>
      <c r="F1564" s="102" t="s">
        <v>2325</v>
      </c>
      <c r="G1564" s="102" t="b">
        <v>0</v>
      </c>
      <c r="H1564" s="102" t="b">
        <v>0</v>
      </c>
      <c r="I1564" s="102" t="b">
        <v>0</v>
      </c>
      <c r="J1564" s="102" t="b">
        <v>0</v>
      </c>
      <c r="K1564" s="102" t="b">
        <v>0</v>
      </c>
      <c r="L1564" s="102" t="b">
        <v>0</v>
      </c>
    </row>
    <row r="1565" spans="1:12" ht="15">
      <c r="A1565" s="104" t="s">
        <v>2353</v>
      </c>
      <c r="B1565" s="102" t="s">
        <v>2384</v>
      </c>
      <c r="C1565" s="102">
        <v>4</v>
      </c>
      <c r="D1565" s="106">
        <v>0.003161107036635443</v>
      </c>
      <c r="E1565" s="106">
        <v>1.240052694696384</v>
      </c>
      <c r="F1565" s="102" t="s">
        <v>2325</v>
      </c>
      <c r="G1565" s="102" t="b">
        <v>0</v>
      </c>
      <c r="H1565" s="102" t="b">
        <v>0</v>
      </c>
      <c r="I1565" s="102" t="b">
        <v>0</v>
      </c>
      <c r="J1565" s="102" t="b">
        <v>0</v>
      </c>
      <c r="K1565" s="102" t="b">
        <v>0</v>
      </c>
      <c r="L1565" s="102" t="b">
        <v>0</v>
      </c>
    </row>
    <row r="1566" spans="1:12" ht="15">
      <c r="A1566" s="104" t="s">
        <v>2572</v>
      </c>
      <c r="B1566" s="102" t="s">
        <v>2355</v>
      </c>
      <c r="C1566" s="102">
        <v>4</v>
      </c>
      <c r="D1566" s="106">
        <v>0.0044044197525173</v>
      </c>
      <c r="E1566" s="106">
        <v>1.6985318393599882</v>
      </c>
      <c r="F1566" s="102" t="s">
        <v>2325</v>
      </c>
      <c r="G1566" s="102" t="b">
        <v>0</v>
      </c>
      <c r="H1566" s="102" t="b">
        <v>0</v>
      </c>
      <c r="I1566" s="102" t="b">
        <v>0</v>
      </c>
      <c r="J1566" s="102" t="b">
        <v>0</v>
      </c>
      <c r="K1566" s="102" t="b">
        <v>0</v>
      </c>
      <c r="L1566" s="102" t="b">
        <v>0</v>
      </c>
    </row>
    <row r="1567" spans="1:12" ht="15">
      <c r="A1567" s="104" t="s">
        <v>2443</v>
      </c>
      <c r="B1567" s="102" t="s">
        <v>2572</v>
      </c>
      <c r="C1567" s="102">
        <v>4</v>
      </c>
      <c r="D1567" s="106">
        <v>0.0044044197525173</v>
      </c>
      <c r="E1567" s="106">
        <v>1.9959275503688751</v>
      </c>
      <c r="F1567" s="102" t="s">
        <v>2325</v>
      </c>
      <c r="G1567" s="102" t="b">
        <v>0</v>
      </c>
      <c r="H1567" s="102" t="b">
        <v>0</v>
      </c>
      <c r="I1567" s="102" t="b">
        <v>0</v>
      </c>
      <c r="J1567" s="102" t="b">
        <v>0</v>
      </c>
      <c r="K1567" s="102" t="b">
        <v>0</v>
      </c>
      <c r="L1567" s="102" t="b">
        <v>0</v>
      </c>
    </row>
    <row r="1568" spans="1:12" ht="15">
      <c r="A1568" s="104" t="s">
        <v>2379</v>
      </c>
      <c r="B1568" s="102" t="s">
        <v>2349</v>
      </c>
      <c r="C1568" s="102">
        <v>3</v>
      </c>
      <c r="D1568" s="106">
        <v>0.002714982575305275</v>
      </c>
      <c r="E1568" s="106">
        <v>1.0481671684574707</v>
      </c>
      <c r="F1568" s="102" t="s">
        <v>2325</v>
      </c>
      <c r="G1568" s="102" t="b">
        <v>0</v>
      </c>
      <c r="H1568" s="102" t="b">
        <v>0</v>
      </c>
      <c r="I1568" s="102" t="b">
        <v>0</v>
      </c>
      <c r="J1568" s="102" t="b">
        <v>0</v>
      </c>
      <c r="K1568" s="102" t="b">
        <v>0</v>
      </c>
      <c r="L1568" s="102" t="b">
        <v>0</v>
      </c>
    </row>
    <row r="1569" spans="1:12" ht="15">
      <c r="A1569" s="104" t="s">
        <v>2511</v>
      </c>
      <c r="B1569" s="102" t="s">
        <v>2348</v>
      </c>
      <c r="C1569" s="102">
        <v>3</v>
      </c>
      <c r="D1569" s="106">
        <v>0.0033033148143879745</v>
      </c>
      <c r="E1569" s="106">
        <v>1.0156716085646325</v>
      </c>
      <c r="F1569" s="102" t="s">
        <v>2325</v>
      </c>
      <c r="G1569" s="102" t="b">
        <v>0</v>
      </c>
      <c r="H1569" s="102" t="b">
        <v>0</v>
      </c>
      <c r="I1569" s="102" t="b">
        <v>0</v>
      </c>
      <c r="J1569" s="102" t="b">
        <v>0</v>
      </c>
      <c r="K1569" s="102" t="b">
        <v>0</v>
      </c>
      <c r="L1569" s="102" t="b">
        <v>0</v>
      </c>
    </row>
    <row r="1570" spans="1:12" ht="15">
      <c r="A1570" s="104" t="s">
        <v>1884</v>
      </c>
      <c r="B1570" s="102" t="s">
        <v>2370</v>
      </c>
      <c r="C1570" s="102">
        <v>3</v>
      </c>
      <c r="D1570" s="106">
        <v>0.0033033148143879745</v>
      </c>
      <c r="E1570" s="106">
        <v>1.5922352128077464</v>
      </c>
      <c r="F1570" s="102" t="s">
        <v>2325</v>
      </c>
      <c r="G1570" s="102" t="b">
        <v>0</v>
      </c>
      <c r="H1570" s="102" t="b">
        <v>0</v>
      </c>
      <c r="I1570" s="102" t="b">
        <v>0</v>
      </c>
      <c r="J1570" s="102" t="b">
        <v>0</v>
      </c>
      <c r="K1570" s="102" t="b">
        <v>0</v>
      </c>
      <c r="L1570" s="102" t="b">
        <v>0</v>
      </c>
    </row>
    <row r="1571" spans="1:12" ht="15">
      <c r="A1571" s="104" t="s">
        <v>2631</v>
      </c>
      <c r="B1571" s="102" t="s">
        <v>2442</v>
      </c>
      <c r="C1571" s="102">
        <v>3</v>
      </c>
      <c r="D1571" s="106">
        <v>0.0033033148143879745</v>
      </c>
      <c r="E1571" s="106">
        <v>2.3269207694103</v>
      </c>
      <c r="F1571" s="102" t="s">
        <v>2325</v>
      </c>
      <c r="G1571" s="102" t="b">
        <v>0</v>
      </c>
      <c r="H1571" s="102" t="b">
        <v>0</v>
      </c>
      <c r="I1571" s="102" t="b">
        <v>0</v>
      </c>
      <c r="J1571" s="102" t="b">
        <v>0</v>
      </c>
      <c r="K1571" s="102" t="b">
        <v>0</v>
      </c>
      <c r="L1571" s="102" t="b">
        <v>0</v>
      </c>
    </row>
    <row r="1572" spans="1:12" ht="15">
      <c r="A1572" s="104" t="s">
        <v>2351</v>
      </c>
      <c r="B1572" s="102" t="s">
        <v>2403</v>
      </c>
      <c r="C1572" s="102">
        <v>3</v>
      </c>
      <c r="D1572" s="106">
        <v>0.0033033148143879745</v>
      </c>
      <c r="E1572" s="106">
        <v>1.0739522192165578</v>
      </c>
      <c r="F1572" s="102" t="s">
        <v>2325</v>
      </c>
      <c r="G1572" s="102" t="b">
        <v>0</v>
      </c>
      <c r="H1572" s="102" t="b">
        <v>0</v>
      </c>
      <c r="I1572" s="102" t="b">
        <v>0</v>
      </c>
      <c r="J1572" s="102" t="b">
        <v>0</v>
      </c>
      <c r="K1572" s="102" t="b">
        <v>0</v>
      </c>
      <c r="L1572" s="102" t="b">
        <v>0</v>
      </c>
    </row>
    <row r="1573" spans="1:12" ht="15">
      <c r="A1573" s="104" t="s">
        <v>2351</v>
      </c>
      <c r="B1573" s="102" t="s">
        <v>2392</v>
      </c>
      <c r="C1573" s="102">
        <v>3</v>
      </c>
      <c r="D1573" s="106">
        <v>0.0033033148143879745</v>
      </c>
      <c r="E1573" s="106">
        <v>1.1988909558248577</v>
      </c>
      <c r="F1573" s="102" t="s">
        <v>2325</v>
      </c>
      <c r="G1573" s="102" t="b">
        <v>0</v>
      </c>
      <c r="H1573" s="102" t="b">
        <v>0</v>
      </c>
      <c r="I1573" s="102" t="b">
        <v>0</v>
      </c>
      <c r="J1573" s="102" t="b">
        <v>0</v>
      </c>
      <c r="K1573" s="102" t="b">
        <v>0</v>
      </c>
      <c r="L1573" s="102" t="b">
        <v>0</v>
      </c>
    </row>
    <row r="1574" spans="1:12" ht="15">
      <c r="A1574" s="104" t="s">
        <v>2351</v>
      </c>
      <c r="B1574" s="102" t="s">
        <v>2514</v>
      </c>
      <c r="C1574" s="102">
        <v>3</v>
      </c>
      <c r="D1574" s="106">
        <v>0.0033033148143879745</v>
      </c>
      <c r="E1574" s="106">
        <v>1.374982214880539</v>
      </c>
      <c r="F1574" s="102" t="s">
        <v>2325</v>
      </c>
      <c r="G1574" s="102" t="b">
        <v>0</v>
      </c>
      <c r="H1574" s="102" t="b">
        <v>0</v>
      </c>
      <c r="I1574" s="102" t="b">
        <v>0</v>
      </c>
      <c r="J1574" s="102" t="b">
        <v>0</v>
      </c>
      <c r="K1574" s="102" t="b">
        <v>0</v>
      </c>
      <c r="L1574" s="102" t="b">
        <v>0</v>
      </c>
    </row>
    <row r="1575" spans="1:12" ht="15">
      <c r="A1575" s="104" t="s">
        <v>2349</v>
      </c>
      <c r="B1575" s="102" t="s">
        <v>2356</v>
      </c>
      <c r="C1575" s="102">
        <v>3</v>
      </c>
      <c r="D1575" s="106">
        <v>0.002714982575305275</v>
      </c>
      <c r="E1575" s="106">
        <v>1.013656317329307</v>
      </c>
      <c r="F1575" s="102" t="s">
        <v>2325</v>
      </c>
      <c r="G1575" s="102" t="b">
        <v>0</v>
      </c>
      <c r="H1575" s="102" t="b">
        <v>0</v>
      </c>
      <c r="I1575" s="102" t="b">
        <v>0</v>
      </c>
      <c r="J1575" s="102" t="b">
        <v>0</v>
      </c>
      <c r="K1575" s="102" t="b">
        <v>0</v>
      </c>
      <c r="L1575" s="102" t="b">
        <v>0</v>
      </c>
    </row>
    <row r="1576" spans="1:12" ht="15">
      <c r="A1576" s="104" t="s">
        <v>2356</v>
      </c>
      <c r="B1576" s="102" t="s">
        <v>2397</v>
      </c>
      <c r="C1576" s="102">
        <v>3</v>
      </c>
      <c r="D1576" s="106">
        <v>0.002714982575305275</v>
      </c>
      <c r="E1576" s="106">
        <v>2.268928822432613</v>
      </c>
      <c r="F1576" s="102" t="s">
        <v>2325</v>
      </c>
      <c r="G1576" s="102" t="b">
        <v>0</v>
      </c>
      <c r="H1576" s="102" t="b">
        <v>0</v>
      </c>
      <c r="I1576" s="102" t="b">
        <v>0</v>
      </c>
      <c r="J1576" s="102" t="b">
        <v>0</v>
      </c>
      <c r="K1576" s="102" t="b">
        <v>0</v>
      </c>
      <c r="L1576" s="102" t="b">
        <v>0</v>
      </c>
    </row>
    <row r="1577" spans="1:12" ht="15">
      <c r="A1577" s="104" t="s">
        <v>2513</v>
      </c>
      <c r="B1577" s="102" t="s">
        <v>2376</v>
      </c>
      <c r="C1577" s="102">
        <v>3</v>
      </c>
      <c r="D1577" s="106">
        <v>0.002714982575305275</v>
      </c>
      <c r="E1577" s="106">
        <v>1.6405398923823014</v>
      </c>
      <c r="F1577" s="102" t="s">
        <v>2325</v>
      </c>
      <c r="G1577" s="102" t="b">
        <v>0</v>
      </c>
      <c r="H1577" s="102" t="b">
        <v>0</v>
      </c>
      <c r="I1577" s="102" t="b">
        <v>0</v>
      </c>
      <c r="J1577" s="102" t="b">
        <v>0</v>
      </c>
      <c r="K1577" s="102" t="b">
        <v>0</v>
      </c>
      <c r="L1577" s="102" t="b">
        <v>0</v>
      </c>
    </row>
    <row r="1578" spans="1:12" ht="15">
      <c r="A1578" s="104" t="s">
        <v>2614</v>
      </c>
      <c r="B1578" s="102" t="s">
        <v>2574</v>
      </c>
      <c r="C1578" s="102">
        <v>3</v>
      </c>
      <c r="D1578" s="106">
        <v>0.0033033148143879745</v>
      </c>
      <c r="E1578" s="106">
        <v>2.0928375633769316</v>
      </c>
      <c r="F1578" s="102" t="s">
        <v>2325</v>
      </c>
      <c r="G1578" s="102" t="b">
        <v>0</v>
      </c>
      <c r="H1578" s="102" t="b">
        <v>0</v>
      </c>
      <c r="I1578" s="102" t="b">
        <v>0</v>
      </c>
      <c r="J1578" s="102" t="b">
        <v>0</v>
      </c>
      <c r="K1578" s="102" t="b">
        <v>0</v>
      </c>
      <c r="L1578" s="102" t="b">
        <v>0</v>
      </c>
    </row>
    <row r="1579" spans="1:12" ht="15">
      <c r="A1579" s="104" t="s">
        <v>2495</v>
      </c>
      <c r="B1579" s="102" t="s">
        <v>2495</v>
      </c>
      <c r="C1579" s="102">
        <v>3</v>
      </c>
      <c r="D1579" s="106">
        <v>0.0033033148143879745</v>
      </c>
      <c r="E1579" s="106">
        <v>1.7406550452655691</v>
      </c>
      <c r="F1579" s="102" t="s">
        <v>2325</v>
      </c>
      <c r="G1579" s="102" t="b">
        <v>0</v>
      </c>
      <c r="H1579" s="102" t="b">
        <v>0</v>
      </c>
      <c r="I1579" s="102" t="b">
        <v>0</v>
      </c>
      <c r="J1579" s="102" t="b">
        <v>0</v>
      </c>
      <c r="K1579" s="102" t="b">
        <v>0</v>
      </c>
      <c r="L1579" s="102" t="b">
        <v>0</v>
      </c>
    </row>
    <row r="1580" spans="1:12" ht="15">
      <c r="A1580" s="104" t="s">
        <v>2871</v>
      </c>
      <c r="B1580" s="102" t="s">
        <v>2872</v>
      </c>
      <c r="C1580" s="102">
        <v>3</v>
      </c>
      <c r="D1580" s="106">
        <v>0.0033033148143879745</v>
      </c>
      <c r="E1580" s="106">
        <v>2.694897554704894</v>
      </c>
      <c r="F1580" s="102" t="s">
        <v>2325</v>
      </c>
      <c r="G1580" s="102" t="b">
        <v>0</v>
      </c>
      <c r="H1580" s="102" t="b">
        <v>0</v>
      </c>
      <c r="I1580" s="102" t="b">
        <v>0</v>
      </c>
      <c r="J1580" s="102" t="b">
        <v>0</v>
      </c>
      <c r="K1580" s="102" t="b">
        <v>0</v>
      </c>
      <c r="L1580" s="102" t="b">
        <v>0</v>
      </c>
    </row>
    <row r="1581" spans="1:12" ht="15">
      <c r="A1581" s="104" t="s">
        <v>2873</v>
      </c>
      <c r="B1581" s="102" t="s">
        <v>2874</v>
      </c>
      <c r="C1581" s="102">
        <v>3</v>
      </c>
      <c r="D1581" s="106">
        <v>0.0033033148143879745</v>
      </c>
      <c r="E1581" s="106">
        <v>2.694897554704894</v>
      </c>
      <c r="F1581" s="102" t="s">
        <v>2325</v>
      </c>
      <c r="G1581" s="102" t="b">
        <v>1</v>
      </c>
      <c r="H1581" s="102" t="b">
        <v>0</v>
      </c>
      <c r="I1581" s="102" t="b">
        <v>0</v>
      </c>
      <c r="J1581" s="102" t="b">
        <v>0</v>
      </c>
      <c r="K1581" s="102" t="b">
        <v>0</v>
      </c>
      <c r="L1581" s="102" t="b">
        <v>0</v>
      </c>
    </row>
    <row r="1582" spans="1:12" ht="15">
      <c r="A1582" s="104" t="s">
        <v>2350</v>
      </c>
      <c r="B1582" s="102" t="s">
        <v>2352</v>
      </c>
      <c r="C1582" s="102">
        <v>3</v>
      </c>
      <c r="D1582" s="106">
        <v>0.002714982575305275</v>
      </c>
      <c r="E1582" s="106">
        <v>0.5092609777429824</v>
      </c>
      <c r="F1582" s="102" t="s">
        <v>2325</v>
      </c>
      <c r="G1582" s="102" t="b">
        <v>0</v>
      </c>
      <c r="H1582" s="102" t="b">
        <v>0</v>
      </c>
      <c r="I1582" s="102" t="b">
        <v>0</v>
      </c>
      <c r="J1582" s="102" t="b">
        <v>0</v>
      </c>
      <c r="K1582" s="102" t="b">
        <v>0</v>
      </c>
      <c r="L1582" s="102" t="b">
        <v>0</v>
      </c>
    </row>
    <row r="1583" spans="1:12" ht="15">
      <c r="A1583" s="104" t="s">
        <v>2352</v>
      </c>
      <c r="B1583" s="102" t="s">
        <v>2380</v>
      </c>
      <c r="C1583" s="102">
        <v>3</v>
      </c>
      <c r="D1583" s="106">
        <v>0.0023708302774765825</v>
      </c>
      <c r="E1583" s="106">
        <v>0.7858172040237631</v>
      </c>
      <c r="F1583" s="102" t="s">
        <v>2325</v>
      </c>
      <c r="G1583" s="102" t="b">
        <v>0</v>
      </c>
      <c r="H1583" s="102" t="b">
        <v>0</v>
      </c>
      <c r="I1583" s="102" t="b">
        <v>0</v>
      </c>
      <c r="J1583" s="102" t="b">
        <v>0</v>
      </c>
      <c r="K1583" s="102" t="b">
        <v>0</v>
      </c>
      <c r="L1583" s="102" t="b">
        <v>0</v>
      </c>
    </row>
    <row r="1584" spans="1:12" ht="15">
      <c r="A1584" s="104" t="s">
        <v>2353</v>
      </c>
      <c r="B1584" s="102" t="s">
        <v>2357</v>
      </c>
      <c r="C1584" s="102">
        <v>3</v>
      </c>
      <c r="D1584" s="106">
        <v>0.0023708302774765825</v>
      </c>
      <c r="E1584" s="106">
        <v>0.8140839624241027</v>
      </c>
      <c r="F1584" s="102" t="s">
        <v>2325</v>
      </c>
      <c r="G1584" s="102" t="b">
        <v>0</v>
      </c>
      <c r="H1584" s="102" t="b">
        <v>0</v>
      </c>
      <c r="I1584" s="102" t="b">
        <v>0</v>
      </c>
      <c r="J1584" s="102" t="b">
        <v>0</v>
      </c>
      <c r="K1584" s="102" t="b">
        <v>0</v>
      </c>
      <c r="L1584" s="102" t="b">
        <v>0</v>
      </c>
    </row>
    <row r="1585" spans="1:12" ht="15">
      <c r="A1585" s="104" t="s">
        <v>2357</v>
      </c>
      <c r="B1585" s="102" t="s">
        <v>2384</v>
      </c>
      <c r="C1585" s="102">
        <v>3</v>
      </c>
      <c r="D1585" s="106">
        <v>0.0023708302774765825</v>
      </c>
      <c r="E1585" s="106">
        <v>1.4396250496015879</v>
      </c>
      <c r="F1585" s="102" t="s">
        <v>2325</v>
      </c>
      <c r="G1585" s="102" t="b">
        <v>0</v>
      </c>
      <c r="H1585" s="102" t="b">
        <v>0</v>
      </c>
      <c r="I1585" s="102" t="b">
        <v>0</v>
      </c>
      <c r="J1585" s="102" t="b">
        <v>0</v>
      </c>
      <c r="K1585" s="102" t="b">
        <v>0</v>
      </c>
      <c r="L1585" s="102" t="b">
        <v>0</v>
      </c>
    </row>
    <row r="1586" spans="1:12" ht="15">
      <c r="A1586" s="104" t="s">
        <v>2387</v>
      </c>
      <c r="B1586" s="102" t="s">
        <v>2352</v>
      </c>
      <c r="C1586" s="102">
        <v>3</v>
      </c>
      <c r="D1586" s="106">
        <v>0.0023708302774765825</v>
      </c>
      <c r="E1586" s="106">
        <v>0.8102909734069635</v>
      </c>
      <c r="F1586" s="102" t="s">
        <v>2325</v>
      </c>
      <c r="G1586" s="102" t="b">
        <v>0</v>
      </c>
      <c r="H1586" s="102" t="b">
        <v>0</v>
      </c>
      <c r="I1586" s="102" t="b">
        <v>0</v>
      </c>
      <c r="J1586" s="102" t="b">
        <v>0</v>
      </c>
      <c r="K1586" s="102" t="b">
        <v>0</v>
      </c>
      <c r="L1586" s="102" t="b">
        <v>0</v>
      </c>
    </row>
    <row r="1587" spans="1:12" ht="15">
      <c r="A1587" s="104" t="s">
        <v>2352</v>
      </c>
      <c r="B1587" s="102" t="s">
        <v>2569</v>
      </c>
      <c r="C1587" s="102">
        <v>3</v>
      </c>
      <c r="D1587" s="106">
        <v>0.0023708302774765825</v>
      </c>
      <c r="E1587" s="106">
        <v>1.1837572126958007</v>
      </c>
      <c r="F1587" s="102" t="s">
        <v>2325</v>
      </c>
      <c r="G1587" s="102" t="b">
        <v>0</v>
      </c>
      <c r="H1587" s="102" t="b">
        <v>0</v>
      </c>
      <c r="I1587" s="102" t="b">
        <v>0</v>
      </c>
      <c r="J1587" s="102" t="b">
        <v>0</v>
      </c>
      <c r="K1587" s="102" t="b">
        <v>1</v>
      </c>
      <c r="L1587" s="102" t="b">
        <v>0</v>
      </c>
    </row>
    <row r="1588" spans="1:12" ht="15">
      <c r="A1588" s="104" t="s">
        <v>2349</v>
      </c>
      <c r="B1588" s="102" t="s">
        <v>2358</v>
      </c>
      <c r="C1588" s="102">
        <v>3</v>
      </c>
      <c r="D1588" s="106">
        <v>0.0033033148143879745</v>
      </c>
      <c r="E1588" s="106">
        <v>0.8753536191630253</v>
      </c>
      <c r="F1588" s="102" t="s">
        <v>2325</v>
      </c>
      <c r="G1588" s="102" t="b">
        <v>0</v>
      </c>
      <c r="H1588" s="102" t="b">
        <v>0</v>
      </c>
      <c r="I1588" s="102" t="b">
        <v>0</v>
      </c>
      <c r="J1588" s="102" t="b">
        <v>0</v>
      </c>
      <c r="K1588" s="102" t="b">
        <v>0</v>
      </c>
      <c r="L1588" s="102" t="b">
        <v>0</v>
      </c>
    </row>
    <row r="1589" spans="1:12" ht="15">
      <c r="A1589" s="104" t="s">
        <v>2452</v>
      </c>
      <c r="B1589" s="102" t="s">
        <v>2418</v>
      </c>
      <c r="C1589" s="102">
        <v>3</v>
      </c>
      <c r="D1589" s="106">
        <v>0.0033033148143879745</v>
      </c>
      <c r="E1589" s="106">
        <v>1.7918075677129504</v>
      </c>
      <c r="F1589" s="102" t="s">
        <v>2325</v>
      </c>
      <c r="G1589" s="102" t="b">
        <v>0</v>
      </c>
      <c r="H1589" s="102" t="b">
        <v>0</v>
      </c>
      <c r="I1589" s="102" t="b">
        <v>0</v>
      </c>
      <c r="J1589" s="102" t="b">
        <v>0</v>
      </c>
      <c r="K1589" s="102" t="b">
        <v>0</v>
      </c>
      <c r="L1589" s="102" t="b">
        <v>0</v>
      </c>
    </row>
    <row r="1590" spans="1:12" ht="15">
      <c r="A1590" s="104" t="s">
        <v>2418</v>
      </c>
      <c r="B1590" s="102" t="s">
        <v>2406</v>
      </c>
      <c r="C1590" s="102">
        <v>3</v>
      </c>
      <c r="D1590" s="106">
        <v>0.0033033148143879745</v>
      </c>
      <c r="E1590" s="106">
        <v>1.9678988267686317</v>
      </c>
      <c r="F1590" s="102" t="s">
        <v>2325</v>
      </c>
      <c r="G1590" s="102" t="b">
        <v>0</v>
      </c>
      <c r="H1590" s="102" t="b">
        <v>0</v>
      </c>
      <c r="I1590" s="102" t="b">
        <v>0</v>
      </c>
      <c r="J1590" s="102" t="b">
        <v>0</v>
      </c>
      <c r="K1590" s="102" t="b">
        <v>1</v>
      </c>
      <c r="L1590" s="102" t="b">
        <v>0</v>
      </c>
    </row>
    <row r="1591" spans="1:12" ht="15">
      <c r="A1591" s="104" t="s">
        <v>2481</v>
      </c>
      <c r="B1591" s="102" t="s">
        <v>2361</v>
      </c>
      <c r="C1591" s="102">
        <v>3</v>
      </c>
      <c r="D1591" s="106">
        <v>0.0023708302774765825</v>
      </c>
      <c r="E1591" s="106">
        <v>1.5922352128077464</v>
      </c>
      <c r="F1591" s="102" t="s">
        <v>2325</v>
      </c>
      <c r="G1591" s="102" t="b">
        <v>0</v>
      </c>
      <c r="H1591" s="102" t="b">
        <v>0</v>
      </c>
      <c r="I1591" s="102" t="b">
        <v>0</v>
      </c>
      <c r="J1591" s="102" t="b">
        <v>0</v>
      </c>
      <c r="K1591" s="102" t="b">
        <v>0</v>
      </c>
      <c r="L1591" s="102" t="b">
        <v>0</v>
      </c>
    </row>
    <row r="1592" spans="1:12" ht="15">
      <c r="A1592" s="104" t="s">
        <v>2366</v>
      </c>
      <c r="B1592" s="102" t="s">
        <v>2571</v>
      </c>
      <c r="C1592" s="102">
        <v>3</v>
      </c>
      <c r="D1592" s="106">
        <v>0.0023708302774765825</v>
      </c>
      <c r="E1592" s="106">
        <v>1.8709888137605752</v>
      </c>
      <c r="F1592" s="102" t="s">
        <v>2325</v>
      </c>
      <c r="G1592" s="102" t="b">
        <v>0</v>
      </c>
      <c r="H1592" s="102" t="b">
        <v>0</v>
      </c>
      <c r="I1592" s="102" t="b">
        <v>0</v>
      </c>
      <c r="J1592" s="102" t="b">
        <v>0</v>
      </c>
      <c r="K1592" s="102" t="b">
        <v>0</v>
      </c>
      <c r="L1592" s="102" t="b">
        <v>0</v>
      </c>
    </row>
    <row r="1593" spans="1:12" ht="15">
      <c r="A1593" s="104" t="s">
        <v>2571</v>
      </c>
      <c r="B1593" s="102" t="s">
        <v>2570</v>
      </c>
      <c r="C1593" s="102">
        <v>3</v>
      </c>
      <c r="D1593" s="106">
        <v>0.0023708302774765825</v>
      </c>
      <c r="E1593" s="106">
        <v>2.2512000554721814</v>
      </c>
      <c r="F1593" s="102" t="s">
        <v>2325</v>
      </c>
      <c r="G1593" s="102" t="b">
        <v>0</v>
      </c>
      <c r="H1593" s="102" t="b">
        <v>0</v>
      </c>
      <c r="I1593" s="102" t="b">
        <v>0</v>
      </c>
      <c r="J1593" s="102" t="b">
        <v>0</v>
      </c>
      <c r="K1593" s="102" t="b">
        <v>0</v>
      </c>
      <c r="L1593" s="102" t="b">
        <v>0</v>
      </c>
    </row>
    <row r="1594" spans="1:12" ht="15">
      <c r="A1594" s="104" t="s">
        <v>2570</v>
      </c>
      <c r="B1594" s="102" t="s">
        <v>2370</v>
      </c>
      <c r="C1594" s="102">
        <v>3</v>
      </c>
      <c r="D1594" s="106">
        <v>0.0023708302774765825</v>
      </c>
      <c r="E1594" s="106">
        <v>1.6714164588553713</v>
      </c>
      <c r="F1594" s="102" t="s">
        <v>2325</v>
      </c>
      <c r="G1594" s="102" t="b">
        <v>0</v>
      </c>
      <c r="H1594" s="102" t="b">
        <v>0</v>
      </c>
      <c r="I1594" s="102" t="b">
        <v>0</v>
      </c>
      <c r="J1594" s="102" t="b">
        <v>0</v>
      </c>
      <c r="K1594" s="102" t="b">
        <v>0</v>
      </c>
      <c r="L1594" s="102" t="b">
        <v>0</v>
      </c>
    </row>
    <row r="1595" spans="1:12" ht="15">
      <c r="A1595" s="104" t="s">
        <v>2370</v>
      </c>
      <c r="B1595" s="102" t="s">
        <v>2376</v>
      </c>
      <c r="C1595" s="102">
        <v>3</v>
      </c>
      <c r="D1595" s="106">
        <v>0.0023708302774765825</v>
      </c>
      <c r="E1595" s="106">
        <v>1.1399375418131161</v>
      </c>
      <c r="F1595" s="102" t="s">
        <v>2325</v>
      </c>
      <c r="G1595" s="102" t="b">
        <v>0</v>
      </c>
      <c r="H1595" s="102" t="b">
        <v>0</v>
      </c>
      <c r="I1595" s="102" t="b">
        <v>0</v>
      </c>
      <c r="J1595" s="102" t="b">
        <v>0</v>
      </c>
      <c r="K1595" s="102" t="b">
        <v>0</v>
      </c>
      <c r="L1595" s="102" t="b">
        <v>0</v>
      </c>
    </row>
    <row r="1596" spans="1:12" ht="15">
      <c r="A1596" s="104" t="s">
        <v>2376</v>
      </c>
      <c r="B1596" s="102" t="s">
        <v>2435</v>
      </c>
      <c r="C1596" s="102">
        <v>3</v>
      </c>
      <c r="D1596" s="106">
        <v>0.0023708302774765825</v>
      </c>
      <c r="E1596" s="106">
        <v>1.6405398923823014</v>
      </c>
      <c r="F1596" s="102" t="s">
        <v>2325</v>
      </c>
      <c r="G1596" s="102" t="b">
        <v>0</v>
      </c>
      <c r="H1596" s="102" t="b">
        <v>0</v>
      </c>
      <c r="I1596" s="102" t="b">
        <v>0</v>
      </c>
      <c r="J1596" s="102" t="b">
        <v>0</v>
      </c>
      <c r="K1596" s="102" t="b">
        <v>0</v>
      </c>
      <c r="L1596" s="102" t="b">
        <v>0</v>
      </c>
    </row>
    <row r="1597" spans="1:12" ht="15">
      <c r="A1597" s="104" t="s">
        <v>2435</v>
      </c>
      <c r="B1597" s="102" t="s">
        <v>2509</v>
      </c>
      <c r="C1597" s="102">
        <v>3</v>
      </c>
      <c r="D1597" s="106">
        <v>0.0023708302774765825</v>
      </c>
      <c r="E1597" s="106">
        <v>2.1720188094245563</v>
      </c>
      <c r="F1597" s="102" t="s">
        <v>2325</v>
      </c>
      <c r="G1597" s="102" t="b">
        <v>0</v>
      </c>
      <c r="H1597" s="102" t="b">
        <v>0</v>
      </c>
      <c r="I1597" s="102" t="b">
        <v>0</v>
      </c>
      <c r="J1597" s="102" t="b">
        <v>0</v>
      </c>
      <c r="K1597" s="102" t="b">
        <v>0</v>
      </c>
      <c r="L1597" s="102" t="b">
        <v>0</v>
      </c>
    </row>
    <row r="1598" spans="1:12" ht="15">
      <c r="A1598" s="104" t="s">
        <v>2509</v>
      </c>
      <c r="B1598" s="102" t="s">
        <v>2352</v>
      </c>
      <c r="C1598" s="102">
        <v>3</v>
      </c>
      <c r="D1598" s="106">
        <v>0.0023708302774765825</v>
      </c>
      <c r="E1598" s="106">
        <v>1.1113209690709447</v>
      </c>
      <c r="F1598" s="102" t="s">
        <v>2325</v>
      </c>
      <c r="G1598" s="102" t="b">
        <v>0</v>
      </c>
      <c r="H1598" s="102" t="b">
        <v>0</v>
      </c>
      <c r="I1598" s="102" t="b">
        <v>0</v>
      </c>
      <c r="J1598" s="102" t="b">
        <v>0</v>
      </c>
      <c r="K1598" s="102" t="b">
        <v>0</v>
      </c>
      <c r="L1598" s="102" t="b">
        <v>0</v>
      </c>
    </row>
    <row r="1599" spans="1:12" ht="15">
      <c r="A1599" s="104" t="s">
        <v>2508</v>
      </c>
      <c r="B1599" s="102" t="s">
        <v>2352</v>
      </c>
      <c r="C1599" s="102">
        <v>3</v>
      </c>
      <c r="D1599" s="106">
        <v>0.0023708302774765825</v>
      </c>
      <c r="E1599" s="106">
        <v>1.03213972302332</v>
      </c>
      <c r="F1599" s="102" t="s">
        <v>2325</v>
      </c>
      <c r="G1599" s="102" t="b">
        <v>0</v>
      </c>
      <c r="H1599" s="102" t="b">
        <v>0</v>
      </c>
      <c r="I1599" s="102" t="b">
        <v>0</v>
      </c>
      <c r="J1599" s="102" t="b">
        <v>0</v>
      </c>
      <c r="K1599" s="102" t="b">
        <v>0</v>
      </c>
      <c r="L1599" s="102" t="b">
        <v>0</v>
      </c>
    </row>
    <row r="1600" spans="1:12" ht="15">
      <c r="A1600" s="104" t="s">
        <v>2359</v>
      </c>
      <c r="B1600" s="102" t="s">
        <v>2751</v>
      </c>
      <c r="C1600" s="102">
        <v>3</v>
      </c>
      <c r="D1600" s="106">
        <v>0.0023708302774765825</v>
      </c>
      <c r="E1600" s="106">
        <v>1.5922352128077464</v>
      </c>
      <c r="F1600" s="102" t="s">
        <v>2325</v>
      </c>
      <c r="G1600" s="102" t="b">
        <v>0</v>
      </c>
      <c r="H1600" s="102" t="b">
        <v>0</v>
      </c>
      <c r="I1600" s="102" t="b">
        <v>0</v>
      </c>
      <c r="J1600" s="102" t="b">
        <v>0</v>
      </c>
      <c r="K1600" s="102" t="b">
        <v>0</v>
      </c>
      <c r="L1600" s="102" t="b">
        <v>0</v>
      </c>
    </row>
    <row r="1601" spans="1:12" ht="15">
      <c r="A1601" s="104" t="s">
        <v>2376</v>
      </c>
      <c r="B1601" s="102" t="s">
        <v>2364</v>
      </c>
      <c r="C1601" s="102">
        <v>3</v>
      </c>
      <c r="D1601" s="106">
        <v>0.0033033148143879745</v>
      </c>
      <c r="E1601" s="106">
        <v>1.1176611471019637</v>
      </c>
      <c r="F1601" s="102" t="s">
        <v>2325</v>
      </c>
      <c r="G1601" s="102" t="b">
        <v>0</v>
      </c>
      <c r="H1601" s="102" t="b">
        <v>0</v>
      </c>
      <c r="I1601" s="102" t="b">
        <v>0</v>
      </c>
      <c r="J1601" s="102" t="b">
        <v>0</v>
      </c>
      <c r="K1601" s="102" t="b">
        <v>0</v>
      </c>
      <c r="L1601" s="102" t="b">
        <v>0</v>
      </c>
    </row>
    <row r="1602" spans="1:12" ht="15">
      <c r="A1602" s="104" t="s">
        <v>2353</v>
      </c>
      <c r="B1602" s="102" t="s">
        <v>2353</v>
      </c>
      <c r="C1602" s="102">
        <v>3</v>
      </c>
      <c r="D1602" s="106">
        <v>0.002714982575305275</v>
      </c>
      <c r="E1602" s="106">
        <v>0.5252884231771332</v>
      </c>
      <c r="F1602" s="102" t="s">
        <v>2325</v>
      </c>
      <c r="G1602" s="102" t="b">
        <v>0</v>
      </c>
      <c r="H1602" s="102" t="b">
        <v>0</v>
      </c>
      <c r="I1602" s="102" t="b">
        <v>0</v>
      </c>
      <c r="J1602" s="102" t="b">
        <v>0</v>
      </c>
      <c r="K1602" s="102" t="b">
        <v>0</v>
      </c>
      <c r="L1602" s="102" t="b">
        <v>0</v>
      </c>
    </row>
    <row r="1603" spans="1:12" ht="15">
      <c r="A1603" s="104" t="s">
        <v>2377</v>
      </c>
      <c r="B1603" s="102" t="s">
        <v>2353</v>
      </c>
      <c r="C1603" s="102">
        <v>3</v>
      </c>
      <c r="D1603" s="106">
        <v>0.0023708302774765825</v>
      </c>
      <c r="E1603" s="106">
        <v>1.1050720197939434</v>
      </c>
      <c r="F1603" s="102" t="s">
        <v>2325</v>
      </c>
      <c r="G1603" s="102" t="b">
        <v>0</v>
      </c>
      <c r="H1603" s="102" t="b">
        <v>0</v>
      </c>
      <c r="I1603" s="102" t="b">
        <v>0</v>
      </c>
      <c r="J1603" s="102" t="b">
        <v>0</v>
      </c>
      <c r="K1603" s="102" t="b">
        <v>0</v>
      </c>
      <c r="L1603" s="102" t="b">
        <v>0</v>
      </c>
    </row>
    <row r="1604" spans="1:12" ht="15">
      <c r="A1604" s="104" t="s">
        <v>2512</v>
      </c>
      <c r="B1604" s="102" t="s">
        <v>2676</v>
      </c>
      <c r="C1604" s="102">
        <v>3</v>
      </c>
      <c r="D1604" s="106">
        <v>0.0033033148143879745</v>
      </c>
      <c r="E1604" s="106">
        <v>2.0928375633769316</v>
      </c>
      <c r="F1604" s="102" t="s">
        <v>2325</v>
      </c>
      <c r="G1604" s="102" t="b">
        <v>0</v>
      </c>
      <c r="H1604" s="102" t="b">
        <v>0</v>
      </c>
      <c r="I1604" s="102" t="b">
        <v>0</v>
      </c>
      <c r="J1604" s="102" t="b">
        <v>0</v>
      </c>
      <c r="K1604" s="102" t="b">
        <v>0</v>
      </c>
      <c r="L1604" s="102" t="b">
        <v>0</v>
      </c>
    </row>
    <row r="1605" spans="1:12" ht="15">
      <c r="A1605" s="104" t="s">
        <v>2746</v>
      </c>
      <c r="B1605" s="102" t="s">
        <v>2351</v>
      </c>
      <c r="C1605" s="102">
        <v>3</v>
      </c>
      <c r="D1605" s="106">
        <v>0.0033033148143879745</v>
      </c>
      <c r="E1605" s="106">
        <v>1.3658388354406694</v>
      </c>
      <c r="F1605" s="102" t="s">
        <v>2325</v>
      </c>
      <c r="G1605" s="102" t="b">
        <v>0</v>
      </c>
      <c r="H1605" s="102" t="b">
        <v>0</v>
      </c>
      <c r="I1605" s="102" t="b">
        <v>0</v>
      </c>
      <c r="J1605" s="102" t="b">
        <v>0</v>
      </c>
      <c r="K1605" s="102" t="b">
        <v>0</v>
      </c>
      <c r="L1605" s="102" t="b">
        <v>0</v>
      </c>
    </row>
    <row r="1606" spans="1:12" ht="15">
      <c r="A1606" s="104" t="s">
        <v>2417</v>
      </c>
      <c r="B1606" s="102" t="s">
        <v>2432</v>
      </c>
      <c r="C1606" s="102">
        <v>3</v>
      </c>
      <c r="D1606" s="106">
        <v>0.0033033148143879745</v>
      </c>
      <c r="E1606" s="106">
        <v>1.6948975547048941</v>
      </c>
      <c r="F1606" s="102" t="s">
        <v>2325</v>
      </c>
      <c r="G1606" s="102" t="b">
        <v>0</v>
      </c>
      <c r="H1606" s="102" t="b">
        <v>0</v>
      </c>
      <c r="I1606" s="102" t="b">
        <v>0</v>
      </c>
      <c r="J1606" s="102" t="b">
        <v>0</v>
      </c>
      <c r="K1606" s="102" t="b">
        <v>0</v>
      </c>
      <c r="L1606" s="102" t="b">
        <v>0</v>
      </c>
    </row>
    <row r="1607" spans="1:12" ht="15">
      <c r="A1607" s="104" t="s">
        <v>2443</v>
      </c>
      <c r="B1607" s="102" t="s">
        <v>2355</v>
      </c>
      <c r="C1607" s="102">
        <v>3</v>
      </c>
      <c r="D1607" s="106">
        <v>0.0033033148143879745</v>
      </c>
      <c r="E1607" s="106">
        <v>1.418691142765945</v>
      </c>
      <c r="F1607" s="102" t="s">
        <v>2325</v>
      </c>
      <c r="G1607" s="102" t="b">
        <v>0</v>
      </c>
      <c r="H1607" s="102" t="b">
        <v>0</v>
      </c>
      <c r="I1607" s="102" t="b">
        <v>0</v>
      </c>
      <c r="J1607" s="102" t="b">
        <v>0</v>
      </c>
      <c r="K1607" s="102" t="b">
        <v>0</v>
      </c>
      <c r="L1607" s="102" t="b">
        <v>0</v>
      </c>
    </row>
    <row r="1608" spans="1:12" ht="15">
      <c r="A1608" s="104" t="s">
        <v>2349</v>
      </c>
      <c r="B1608" s="102" t="s">
        <v>2350</v>
      </c>
      <c r="C1608" s="102">
        <v>2</v>
      </c>
      <c r="D1608" s="106">
        <v>0.00180998838353685</v>
      </c>
      <c r="E1608" s="106">
        <v>0.439625049601588</v>
      </c>
      <c r="F1608" s="102" t="s">
        <v>2325</v>
      </c>
      <c r="G1608" s="102" t="b">
        <v>0</v>
      </c>
      <c r="H1608" s="102" t="b">
        <v>0</v>
      </c>
      <c r="I1608" s="102" t="b">
        <v>0</v>
      </c>
      <c r="J1608" s="102" t="b">
        <v>0</v>
      </c>
      <c r="K1608" s="102" t="b">
        <v>0</v>
      </c>
      <c r="L1608" s="102" t="b">
        <v>0</v>
      </c>
    </row>
    <row r="1609" spans="1:12" ht="15">
      <c r="A1609" s="104" t="s">
        <v>2349</v>
      </c>
      <c r="B1609" s="102" t="s">
        <v>2392</v>
      </c>
      <c r="C1609" s="102">
        <v>2</v>
      </c>
      <c r="D1609" s="106">
        <v>0.00180998838353685</v>
      </c>
      <c r="E1609" s="106">
        <v>0.9625037948819256</v>
      </c>
      <c r="F1609" s="102" t="s">
        <v>2325</v>
      </c>
      <c r="G1609" s="102" t="b">
        <v>0</v>
      </c>
      <c r="H1609" s="102" t="b">
        <v>0</v>
      </c>
      <c r="I1609" s="102" t="b">
        <v>0</v>
      </c>
      <c r="J1609" s="102" t="b">
        <v>0</v>
      </c>
      <c r="K1609" s="102" t="b">
        <v>0</v>
      </c>
      <c r="L1609" s="102" t="b">
        <v>0</v>
      </c>
    </row>
    <row r="1610" spans="1:12" ht="15">
      <c r="A1610" s="104" t="s">
        <v>2630</v>
      </c>
      <c r="B1610" s="102" t="s">
        <v>2414</v>
      </c>
      <c r="C1610" s="102">
        <v>2</v>
      </c>
      <c r="D1610" s="106">
        <v>0.00220220987625865</v>
      </c>
      <c r="E1610" s="106">
        <v>2.569958818096594</v>
      </c>
      <c r="F1610" s="102" t="s">
        <v>2325</v>
      </c>
      <c r="G1610" s="102" t="b">
        <v>0</v>
      </c>
      <c r="H1610" s="102" t="b">
        <v>0</v>
      </c>
      <c r="I1610" s="102" t="b">
        <v>0</v>
      </c>
      <c r="J1610" s="102" t="b">
        <v>0</v>
      </c>
      <c r="K1610" s="102" t="b">
        <v>0</v>
      </c>
      <c r="L1610" s="102" t="b">
        <v>0</v>
      </c>
    </row>
    <row r="1611" spans="1:12" ht="15">
      <c r="A1611" s="104" t="s">
        <v>2630</v>
      </c>
      <c r="B1611" s="102" t="s">
        <v>2348</v>
      </c>
      <c r="C1611" s="102">
        <v>2</v>
      </c>
      <c r="D1611" s="106">
        <v>0.00220220987625865</v>
      </c>
      <c r="E1611" s="106">
        <v>0.9364903625170076</v>
      </c>
      <c r="F1611" s="102" t="s">
        <v>2325</v>
      </c>
      <c r="G1611" s="102" t="b">
        <v>0</v>
      </c>
      <c r="H1611" s="102" t="b">
        <v>0</v>
      </c>
      <c r="I1611" s="102" t="b">
        <v>0</v>
      </c>
      <c r="J1611" s="102" t="b">
        <v>0</v>
      </c>
      <c r="K1611" s="102" t="b">
        <v>0</v>
      </c>
      <c r="L1611" s="102" t="b">
        <v>0</v>
      </c>
    </row>
    <row r="1612" spans="1:12" ht="15">
      <c r="A1612" s="104" t="s">
        <v>2351</v>
      </c>
      <c r="B1612" s="102" t="s">
        <v>2630</v>
      </c>
      <c r="C1612" s="102">
        <v>2</v>
      </c>
      <c r="D1612" s="106">
        <v>0.00220220987625865</v>
      </c>
      <c r="E1612" s="106">
        <v>1.3238296924331578</v>
      </c>
      <c r="F1612" s="102" t="s">
        <v>2325</v>
      </c>
      <c r="G1612" s="102" t="b">
        <v>0</v>
      </c>
      <c r="H1612" s="102" t="b">
        <v>0</v>
      </c>
      <c r="I1612" s="102" t="b">
        <v>0</v>
      </c>
      <c r="J1612" s="102" t="b">
        <v>0</v>
      </c>
      <c r="K1612" s="102" t="b">
        <v>0</v>
      </c>
      <c r="L1612" s="102" t="b">
        <v>0</v>
      </c>
    </row>
    <row r="1613" spans="1:12" ht="15">
      <c r="A1613" s="104" t="s">
        <v>2378</v>
      </c>
      <c r="B1613" s="102" t="s">
        <v>2433</v>
      </c>
      <c r="C1613" s="102">
        <v>2</v>
      </c>
      <c r="D1613" s="106">
        <v>0.00220220987625865</v>
      </c>
      <c r="E1613" s="106">
        <v>1.5979875416968377</v>
      </c>
      <c r="F1613" s="102" t="s">
        <v>2325</v>
      </c>
      <c r="G1613" s="102" t="b">
        <v>0</v>
      </c>
      <c r="H1613" s="102" t="b">
        <v>0</v>
      </c>
      <c r="I1613" s="102" t="b">
        <v>0</v>
      </c>
      <c r="J1613" s="102" t="b">
        <v>0</v>
      </c>
      <c r="K1613" s="102" t="b">
        <v>0</v>
      </c>
      <c r="L1613" s="102" t="b">
        <v>0</v>
      </c>
    </row>
    <row r="1614" spans="1:12" ht="15">
      <c r="A1614" s="104" t="s">
        <v>2357</v>
      </c>
      <c r="B1614" s="102" t="s">
        <v>2351</v>
      </c>
      <c r="C1614" s="102">
        <v>2</v>
      </c>
      <c r="D1614" s="106">
        <v>0.00180998838353685</v>
      </c>
      <c r="E1614" s="106">
        <v>0.5365350626096445</v>
      </c>
      <c r="F1614" s="102" t="s">
        <v>2325</v>
      </c>
      <c r="G1614" s="102" t="b">
        <v>0</v>
      </c>
      <c r="H1614" s="102" t="b">
        <v>0</v>
      </c>
      <c r="I1614" s="102" t="b">
        <v>0</v>
      </c>
      <c r="J1614" s="102" t="b">
        <v>0</v>
      </c>
      <c r="K1614" s="102" t="b">
        <v>0</v>
      </c>
      <c r="L1614" s="102" t="b">
        <v>0</v>
      </c>
    </row>
    <row r="1615" spans="1:12" ht="15">
      <c r="A1615" s="104" t="s">
        <v>2355</v>
      </c>
      <c r="B1615" s="102" t="s">
        <v>2351</v>
      </c>
      <c r="C1615" s="102">
        <v>2</v>
      </c>
      <c r="D1615" s="106">
        <v>0.00220220987625865</v>
      </c>
      <c r="E1615" s="106">
        <v>0.5876875850570257</v>
      </c>
      <c r="F1615" s="102" t="s">
        <v>2325</v>
      </c>
      <c r="G1615" s="102" t="b">
        <v>0</v>
      </c>
      <c r="H1615" s="102" t="b">
        <v>0</v>
      </c>
      <c r="I1615" s="102" t="b">
        <v>0</v>
      </c>
      <c r="J1615" s="102" t="b">
        <v>0</v>
      </c>
      <c r="K1615" s="102" t="b">
        <v>0</v>
      </c>
      <c r="L1615" s="102" t="b">
        <v>0</v>
      </c>
    </row>
    <row r="1616" spans="1:12" ht="15">
      <c r="A1616" s="104" t="s">
        <v>2357</v>
      </c>
      <c r="B1616" s="102" t="s">
        <v>2348</v>
      </c>
      <c r="C1616" s="102">
        <v>2</v>
      </c>
      <c r="D1616" s="106">
        <v>0.00220220987625865</v>
      </c>
      <c r="E1616" s="106">
        <v>0.2832778487416639</v>
      </c>
      <c r="F1616" s="102" t="s">
        <v>2325</v>
      </c>
      <c r="G1616" s="102" t="b">
        <v>0</v>
      </c>
      <c r="H1616" s="102" t="b">
        <v>0</v>
      </c>
      <c r="I1616" s="102" t="b">
        <v>0</v>
      </c>
      <c r="J1616" s="102" t="b">
        <v>0</v>
      </c>
      <c r="K1616" s="102" t="b">
        <v>0</v>
      </c>
      <c r="L1616" s="102" t="b">
        <v>0</v>
      </c>
    </row>
    <row r="1617" spans="1:12" ht="15">
      <c r="A1617" s="104" t="s">
        <v>2357</v>
      </c>
      <c r="B1617" s="102" t="s">
        <v>2685</v>
      </c>
      <c r="C1617" s="102">
        <v>2</v>
      </c>
      <c r="D1617" s="106">
        <v>0.00220220987625865</v>
      </c>
      <c r="E1617" s="106">
        <v>1.9167463043212503</v>
      </c>
      <c r="F1617" s="102" t="s">
        <v>2325</v>
      </c>
      <c r="G1617" s="102" t="b">
        <v>0</v>
      </c>
      <c r="H1617" s="102" t="b">
        <v>0</v>
      </c>
      <c r="I1617" s="102" t="b">
        <v>0</v>
      </c>
      <c r="J1617" s="102" t="b">
        <v>0</v>
      </c>
      <c r="K1617" s="102" t="b">
        <v>0</v>
      </c>
      <c r="L1617" s="102" t="b">
        <v>0</v>
      </c>
    </row>
    <row r="1618" spans="1:12" ht="15">
      <c r="A1618" s="104" t="s">
        <v>2685</v>
      </c>
      <c r="B1618" s="102" t="s">
        <v>2403</v>
      </c>
      <c r="C1618" s="102">
        <v>2</v>
      </c>
      <c r="D1618" s="106">
        <v>0.00220220987625865</v>
      </c>
      <c r="E1618" s="106">
        <v>2.268928822432613</v>
      </c>
      <c r="F1618" s="102" t="s">
        <v>2325</v>
      </c>
      <c r="G1618" s="102" t="b">
        <v>0</v>
      </c>
      <c r="H1618" s="102" t="b">
        <v>0</v>
      </c>
      <c r="I1618" s="102" t="b">
        <v>0</v>
      </c>
      <c r="J1618" s="102" t="b">
        <v>0</v>
      </c>
      <c r="K1618" s="102" t="b">
        <v>0</v>
      </c>
      <c r="L1618" s="102" t="b">
        <v>0</v>
      </c>
    </row>
    <row r="1619" spans="1:12" ht="15">
      <c r="A1619" s="104" t="s">
        <v>2403</v>
      </c>
      <c r="B1619" s="102" t="s">
        <v>2348</v>
      </c>
      <c r="C1619" s="102">
        <v>2</v>
      </c>
      <c r="D1619" s="106">
        <v>0.00220220987625865</v>
      </c>
      <c r="E1619" s="106">
        <v>0.5843078444056451</v>
      </c>
      <c r="F1619" s="102" t="s">
        <v>2325</v>
      </c>
      <c r="G1619" s="102" t="b">
        <v>0</v>
      </c>
      <c r="H1619" s="102" t="b">
        <v>0</v>
      </c>
      <c r="I1619" s="102" t="b">
        <v>0</v>
      </c>
      <c r="J1619" s="102" t="b">
        <v>0</v>
      </c>
      <c r="K1619" s="102" t="b">
        <v>0</v>
      </c>
      <c r="L1619" s="102" t="b">
        <v>0</v>
      </c>
    </row>
    <row r="1620" spans="1:12" ht="15">
      <c r="A1620" s="104" t="s">
        <v>2351</v>
      </c>
      <c r="B1620" s="102" t="s">
        <v>2367</v>
      </c>
      <c r="C1620" s="102">
        <v>2</v>
      </c>
      <c r="D1620" s="106">
        <v>0.00180998838353685</v>
      </c>
      <c r="E1620" s="106">
        <v>0.6870075948459835</v>
      </c>
      <c r="F1620" s="102" t="s">
        <v>2325</v>
      </c>
      <c r="G1620" s="102" t="b">
        <v>0</v>
      </c>
      <c r="H1620" s="102" t="b">
        <v>0</v>
      </c>
      <c r="I1620" s="102" t="b">
        <v>0</v>
      </c>
      <c r="J1620" s="102" t="b">
        <v>0</v>
      </c>
      <c r="K1620" s="102" t="b">
        <v>0</v>
      </c>
      <c r="L1620" s="102" t="b">
        <v>0</v>
      </c>
    </row>
    <row r="1621" spans="1:12" ht="15">
      <c r="A1621" s="104" t="s">
        <v>2379</v>
      </c>
      <c r="B1621" s="102" t="s">
        <v>2599</v>
      </c>
      <c r="C1621" s="102">
        <v>2</v>
      </c>
      <c r="D1621" s="106">
        <v>0.00220220987625865</v>
      </c>
      <c r="E1621" s="106">
        <v>2.3269207694103</v>
      </c>
      <c r="F1621" s="102" t="s">
        <v>2325</v>
      </c>
      <c r="G1621" s="102" t="b">
        <v>0</v>
      </c>
      <c r="H1621" s="102" t="b">
        <v>0</v>
      </c>
      <c r="I1621" s="102" t="b">
        <v>0</v>
      </c>
      <c r="J1621" s="102" t="b">
        <v>0</v>
      </c>
      <c r="K1621" s="102" t="b">
        <v>1</v>
      </c>
      <c r="L1621" s="102" t="b">
        <v>0</v>
      </c>
    </row>
    <row r="1622" spans="1:12" ht="15">
      <c r="A1622" s="104" t="s">
        <v>2402</v>
      </c>
      <c r="B1622" s="102" t="s">
        <v>2876</v>
      </c>
      <c r="C1622" s="102">
        <v>2</v>
      </c>
      <c r="D1622" s="106">
        <v>0.00220220987625865</v>
      </c>
      <c r="E1622" s="106">
        <v>2.8709888137605755</v>
      </c>
      <c r="F1622" s="102" t="s">
        <v>2325</v>
      </c>
      <c r="G1622" s="102" t="b">
        <v>0</v>
      </c>
      <c r="H1622" s="102" t="b">
        <v>0</v>
      </c>
      <c r="I1622" s="102" t="b">
        <v>0</v>
      </c>
      <c r="J1622" s="102" t="b">
        <v>0</v>
      </c>
      <c r="K1622" s="102" t="b">
        <v>0</v>
      </c>
      <c r="L1622" s="102" t="b">
        <v>0</v>
      </c>
    </row>
    <row r="1623" spans="1:12" ht="15">
      <c r="A1623" s="104" t="s">
        <v>2514</v>
      </c>
      <c r="B1623" s="102" t="s">
        <v>2609</v>
      </c>
      <c r="C1623" s="102">
        <v>2</v>
      </c>
      <c r="D1623" s="106">
        <v>0.00220220987625865</v>
      </c>
      <c r="E1623" s="106">
        <v>2.268928822432613</v>
      </c>
      <c r="F1623" s="102" t="s">
        <v>2325</v>
      </c>
      <c r="G1623" s="102" t="b">
        <v>0</v>
      </c>
      <c r="H1623" s="102" t="b">
        <v>0</v>
      </c>
      <c r="I1623" s="102" t="b">
        <v>0</v>
      </c>
      <c r="J1623" s="102" t="b">
        <v>0</v>
      </c>
      <c r="K1623" s="102" t="b">
        <v>0</v>
      </c>
      <c r="L1623" s="102" t="b">
        <v>0</v>
      </c>
    </row>
    <row r="1624" spans="1:12" ht="15">
      <c r="A1624" s="104" t="s">
        <v>2609</v>
      </c>
      <c r="B1624" s="102" t="s">
        <v>2348</v>
      </c>
      <c r="C1624" s="102">
        <v>2</v>
      </c>
      <c r="D1624" s="106">
        <v>0.00220220987625865</v>
      </c>
      <c r="E1624" s="106">
        <v>1.0614290991253075</v>
      </c>
      <c r="F1624" s="102" t="s">
        <v>2325</v>
      </c>
      <c r="G1624" s="102" t="b">
        <v>0</v>
      </c>
      <c r="H1624" s="102" t="b">
        <v>0</v>
      </c>
      <c r="I1624" s="102" t="b">
        <v>0</v>
      </c>
      <c r="J1624" s="102" t="b">
        <v>0</v>
      </c>
      <c r="K1624" s="102" t="b">
        <v>0</v>
      </c>
      <c r="L1624" s="102" t="b">
        <v>0</v>
      </c>
    </row>
    <row r="1625" spans="1:12" ht="15">
      <c r="A1625" s="104" t="s">
        <v>2349</v>
      </c>
      <c r="B1625" s="102" t="s">
        <v>2513</v>
      </c>
      <c r="C1625" s="102">
        <v>2</v>
      </c>
      <c r="D1625" s="106">
        <v>0.00180998838353685</v>
      </c>
      <c r="E1625" s="106">
        <v>0.8955570052513123</v>
      </c>
      <c r="F1625" s="102" t="s">
        <v>2325</v>
      </c>
      <c r="G1625" s="102" t="b">
        <v>0</v>
      </c>
      <c r="H1625" s="102" t="b">
        <v>0</v>
      </c>
      <c r="I1625" s="102" t="b">
        <v>0</v>
      </c>
      <c r="J1625" s="102" t="b">
        <v>0</v>
      </c>
      <c r="K1625" s="102" t="b">
        <v>0</v>
      </c>
      <c r="L1625" s="102" t="b">
        <v>0</v>
      </c>
    </row>
    <row r="1626" spans="1:12" ht="15">
      <c r="A1626" s="104" t="s">
        <v>2513</v>
      </c>
      <c r="B1626" s="102" t="s">
        <v>2348</v>
      </c>
      <c r="C1626" s="102">
        <v>2</v>
      </c>
      <c r="D1626" s="106">
        <v>0.00180998838353685</v>
      </c>
      <c r="E1626" s="106">
        <v>0.7603991034613263</v>
      </c>
      <c r="F1626" s="102" t="s">
        <v>2325</v>
      </c>
      <c r="G1626" s="102" t="b">
        <v>0</v>
      </c>
      <c r="H1626" s="102" t="b">
        <v>0</v>
      </c>
      <c r="I1626" s="102" t="b">
        <v>0</v>
      </c>
      <c r="J1626" s="102" t="b">
        <v>0</v>
      </c>
      <c r="K1626" s="102" t="b">
        <v>0</v>
      </c>
      <c r="L1626" s="102" t="b">
        <v>0</v>
      </c>
    </row>
    <row r="1627" spans="1:12" ht="15">
      <c r="A1627" s="104" t="s">
        <v>2376</v>
      </c>
      <c r="B1627" s="102" t="s">
        <v>2380</v>
      </c>
      <c r="C1627" s="102">
        <v>2</v>
      </c>
      <c r="D1627" s="106">
        <v>0.00220220987625865</v>
      </c>
      <c r="E1627" s="106">
        <v>1.2425998837102639</v>
      </c>
      <c r="F1627" s="102" t="s">
        <v>2325</v>
      </c>
      <c r="G1627" s="102" t="b">
        <v>0</v>
      </c>
      <c r="H1627" s="102" t="b">
        <v>0</v>
      </c>
      <c r="I1627" s="102" t="b">
        <v>0</v>
      </c>
      <c r="J1627" s="102" t="b">
        <v>0</v>
      </c>
      <c r="K1627" s="102" t="b">
        <v>0</v>
      </c>
      <c r="L1627" s="102" t="b">
        <v>0</v>
      </c>
    </row>
    <row r="1628" spans="1:12" ht="15">
      <c r="A1628" s="104" t="s">
        <v>2730</v>
      </c>
      <c r="B1628" s="102" t="s">
        <v>2495</v>
      </c>
      <c r="C1628" s="102">
        <v>2</v>
      </c>
      <c r="D1628" s="106">
        <v>0.00220220987625865</v>
      </c>
      <c r="E1628" s="106">
        <v>2.04168504092955</v>
      </c>
      <c r="F1628" s="102" t="s">
        <v>2325</v>
      </c>
      <c r="G1628" s="102" t="b">
        <v>0</v>
      </c>
      <c r="H1628" s="102" t="b">
        <v>0</v>
      </c>
      <c r="I1628" s="102" t="b">
        <v>0</v>
      </c>
      <c r="J1628" s="102" t="b">
        <v>0</v>
      </c>
      <c r="K1628" s="102" t="b">
        <v>0</v>
      </c>
      <c r="L1628" s="102" t="b">
        <v>0</v>
      </c>
    </row>
    <row r="1629" spans="1:12" ht="15">
      <c r="A1629" s="104" t="s">
        <v>2390</v>
      </c>
      <c r="B1629" s="102" t="s">
        <v>2352</v>
      </c>
      <c r="C1629" s="102">
        <v>2</v>
      </c>
      <c r="D1629" s="106">
        <v>0.00180998838353685</v>
      </c>
      <c r="E1629" s="106">
        <v>0.7311097273593388</v>
      </c>
      <c r="F1629" s="102" t="s">
        <v>2325</v>
      </c>
      <c r="G1629" s="102" t="b">
        <v>0</v>
      </c>
      <c r="H1629" s="102" t="b">
        <v>0</v>
      </c>
      <c r="I1629" s="102" t="b">
        <v>0</v>
      </c>
      <c r="J1629" s="102" t="b">
        <v>0</v>
      </c>
      <c r="K1629" s="102" t="b">
        <v>0</v>
      </c>
      <c r="L1629" s="102" t="b">
        <v>0</v>
      </c>
    </row>
    <row r="1630" spans="1:12" ht="15">
      <c r="A1630" s="104" t="s">
        <v>2366</v>
      </c>
      <c r="B1630" s="102" t="s">
        <v>2352</v>
      </c>
      <c r="C1630" s="102">
        <v>2</v>
      </c>
      <c r="D1630" s="106">
        <v>0.00180998838353685</v>
      </c>
      <c r="E1630" s="106">
        <v>0.5550184683036575</v>
      </c>
      <c r="F1630" s="102" t="s">
        <v>2325</v>
      </c>
      <c r="G1630" s="102" t="b">
        <v>0</v>
      </c>
      <c r="H1630" s="102" t="b">
        <v>0</v>
      </c>
      <c r="I1630" s="102" t="b">
        <v>0</v>
      </c>
      <c r="J1630" s="102" t="b">
        <v>0</v>
      </c>
      <c r="K1630" s="102" t="b">
        <v>0</v>
      </c>
      <c r="L1630" s="102" t="b">
        <v>0</v>
      </c>
    </row>
    <row r="1631" spans="1:12" ht="15">
      <c r="A1631" s="104" t="s">
        <v>2352</v>
      </c>
      <c r="B1631" s="102" t="s">
        <v>2367</v>
      </c>
      <c r="C1631" s="102">
        <v>2</v>
      </c>
      <c r="D1631" s="106">
        <v>0.00180998838353685</v>
      </c>
      <c r="E1631" s="106">
        <v>0.4957825926612451</v>
      </c>
      <c r="F1631" s="102" t="s">
        <v>2325</v>
      </c>
      <c r="G1631" s="102" t="b">
        <v>0</v>
      </c>
      <c r="H1631" s="102" t="b">
        <v>0</v>
      </c>
      <c r="I1631" s="102" t="b">
        <v>0</v>
      </c>
      <c r="J1631" s="102" t="b">
        <v>0</v>
      </c>
      <c r="K1631" s="102" t="b">
        <v>0</v>
      </c>
      <c r="L1631" s="102" t="b">
        <v>0</v>
      </c>
    </row>
    <row r="1632" spans="1:12" ht="15">
      <c r="A1632" s="104" t="s">
        <v>2673</v>
      </c>
      <c r="B1632" s="102" t="s">
        <v>2350</v>
      </c>
      <c r="C1632" s="102">
        <v>2</v>
      </c>
      <c r="D1632" s="106">
        <v>0.00220220987625865</v>
      </c>
      <c r="E1632" s="106">
        <v>1.8709888137605752</v>
      </c>
      <c r="F1632" s="102" t="s">
        <v>2325</v>
      </c>
      <c r="G1632" s="102" t="b">
        <v>0</v>
      </c>
      <c r="H1632" s="102" t="b">
        <v>0</v>
      </c>
      <c r="I1632" s="102" t="b">
        <v>0</v>
      </c>
      <c r="J1632" s="102" t="b">
        <v>0</v>
      </c>
      <c r="K1632" s="102" t="b">
        <v>0</v>
      </c>
      <c r="L1632" s="102" t="b">
        <v>0</v>
      </c>
    </row>
    <row r="1633" spans="1:12" ht="15">
      <c r="A1633" s="104" t="s">
        <v>2350</v>
      </c>
      <c r="B1633" s="102" t="s">
        <v>2368</v>
      </c>
      <c r="C1633" s="102">
        <v>2</v>
      </c>
      <c r="D1633" s="106">
        <v>0.00220220987625865</v>
      </c>
      <c r="E1633" s="106">
        <v>1.8709888137605752</v>
      </c>
      <c r="F1633" s="102" t="s">
        <v>2325</v>
      </c>
      <c r="G1633" s="102" t="b">
        <v>0</v>
      </c>
      <c r="H1633" s="102" t="b">
        <v>0</v>
      </c>
      <c r="I1633" s="102" t="b">
        <v>0</v>
      </c>
      <c r="J1633" s="102" t="b">
        <v>0</v>
      </c>
      <c r="K1633" s="102" t="b">
        <v>0</v>
      </c>
      <c r="L1633" s="102" t="b">
        <v>0</v>
      </c>
    </row>
    <row r="1634" spans="1:12" ht="15">
      <c r="A1634" s="104" t="s">
        <v>2367</v>
      </c>
      <c r="B1634" s="102" t="s">
        <v>3111</v>
      </c>
      <c r="C1634" s="102">
        <v>2</v>
      </c>
      <c r="D1634" s="106">
        <v>0.00220220987625865</v>
      </c>
      <c r="E1634" s="106">
        <v>2.0258907737463185</v>
      </c>
      <c r="F1634" s="102" t="s">
        <v>2325</v>
      </c>
      <c r="G1634" s="102" t="b">
        <v>0</v>
      </c>
      <c r="H1634" s="102" t="b">
        <v>0</v>
      </c>
      <c r="I1634" s="102" t="b">
        <v>0</v>
      </c>
      <c r="J1634" s="102" t="b">
        <v>0</v>
      </c>
      <c r="K1634" s="102" t="b">
        <v>0</v>
      </c>
      <c r="L1634" s="102" t="b">
        <v>0</v>
      </c>
    </row>
    <row r="1635" spans="1:12" ht="15">
      <c r="A1635" s="104" t="s">
        <v>3112</v>
      </c>
      <c r="B1635" s="102" t="s">
        <v>3113</v>
      </c>
      <c r="C1635" s="102">
        <v>2</v>
      </c>
      <c r="D1635" s="106">
        <v>0.00220220987625865</v>
      </c>
      <c r="E1635" s="106">
        <v>2.8709888137605755</v>
      </c>
      <c r="F1635" s="102" t="s">
        <v>2325</v>
      </c>
      <c r="G1635" s="102" t="b">
        <v>0</v>
      </c>
      <c r="H1635" s="102" t="b">
        <v>0</v>
      </c>
      <c r="I1635" s="102" t="b">
        <v>0</v>
      </c>
      <c r="J1635" s="102" t="b">
        <v>0</v>
      </c>
      <c r="K1635" s="102" t="b">
        <v>0</v>
      </c>
      <c r="L1635" s="102" t="b">
        <v>0</v>
      </c>
    </row>
    <row r="1636" spans="1:12" ht="15">
      <c r="A1636" s="104" t="s">
        <v>3113</v>
      </c>
      <c r="B1636" s="102" t="s">
        <v>3114</v>
      </c>
      <c r="C1636" s="102">
        <v>2</v>
      </c>
      <c r="D1636" s="106">
        <v>0.00220220987625865</v>
      </c>
      <c r="E1636" s="106">
        <v>2.8709888137605755</v>
      </c>
      <c r="F1636" s="102" t="s">
        <v>2325</v>
      </c>
      <c r="G1636" s="102" t="b">
        <v>0</v>
      </c>
      <c r="H1636" s="102" t="b">
        <v>0</v>
      </c>
      <c r="I1636" s="102" t="b">
        <v>0</v>
      </c>
      <c r="J1636" s="102" t="b">
        <v>0</v>
      </c>
      <c r="K1636" s="102" t="b">
        <v>0</v>
      </c>
      <c r="L1636" s="102" t="b">
        <v>0</v>
      </c>
    </row>
    <row r="1637" spans="1:12" ht="15">
      <c r="A1637" s="104" t="s">
        <v>2377</v>
      </c>
      <c r="B1637" s="102" t="s">
        <v>2357</v>
      </c>
      <c r="C1637" s="102">
        <v>2</v>
      </c>
      <c r="D1637" s="106">
        <v>0.00180998838353685</v>
      </c>
      <c r="E1637" s="106">
        <v>1.2177762999852315</v>
      </c>
      <c r="F1637" s="102" t="s">
        <v>2325</v>
      </c>
      <c r="G1637" s="102" t="b">
        <v>0</v>
      </c>
      <c r="H1637" s="102" t="b">
        <v>0</v>
      </c>
      <c r="I1637" s="102" t="b">
        <v>0</v>
      </c>
      <c r="J1637" s="102" t="b">
        <v>0</v>
      </c>
      <c r="K1637" s="102" t="b">
        <v>0</v>
      </c>
      <c r="L1637" s="102" t="b">
        <v>0</v>
      </c>
    </row>
    <row r="1638" spans="1:12" ht="15">
      <c r="A1638" s="104" t="s">
        <v>2567</v>
      </c>
      <c r="B1638" s="102" t="s">
        <v>2364</v>
      </c>
      <c r="C1638" s="102">
        <v>2</v>
      </c>
      <c r="D1638" s="106">
        <v>0.00180998838353685</v>
      </c>
      <c r="E1638" s="106">
        <v>1.6948975547048941</v>
      </c>
      <c r="F1638" s="102" t="s">
        <v>2325</v>
      </c>
      <c r="G1638" s="102" t="b">
        <v>0</v>
      </c>
      <c r="H1638" s="102" t="b">
        <v>0</v>
      </c>
      <c r="I1638" s="102" t="b">
        <v>0</v>
      </c>
      <c r="J1638" s="102" t="b">
        <v>0</v>
      </c>
      <c r="K1638" s="102" t="b">
        <v>0</v>
      </c>
      <c r="L1638" s="102" t="b">
        <v>0</v>
      </c>
    </row>
    <row r="1639" spans="1:12" ht="15">
      <c r="A1639" s="104" t="s">
        <v>2540</v>
      </c>
      <c r="B1639" s="102" t="s">
        <v>2756</v>
      </c>
      <c r="C1639" s="102">
        <v>2</v>
      </c>
      <c r="D1639" s="106">
        <v>0.00180998838353685</v>
      </c>
      <c r="E1639" s="106">
        <v>2.569958818096594</v>
      </c>
      <c r="F1639" s="102" t="s">
        <v>2325</v>
      </c>
      <c r="G1639" s="102" t="b">
        <v>0</v>
      </c>
      <c r="H1639" s="102" t="b">
        <v>0</v>
      </c>
      <c r="I1639" s="102" t="b">
        <v>0</v>
      </c>
      <c r="J1639" s="102" t="b">
        <v>0</v>
      </c>
      <c r="K1639" s="102" t="b">
        <v>0</v>
      </c>
      <c r="L1639" s="102" t="b">
        <v>0</v>
      </c>
    </row>
    <row r="1640" spans="1:12" ht="15">
      <c r="A1640" s="104" t="s">
        <v>2756</v>
      </c>
      <c r="B1640" s="102" t="s">
        <v>2357</v>
      </c>
      <c r="C1640" s="102">
        <v>2</v>
      </c>
      <c r="D1640" s="106">
        <v>0.00180998838353685</v>
      </c>
      <c r="E1640" s="106">
        <v>1.9167463043212503</v>
      </c>
      <c r="F1640" s="102" t="s">
        <v>2325</v>
      </c>
      <c r="G1640" s="102" t="b">
        <v>0</v>
      </c>
      <c r="H1640" s="102" t="b">
        <v>0</v>
      </c>
      <c r="I1640" s="102" t="b">
        <v>0</v>
      </c>
      <c r="J1640" s="102" t="b">
        <v>0</v>
      </c>
      <c r="K1640" s="102" t="b">
        <v>0</v>
      </c>
      <c r="L1640" s="102" t="b">
        <v>0</v>
      </c>
    </row>
    <row r="1641" spans="1:12" ht="15">
      <c r="A1641" s="104" t="s">
        <v>2353</v>
      </c>
      <c r="B1641" s="102" t="s">
        <v>2567</v>
      </c>
      <c r="C1641" s="102">
        <v>2</v>
      </c>
      <c r="D1641" s="106">
        <v>0.00220220987625865</v>
      </c>
      <c r="E1641" s="106">
        <v>1.416143953752065</v>
      </c>
      <c r="F1641" s="102" t="s">
        <v>2325</v>
      </c>
      <c r="G1641" s="102" t="b">
        <v>0</v>
      </c>
      <c r="H1641" s="102" t="b">
        <v>0</v>
      </c>
      <c r="I1641" s="102" t="b">
        <v>0</v>
      </c>
      <c r="J1641" s="102" t="b">
        <v>0</v>
      </c>
      <c r="K1641" s="102" t="b">
        <v>0</v>
      </c>
      <c r="L1641" s="102" t="b">
        <v>0</v>
      </c>
    </row>
    <row r="1642" spans="1:12" ht="15">
      <c r="A1642" s="104" t="s">
        <v>2364</v>
      </c>
      <c r="B1642" s="102" t="s">
        <v>2348</v>
      </c>
      <c r="C1642" s="102">
        <v>2</v>
      </c>
      <c r="D1642" s="106">
        <v>0.00180998838353685</v>
      </c>
      <c r="E1642" s="106">
        <v>0.25979675289214105</v>
      </c>
      <c r="F1642" s="102" t="s">
        <v>2325</v>
      </c>
      <c r="G1642" s="102" t="b">
        <v>0</v>
      </c>
      <c r="H1642" s="102" t="b">
        <v>0</v>
      </c>
      <c r="I1642" s="102" t="b">
        <v>0</v>
      </c>
      <c r="J1642" s="102" t="b">
        <v>0</v>
      </c>
      <c r="K1642" s="102" t="b">
        <v>0</v>
      </c>
      <c r="L1642" s="102" t="b">
        <v>0</v>
      </c>
    </row>
    <row r="1643" spans="1:12" ht="15">
      <c r="A1643" s="104" t="s">
        <v>2349</v>
      </c>
      <c r="B1643" s="102" t="s">
        <v>2613</v>
      </c>
      <c r="C1643" s="102">
        <v>2</v>
      </c>
      <c r="D1643" s="106">
        <v>0.00220220987625865</v>
      </c>
      <c r="E1643" s="106">
        <v>1.4396250496015879</v>
      </c>
      <c r="F1643" s="102" t="s">
        <v>2325</v>
      </c>
      <c r="G1643" s="102" t="b">
        <v>0</v>
      </c>
      <c r="H1643" s="102" t="b">
        <v>0</v>
      </c>
      <c r="I1643" s="102" t="b">
        <v>0</v>
      </c>
      <c r="J1643" s="102" t="b">
        <v>1</v>
      </c>
      <c r="K1643" s="102" t="b">
        <v>0</v>
      </c>
      <c r="L1643" s="102" t="b">
        <v>0</v>
      </c>
    </row>
    <row r="1644" spans="1:12" ht="15">
      <c r="A1644" s="104" t="s">
        <v>2613</v>
      </c>
      <c r="B1644" s="102" t="s">
        <v>2411</v>
      </c>
      <c r="C1644" s="102">
        <v>2</v>
      </c>
      <c r="D1644" s="106">
        <v>0.00220220987625865</v>
      </c>
      <c r="E1644" s="106">
        <v>2.1720188094245563</v>
      </c>
      <c r="F1644" s="102" t="s">
        <v>2325</v>
      </c>
      <c r="G1644" s="102" t="b">
        <v>1</v>
      </c>
      <c r="H1644" s="102" t="b">
        <v>0</v>
      </c>
      <c r="I1644" s="102" t="b">
        <v>0</v>
      </c>
      <c r="J1644" s="102" t="b">
        <v>0</v>
      </c>
      <c r="K1644" s="102" t="b">
        <v>0</v>
      </c>
      <c r="L1644" s="102" t="b">
        <v>0</v>
      </c>
    </row>
    <row r="1645" spans="1:12" ht="15">
      <c r="A1645" s="104" t="s">
        <v>2442</v>
      </c>
      <c r="B1645" s="102" t="s">
        <v>2348</v>
      </c>
      <c r="C1645" s="102">
        <v>2</v>
      </c>
      <c r="D1645" s="106">
        <v>0.00180998838353685</v>
      </c>
      <c r="E1645" s="106">
        <v>0.693452313830713</v>
      </c>
      <c r="F1645" s="102" t="s">
        <v>2325</v>
      </c>
      <c r="G1645" s="102" t="b">
        <v>0</v>
      </c>
      <c r="H1645" s="102" t="b">
        <v>0</v>
      </c>
      <c r="I1645" s="102" t="b">
        <v>0</v>
      </c>
      <c r="J1645" s="102" t="b">
        <v>0</v>
      </c>
      <c r="K1645" s="102" t="b">
        <v>0</v>
      </c>
      <c r="L1645" s="102" t="b">
        <v>0</v>
      </c>
    </row>
    <row r="1646" spans="1:12" ht="15">
      <c r="A1646" s="104" t="s">
        <v>2349</v>
      </c>
      <c r="B1646" s="102" t="s">
        <v>2491</v>
      </c>
      <c r="C1646" s="102">
        <v>2</v>
      </c>
      <c r="D1646" s="106">
        <v>0.00180998838353685</v>
      </c>
      <c r="E1646" s="106">
        <v>1.0416850409295504</v>
      </c>
      <c r="F1646" s="102" t="s">
        <v>2325</v>
      </c>
      <c r="G1646" s="102" t="b">
        <v>0</v>
      </c>
      <c r="H1646" s="102" t="b">
        <v>0</v>
      </c>
      <c r="I1646" s="102" t="b">
        <v>0</v>
      </c>
      <c r="J1646" s="102" t="b">
        <v>0</v>
      </c>
      <c r="K1646" s="102" t="b">
        <v>0</v>
      </c>
      <c r="L1646" s="102" t="b">
        <v>0</v>
      </c>
    </row>
    <row r="1647" spans="1:12" ht="15">
      <c r="A1647" s="104" t="s">
        <v>2663</v>
      </c>
      <c r="B1647" s="102" t="s">
        <v>2664</v>
      </c>
      <c r="C1647" s="102">
        <v>2</v>
      </c>
      <c r="D1647" s="106">
        <v>0.00220220987625865</v>
      </c>
      <c r="E1647" s="106">
        <v>2.268928822432613</v>
      </c>
      <c r="F1647" s="102" t="s">
        <v>2325</v>
      </c>
      <c r="G1647" s="102" t="b">
        <v>0</v>
      </c>
      <c r="H1647" s="102" t="b">
        <v>0</v>
      </c>
      <c r="I1647" s="102" t="b">
        <v>0</v>
      </c>
      <c r="J1647" s="102" t="b">
        <v>0</v>
      </c>
      <c r="K1647" s="102" t="b">
        <v>1</v>
      </c>
      <c r="L1647" s="102" t="b">
        <v>0</v>
      </c>
    </row>
    <row r="1648" spans="1:12" ht="15">
      <c r="A1648" s="104" t="s">
        <v>2389</v>
      </c>
      <c r="B1648" s="102" t="s">
        <v>2394</v>
      </c>
      <c r="C1648" s="102">
        <v>2</v>
      </c>
      <c r="D1648" s="106">
        <v>0.00180998838353685</v>
      </c>
      <c r="E1648" s="106">
        <v>1.7406550452655691</v>
      </c>
      <c r="F1648" s="102" t="s">
        <v>2325</v>
      </c>
      <c r="G1648" s="102" t="b">
        <v>0</v>
      </c>
      <c r="H1648" s="102" t="b">
        <v>0</v>
      </c>
      <c r="I1648" s="102" t="b">
        <v>0</v>
      </c>
      <c r="J1648" s="102" t="b">
        <v>0</v>
      </c>
      <c r="K1648" s="102" t="b">
        <v>0</v>
      </c>
      <c r="L1648" s="102" t="b">
        <v>0</v>
      </c>
    </row>
    <row r="1649" spans="1:12" ht="15">
      <c r="A1649" s="104" t="s">
        <v>2390</v>
      </c>
      <c r="B1649" s="102" t="s">
        <v>2361</v>
      </c>
      <c r="C1649" s="102">
        <v>2</v>
      </c>
      <c r="D1649" s="106">
        <v>0.00180998838353685</v>
      </c>
      <c r="E1649" s="106">
        <v>1.2912052171437651</v>
      </c>
      <c r="F1649" s="102" t="s">
        <v>2325</v>
      </c>
      <c r="G1649" s="102" t="b">
        <v>0</v>
      </c>
      <c r="H1649" s="102" t="b">
        <v>0</v>
      </c>
      <c r="I1649" s="102" t="b">
        <v>0</v>
      </c>
      <c r="J1649" s="102" t="b">
        <v>0</v>
      </c>
      <c r="K1649" s="102" t="b">
        <v>0</v>
      </c>
      <c r="L1649" s="102" t="b">
        <v>0</v>
      </c>
    </row>
    <row r="1650" spans="1:12" ht="15">
      <c r="A1650" s="104" t="s">
        <v>2481</v>
      </c>
      <c r="B1650" s="102" t="s">
        <v>2352</v>
      </c>
      <c r="C1650" s="102">
        <v>2</v>
      </c>
      <c r="D1650" s="106">
        <v>0.00180998838353685</v>
      </c>
      <c r="E1650" s="106">
        <v>0.8560484639676387</v>
      </c>
      <c r="F1650" s="102" t="s">
        <v>2325</v>
      </c>
      <c r="G1650" s="102" t="b">
        <v>0</v>
      </c>
      <c r="H1650" s="102" t="b">
        <v>0</v>
      </c>
      <c r="I1650" s="102" t="b">
        <v>0</v>
      </c>
      <c r="J1650" s="102" t="b">
        <v>0</v>
      </c>
      <c r="K1650" s="102" t="b">
        <v>0</v>
      </c>
      <c r="L1650" s="102" t="b">
        <v>0</v>
      </c>
    </row>
    <row r="1651" spans="1:12" ht="15">
      <c r="A1651" s="104" t="s">
        <v>2508</v>
      </c>
      <c r="B1651" s="102" t="s">
        <v>2701</v>
      </c>
      <c r="C1651" s="102">
        <v>2</v>
      </c>
      <c r="D1651" s="106">
        <v>0.00180998838353685</v>
      </c>
      <c r="E1651" s="106">
        <v>2.393867559040913</v>
      </c>
      <c r="F1651" s="102" t="s">
        <v>2325</v>
      </c>
      <c r="G1651" s="102" t="b">
        <v>0</v>
      </c>
      <c r="H1651" s="102" t="b">
        <v>0</v>
      </c>
      <c r="I1651" s="102" t="b">
        <v>0</v>
      </c>
      <c r="J1651" s="102" t="b">
        <v>0</v>
      </c>
      <c r="K1651" s="102" t="b">
        <v>0</v>
      </c>
      <c r="L1651" s="102" t="b">
        <v>0</v>
      </c>
    </row>
    <row r="1652" spans="1:12" ht="15">
      <c r="A1652" s="104" t="s">
        <v>2701</v>
      </c>
      <c r="B1652" s="102" t="s">
        <v>2462</v>
      </c>
      <c r="C1652" s="102">
        <v>2</v>
      </c>
      <c r="D1652" s="106">
        <v>0.00180998838353685</v>
      </c>
      <c r="E1652" s="106">
        <v>2.8709888137605755</v>
      </c>
      <c r="F1652" s="102" t="s">
        <v>2325</v>
      </c>
      <c r="G1652" s="102" t="b">
        <v>0</v>
      </c>
      <c r="H1652" s="102" t="b">
        <v>0</v>
      </c>
      <c r="I1652" s="102" t="b">
        <v>0</v>
      </c>
      <c r="J1652" s="102" t="b">
        <v>0</v>
      </c>
      <c r="K1652" s="102" t="b">
        <v>0</v>
      </c>
      <c r="L1652" s="102" t="b">
        <v>0</v>
      </c>
    </row>
    <row r="1653" spans="1:12" ht="15">
      <c r="A1653" s="104" t="s">
        <v>2462</v>
      </c>
      <c r="B1653" s="102" t="s">
        <v>2352</v>
      </c>
      <c r="C1653" s="102">
        <v>2</v>
      </c>
      <c r="D1653" s="106">
        <v>0.00180998838353685</v>
      </c>
      <c r="E1653" s="106">
        <v>1.333169718687301</v>
      </c>
      <c r="F1653" s="102" t="s">
        <v>2325</v>
      </c>
      <c r="G1653" s="102" t="b">
        <v>0</v>
      </c>
      <c r="H1653" s="102" t="b">
        <v>0</v>
      </c>
      <c r="I1653" s="102" t="b">
        <v>0</v>
      </c>
      <c r="J1653" s="102" t="b">
        <v>0</v>
      </c>
      <c r="K1653" s="102" t="b">
        <v>0</v>
      </c>
      <c r="L1653" s="102" t="b">
        <v>0</v>
      </c>
    </row>
    <row r="1654" spans="1:12" ht="15">
      <c r="A1654" s="104" t="s">
        <v>2352</v>
      </c>
      <c r="B1654" s="102" t="s">
        <v>2358</v>
      </c>
      <c r="C1654" s="102">
        <v>2</v>
      </c>
      <c r="D1654" s="106">
        <v>0.00180998838353685</v>
      </c>
      <c r="E1654" s="106">
        <v>0.5683332598098567</v>
      </c>
      <c r="F1654" s="102" t="s">
        <v>2325</v>
      </c>
      <c r="G1654" s="102" t="b">
        <v>0</v>
      </c>
      <c r="H1654" s="102" t="b">
        <v>0</v>
      </c>
      <c r="I1654" s="102" t="b">
        <v>0</v>
      </c>
      <c r="J1654" s="102" t="b">
        <v>0</v>
      </c>
      <c r="K1654" s="102" t="b">
        <v>0</v>
      </c>
      <c r="L1654" s="102" t="b">
        <v>0</v>
      </c>
    </row>
    <row r="1655" spans="1:12" ht="15">
      <c r="A1655" s="104" t="s">
        <v>2366</v>
      </c>
      <c r="B1655" s="102" t="s">
        <v>2844</v>
      </c>
      <c r="C1655" s="102">
        <v>2</v>
      </c>
      <c r="D1655" s="106">
        <v>0.00180998838353685</v>
      </c>
      <c r="E1655" s="106">
        <v>2.0928375633769316</v>
      </c>
      <c r="F1655" s="102" t="s">
        <v>2325</v>
      </c>
      <c r="G1655" s="102" t="b">
        <v>0</v>
      </c>
      <c r="H1655" s="102" t="b">
        <v>0</v>
      </c>
      <c r="I1655" s="102" t="b">
        <v>0</v>
      </c>
      <c r="J1655" s="102" t="b">
        <v>0</v>
      </c>
      <c r="K1655" s="102" t="b">
        <v>0</v>
      </c>
      <c r="L1655" s="102" t="b">
        <v>0</v>
      </c>
    </row>
    <row r="1656" spans="1:12" ht="15">
      <c r="A1656" s="104" t="s">
        <v>2844</v>
      </c>
      <c r="B1656" s="102" t="s">
        <v>2738</v>
      </c>
      <c r="C1656" s="102">
        <v>2</v>
      </c>
      <c r="D1656" s="106">
        <v>0.00180998838353685</v>
      </c>
      <c r="E1656" s="106">
        <v>2.8709888137605755</v>
      </c>
      <c r="F1656" s="102" t="s">
        <v>2325</v>
      </c>
      <c r="G1656" s="102" t="b">
        <v>0</v>
      </c>
      <c r="H1656" s="102" t="b">
        <v>0</v>
      </c>
      <c r="I1656" s="102" t="b">
        <v>0</v>
      </c>
      <c r="J1656" s="102" t="b">
        <v>0</v>
      </c>
      <c r="K1656" s="102" t="b">
        <v>0</v>
      </c>
      <c r="L1656" s="102" t="b">
        <v>0</v>
      </c>
    </row>
    <row r="1657" spans="1:12" ht="15">
      <c r="A1657" s="104" t="s">
        <v>2738</v>
      </c>
      <c r="B1657" s="102" t="s">
        <v>2358</v>
      </c>
      <c r="C1657" s="102">
        <v>2</v>
      </c>
      <c r="D1657" s="106">
        <v>0.00180998838353685</v>
      </c>
      <c r="E1657" s="106">
        <v>2.1306261242663314</v>
      </c>
      <c r="F1657" s="102" t="s">
        <v>2325</v>
      </c>
      <c r="G1657" s="102" t="b">
        <v>0</v>
      </c>
      <c r="H1657" s="102" t="b">
        <v>0</v>
      </c>
      <c r="I1657" s="102" t="b">
        <v>0</v>
      </c>
      <c r="J1657" s="102" t="b">
        <v>0</v>
      </c>
      <c r="K1657" s="102" t="b">
        <v>0</v>
      </c>
      <c r="L1657" s="102" t="b">
        <v>0</v>
      </c>
    </row>
    <row r="1658" spans="1:12" ht="15">
      <c r="A1658" s="104" t="s">
        <v>2358</v>
      </c>
      <c r="B1658" s="102" t="s">
        <v>2739</v>
      </c>
      <c r="C1658" s="102">
        <v>2</v>
      </c>
      <c r="D1658" s="106">
        <v>0.00180998838353685</v>
      </c>
      <c r="E1658" s="106">
        <v>2.1306261242663314</v>
      </c>
      <c r="F1658" s="102" t="s">
        <v>2325</v>
      </c>
      <c r="G1658" s="102" t="b">
        <v>0</v>
      </c>
      <c r="H1658" s="102" t="b">
        <v>0</v>
      </c>
      <c r="I1658" s="102" t="b">
        <v>0</v>
      </c>
      <c r="J1658" s="102" t="b">
        <v>0</v>
      </c>
      <c r="K1658" s="102" t="b">
        <v>0</v>
      </c>
      <c r="L1658" s="102" t="b">
        <v>0</v>
      </c>
    </row>
    <row r="1659" spans="1:12" ht="15">
      <c r="A1659" s="104" t="s">
        <v>2739</v>
      </c>
      <c r="B1659" s="102" t="s">
        <v>2358</v>
      </c>
      <c r="C1659" s="102">
        <v>2</v>
      </c>
      <c r="D1659" s="106">
        <v>0.00180998838353685</v>
      </c>
      <c r="E1659" s="106">
        <v>2.1306261242663314</v>
      </c>
      <c r="F1659" s="102" t="s">
        <v>2325</v>
      </c>
      <c r="G1659" s="102" t="b">
        <v>0</v>
      </c>
      <c r="H1659" s="102" t="b">
        <v>0</v>
      </c>
      <c r="I1659" s="102" t="b">
        <v>0</v>
      </c>
      <c r="J1659" s="102" t="b">
        <v>0</v>
      </c>
      <c r="K1659" s="102" t="b">
        <v>0</v>
      </c>
      <c r="L1659" s="102" t="b">
        <v>0</v>
      </c>
    </row>
    <row r="1660" spans="1:12" ht="15">
      <c r="A1660" s="104" t="s">
        <v>2366</v>
      </c>
      <c r="B1660" s="102" t="s">
        <v>2387</v>
      </c>
      <c r="C1660" s="102">
        <v>2</v>
      </c>
      <c r="D1660" s="106">
        <v>0.00180998838353685</v>
      </c>
      <c r="E1660" s="106">
        <v>1.3938675590409129</v>
      </c>
      <c r="F1660" s="102" t="s">
        <v>2325</v>
      </c>
      <c r="G1660" s="102" t="b">
        <v>0</v>
      </c>
      <c r="H1660" s="102" t="b">
        <v>0</v>
      </c>
      <c r="I1660" s="102" t="b">
        <v>0</v>
      </c>
      <c r="J1660" s="102" t="b">
        <v>0</v>
      </c>
      <c r="K1660" s="102" t="b">
        <v>0</v>
      </c>
      <c r="L1660" s="102" t="b">
        <v>0</v>
      </c>
    </row>
    <row r="1661" spans="1:12" ht="15">
      <c r="A1661" s="104" t="s">
        <v>2364</v>
      </c>
      <c r="B1661" s="102" t="s">
        <v>2845</v>
      </c>
      <c r="C1661" s="102">
        <v>2</v>
      </c>
      <c r="D1661" s="106">
        <v>0.00180998838353685</v>
      </c>
      <c r="E1661" s="106">
        <v>1.8932652084717276</v>
      </c>
      <c r="F1661" s="102" t="s">
        <v>2325</v>
      </c>
      <c r="G1661" s="102" t="b">
        <v>0</v>
      </c>
      <c r="H1661" s="102" t="b">
        <v>0</v>
      </c>
      <c r="I1661" s="102" t="b">
        <v>0</v>
      </c>
      <c r="J1661" s="102" t="b">
        <v>0</v>
      </c>
      <c r="K1661" s="102" t="b">
        <v>0</v>
      </c>
      <c r="L1661" s="102" t="b">
        <v>0</v>
      </c>
    </row>
    <row r="1662" spans="1:12" ht="15">
      <c r="A1662" s="104" t="s">
        <v>2845</v>
      </c>
      <c r="B1662" s="102" t="s">
        <v>2352</v>
      </c>
      <c r="C1662" s="102">
        <v>2</v>
      </c>
      <c r="D1662" s="106">
        <v>0.00180998838353685</v>
      </c>
      <c r="E1662" s="106">
        <v>1.333169718687301</v>
      </c>
      <c r="F1662" s="102" t="s">
        <v>2325</v>
      </c>
      <c r="G1662" s="102" t="b">
        <v>0</v>
      </c>
      <c r="H1662" s="102" t="b">
        <v>0</v>
      </c>
      <c r="I1662" s="102" t="b">
        <v>0</v>
      </c>
      <c r="J1662" s="102" t="b">
        <v>0</v>
      </c>
      <c r="K1662" s="102" t="b">
        <v>0</v>
      </c>
      <c r="L1662" s="102" t="b">
        <v>0</v>
      </c>
    </row>
    <row r="1663" spans="1:12" ht="15">
      <c r="A1663" s="104" t="s">
        <v>2361</v>
      </c>
      <c r="B1663" s="102" t="s">
        <v>2602</v>
      </c>
      <c r="C1663" s="102">
        <v>2</v>
      </c>
      <c r="D1663" s="106">
        <v>0.00180998838353685</v>
      </c>
      <c r="E1663" s="106">
        <v>1.8932652084717276</v>
      </c>
      <c r="F1663" s="102" t="s">
        <v>2325</v>
      </c>
      <c r="G1663" s="102" t="b">
        <v>0</v>
      </c>
      <c r="H1663" s="102" t="b">
        <v>0</v>
      </c>
      <c r="I1663" s="102" t="b">
        <v>0</v>
      </c>
      <c r="J1663" s="102" t="b">
        <v>0</v>
      </c>
      <c r="K1663" s="102" t="b">
        <v>0</v>
      </c>
      <c r="L1663" s="102" t="b">
        <v>0</v>
      </c>
    </row>
    <row r="1664" spans="1:12" ht="15">
      <c r="A1664" s="104" t="s">
        <v>2602</v>
      </c>
      <c r="B1664" s="102" t="s">
        <v>2352</v>
      </c>
      <c r="C1664" s="102">
        <v>2</v>
      </c>
      <c r="D1664" s="106">
        <v>0.00180998838353685</v>
      </c>
      <c r="E1664" s="106">
        <v>1.333169718687301</v>
      </c>
      <c r="F1664" s="102" t="s">
        <v>2325</v>
      </c>
      <c r="G1664" s="102" t="b">
        <v>0</v>
      </c>
      <c r="H1664" s="102" t="b">
        <v>0</v>
      </c>
      <c r="I1664" s="102" t="b">
        <v>0</v>
      </c>
      <c r="J1664" s="102" t="b">
        <v>0</v>
      </c>
      <c r="K1664" s="102" t="b">
        <v>0</v>
      </c>
      <c r="L1664" s="102" t="b">
        <v>0</v>
      </c>
    </row>
    <row r="1665" spans="1:12" ht="15">
      <c r="A1665" s="104" t="s">
        <v>2352</v>
      </c>
      <c r="B1665" s="102" t="s">
        <v>2671</v>
      </c>
      <c r="C1665" s="102">
        <v>2</v>
      </c>
      <c r="D1665" s="106">
        <v>0.00180998838353685</v>
      </c>
      <c r="E1665" s="106">
        <v>1.0076659536401193</v>
      </c>
      <c r="F1665" s="102" t="s">
        <v>2325</v>
      </c>
      <c r="G1665" s="102" t="b">
        <v>0</v>
      </c>
      <c r="H1665" s="102" t="b">
        <v>0</v>
      </c>
      <c r="I1665" s="102" t="b">
        <v>0</v>
      </c>
      <c r="J1665" s="102" t="b">
        <v>0</v>
      </c>
      <c r="K1665" s="102" t="b">
        <v>0</v>
      </c>
      <c r="L1665" s="102" t="b">
        <v>0</v>
      </c>
    </row>
    <row r="1666" spans="1:12" ht="15">
      <c r="A1666" s="104" t="s">
        <v>2671</v>
      </c>
      <c r="B1666" s="102" t="s">
        <v>2352</v>
      </c>
      <c r="C1666" s="102">
        <v>2</v>
      </c>
      <c r="D1666" s="106">
        <v>0.00180998838353685</v>
      </c>
      <c r="E1666" s="106">
        <v>1.03213972302332</v>
      </c>
      <c r="F1666" s="102" t="s">
        <v>2325</v>
      </c>
      <c r="G1666" s="102" t="b">
        <v>0</v>
      </c>
      <c r="H1666" s="102" t="b">
        <v>0</v>
      </c>
      <c r="I1666" s="102" t="b">
        <v>0</v>
      </c>
      <c r="J1666" s="102" t="b">
        <v>0</v>
      </c>
      <c r="K1666" s="102" t="b">
        <v>0</v>
      </c>
      <c r="L1666" s="102" t="b">
        <v>0</v>
      </c>
    </row>
    <row r="1667" spans="1:12" ht="15">
      <c r="A1667" s="104" t="s">
        <v>2569</v>
      </c>
      <c r="B1667" s="102" t="s">
        <v>2740</v>
      </c>
      <c r="C1667" s="102">
        <v>2</v>
      </c>
      <c r="D1667" s="106">
        <v>0.00180998838353685</v>
      </c>
      <c r="E1667" s="106">
        <v>2.694897554704894</v>
      </c>
      <c r="F1667" s="102" t="s">
        <v>2325</v>
      </c>
      <c r="G1667" s="102" t="b">
        <v>0</v>
      </c>
      <c r="H1667" s="102" t="b">
        <v>1</v>
      </c>
      <c r="I1667" s="102" t="b">
        <v>0</v>
      </c>
      <c r="J1667" s="102" t="b">
        <v>0</v>
      </c>
      <c r="K1667" s="102" t="b">
        <v>0</v>
      </c>
      <c r="L1667" s="102" t="b">
        <v>0</v>
      </c>
    </row>
    <row r="1668" spans="1:12" ht="15">
      <c r="A1668" s="104" t="s">
        <v>2740</v>
      </c>
      <c r="B1668" s="102" t="s">
        <v>2366</v>
      </c>
      <c r="C1668" s="102">
        <v>2</v>
      </c>
      <c r="D1668" s="106">
        <v>0.00180998838353685</v>
      </c>
      <c r="E1668" s="106">
        <v>2.0928375633769316</v>
      </c>
      <c r="F1668" s="102" t="s">
        <v>2325</v>
      </c>
      <c r="G1668" s="102" t="b">
        <v>0</v>
      </c>
      <c r="H1668" s="102" t="b">
        <v>0</v>
      </c>
      <c r="I1668" s="102" t="b">
        <v>0</v>
      </c>
      <c r="J1668" s="102" t="b">
        <v>0</v>
      </c>
      <c r="K1668" s="102" t="b">
        <v>0</v>
      </c>
      <c r="L1668" s="102" t="b">
        <v>0</v>
      </c>
    </row>
    <row r="1669" spans="1:12" ht="15">
      <c r="A1669" s="104" t="s">
        <v>2366</v>
      </c>
      <c r="B1669" s="102" t="s">
        <v>2555</v>
      </c>
      <c r="C1669" s="102">
        <v>2</v>
      </c>
      <c r="D1669" s="106">
        <v>0.00180998838353685</v>
      </c>
      <c r="E1669" s="106">
        <v>2.0928375633769316</v>
      </c>
      <c r="F1669" s="102" t="s">
        <v>2325</v>
      </c>
      <c r="G1669" s="102" t="b">
        <v>0</v>
      </c>
      <c r="H1669" s="102" t="b">
        <v>0</v>
      </c>
      <c r="I1669" s="102" t="b">
        <v>0</v>
      </c>
      <c r="J1669" s="102" t="b">
        <v>0</v>
      </c>
      <c r="K1669" s="102" t="b">
        <v>0</v>
      </c>
      <c r="L1669" s="102" t="b">
        <v>0</v>
      </c>
    </row>
    <row r="1670" spans="1:12" ht="15">
      <c r="A1670" s="104" t="s">
        <v>2555</v>
      </c>
      <c r="B1670" s="102" t="s">
        <v>2846</v>
      </c>
      <c r="C1670" s="102">
        <v>2</v>
      </c>
      <c r="D1670" s="106">
        <v>0.00180998838353685</v>
      </c>
      <c r="E1670" s="106">
        <v>2.8709888137605755</v>
      </c>
      <c r="F1670" s="102" t="s">
        <v>2325</v>
      </c>
      <c r="G1670" s="102" t="b">
        <v>0</v>
      </c>
      <c r="H1670" s="102" t="b">
        <v>0</v>
      </c>
      <c r="I1670" s="102" t="b">
        <v>0</v>
      </c>
      <c r="J1670" s="102" t="b">
        <v>0</v>
      </c>
      <c r="K1670" s="102" t="b">
        <v>0</v>
      </c>
      <c r="L1670" s="102" t="b">
        <v>0</v>
      </c>
    </row>
    <row r="1671" spans="1:12" ht="15">
      <c r="A1671" s="104" t="s">
        <v>2846</v>
      </c>
      <c r="B1671" s="102" t="s">
        <v>2847</v>
      </c>
      <c r="C1671" s="102">
        <v>2</v>
      </c>
      <c r="D1671" s="106">
        <v>0.00180998838353685</v>
      </c>
      <c r="E1671" s="106">
        <v>2.8709888137605755</v>
      </c>
      <c r="F1671" s="102" t="s">
        <v>2325</v>
      </c>
      <c r="G1671" s="102" t="b">
        <v>0</v>
      </c>
      <c r="H1671" s="102" t="b">
        <v>0</v>
      </c>
      <c r="I1671" s="102" t="b">
        <v>0</v>
      </c>
      <c r="J1671" s="102" t="b">
        <v>0</v>
      </c>
      <c r="K1671" s="102" t="b">
        <v>0</v>
      </c>
      <c r="L1671" s="102" t="b">
        <v>0</v>
      </c>
    </row>
    <row r="1672" spans="1:12" ht="15">
      <c r="A1672" s="104" t="s">
        <v>2847</v>
      </c>
      <c r="B1672" s="102" t="s">
        <v>2370</v>
      </c>
      <c r="C1672" s="102">
        <v>2</v>
      </c>
      <c r="D1672" s="106">
        <v>0.00180998838353685</v>
      </c>
      <c r="E1672" s="106">
        <v>1.8932652084717276</v>
      </c>
      <c r="F1672" s="102" t="s">
        <v>2325</v>
      </c>
      <c r="G1672" s="102" t="b">
        <v>0</v>
      </c>
      <c r="H1672" s="102" t="b">
        <v>0</v>
      </c>
      <c r="I1672" s="102" t="b">
        <v>0</v>
      </c>
      <c r="J1672" s="102" t="b">
        <v>0</v>
      </c>
      <c r="K1672" s="102" t="b">
        <v>0</v>
      </c>
      <c r="L1672" s="102" t="b">
        <v>0</v>
      </c>
    </row>
    <row r="1673" spans="1:12" ht="15">
      <c r="A1673" s="104" t="s">
        <v>2370</v>
      </c>
      <c r="B1673" s="102" t="s">
        <v>2509</v>
      </c>
      <c r="C1673" s="102">
        <v>2</v>
      </c>
      <c r="D1673" s="106">
        <v>0.00180998838353685</v>
      </c>
      <c r="E1673" s="106">
        <v>1.49532519979969</v>
      </c>
      <c r="F1673" s="102" t="s">
        <v>2325</v>
      </c>
      <c r="G1673" s="102" t="b">
        <v>0</v>
      </c>
      <c r="H1673" s="102" t="b">
        <v>0</v>
      </c>
      <c r="I1673" s="102" t="b">
        <v>0</v>
      </c>
      <c r="J1673" s="102" t="b">
        <v>0</v>
      </c>
      <c r="K1673" s="102" t="b">
        <v>0</v>
      </c>
      <c r="L1673" s="102" t="b">
        <v>0</v>
      </c>
    </row>
    <row r="1674" spans="1:12" ht="15">
      <c r="A1674" s="104" t="s">
        <v>2509</v>
      </c>
      <c r="B1674" s="102" t="s">
        <v>2848</v>
      </c>
      <c r="C1674" s="102">
        <v>2</v>
      </c>
      <c r="D1674" s="106">
        <v>0.00180998838353685</v>
      </c>
      <c r="E1674" s="106">
        <v>2.4730488050885375</v>
      </c>
      <c r="F1674" s="102" t="s">
        <v>2325</v>
      </c>
      <c r="G1674" s="102" t="b">
        <v>0</v>
      </c>
      <c r="H1674" s="102" t="b">
        <v>0</v>
      </c>
      <c r="I1674" s="102" t="b">
        <v>0</v>
      </c>
      <c r="J1674" s="102" t="b">
        <v>0</v>
      </c>
      <c r="K1674" s="102" t="b">
        <v>0</v>
      </c>
      <c r="L1674" s="102" t="b">
        <v>0</v>
      </c>
    </row>
    <row r="1675" spans="1:12" ht="15">
      <c r="A1675" s="104" t="s">
        <v>2848</v>
      </c>
      <c r="B1675" s="102" t="s">
        <v>2376</v>
      </c>
      <c r="C1675" s="102">
        <v>2</v>
      </c>
      <c r="D1675" s="106">
        <v>0.00180998838353685</v>
      </c>
      <c r="E1675" s="106">
        <v>1.9415698880462826</v>
      </c>
      <c r="F1675" s="102" t="s">
        <v>2325</v>
      </c>
      <c r="G1675" s="102" t="b">
        <v>0</v>
      </c>
      <c r="H1675" s="102" t="b">
        <v>0</v>
      </c>
      <c r="I1675" s="102" t="b">
        <v>0</v>
      </c>
      <c r="J1675" s="102" t="b">
        <v>0</v>
      </c>
      <c r="K1675" s="102" t="b">
        <v>0</v>
      </c>
      <c r="L1675" s="102" t="b">
        <v>0</v>
      </c>
    </row>
    <row r="1676" spans="1:12" ht="15">
      <c r="A1676" s="104" t="s">
        <v>2376</v>
      </c>
      <c r="B1676" s="102" t="s">
        <v>2570</v>
      </c>
      <c r="C1676" s="102">
        <v>2</v>
      </c>
      <c r="D1676" s="106">
        <v>0.00180998838353685</v>
      </c>
      <c r="E1676" s="106">
        <v>1.543629879374245</v>
      </c>
      <c r="F1676" s="102" t="s">
        <v>2325</v>
      </c>
      <c r="G1676" s="102" t="b">
        <v>0</v>
      </c>
      <c r="H1676" s="102" t="b">
        <v>0</v>
      </c>
      <c r="I1676" s="102" t="b">
        <v>0</v>
      </c>
      <c r="J1676" s="102" t="b">
        <v>0</v>
      </c>
      <c r="K1676" s="102" t="b">
        <v>0</v>
      </c>
      <c r="L1676" s="102" t="b">
        <v>0</v>
      </c>
    </row>
    <row r="1677" spans="1:12" ht="15">
      <c r="A1677" s="104" t="s">
        <v>2570</v>
      </c>
      <c r="B1677" s="102" t="s">
        <v>2571</v>
      </c>
      <c r="C1677" s="102">
        <v>2</v>
      </c>
      <c r="D1677" s="106">
        <v>0.00180998838353685</v>
      </c>
      <c r="E1677" s="106">
        <v>2.0751087964165</v>
      </c>
      <c r="F1677" s="102" t="s">
        <v>2325</v>
      </c>
      <c r="G1677" s="102" t="b">
        <v>0</v>
      </c>
      <c r="H1677" s="102" t="b">
        <v>0</v>
      </c>
      <c r="I1677" s="102" t="b">
        <v>0</v>
      </c>
      <c r="J1677" s="102" t="b">
        <v>0</v>
      </c>
      <c r="K1677" s="102" t="b">
        <v>0</v>
      </c>
      <c r="L1677" s="102" t="b">
        <v>0</v>
      </c>
    </row>
    <row r="1678" spans="1:12" ht="15">
      <c r="A1678" s="104" t="s">
        <v>2571</v>
      </c>
      <c r="B1678" s="102" t="s">
        <v>2593</v>
      </c>
      <c r="C1678" s="102">
        <v>2</v>
      </c>
      <c r="D1678" s="106">
        <v>0.00180998838353685</v>
      </c>
      <c r="E1678" s="106">
        <v>2.4730488050885375</v>
      </c>
      <c r="F1678" s="102" t="s">
        <v>2325</v>
      </c>
      <c r="G1678" s="102" t="b">
        <v>0</v>
      </c>
      <c r="H1678" s="102" t="b">
        <v>0</v>
      </c>
      <c r="I1678" s="102" t="b">
        <v>0</v>
      </c>
      <c r="J1678" s="102" t="b">
        <v>0</v>
      </c>
      <c r="K1678" s="102" t="b">
        <v>0</v>
      </c>
      <c r="L1678" s="102" t="b">
        <v>0</v>
      </c>
    </row>
    <row r="1679" spans="1:12" ht="15">
      <c r="A1679" s="104" t="s">
        <v>2593</v>
      </c>
      <c r="B1679" s="102" t="s">
        <v>2376</v>
      </c>
      <c r="C1679" s="102">
        <v>2</v>
      </c>
      <c r="D1679" s="106">
        <v>0.00180998838353685</v>
      </c>
      <c r="E1679" s="106">
        <v>1.9415698880462826</v>
      </c>
      <c r="F1679" s="102" t="s">
        <v>2325</v>
      </c>
      <c r="G1679" s="102" t="b">
        <v>0</v>
      </c>
      <c r="H1679" s="102" t="b">
        <v>0</v>
      </c>
      <c r="I1679" s="102" t="b">
        <v>0</v>
      </c>
      <c r="J1679" s="102" t="b">
        <v>0</v>
      </c>
      <c r="K1679" s="102" t="b">
        <v>0</v>
      </c>
      <c r="L1679" s="102" t="b">
        <v>0</v>
      </c>
    </row>
    <row r="1680" spans="1:12" ht="15">
      <c r="A1680" s="104" t="s">
        <v>2376</v>
      </c>
      <c r="B1680" s="102" t="s">
        <v>3074</v>
      </c>
      <c r="C1680" s="102">
        <v>2</v>
      </c>
      <c r="D1680" s="106">
        <v>0.00180998838353685</v>
      </c>
      <c r="E1680" s="106">
        <v>1.9415698880462826</v>
      </c>
      <c r="F1680" s="102" t="s">
        <v>2325</v>
      </c>
      <c r="G1680" s="102" t="b">
        <v>0</v>
      </c>
      <c r="H1680" s="102" t="b">
        <v>0</v>
      </c>
      <c r="I1680" s="102" t="b">
        <v>0</v>
      </c>
      <c r="J1680" s="102" t="b">
        <v>0</v>
      </c>
      <c r="K1680" s="102" t="b">
        <v>0</v>
      </c>
      <c r="L1680" s="102" t="b">
        <v>0</v>
      </c>
    </row>
    <row r="1681" spans="1:12" ht="15">
      <c r="A1681" s="104" t="s">
        <v>3074</v>
      </c>
      <c r="B1681" s="102" t="s">
        <v>2359</v>
      </c>
      <c r="C1681" s="102">
        <v>2</v>
      </c>
      <c r="D1681" s="106">
        <v>0.00180998838353685</v>
      </c>
      <c r="E1681" s="106">
        <v>1.559234952704821</v>
      </c>
      <c r="F1681" s="102" t="s">
        <v>2325</v>
      </c>
      <c r="G1681" s="102" t="b">
        <v>0</v>
      </c>
      <c r="H1681" s="102" t="b">
        <v>0</v>
      </c>
      <c r="I1681" s="102" t="b">
        <v>0</v>
      </c>
      <c r="J1681" s="102" t="b">
        <v>0</v>
      </c>
      <c r="K1681" s="102" t="b">
        <v>0</v>
      </c>
      <c r="L1681" s="102" t="b">
        <v>0</v>
      </c>
    </row>
    <row r="1682" spans="1:12" ht="15">
      <c r="A1682" s="104" t="s">
        <v>2358</v>
      </c>
      <c r="B1682" s="102" t="s">
        <v>2755</v>
      </c>
      <c r="C1682" s="102">
        <v>2</v>
      </c>
      <c r="D1682" s="106">
        <v>0.00220220987625865</v>
      </c>
      <c r="E1682" s="106">
        <v>2.1306261242663314</v>
      </c>
      <c r="F1682" s="102" t="s">
        <v>2325</v>
      </c>
      <c r="G1682" s="102" t="b">
        <v>0</v>
      </c>
      <c r="H1682" s="102" t="b">
        <v>0</v>
      </c>
      <c r="I1682" s="102" t="b">
        <v>0</v>
      </c>
      <c r="J1682" s="102" t="b">
        <v>0</v>
      </c>
      <c r="K1682" s="102" t="b">
        <v>0</v>
      </c>
      <c r="L1682" s="102" t="b">
        <v>0</v>
      </c>
    </row>
    <row r="1683" spans="1:12" ht="15">
      <c r="A1683" s="104" t="s">
        <v>2358</v>
      </c>
      <c r="B1683" s="102" t="s">
        <v>2348</v>
      </c>
      <c r="C1683" s="102">
        <v>2</v>
      </c>
      <c r="D1683" s="106">
        <v>0.00220220987625865</v>
      </c>
      <c r="E1683" s="106">
        <v>0.49715766868674494</v>
      </c>
      <c r="F1683" s="102" t="s">
        <v>2325</v>
      </c>
      <c r="G1683" s="102" t="b">
        <v>0</v>
      </c>
      <c r="H1683" s="102" t="b">
        <v>0</v>
      </c>
      <c r="I1683" s="102" t="b">
        <v>0</v>
      </c>
      <c r="J1683" s="102" t="b">
        <v>0</v>
      </c>
      <c r="K1683" s="102" t="b">
        <v>0</v>
      </c>
      <c r="L1683" s="102" t="b">
        <v>0</v>
      </c>
    </row>
    <row r="1684" spans="1:12" ht="15">
      <c r="A1684" s="104" t="s">
        <v>2350</v>
      </c>
      <c r="B1684" s="102" t="s">
        <v>2389</v>
      </c>
      <c r="C1684" s="102">
        <v>2</v>
      </c>
      <c r="D1684" s="106">
        <v>0.00180998838353685</v>
      </c>
      <c r="E1684" s="106">
        <v>1.2177762999852315</v>
      </c>
      <c r="F1684" s="102" t="s">
        <v>2325</v>
      </c>
      <c r="G1684" s="102" t="b">
        <v>0</v>
      </c>
      <c r="H1684" s="102" t="b">
        <v>0</v>
      </c>
      <c r="I1684" s="102" t="b">
        <v>0</v>
      </c>
      <c r="J1684" s="102" t="b">
        <v>0</v>
      </c>
      <c r="K1684" s="102" t="b">
        <v>0</v>
      </c>
      <c r="L1684" s="102" t="b">
        <v>0</v>
      </c>
    </row>
    <row r="1685" spans="1:12" ht="15">
      <c r="A1685" s="104" t="s">
        <v>2389</v>
      </c>
      <c r="B1685" s="102" t="s">
        <v>2364</v>
      </c>
      <c r="C1685" s="102">
        <v>2</v>
      </c>
      <c r="D1685" s="106">
        <v>0.00180998838353685</v>
      </c>
      <c r="E1685" s="106">
        <v>1.2177762999852315</v>
      </c>
      <c r="F1685" s="102" t="s">
        <v>2325</v>
      </c>
      <c r="G1685" s="102" t="b">
        <v>0</v>
      </c>
      <c r="H1685" s="102" t="b">
        <v>0</v>
      </c>
      <c r="I1685" s="102" t="b">
        <v>0</v>
      </c>
      <c r="J1685" s="102" t="b">
        <v>0</v>
      </c>
      <c r="K1685" s="102" t="b">
        <v>0</v>
      </c>
      <c r="L1685" s="102" t="b">
        <v>0</v>
      </c>
    </row>
    <row r="1686" spans="1:12" ht="15">
      <c r="A1686" s="104" t="s">
        <v>2376</v>
      </c>
      <c r="B1686" s="102" t="s">
        <v>2376</v>
      </c>
      <c r="C1686" s="102">
        <v>2</v>
      </c>
      <c r="D1686" s="106">
        <v>0.00220220987625865</v>
      </c>
      <c r="E1686" s="106">
        <v>1.0121509623319898</v>
      </c>
      <c r="F1686" s="102" t="s">
        <v>2325</v>
      </c>
      <c r="G1686" s="102" t="b">
        <v>0</v>
      </c>
      <c r="H1686" s="102" t="b">
        <v>0</v>
      </c>
      <c r="I1686" s="102" t="b">
        <v>0</v>
      </c>
      <c r="J1686" s="102" t="b">
        <v>0</v>
      </c>
      <c r="K1686" s="102" t="b">
        <v>0</v>
      </c>
      <c r="L1686" s="102" t="b">
        <v>0</v>
      </c>
    </row>
    <row r="1687" spans="1:12" ht="15">
      <c r="A1687" s="104" t="s">
        <v>2754</v>
      </c>
      <c r="B1687" s="102" t="s">
        <v>2364</v>
      </c>
      <c r="C1687" s="102">
        <v>2</v>
      </c>
      <c r="D1687" s="106">
        <v>0.00180998838353685</v>
      </c>
      <c r="E1687" s="106">
        <v>1.6948975547048941</v>
      </c>
      <c r="F1687" s="102" t="s">
        <v>2325</v>
      </c>
      <c r="G1687" s="102" t="b">
        <v>0</v>
      </c>
      <c r="H1687" s="102" t="b">
        <v>0</v>
      </c>
      <c r="I1687" s="102" t="b">
        <v>0</v>
      </c>
      <c r="J1687" s="102" t="b">
        <v>0</v>
      </c>
      <c r="K1687" s="102" t="b">
        <v>0</v>
      </c>
      <c r="L1687" s="102" t="b">
        <v>0</v>
      </c>
    </row>
    <row r="1688" spans="1:12" ht="15">
      <c r="A1688" s="104" t="s">
        <v>2364</v>
      </c>
      <c r="B1688" s="102" t="s">
        <v>2490</v>
      </c>
      <c r="C1688" s="102">
        <v>2</v>
      </c>
      <c r="D1688" s="106">
        <v>0.00180998838353685</v>
      </c>
      <c r="E1688" s="106">
        <v>1.5922352128077464</v>
      </c>
      <c r="F1688" s="102" t="s">
        <v>2325</v>
      </c>
      <c r="G1688" s="102" t="b">
        <v>0</v>
      </c>
      <c r="H1688" s="102" t="b">
        <v>0</v>
      </c>
      <c r="I1688" s="102" t="b">
        <v>0</v>
      </c>
      <c r="J1688" s="102" t="b">
        <v>0</v>
      </c>
      <c r="K1688" s="102" t="b">
        <v>0</v>
      </c>
      <c r="L1688" s="102" t="b">
        <v>0</v>
      </c>
    </row>
    <row r="1689" spans="1:12" ht="15">
      <c r="A1689" s="104" t="s">
        <v>2418</v>
      </c>
      <c r="B1689" s="102" t="s">
        <v>2452</v>
      </c>
      <c r="C1689" s="102">
        <v>2</v>
      </c>
      <c r="D1689" s="106">
        <v>0.00220220987625865</v>
      </c>
      <c r="E1689" s="106">
        <v>1.6157163086572692</v>
      </c>
      <c r="F1689" s="102" t="s">
        <v>2325</v>
      </c>
      <c r="G1689" s="102" t="b">
        <v>0</v>
      </c>
      <c r="H1689" s="102" t="b">
        <v>0</v>
      </c>
      <c r="I1689" s="102" t="b">
        <v>0</v>
      </c>
      <c r="J1689" s="102" t="b">
        <v>0</v>
      </c>
      <c r="K1689" s="102" t="b">
        <v>0</v>
      </c>
      <c r="L1689" s="102" t="b">
        <v>0</v>
      </c>
    </row>
    <row r="1690" spans="1:12" ht="15">
      <c r="A1690" s="104" t="s">
        <v>2418</v>
      </c>
      <c r="B1690" s="102" t="s">
        <v>3100</v>
      </c>
      <c r="C1690" s="102">
        <v>2</v>
      </c>
      <c r="D1690" s="106">
        <v>0.00220220987625865</v>
      </c>
      <c r="E1690" s="106">
        <v>2.0928375633769316</v>
      </c>
      <c r="F1690" s="102" t="s">
        <v>2325</v>
      </c>
      <c r="G1690" s="102" t="b">
        <v>0</v>
      </c>
      <c r="H1690" s="102" t="b">
        <v>0</v>
      </c>
      <c r="I1690" s="102" t="b">
        <v>0</v>
      </c>
      <c r="J1690" s="102" t="b">
        <v>0</v>
      </c>
      <c r="K1690" s="102" t="b">
        <v>0</v>
      </c>
      <c r="L1690" s="102" t="b">
        <v>0</v>
      </c>
    </row>
    <row r="1691" spans="1:12" ht="15">
      <c r="A1691" s="104" t="s">
        <v>2387</v>
      </c>
      <c r="B1691" s="102" t="s">
        <v>2366</v>
      </c>
      <c r="C1691" s="102">
        <v>2</v>
      </c>
      <c r="D1691" s="106">
        <v>0.00180998838353685</v>
      </c>
      <c r="E1691" s="106">
        <v>1.3938675590409129</v>
      </c>
      <c r="F1691" s="102" t="s">
        <v>2325</v>
      </c>
      <c r="G1691" s="102" t="b">
        <v>0</v>
      </c>
      <c r="H1691" s="102" t="b">
        <v>0</v>
      </c>
      <c r="I1691" s="102" t="b">
        <v>0</v>
      </c>
      <c r="J1691" s="102" t="b">
        <v>0</v>
      </c>
      <c r="K1691" s="102" t="b">
        <v>0</v>
      </c>
      <c r="L1691" s="102" t="b">
        <v>0</v>
      </c>
    </row>
    <row r="1692" spans="1:12" ht="15">
      <c r="A1692" s="104" t="s">
        <v>2610</v>
      </c>
      <c r="B1692" s="102" t="s">
        <v>2752</v>
      </c>
      <c r="C1692" s="102">
        <v>2</v>
      </c>
      <c r="D1692" s="106">
        <v>0.00180998838353685</v>
      </c>
      <c r="E1692" s="106">
        <v>2.393867559040913</v>
      </c>
      <c r="F1692" s="102" t="s">
        <v>2325</v>
      </c>
      <c r="G1692" s="102" t="b">
        <v>0</v>
      </c>
      <c r="H1692" s="102" t="b">
        <v>0</v>
      </c>
      <c r="I1692" s="102" t="b">
        <v>0</v>
      </c>
      <c r="J1692" s="102" t="b">
        <v>0</v>
      </c>
      <c r="K1692" s="102" t="b">
        <v>0</v>
      </c>
      <c r="L1692" s="102" t="b">
        <v>0</v>
      </c>
    </row>
    <row r="1693" spans="1:12" ht="15">
      <c r="A1693" s="104" t="s">
        <v>2752</v>
      </c>
      <c r="B1693" s="102" t="s">
        <v>2352</v>
      </c>
      <c r="C1693" s="102">
        <v>2</v>
      </c>
      <c r="D1693" s="106">
        <v>0.00180998838353685</v>
      </c>
      <c r="E1693" s="106">
        <v>1.15707845963162</v>
      </c>
      <c r="F1693" s="102" t="s">
        <v>2325</v>
      </c>
      <c r="G1693" s="102" t="b">
        <v>0</v>
      </c>
      <c r="H1693" s="102" t="b">
        <v>0</v>
      </c>
      <c r="I1693" s="102" t="b">
        <v>0</v>
      </c>
      <c r="J1693" s="102" t="b">
        <v>0</v>
      </c>
      <c r="K1693" s="102" t="b">
        <v>0</v>
      </c>
      <c r="L1693" s="102" t="b">
        <v>0</v>
      </c>
    </row>
    <row r="1694" spans="1:12" ht="15">
      <c r="A1694" s="104" t="s">
        <v>2359</v>
      </c>
      <c r="B1694" s="102" t="s">
        <v>3089</v>
      </c>
      <c r="C1694" s="102">
        <v>2</v>
      </c>
      <c r="D1694" s="106">
        <v>0.00180998838353685</v>
      </c>
      <c r="E1694" s="106">
        <v>1.5922352128077464</v>
      </c>
      <c r="F1694" s="102" t="s">
        <v>2325</v>
      </c>
      <c r="G1694" s="102" t="b">
        <v>0</v>
      </c>
      <c r="H1694" s="102" t="b">
        <v>0</v>
      </c>
      <c r="I1694" s="102" t="b">
        <v>0</v>
      </c>
      <c r="J1694" s="102" t="b">
        <v>0</v>
      </c>
      <c r="K1694" s="102" t="b">
        <v>0</v>
      </c>
      <c r="L1694" s="102" t="b">
        <v>0</v>
      </c>
    </row>
    <row r="1695" spans="1:12" ht="15">
      <c r="A1695" s="104" t="s">
        <v>3089</v>
      </c>
      <c r="B1695" s="102" t="s">
        <v>2352</v>
      </c>
      <c r="C1695" s="102">
        <v>2</v>
      </c>
      <c r="D1695" s="106">
        <v>0.00180998838353685</v>
      </c>
      <c r="E1695" s="106">
        <v>1.333169718687301</v>
      </c>
      <c r="F1695" s="102" t="s">
        <v>2325</v>
      </c>
      <c r="G1695" s="102" t="b">
        <v>0</v>
      </c>
      <c r="H1695" s="102" t="b">
        <v>0</v>
      </c>
      <c r="I1695" s="102" t="b">
        <v>0</v>
      </c>
      <c r="J1695" s="102" t="b">
        <v>0</v>
      </c>
      <c r="K1695" s="102" t="b">
        <v>0</v>
      </c>
      <c r="L1695" s="102" t="b">
        <v>0</v>
      </c>
    </row>
    <row r="1696" spans="1:12" ht="15">
      <c r="A1696" s="104" t="s">
        <v>2359</v>
      </c>
      <c r="B1696" s="102" t="s">
        <v>3090</v>
      </c>
      <c r="C1696" s="102">
        <v>2</v>
      </c>
      <c r="D1696" s="106">
        <v>0.00180998838353685</v>
      </c>
      <c r="E1696" s="106">
        <v>1.5922352128077464</v>
      </c>
      <c r="F1696" s="102" t="s">
        <v>2325</v>
      </c>
      <c r="G1696" s="102" t="b">
        <v>0</v>
      </c>
      <c r="H1696" s="102" t="b">
        <v>0</v>
      </c>
      <c r="I1696" s="102" t="b">
        <v>0</v>
      </c>
      <c r="J1696" s="102" t="b">
        <v>0</v>
      </c>
      <c r="K1696" s="102" t="b">
        <v>0</v>
      </c>
      <c r="L1696" s="102" t="b">
        <v>0</v>
      </c>
    </row>
    <row r="1697" spans="1:12" ht="15">
      <c r="A1697" s="104" t="s">
        <v>3090</v>
      </c>
      <c r="B1697" s="102" t="s">
        <v>2798</v>
      </c>
      <c r="C1697" s="102">
        <v>2</v>
      </c>
      <c r="D1697" s="106">
        <v>0.00180998838353685</v>
      </c>
      <c r="E1697" s="106">
        <v>2.8709888137605755</v>
      </c>
      <c r="F1697" s="102" t="s">
        <v>2325</v>
      </c>
      <c r="G1697" s="102" t="b">
        <v>0</v>
      </c>
      <c r="H1697" s="102" t="b">
        <v>0</v>
      </c>
      <c r="I1697" s="102" t="b">
        <v>0</v>
      </c>
      <c r="J1697" s="102" t="b">
        <v>0</v>
      </c>
      <c r="K1697" s="102" t="b">
        <v>0</v>
      </c>
      <c r="L1697" s="102" t="b">
        <v>0</v>
      </c>
    </row>
    <row r="1698" spans="1:12" ht="15">
      <c r="A1698" s="104" t="s">
        <v>2798</v>
      </c>
      <c r="B1698" s="102" t="s">
        <v>2352</v>
      </c>
      <c r="C1698" s="102">
        <v>2</v>
      </c>
      <c r="D1698" s="106">
        <v>0.00180998838353685</v>
      </c>
      <c r="E1698" s="106">
        <v>1.333169718687301</v>
      </c>
      <c r="F1698" s="102" t="s">
        <v>2325</v>
      </c>
      <c r="G1698" s="102" t="b">
        <v>0</v>
      </c>
      <c r="H1698" s="102" t="b">
        <v>0</v>
      </c>
      <c r="I1698" s="102" t="b">
        <v>0</v>
      </c>
      <c r="J1698" s="102" t="b">
        <v>0</v>
      </c>
      <c r="K1698" s="102" t="b">
        <v>0</v>
      </c>
      <c r="L1698" s="102" t="b">
        <v>0</v>
      </c>
    </row>
    <row r="1699" spans="1:12" ht="15">
      <c r="A1699" s="104" t="s">
        <v>2751</v>
      </c>
      <c r="B1699" s="102" t="s">
        <v>2352</v>
      </c>
      <c r="C1699" s="102">
        <v>2</v>
      </c>
      <c r="D1699" s="106">
        <v>0.00180998838353685</v>
      </c>
      <c r="E1699" s="106">
        <v>1.15707845963162</v>
      </c>
      <c r="F1699" s="102" t="s">
        <v>2325</v>
      </c>
      <c r="G1699" s="102" t="b">
        <v>0</v>
      </c>
      <c r="H1699" s="102" t="b">
        <v>0</v>
      </c>
      <c r="I1699" s="102" t="b">
        <v>0</v>
      </c>
      <c r="J1699" s="102" t="b">
        <v>0</v>
      </c>
      <c r="K1699" s="102" t="b">
        <v>0</v>
      </c>
      <c r="L1699" s="102" t="b">
        <v>0</v>
      </c>
    </row>
    <row r="1700" spans="1:12" ht="15">
      <c r="A1700" s="104" t="s">
        <v>2359</v>
      </c>
      <c r="B1700" s="102" t="s">
        <v>2863</v>
      </c>
      <c r="C1700" s="102">
        <v>2</v>
      </c>
      <c r="D1700" s="106">
        <v>0.00180998838353685</v>
      </c>
      <c r="E1700" s="106">
        <v>1.5922352128077464</v>
      </c>
      <c r="F1700" s="102" t="s">
        <v>2325</v>
      </c>
      <c r="G1700" s="102" t="b">
        <v>0</v>
      </c>
      <c r="H1700" s="102" t="b">
        <v>0</v>
      </c>
      <c r="I1700" s="102" t="b">
        <v>0</v>
      </c>
      <c r="J1700" s="102" t="b">
        <v>0</v>
      </c>
      <c r="K1700" s="102" t="b">
        <v>0</v>
      </c>
      <c r="L1700" s="102" t="b">
        <v>0</v>
      </c>
    </row>
    <row r="1701" spans="1:12" ht="15">
      <c r="A1701" s="104" t="s">
        <v>2863</v>
      </c>
      <c r="B1701" s="102" t="s">
        <v>2352</v>
      </c>
      <c r="C1701" s="102">
        <v>2</v>
      </c>
      <c r="D1701" s="106">
        <v>0.00180998838353685</v>
      </c>
      <c r="E1701" s="106">
        <v>1.333169718687301</v>
      </c>
      <c r="F1701" s="102" t="s">
        <v>2325</v>
      </c>
      <c r="G1701" s="102" t="b">
        <v>0</v>
      </c>
      <c r="H1701" s="102" t="b">
        <v>0</v>
      </c>
      <c r="I1701" s="102" t="b">
        <v>0</v>
      </c>
      <c r="J1701" s="102" t="b">
        <v>0</v>
      </c>
      <c r="K1701" s="102" t="b">
        <v>0</v>
      </c>
      <c r="L1701" s="102" t="b">
        <v>0</v>
      </c>
    </row>
    <row r="1702" spans="1:12" ht="15">
      <c r="A1702" s="104" t="s">
        <v>2359</v>
      </c>
      <c r="B1702" s="102" t="s">
        <v>3091</v>
      </c>
      <c r="C1702" s="102">
        <v>2</v>
      </c>
      <c r="D1702" s="106">
        <v>0.00180998838353685</v>
      </c>
      <c r="E1702" s="106">
        <v>1.5922352128077464</v>
      </c>
      <c r="F1702" s="102" t="s">
        <v>2325</v>
      </c>
      <c r="G1702" s="102" t="b">
        <v>0</v>
      </c>
      <c r="H1702" s="102" t="b">
        <v>0</v>
      </c>
      <c r="I1702" s="102" t="b">
        <v>0</v>
      </c>
      <c r="J1702" s="102" t="b">
        <v>0</v>
      </c>
      <c r="K1702" s="102" t="b">
        <v>0</v>
      </c>
      <c r="L1702" s="102" t="b">
        <v>0</v>
      </c>
    </row>
    <row r="1703" spans="1:12" ht="15">
      <c r="A1703" s="104" t="s">
        <v>3091</v>
      </c>
      <c r="B1703" s="102" t="s">
        <v>2352</v>
      </c>
      <c r="C1703" s="102">
        <v>2</v>
      </c>
      <c r="D1703" s="106">
        <v>0.00180998838353685</v>
      </c>
      <c r="E1703" s="106">
        <v>1.333169718687301</v>
      </c>
      <c r="F1703" s="102" t="s">
        <v>2325</v>
      </c>
      <c r="G1703" s="102" t="b">
        <v>0</v>
      </c>
      <c r="H1703" s="102" t="b">
        <v>0</v>
      </c>
      <c r="I1703" s="102" t="b">
        <v>0</v>
      </c>
      <c r="J1703" s="102" t="b">
        <v>0</v>
      </c>
      <c r="K1703" s="102" t="b">
        <v>0</v>
      </c>
      <c r="L1703" s="102" t="b">
        <v>0</v>
      </c>
    </row>
    <row r="1704" spans="1:12" ht="15">
      <c r="A1704" s="104" t="s">
        <v>2359</v>
      </c>
      <c r="B1704" s="102" t="s">
        <v>2435</v>
      </c>
      <c r="C1704" s="102">
        <v>2</v>
      </c>
      <c r="D1704" s="106">
        <v>0.00180998838353685</v>
      </c>
      <c r="E1704" s="106">
        <v>1.115113958088084</v>
      </c>
      <c r="F1704" s="102" t="s">
        <v>2325</v>
      </c>
      <c r="G1704" s="102" t="b">
        <v>0</v>
      </c>
      <c r="H1704" s="102" t="b">
        <v>0</v>
      </c>
      <c r="I1704" s="102" t="b">
        <v>0</v>
      </c>
      <c r="J1704" s="102" t="b">
        <v>0</v>
      </c>
      <c r="K1704" s="102" t="b">
        <v>0</v>
      </c>
      <c r="L1704" s="102" t="b">
        <v>0</v>
      </c>
    </row>
    <row r="1705" spans="1:12" ht="15">
      <c r="A1705" s="104" t="s">
        <v>2435</v>
      </c>
      <c r="B1705" s="102" t="s">
        <v>2361</v>
      </c>
      <c r="C1705" s="102">
        <v>2</v>
      </c>
      <c r="D1705" s="106">
        <v>0.00180998838353685</v>
      </c>
      <c r="E1705" s="106">
        <v>1.416143953752065</v>
      </c>
      <c r="F1705" s="102" t="s">
        <v>2325</v>
      </c>
      <c r="G1705" s="102" t="b">
        <v>0</v>
      </c>
      <c r="H1705" s="102" t="b">
        <v>0</v>
      </c>
      <c r="I1705" s="102" t="b">
        <v>0</v>
      </c>
      <c r="J1705" s="102" t="b">
        <v>0</v>
      </c>
      <c r="K1705" s="102" t="b">
        <v>0</v>
      </c>
      <c r="L1705" s="102" t="b">
        <v>0</v>
      </c>
    </row>
    <row r="1706" spans="1:12" ht="15">
      <c r="A1706" s="104" t="s">
        <v>2359</v>
      </c>
      <c r="B1706" s="102" t="s">
        <v>2376</v>
      </c>
      <c r="C1706" s="102">
        <v>2</v>
      </c>
      <c r="D1706" s="106">
        <v>0.00180998838353685</v>
      </c>
      <c r="E1706" s="106">
        <v>0.6628162870934535</v>
      </c>
      <c r="F1706" s="102" t="s">
        <v>2325</v>
      </c>
      <c r="G1706" s="102" t="b">
        <v>0</v>
      </c>
      <c r="H1706" s="102" t="b">
        <v>0</v>
      </c>
      <c r="I1706" s="102" t="b">
        <v>0</v>
      </c>
      <c r="J1706" s="102" t="b">
        <v>0</v>
      </c>
      <c r="K1706" s="102" t="b">
        <v>0</v>
      </c>
      <c r="L1706" s="102" t="b">
        <v>0</v>
      </c>
    </row>
    <row r="1707" spans="1:12" ht="15">
      <c r="A1707" s="104" t="s">
        <v>2376</v>
      </c>
      <c r="B1707" s="102" t="s">
        <v>2361</v>
      </c>
      <c r="C1707" s="102">
        <v>2</v>
      </c>
      <c r="D1707" s="106">
        <v>0.00180998838353685</v>
      </c>
      <c r="E1707" s="106">
        <v>0.9638462827574348</v>
      </c>
      <c r="F1707" s="102" t="s">
        <v>2325</v>
      </c>
      <c r="G1707" s="102" t="b">
        <v>0</v>
      </c>
      <c r="H1707" s="102" t="b">
        <v>0</v>
      </c>
      <c r="I1707" s="102" t="b">
        <v>0</v>
      </c>
      <c r="J1707" s="102" t="b">
        <v>0</v>
      </c>
      <c r="K1707" s="102" t="b">
        <v>0</v>
      </c>
      <c r="L1707" s="102" t="b">
        <v>0</v>
      </c>
    </row>
    <row r="1708" spans="1:12" ht="15">
      <c r="A1708" s="104" t="s">
        <v>2359</v>
      </c>
      <c r="B1708" s="102" t="s">
        <v>2394</v>
      </c>
      <c r="C1708" s="102">
        <v>2</v>
      </c>
      <c r="D1708" s="106">
        <v>0.00180998838353685</v>
      </c>
      <c r="E1708" s="106">
        <v>1.115113958088084</v>
      </c>
      <c r="F1708" s="102" t="s">
        <v>2325</v>
      </c>
      <c r="G1708" s="102" t="b">
        <v>0</v>
      </c>
      <c r="H1708" s="102" t="b">
        <v>0</v>
      </c>
      <c r="I1708" s="102" t="b">
        <v>0</v>
      </c>
      <c r="J1708" s="102" t="b">
        <v>0</v>
      </c>
      <c r="K1708" s="102" t="b">
        <v>0</v>
      </c>
      <c r="L1708" s="102" t="b">
        <v>0</v>
      </c>
    </row>
    <row r="1709" spans="1:12" ht="15">
      <c r="A1709" s="104" t="s">
        <v>2390</v>
      </c>
      <c r="B1709" s="102" t="s">
        <v>3092</v>
      </c>
      <c r="C1709" s="102">
        <v>2</v>
      </c>
      <c r="D1709" s="106">
        <v>0.00180998838353685</v>
      </c>
      <c r="E1709" s="106">
        <v>2.268928822432613</v>
      </c>
      <c r="F1709" s="102" t="s">
        <v>2325</v>
      </c>
      <c r="G1709" s="102" t="b">
        <v>0</v>
      </c>
      <c r="H1709" s="102" t="b">
        <v>0</v>
      </c>
      <c r="I1709" s="102" t="b">
        <v>0</v>
      </c>
      <c r="J1709" s="102" t="b">
        <v>0</v>
      </c>
      <c r="K1709" s="102" t="b">
        <v>0</v>
      </c>
      <c r="L1709" s="102" t="b">
        <v>0</v>
      </c>
    </row>
    <row r="1710" spans="1:12" ht="15">
      <c r="A1710" s="104" t="s">
        <v>3092</v>
      </c>
      <c r="B1710" s="102" t="s">
        <v>2671</v>
      </c>
      <c r="C1710" s="102">
        <v>2</v>
      </c>
      <c r="D1710" s="106">
        <v>0.00180998838353685</v>
      </c>
      <c r="E1710" s="106">
        <v>2.569958818096594</v>
      </c>
      <c r="F1710" s="102" t="s">
        <v>2325</v>
      </c>
      <c r="G1710" s="102" t="b">
        <v>0</v>
      </c>
      <c r="H1710" s="102" t="b">
        <v>0</v>
      </c>
      <c r="I1710" s="102" t="b">
        <v>0</v>
      </c>
      <c r="J1710" s="102" t="b">
        <v>0</v>
      </c>
      <c r="K1710" s="102" t="b">
        <v>0</v>
      </c>
      <c r="L1710" s="102" t="b">
        <v>0</v>
      </c>
    </row>
    <row r="1711" spans="1:12" ht="15">
      <c r="A1711" s="104" t="s">
        <v>2671</v>
      </c>
      <c r="B1711" s="102" t="s">
        <v>3093</v>
      </c>
      <c r="C1711" s="102">
        <v>2</v>
      </c>
      <c r="D1711" s="106">
        <v>0.00180998838353685</v>
      </c>
      <c r="E1711" s="106">
        <v>2.569958818096594</v>
      </c>
      <c r="F1711" s="102" t="s">
        <v>2325</v>
      </c>
      <c r="G1711" s="102" t="b">
        <v>0</v>
      </c>
      <c r="H1711" s="102" t="b">
        <v>0</v>
      </c>
      <c r="I1711" s="102" t="b">
        <v>0</v>
      </c>
      <c r="J1711" s="102" t="b">
        <v>0</v>
      </c>
      <c r="K1711" s="102" t="b">
        <v>0</v>
      </c>
      <c r="L1711" s="102" t="b">
        <v>0</v>
      </c>
    </row>
    <row r="1712" spans="1:12" ht="15">
      <c r="A1712" s="104" t="s">
        <v>3093</v>
      </c>
      <c r="B1712" s="102" t="s">
        <v>3094</v>
      </c>
      <c r="C1712" s="102">
        <v>2</v>
      </c>
      <c r="D1712" s="106">
        <v>0.00180998838353685</v>
      </c>
      <c r="E1712" s="106">
        <v>2.8709888137605755</v>
      </c>
      <c r="F1712" s="102" t="s">
        <v>2325</v>
      </c>
      <c r="G1712" s="102" t="b">
        <v>0</v>
      </c>
      <c r="H1712" s="102" t="b">
        <v>0</v>
      </c>
      <c r="I1712" s="102" t="b">
        <v>0</v>
      </c>
      <c r="J1712" s="102" t="b">
        <v>0</v>
      </c>
      <c r="K1712" s="102" t="b">
        <v>0</v>
      </c>
      <c r="L1712" s="102" t="b">
        <v>0</v>
      </c>
    </row>
    <row r="1713" spans="1:12" ht="15">
      <c r="A1713" s="104" t="s">
        <v>3094</v>
      </c>
      <c r="B1713" s="102" t="s">
        <v>3095</v>
      </c>
      <c r="C1713" s="102">
        <v>2</v>
      </c>
      <c r="D1713" s="106">
        <v>0.00180998838353685</v>
      </c>
      <c r="E1713" s="106">
        <v>2.8709888137605755</v>
      </c>
      <c r="F1713" s="102" t="s">
        <v>2325</v>
      </c>
      <c r="G1713" s="102" t="b">
        <v>0</v>
      </c>
      <c r="H1713" s="102" t="b">
        <v>0</v>
      </c>
      <c r="I1713" s="102" t="b">
        <v>0</v>
      </c>
      <c r="J1713" s="102" t="b">
        <v>0</v>
      </c>
      <c r="K1713" s="102" t="b">
        <v>0</v>
      </c>
      <c r="L1713" s="102" t="b">
        <v>0</v>
      </c>
    </row>
    <row r="1714" spans="1:12" ht="15">
      <c r="A1714" s="104" t="s">
        <v>3095</v>
      </c>
      <c r="B1714" s="102" t="s">
        <v>2359</v>
      </c>
      <c r="C1714" s="102">
        <v>2</v>
      </c>
      <c r="D1714" s="106">
        <v>0.00180998838353685</v>
      </c>
      <c r="E1714" s="106">
        <v>1.559234952704821</v>
      </c>
      <c r="F1714" s="102" t="s">
        <v>2325</v>
      </c>
      <c r="G1714" s="102" t="b">
        <v>0</v>
      </c>
      <c r="H1714" s="102" t="b">
        <v>0</v>
      </c>
      <c r="I1714" s="102" t="b">
        <v>0</v>
      </c>
      <c r="J1714" s="102" t="b">
        <v>0</v>
      </c>
      <c r="K1714" s="102" t="b">
        <v>0</v>
      </c>
      <c r="L1714" s="102" t="b">
        <v>0</v>
      </c>
    </row>
    <row r="1715" spans="1:12" ht="15">
      <c r="A1715" s="104" t="s">
        <v>2359</v>
      </c>
      <c r="B1715" s="102" t="s">
        <v>3096</v>
      </c>
      <c r="C1715" s="102">
        <v>2</v>
      </c>
      <c r="D1715" s="106">
        <v>0.00180998838353685</v>
      </c>
      <c r="E1715" s="106">
        <v>1.5922352128077464</v>
      </c>
      <c r="F1715" s="102" t="s">
        <v>2325</v>
      </c>
      <c r="G1715" s="102" t="b">
        <v>0</v>
      </c>
      <c r="H1715" s="102" t="b">
        <v>0</v>
      </c>
      <c r="I1715" s="102" t="b">
        <v>0</v>
      </c>
      <c r="J1715" s="102" t="b">
        <v>0</v>
      </c>
      <c r="K1715" s="102" t="b">
        <v>0</v>
      </c>
      <c r="L1715" s="102" t="b">
        <v>0</v>
      </c>
    </row>
    <row r="1716" spans="1:12" ht="15">
      <c r="A1716" s="104" t="s">
        <v>3096</v>
      </c>
      <c r="B1716" s="102" t="s">
        <v>2352</v>
      </c>
      <c r="C1716" s="102">
        <v>2</v>
      </c>
      <c r="D1716" s="106">
        <v>0.00180998838353685</v>
      </c>
      <c r="E1716" s="106">
        <v>1.333169718687301</v>
      </c>
      <c r="F1716" s="102" t="s">
        <v>2325</v>
      </c>
      <c r="G1716" s="102" t="b">
        <v>0</v>
      </c>
      <c r="H1716" s="102" t="b">
        <v>0</v>
      </c>
      <c r="I1716" s="102" t="b">
        <v>0</v>
      </c>
      <c r="J1716" s="102" t="b">
        <v>0</v>
      </c>
      <c r="K1716" s="102" t="b">
        <v>0</v>
      </c>
      <c r="L1716" s="102" t="b">
        <v>0</v>
      </c>
    </row>
    <row r="1717" spans="1:12" ht="15">
      <c r="A1717" s="104" t="s">
        <v>3097</v>
      </c>
      <c r="B1717" s="102" t="s">
        <v>2866</v>
      </c>
      <c r="C1717" s="102">
        <v>2</v>
      </c>
      <c r="D1717" s="106">
        <v>0.00220220987625865</v>
      </c>
      <c r="E1717" s="106">
        <v>2.8709888137605755</v>
      </c>
      <c r="F1717" s="102" t="s">
        <v>2325</v>
      </c>
      <c r="G1717" s="102" t="b">
        <v>0</v>
      </c>
      <c r="H1717" s="102" t="b">
        <v>0</v>
      </c>
      <c r="I1717" s="102" t="b">
        <v>0</v>
      </c>
      <c r="J1717" s="102" t="b">
        <v>0</v>
      </c>
      <c r="K1717" s="102" t="b">
        <v>0</v>
      </c>
      <c r="L1717" s="102" t="b">
        <v>0</v>
      </c>
    </row>
    <row r="1718" spans="1:12" ht="15">
      <c r="A1718" s="104" t="s">
        <v>2664</v>
      </c>
      <c r="B1718" s="102" t="s">
        <v>2349</v>
      </c>
      <c r="C1718" s="102">
        <v>2</v>
      </c>
      <c r="D1718" s="106">
        <v>0.00220220987625865</v>
      </c>
      <c r="E1718" s="106">
        <v>1.115113958088084</v>
      </c>
      <c r="F1718" s="102" t="s">
        <v>2325</v>
      </c>
      <c r="G1718" s="102" t="b">
        <v>0</v>
      </c>
      <c r="H1718" s="102" t="b">
        <v>1</v>
      </c>
      <c r="I1718" s="102" t="b">
        <v>0</v>
      </c>
      <c r="J1718" s="102" t="b">
        <v>0</v>
      </c>
      <c r="K1718" s="102" t="b">
        <v>0</v>
      </c>
      <c r="L1718" s="102" t="b">
        <v>0</v>
      </c>
    </row>
    <row r="1719" spans="1:12" ht="15">
      <c r="A1719" s="104" t="s">
        <v>2864</v>
      </c>
      <c r="B1719" s="102" t="s">
        <v>2658</v>
      </c>
      <c r="C1719" s="102">
        <v>2</v>
      </c>
      <c r="D1719" s="106">
        <v>0.00180998838353685</v>
      </c>
      <c r="E1719" s="106">
        <v>2.5188062956492128</v>
      </c>
      <c r="F1719" s="102" t="s">
        <v>2325</v>
      </c>
      <c r="G1719" s="102" t="b">
        <v>0</v>
      </c>
      <c r="H1719" s="102" t="b">
        <v>0</v>
      </c>
      <c r="I1719" s="102" t="b">
        <v>0</v>
      </c>
      <c r="J1719" s="102" t="b">
        <v>0</v>
      </c>
      <c r="K1719" s="102" t="b">
        <v>0</v>
      </c>
      <c r="L1719" s="102" t="b">
        <v>0</v>
      </c>
    </row>
    <row r="1720" spans="1:12" ht="15">
      <c r="A1720" s="104" t="s">
        <v>2377</v>
      </c>
      <c r="B1720" s="102" t="s">
        <v>2348</v>
      </c>
      <c r="C1720" s="102">
        <v>2</v>
      </c>
      <c r="D1720" s="106">
        <v>0.00180998838353685</v>
      </c>
      <c r="E1720" s="106">
        <v>0.53855035384497</v>
      </c>
      <c r="F1720" s="102" t="s">
        <v>2325</v>
      </c>
      <c r="G1720" s="102" t="b">
        <v>0</v>
      </c>
      <c r="H1720" s="102" t="b">
        <v>0</v>
      </c>
      <c r="I1720" s="102" t="b">
        <v>0</v>
      </c>
      <c r="J1720" s="102" t="b">
        <v>0</v>
      </c>
      <c r="K1720" s="102" t="b">
        <v>0</v>
      </c>
      <c r="L1720" s="102" t="b">
        <v>0</v>
      </c>
    </row>
    <row r="1721" spans="1:12" ht="15">
      <c r="A1721" s="104" t="s">
        <v>2351</v>
      </c>
      <c r="B1721" s="102" t="s">
        <v>2384</v>
      </c>
      <c r="C1721" s="102">
        <v>2</v>
      </c>
      <c r="D1721" s="106">
        <v>0.00180998838353685</v>
      </c>
      <c r="E1721" s="106">
        <v>0.8467084377134952</v>
      </c>
      <c r="F1721" s="102" t="s">
        <v>2325</v>
      </c>
      <c r="G1721" s="102" t="b">
        <v>0</v>
      </c>
      <c r="H1721" s="102" t="b">
        <v>0</v>
      </c>
      <c r="I1721" s="102" t="b">
        <v>0</v>
      </c>
      <c r="J1721" s="102" t="b">
        <v>0</v>
      </c>
      <c r="K1721" s="102" t="b">
        <v>0</v>
      </c>
      <c r="L1721" s="102" t="b">
        <v>0</v>
      </c>
    </row>
    <row r="1722" spans="1:12" ht="15">
      <c r="A1722" s="104" t="s">
        <v>2384</v>
      </c>
      <c r="B1722" s="102" t="s">
        <v>2666</v>
      </c>
      <c r="C1722" s="102">
        <v>2</v>
      </c>
      <c r="D1722" s="106">
        <v>0.00180998838353685</v>
      </c>
      <c r="E1722" s="106">
        <v>2.2177762999852315</v>
      </c>
      <c r="F1722" s="102" t="s">
        <v>2325</v>
      </c>
      <c r="G1722" s="102" t="b">
        <v>0</v>
      </c>
      <c r="H1722" s="102" t="b">
        <v>0</v>
      </c>
      <c r="I1722" s="102" t="b">
        <v>0</v>
      </c>
      <c r="J1722" s="102" t="b">
        <v>0</v>
      </c>
      <c r="K1722" s="102" t="b">
        <v>0</v>
      </c>
      <c r="L1722" s="102" t="b">
        <v>0</v>
      </c>
    </row>
    <row r="1723" spans="1:12" ht="15">
      <c r="A1723" s="104" t="s">
        <v>2666</v>
      </c>
      <c r="B1723" s="102" t="s">
        <v>2377</v>
      </c>
      <c r="C1723" s="102">
        <v>2</v>
      </c>
      <c r="D1723" s="106">
        <v>0.00180998838353685</v>
      </c>
      <c r="E1723" s="106">
        <v>2.1720188094245563</v>
      </c>
      <c r="F1723" s="102" t="s">
        <v>2325</v>
      </c>
      <c r="G1723" s="102" t="b">
        <v>0</v>
      </c>
      <c r="H1723" s="102" t="b">
        <v>0</v>
      </c>
      <c r="I1723" s="102" t="b">
        <v>0</v>
      </c>
      <c r="J1723" s="102" t="b">
        <v>0</v>
      </c>
      <c r="K1723" s="102" t="b">
        <v>0</v>
      </c>
      <c r="L1723" s="102" t="b">
        <v>0</v>
      </c>
    </row>
    <row r="1724" spans="1:12" ht="15">
      <c r="A1724" s="104" t="s">
        <v>2353</v>
      </c>
      <c r="B1724" s="102" t="s">
        <v>2491</v>
      </c>
      <c r="C1724" s="102">
        <v>2</v>
      </c>
      <c r="D1724" s="106">
        <v>0.00180998838353685</v>
      </c>
      <c r="E1724" s="106">
        <v>1.1942952041357087</v>
      </c>
      <c r="F1724" s="102" t="s">
        <v>2325</v>
      </c>
      <c r="G1724" s="102" t="b">
        <v>0</v>
      </c>
      <c r="H1724" s="102" t="b">
        <v>0</v>
      </c>
      <c r="I1724" s="102" t="b">
        <v>0</v>
      </c>
      <c r="J1724" s="102" t="b">
        <v>0</v>
      </c>
      <c r="K1724" s="102" t="b">
        <v>0</v>
      </c>
      <c r="L1724" s="102" t="b">
        <v>0</v>
      </c>
    </row>
    <row r="1725" spans="1:12" ht="15">
      <c r="A1725" s="104" t="s">
        <v>2447</v>
      </c>
      <c r="B1725" s="102" t="s">
        <v>2729</v>
      </c>
      <c r="C1725" s="102">
        <v>2</v>
      </c>
      <c r="D1725" s="106">
        <v>0.00220220987625865</v>
      </c>
      <c r="E1725" s="106">
        <v>1.8497995146906372</v>
      </c>
      <c r="F1725" s="102" t="s">
        <v>2325</v>
      </c>
      <c r="G1725" s="102" t="b">
        <v>0</v>
      </c>
      <c r="H1725" s="102" t="b">
        <v>0</v>
      </c>
      <c r="I1725" s="102" t="b">
        <v>0</v>
      </c>
      <c r="J1725" s="102" t="b">
        <v>1</v>
      </c>
      <c r="K1725" s="102" t="b">
        <v>0</v>
      </c>
      <c r="L1725" s="102" t="b">
        <v>0</v>
      </c>
    </row>
    <row r="1726" spans="1:12" ht="15">
      <c r="A1726" s="104" t="s">
        <v>2447</v>
      </c>
      <c r="B1726" s="102" t="s">
        <v>2512</v>
      </c>
      <c r="C1726" s="102">
        <v>2</v>
      </c>
      <c r="D1726" s="106">
        <v>0.00220220987625865</v>
      </c>
      <c r="E1726" s="106">
        <v>1.3726782599709748</v>
      </c>
      <c r="F1726" s="102" t="s">
        <v>2325</v>
      </c>
      <c r="G1726" s="102" t="b">
        <v>0</v>
      </c>
      <c r="H1726" s="102" t="b">
        <v>0</v>
      </c>
      <c r="I1726" s="102" t="b">
        <v>0</v>
      </c>
      <c r="J1726" s="102" t="b">
        <v>0</v>
      </c>
      <c r="K1726" s="102" t="b">
        <v>0</v>
      </c>
      <c r="L1726" s="102" t="b">
        <v>0</v>
      </c>
    </row>
    <row r="1727" spans="1:12" ht="15">
      <c r="A1727" s="104" t="s">
        <v>2676</v>
      </c>
      <c r="B1727" s="102" t="s">
        <v>2512</v>
      </c>
      <c r="C1727" s="102">
        <v>2</v>
      </c>
      <c r="D1727" s="106">
        <v>0.00220220987625865</v>
      </c>
      <c r="E1727" s="106">
        <v>1.9167463043212503</v>
      </c>
      <c r="F1727" s="102" t="s">
        <v>2325</v>
      </c>
      <c r="G1727" s="102" t="b">
        <v>0</v>
      </c>
      <c r="H1727" s="102" t="b">
        <v>0</v>
      </c>
      <c r="I1727" s="102" t="b">
        <v>0</v>
      </c>
      <c r="J1727" s="102" t="b">
        <v>0</v>
      </c>
      <c r="K1727" s="102" t="b">
        <v>0</v>
      </c>
      <c r="L1727" s="102" t="b">
        <v>0</v>
      </c>
    </row>
    <row r="1728" spans="1:12" ht="15">
      <c r="A1728" s="104" t="s">
        <v>2447</v>
      </c>
      <c r="B1728" s="102" t="s">
        <v>3086</v>
      </c>
      <c r="C1728" s="102">
        <v>2</v>
      </c>
      <c r="D1728" s="106">
        <v>0.00220220987625865</v>
      </c>
      <c r="E1728" s="106">
        <v>2.0258907737463185</v>
      </c>
      <c r="F1728" s="102" t="s">
        <v>2325</v>
      </c>
      <c r="G1728" s="102" t="b">
        <v>0</v>
      </c>
      <c r="H1728" s="102" t="b">
        <v>0</v>
      </c>
      <c r="I1728" s="102" t="b">
        <v>0</v>
      </c>
      <c r="J1728" s="102" t="b">
        <v>0</v>
      </c>
      <c r="K1728" s="102" t="b">
        <v>0</v>
      </c>
      <c r="L1728" s="102" t="b">
        <v>0</v>
      </c>
    </row>
    <row r="1729" spans="1:12" ht="15">
      <c r="A1729" s="104" t="s">
        <v>2749</v>
      </c>
      <c r="B1729" s="102" t="s">
        <v>2749</v>
      </c>
      <c r="C1729" s="102">
        <v>2</v>
      </c>
      <c r="D1729" s="106">
        <v>0.00220220987625865</v>
      </c>
      <c r="E1729" s="106">
        <v>2.268928822432613</v>
      </c>
      <c r="F1729" s="102" t="s">
        <v>2325</v>
      </c>
      <c r="G1729" s="102" t="b">
        <v>0</v>
      </c>
      <c r="H1729" s="102" t="b">
        <v>0</v>
      </c>
      <c r="I1729" s="102" t="b">
        <v>0</v>
      </c>
      <c r="J1729" s="102" t="b">
        <v>0</v>
      </c>
      <c r="K1729" s="102" t="b">
        <v>0</v>
      </c>
      <c r="L1729" s="102" t="b">
        <v>0</v>
      </c>
    </row>
    <row r="1730" spans="1:12" ht="15">
      <c r="A1730" s="104" t="s">
        <v>2433</v>
      </c>
      <c r="B1730" s="102" t="s">
        <v>2353</v>
      </c>
      <c r="C1730" s="102">
        <v>2</v>
      </c>
      <c r="D1730" s="106">
        <v>0.00220220987625865</v>
      </c>
      <c r="E1730" s="106">
        <v>1.2300107564022433</v>
      </c>
      <c r="F1730" s="102" t="s">
        <v>2325</v>
      </c>
      <c r="G1730" s="102" t="b">
        <v>0</v>
      </c>
      <c r="H1730" s="102" t="b">
        <v>0</v>
      </c>
      <c r="I1730" s="102" t="b">
        <v>0</v>
      </c>
      <c r="J1730" s="102" t="b">
        <v>0</v>
      </c>
      <c r="K1730" s="102" t="b">
        <v>0</v>
      </c>
      <c r="L1730" s="102" t="b">
        <v>0</v>
      </c>
    </row>
    <row r="1731" spans="1:12" ht="15">
      <c r="A1731" s="104" t="s">
        <v>2456</v>
      </c>
      <c r="B1731" s="102" t="s">
        <v>2572</v>
      </c>
      <c r="C1731" s="102">
        <v>2</v>
      </c>
      <c r="D1731" s="106">
        <v>0.00220220987625865</v>
      </c>
      <c r="E1731" s="106">
        <v>1.5809542023980574</v>
      </c>
      <c r="F1731" s="102" t="s">
        <v>2325</v>
      </c>
      <c r="G1731" s="102" t="b">
        <v>0</v>
      </c>
      <c r="H1731" s="102" t="b">
        <v>0</v>
      </c>
      <c r="I1731" s="102" t="b">
        <v>0</v>
      </c>
      <c r="J1731" s="102" t="b">
        <v>0</v>
      </c>
      <c r="K1731" s="102" t="b">
        <v>0</v>
      </c>
      <c r="L1731" s="102" t="b">
        <v>0</v>
      </c>
    </row>
    <row r="1732" spans="1:12" ht="15">
      <c r="A1732" s="104" t="s">
        <v>2443</v>
      </c>
      <c r="B1732" s="102" t="s">
        <v>3067</v>
      </c>
      <c r="C1732" s="102">
        <v>2</v>
      </c>
      <c r="D1732" s="106">
        <v>0.00220220987625865</v>
      </c>
      <c r="E1732" s="106">
        <v>2.1720188094245563</v>
      </c>
      <c r="F1732" s="102" t="s">
        <v>2325</v>
      </c>
      <c r="G1732" s="102" t="b">
        <v>0</v>
      </c>
      <c r="H1732" s="102" t="b">
        <v>0</v>
      </c>
      <c r="I1732" s="102" t="b">
        <v>0</v>
      </c>
      <c r="J1732" s="102" t="b">
        <v>0</v>
      </c>
      <c r="K1732" s="102" t="b">
        <v>0</v>
      </c>
      <c r="L1732" s="102" t="b">
        <v>0</v>
      </c>
    </row>
    <row r="1733" spans="1:12" ht="15">
      <c r="A1733" s="104" t="s">
        <v>2456</v>
      </c>
      <c r="B1733" s="102" t="s">
        <v>2607</v>
      </c>
      <c r="C1733" s="102">
        <v>2</v>
      </c>
      <c r="D1733" s="106">
        <v>0.00220220987625865</v>
      </c>
      <c r="E1733" s="106">
        <v>1.7570454614537385</v>
      </c>
      <c r="F1733" s="102" t="s">
        <v>2325</v>
      </c>
      <c r="G1733" s="102" t="b">
        <v>0</v>
      </c>
      <c r="H1733" s="102" t="b">
        <v>0</v>
      </c>
      <c r="I1733" s="102" t="b">
        <v>0</v>
      </c>
      <c r="J1733" s="102" t="b">
        <v>0</v>
      </c>
      <c r="K1733" s="102" t="b">
        <v>0</v>
      </c>
      <c r="L1733" s="102" t="b">
        <v>0</v>
      </c>
    </row>
    <row r="1734" spans="1:12" ht="15">
      <c r="A1734" s="104" t="s">
        <v>2607</v>
      </c>
      <c r="B1734" s="102" t="s">
        <v>2456</v>
      </c>
      <c r="C1734" s="102">
        <v>2</v>
      </c>
      <c r="D1734" s="106">
        <v>0.00220220987625865</v>
      </c>
      <c r="E1734" s="106">
        <v>1.8819841980620386</v>
      </c>
      <c r="F1734" s="102" t="s">
        <v>2325</v>
      </c>
      <c r="G1734" s="102" t="b">
        <v>0</v>
      </c>
      <c r="H1734" s="102" t="b">
        <v>0</v>
      </c>
      <c r="I1734" s="102" t="b">
        <v>0</v>
      </c>
      <c r="J1734" s="102" t="b">
        <v>0</v>
      </c>
      <c r="K1734" s="102" t="b">
        <v>0</v>
      </c>
      <c r="L1734" s="102" t="b">
        <v>0</v>
      </c>
    </row>
    <row r="1735" spans="1:12" ht="15">
      <c r="A1735" s="104" t="s">
        <v>2358</v>
      </c>
      <c r="B1735" s="102" t="s">
        <v>2363</v>
      </c>
      <c r="C1735" s="102">
        <v>20</v>
      </c>
      <c r="D1735" s="106">
        <v>0.01731108918583352</v>
      </c>
      <c r="E1735" s="106">
        <v>1.8120012922924407</v>
      </c>
      <c r="F1735" s="102" t="s">
        <v>2326</v>
      </c>
      <c r="G1735" s="102" t="b">
        <v>0</v>
      </c>
      <c r="H1735" s="102" t="b">
        <v>0</v>
      </c>
      <c r="I1735" s="102" t="b">
        <v>0</v>
      </c>
      <c r="J1735" s="102" t="b">
        <v>0</v>
      </c>
      <c r="K1735" s="102" t="b">
        <v>0</v>
      </c>
      <c r="L1735" s="102" t="b">
        <v>0</v>
      </c>
    </row>
    <row r="1736" spans="1:12" ht="15">
      <c r="A1736" s="104" t="s">
        <v>2348</v>
      </c>
      <c r="B1736" s="102" t="s">
        <v>2351</v>
      </c>
      <c r="C1736" s="102">
        <v>16</v>
      </c>
      <c r="D1736" s="106">
        <v>0.006709936771887105</v>
      </c>
      <c r="E1736" s="106">
        <v>1.5311746827167465</v>
      </c>
      <c r="F1736" s="102" t="s">
        <v>2326</v>
      </c>
      <c r="G1736" s="102" t="b">
        <v>0</v>
      </c>
      <c r="H1736" s="102" t="b">
        <v>0</v>
      </c>
      <c r="I1736" s="102" t="b">
        <v>0</v>
      </c>
      <c r="J1736" s="102" t="b">
        <v>0</v>
      </c>
      <c r="K1736" s="102" t="b">
        <v>0</v>
      </c>
      <c r="L1736" s="102" t="b">
        <v>0</v>
      </c>
    </row>
    <row r="1737" spans="1:12" ht="15">
      <c r="A1737" s="104" t="s">
        <v>2371</v>
      </c>
      <c r="B1737" s="102" t="s">
        <v>2358</v>
      </c>
      <c r="C1737" s="102">
        <v>12</v>
      </c>
      <c r="D1737" s="106">
        <v>0.010386653511500112</v>
      </c>
      <c r="E1737" s="106">
        <v>1.728455240842366</v>
      </c>
      <c r="F1737" s="102" t="s">
        <v>2326</v>
      </c>
      <c r="G1737" s="102" t="b">
        <v>0</v>
      </c>
      <c r="H1737" s="102" t="b">
        <v>0</v>
      </c>
      <c r="I1737" s="102" t="b">
        <v>0</v>
      </c>
      <c r="J1737" s="102" t="b">
        <v>0</v>
      </c>
      <c r="K1737" s="102" t="b">
        <v>0</v>
      </c>
      <c r="L1737" s="102" t="b">
        <v>0</v>
      </c>
    </row>
    <row r="1738" spans="1:12" ht="15">
      <c r="A1738" s="104" t="s">
        <v>2482</v>
      </c>
      <c r="B1738" s="102" t="s">
        <v>2355</v>
      </c>
      <c r="C1738" s="102">
        <v>10</v>
      </c>
      <c r="D1738" s="106">
        <v>0.010711760410293682</v>
      </c>
      <c r="E1738" s="106">
        <v>1.8533939774506658</v>
      </c>
      <c r="F1738" s="102" t="s">
        <v>2326</v>
      </c>
      <c r="G1738" s="102" t="b">
        <v>0</v>
      </c>
      <c r="H1738" s="102" t="b">
        <v>1</v>
      </c>
      <c r="I1738" s="102" t="b">
        <v>0</v>
      </c>
      <c r="J1738" s="102" t="b">
        <v>0</v>
      </c>
      <c r="K1738" s="102" t="b">
        <v>0</v>
      </c>
      <c r="L1738" s="102" t="b">
        <v>0</v>
      </c>
    </row>
    <row r="1739" spans="1:12" ht="15">
      <c r="A1739" s="104" t="s">
        <v>2351</v>
      </c>
      <c r="B1739" s="102" t="s">
        <v>2348</v>
      </c>
      <c r="C1739" s="102">
        <v>9</v>
      </c>
      <c r="D1739" s="106">
        <v>0.004445309533111095</v>
      </c>
      <c r="E1739" s="106">
        <v>1.3762727227310034</v>
      </c>
      <c r="F1739" s="102" t="s">
        <v>2326</v>
      </c>
      <c r="G1739" s="102" t="b">
        <v>0</v>
      </c>
      <c r="H1739" s="102" t="b">
        <v>0</v>
      </c>
      <c r="I1739" s="102" t="b">
        <v>0</v>
      </c>
      <c r="J1739" s="102" t="b">
        <v>0</v>
      </c>
      <c r="K1739" s="102" t="b">
        <v>0</v>
      </c>
      <c r="L1739" s="102" t="b">
        <v>0</v>
      </c>
    </row>
    <row r="1740" spans="1:12" ht="15">
      <c r="A1740" s="104" t="s">
        <v>2505</v>
      </c>
      <c r="B1740" s="102" t="s">
        <v>2439</v>
      </c>
      <c r="C1740" s="102">
        <v>9</v>
      </c>
      <c r="D1740" s="106">
        <v>0.009640584369264312</v>
      </c>
      <c r="E1740" s="106">
        <v>2.075242727067022</v>
      </c>
      <c r="F1740" s="102" t="s">
        <v>2326</v>
      </c>
      <c r="G1740" s="102" t="b">
        <v>0</v>
      </c>
      <c r="H1740" s="102" t="b">
        <v>0</v>
      </c>
      <c r="I1740" s="102" t="b">
        <v>0</v>
      </c>
      <c r="J1740" s="102" t="b">
        <v>0</v>
      </c>
      <c r="K1740" s="102" t="b">
        <v>0</v>
      </c>
      <c r="L1740" s="102" t="b">
        <v>0</v>
      </c>
    </row>
    <row r="1741" spans="1:12" ht="15">
      <c r="A1741" s="104" t="s">
        <v>2483</v>
      </c>
      <c r="B1741" s="102" t="s">
        <v>2504</v>
      </c>
      <c r="C1741" s="102">
        <v>9</v>
      </c>
      <c r="D1741" s="106">
        <v>0.009640584369264312</v>
      </c>
      <c r="E1741" s="106">
        <v>2.154423973114647</v>
      </c>
      <c r="F1741" s="102" t="s">
        <v>2326</v>
      </c>
      <c r="G1741" s="102" t="b">
        <v>0</v>
      </c>
      <c r="H1741" s="102" t="b">
        <v>0</v>
      </c>
      <c r="I1741" s="102" t="b">
        <v>0</v>
      </c>
      <c r="J1741" s="102" t="b">
        <v>0</v>
      </c>
      <c r="K1741" s="102" t="b">
        <v>0</v>
      </c>
      <c r="L1741" s="102" t="b">
        <v>0</v>
      </c>
    </row>
    <row r="1742" spans="1:12" ht="15">
      <c r="A1742" s="104" t="s">
        <v>2426</v>
      </c>
      <c r="B1742" s="102" t="s">
        <v>2368</v>
      </c>
      <c r="C1742" s="102">
        <v>9</v>
      </c>
      <c r="D1742" s="106">
        <v>0.009640584369264312</v>
      </c>
      <c r="E1742" s="106">
        <v>1.6403191521418146</v>
      </c>
      <c r="F1742" s="102" t="s">
        <v>2326</v>
      </c>
      <c r="G1742" s="102" t="b">
        <v>0</v>
      </c>
      <c r="H1742" s="102" t="b">
        <v>0</v>
      </c>
      <c r="I1742" s="102" t="b">
        <v>0</v>
      </c>
      <c r="J1742" s="102" t="b">
        <v>0</v>
      </c>
      <c r="K1742" s="102" t="b">
        <v>0</v>
      </c>
      <c r="L1742" s="102" t="b">
        <v>0</v>
      </c>
    </row>
    <row r="1743" spans="1:12" ht="15">
      <c r="A1743" s="104" t="s">
        <v>2479</v>
      </c>
      <c r="B1743" s="102" t="s">
        <v>2356</v>
      </c>
      <c r="C1743" s="102">
        <v>7</v>
      </c>
      <c r="D1743" s="106">
        <v>0.003457462970197519</v>
      </c>
      <c r="E1743" s="106">
        <v>1.9783327140589657</v>
      </c>
      <c r="F1743" s="102" t="s">
        <v>2326</v>
      </c>
      <c r="G1743" s="102" t="b">
        <v>0</v>
      </c>
      <c r="H1743" s="102" t="b">
        <v>0</v>
      </c>
      <c r="I1743" s="102" t="b">
        <v>0</v>
      </c>
      <c r="J1743" s="102" t="b">
        <v>0</v>
      </c>
      <c r="K1743" s="102" t="b">
        <v>0</v>
      </c>
      <c r="L1743" s="102" t="b">
        <v>0</v>
      </c>
    </row>
    <row r="1744" spans="1:12" ht="15">
      <c r="A1744" s="104" t="s">
        <v>2356</v>
      </c>
      <c r="B1744" s="102" t="s">
        <v>2523</v>
      </c>
      <c r="C1744" s="102">
        <v>7</v>
      </c>
      <c r="D1744" s="106">
        <v>0.003457462970197519</v>
      </c>
      <c r="E1744" s="106">
        <v>1.923975051736373</v>
      </c>
      <c r="F1744" s="102" t="s">
        <v>2326</v>
      </c>
      <c r="G1744" s="102" t="b">
        <v>0</v>
      </c>
      <c r="H1744" s="102" t="b">
        <v>0</v>
      </c>
      <c r="I1744" s="102" t="b">
        <v>0</v>
      </c>
      <c r="J1744" s="102" t="b">
        <v>0</v>
      </c>
      <c r="K1744" s="102" t="b">
        <v>0</v>
      </c>
      <c r="L1744" s="102" t="b">
        <v>0</v>
      </c>
    </row>
    <row r="1745" spans="1:12" ht="15">
      <c r="A1745" s="104" t="s">
        <v>2380</v>
      </c>
      <c r="B1745" s="102" t="s">
        <v>2366</v>
      </c>
      <c r="C1745" s="102">
        <v>7</v>
      </c>
      <c r="D1745" s="106">
        <v>0.005216914812453093</v>
      </c>
      <c r="E1745" s="106">
        <v>1.6359100332367595</v>
      </c>
      <c r="F1745" s="102" t="s">
        <v>2326</v>
      </c>
      <c r="G1745" s="102" t="b">
        <v>0</v>
      </c>
      <c r="H1745" s="102" t="b">
        <v>0</v>
      </c>
      <c r="I1745" s="102" t="b">
        <v>0</v>
      </c>
      <c r="J1745" s="102" t="b">
        <v>0</v>
      </c>
      <c r="K1745" s="102" t="b">
        <v>0</v>
      </c>
      <c r="L1745" s="102" t="b">
        <v>0</v>
      </c>
    </row>
    <row r="1746" spans="1:12" ht="15">
      <c r="A1746" s="104" t="s">
        <v>2367</v>
      </c>
      <c r="B1746" s="102" t="s">
        <v>2369</v>
      </c>
      <c r="C1746" s="102">
        <v>6</v>
      </c>
      <c r="D1746" s="106">
        <v>0.004471641267816937</v>
      </c>
      <c r="E1746" s="106">
        <v>2.029485236506347</v>
      </c>
      <c r="F1746" s="102" t="s">
        <v>2326</v>
      </c>
      <c r="G1746" s="102" t="b">
        <v>0</v>
      </c>
      <c r="H1746" s="102" t="b">
        <v>0</v>
      </c>
      <c r="I1746" s="102" t="b">
        <v>0</v>
      </c>
      <c r="J1746" s="102" t="b">
        <v>0</v>
      </c>
      <c r="K1746" s="102" t="b">
        <v>0</v>
      </c>
      <c r="L1746" s="102" t="b">
        <v>0</v>
      </c>
    </row>
    <row r="1747" spans="1:12" ht="15">
      <c r="A1747" s="104" t="s">
        <v>2394</v>
      </c>
      <c r="B1747" s="102" t="s">
        <v>2390</v>
      </c>
      <c r="C1747" s="102">
        <v>6</v>
      </c>
      <c r="D1747" s="106">
        <v>0.003959597265323904</v>
      </c>
      <c r="E1747" s="106">
        <v>2.242379143469777</v>
      </c>
      <c r="F1747" s="102" t="s">
        <v>2326</v>
      </c>
      <c r="G1747" s="102" t="b">
        <v>0</v>
      </c>
      <c r="H1747" s="102" t="b">
        <v>0</v>
      </c>
      <c r="I1747" s="102" t="b">
        <v>0</v>
      </c>
      <c r="J1747" s="102" t="b">
        <v>0</v>
      </c>
      <c r="K1747" s="102" t="b">
        <v>0</v>
      </c>
      <c r="L1747" s="102" t="b">
        <v>0</v>
      </c>
    </row>
    <row r="1748" spans="1:12" ht="15">
      <c r="A1748" s="104" t="s">
        <v>2352</v>
      </c>
      <c r="B1748" s="102" t="s">
        <v>2389</v>
      </c>
      <c r="C1748" s="102">
        <v>5</v>
      </c>
      <c r="D1748" s="106">
        <v>0.003726367723180781</v>
      </c>
      <c r="E1748" s="106">
        <v>1.7328200462448158</v>
      </c>
      <c r="F1748" s="102" t="s">
        <v>2326</v>
      </c>
      <c r="G1748" s="102" t="b">
        <v>0</v>
      </c>
      <c r="H1748" s="102" t="b">
        <v>0</v>
      </c>
      <c r="I1748" s="102" t="b">
        <v>0</v>
      </c>
      <c r="J1748" s="102" t="b">
        <v>0</v>
      </c>
      <c r="K1748" s="102" t="b">
        <v>0</v>
      </c>
      <c r="L1748" s="102" t="b">
        <v>0</v>
      </c>
    </row>
    <row r="1749" spans="1:12" ht="15">
      <c r="A1749" s="104" t="s">
        <v>2395</v>
      </c>
      <c r="B1749" s="102" t="s">
        <v>2421</v>
      </c>
      <c r="C1749" s="102">
        <v>5</v>
      </c>
      <c r="D1749" s="106">
        <v>0.002968687567387214</v>
      </c>
      <c r="E1749" s="106">
        <v>2.154423973114647</v>
      </c>
      <c r="F1749" s="102" t="s">
        <v>2326</v>
      </c>
      <c r="G1749" s="102" t="b">
        <v>0</v>
      </c>
      <c r="H1749" s="102" t="b">
        <v>0</v>
      </c>
      <c r="I1749" s="102" t="b">
        <v>0</v>
      </c>
      <c r="J1749" s="102" t="b">
        <v>0</v>
      </c>
      <c r="K1749" s="102" t="b">
        <v>0</v>
      </c>
      <c r="L1749" s="102" t="b">
        <v>0</v>
      </c>
    </row>
    <row r="1750" spans="1:12" ht="15">
      <c r="A1750" s="104" t="s">
        <v>2556</v>
      </c>
      <c r="B1750" s="102" t="s">
        <v>2525</v>
      </c>
      <c r="C1750" s="102">
        <v>5</v>
      </c>
      <c r="D1750" s="106">
        <v>0.005355880205146841</v>
      </c>
      <c r="E1750" s="106">
        <v>2.1052059504444656</v>
      </c>
      <c r="F1750" s="102" t="s">
        <v>2326</v>
      </c>
      <c r="G1750" s="102" t="b">
        <v>0</v>
      </c>
      <c r="H1750" s="102" t="b">
        <v>0</v>
      </c>
      <c r="I1750" s="102" t="b">
        <v>0</v>
      </c>
      <c r="J1750" s="102" t="b">
        <v>0</v>
      </c>
      <c r="K1750" s="102" t="b">
        <v>0</v>
      </c>
      <c r="L1750" s="102" t="b">
        <v>0</v>
      </c>
    </row>
    <row r="1751" spans="1:12" ht="15">
      <c r="A1751" s="104" t="s">
        <v>2554</v>
      </c>
      <c r="B1751" s="102" t="s">
        <v>2642</v>
      </c>
      <c r="C1751" s="102">
        <v>5</v>
      </c>
      <c r="D1751" s="106">
        <v>0.005355880205146841</v>
      </c>
      <c r="E1751" s="106">
        <v>2.30932593310039</v>
      </c>
      <c r="F1751" s="102" t="s">
        <v>2326</v>
      </c>
      <c r="G1751" s="102" t="b">
        <v>0</v>
      </c>
      <c r="H1751" s="102" t="b">
        <v>0</v>
      </c>
      <c r="I1751" s="102" t="b">
        <v>0</v>
      </c>
      <c r="J1751" s="102" t="b">
        <v>0</v>
      </c>
      <c r="K1751" s="102" t="b">
        <v>0</v>
      </c>
      <c r="L1751" s="102" t="b">
        <v>0</v>
      </c>
    </row>
    <row r="1752" spans="1:12" ht="15">
      <c r="A1752" s="104" t="s">
        <v>2640</v>
      </c>
      <c r="B1752" s="102" t="s">
        <v>2641</v>
      </c>
      <c r="C1752" s="102">
        <v>5</v>
      </c>
      <c r="D1752" s="106">
        <v>0.005355880205146841</v>
      </c>
      <c r="E1752" s="106">
        <v>2.4554539687786283</v>
      </c>
      <c r="F1752" s="102" t="s">
        <v>2326</v>
      </c>
      <c r="G1752" s="102" t="b">
        <v>0</v>
      </c>
      <c r="H1752" s="102" t="b">
        <v>0</v>
      </c>
      <c r="I1752" s="102" t="b">
        <v>0</v>
      </c>
      <c r="J1752" s="102" t="b">
        <v>0</v>
      </c>
      <c r="K1752" s="102" t="b">
        <v>0</v>
      </c>
      <c r="L1752" s="102" t="b">
        <v>0</v>
      </c>
    </row>
    <row r="1753" spans="1:12" ht="15">
      <c r="A1753" s="104" t="s">
        <v>2439</v>
      </c>
      <c r="B1753" s="102" t="s">
        <v>2355</v>
      </c>
      <c r="C1753" s="102">
        <v>5</v>
      </c>
      <c r="D1753" s="106">
        <v>0.005355880205146841</v>
      </c>
      <c r="E1753" s="106">
        <v>1.4731827357390597</v>
      </c>
      <c r="F1753" s="102" t="s">
        <v>2326</v>
      </c>
      <c r="G1753" s="102" t="b">
        <v>0</v>
      </c>
      <c r="H1753" s="102" t="b">
        <v>0</v>
      </c>
      <c r="I1753" s="102" t="b">
        <v>0</v>
      </c>
      <c r="J1753" s="102" t="b">
        <v>0</v>
      </c>
      <c r="K1753" s="102" t="b">
        <v>0</v>
      </c>
      <c r="L1753" s="102" t="b">
        <v>0</v>
      </c>
    </row>
    <row r="1754" spans="1:12" ht="15">
      <c r="A1754" s="104" t="s">
        <v>2351</v>
      </c>
      <c r="B1754" s="102" t="s">
        <v>2440</v>
      </c>
      <c r="C1754" s="102">
        <v>4</v>
      </c>
      <c r="D1754" s="106">
        <v>0.003462217837166704</v>
      </c>
      <c r="E1754" s="106">
        <v>1.7230602089556597</v>
      </c>
      <c r="F1754" s="102" t="s">
        <v>2326</v>
      </c>
      <c r="G1754" s="102" t="b">
        <v>0</v>
      </c>
      <c r="H1754" s="102" t="b">
        <v>0</v>
      </c>
      <c r="I1754" s="102" t="b">
        <v>0</v>
      </c>
      <c r="J1754" s="102" t="b">
        <v>0</v>
      </c>
      <c r="K1754" s="102" t="b">
        <v>0</v>
      </c>
      <c r="L1754" s="102" t="b">
        <v>0</v>
      </c>
    </row>
    <row r="1755" spans="1:12" ht="15">
      <c r="A1755" s="104" t="s">
        <v>2440</v>
      </c>
      <c r="B1755" s="102" t="s">
        <v>2351</v>
      </c>
      <c r="C1755" s="102">
        <v>4</v>
      </c>
      <c r="D1755" s="106">
        <v>0.003462217837166704</v>
      </c>
      <c r="E1755" s="106">
        <v>1.7072659417724276</v>
      </c>
      <c r="F1755" s="102" t="s">
        <v>2326</v>
      </c>
      <c r="G1755" s="102" t="b">
        <v>0</v>
      </c>
      <c r="H1755" s="102" t="b">
        <v>0</v>
      </c>
      <c r="I1755" s="102" t="b">
        <v>0</v>
      </c>
      <c r="J1755" s="102" t="b">
        <v>0</v>
      </c>
      <c r="K1755" s="102" t="b">
        <v>0</v>
      </c>
      <c r="L1755" s="102" t="b">
        <v>0</v>
      </c>
    </row>
    <row r="1756" spans="1:12" ht="15">
      <c r="A1756" s="104" t="s">
        <v>2363</v>
      </c>
      <c r="B1756" s="102" t="s">
        <v>2464</v>
      </c>
      <c r="C1756" s="102">
        <v>4</v>
      </c>
      <c r="D1756" s="106">
        <v>0.003462217837166704</v>
      </c>
      <c r="E1756" s="106">
        <v>1.7564839644426093</v>
      </c>
      <c r="F1756" s="102" t="s">
        <v>2326</v>
      </c>
      <c r="G1756" s="102" t="b">
        <v>0</v>
      </c>
      <c r="H1756" s="102" t="b">
        <v>0</v>
      </c>
      <c r="I1756" s="102" t="b">
        <v>0</v>
      </c>
      <c r="J1756" s="102" t="b">
        <v>0</v>
      </c>
      <c r="K1756" s="102" t="b">
        <v>0</v>
      </c>
      <c r="L1756" s="102" t="b">
        <v>0</v>
      </c>
    </row>
    <row r="1757" spans="1:12" ht="15">
      <c r="A1757" s="104" t="s">
        <v>2464</v>
      </c>
      <c r="B1757" s="102" t="s">
        <v>2485</v>
      </c>
      <c r="C1757" s="102">
        <v>4</v>
      </c>
      <c r="D1757" s="106">
        <v>0.003462217837166704</v>
      </c>
      <c r="E1757" s="106">
        <v>2.4554539687786283</v>
      </c>
      <c r="F1757" s="102" t="s">
        <v>2326</v>
      </c>
      <c r="G1757" s="102" t="b">
        <v>0</v>
      </c>
      <c r="H1757" s="102" t="b">
        <v>0</v>
      </c>
      <c r="I1757" s="102" t="b">
        <v>0</v>
      </c>
      <c r="J1757" s="102" t="b">
        <v>0</v>
      </c>
      <c r="K1757" s="102" t="b">
        <v>0</v>
      </c>
      <c r="L1757" s="102" t="b">
        <v>0</v>
      </c>
    </row>
    <row r="1758" spans="1:12" ht="15">
      <c r="A1758" s="104" t="s">
        <v>2390</v>
      </c>
      <c r="B1758" s="102" t="s">
        <v>2358</v>
      </c>
      <c r="C1758" s="102">
        <v>4</v>
      </c>
      <c r="D1758" s="106">
        <v>0.003462217837166704</v>
      </c>
      <c r="E1758" s="106">
        <v>1.6103559287643714</v>
      </c>
      <c r="F1758" s="102" t="s">
        <v>2326</v>
      </c>
      <c r="G1758" s="102" t="b">
        <v>0</v>
      </c>
      <c r="H1758" s="102" t="b">
        <v>0</v>
      </c>
      <c r="I1758" s="102" t="b">
        <v>0</v>
      </c>
      <c r="J1758" s="102" t="b">
        <v>0</v>
      </c>
      <c r="K1758" s="102" t="b">
        <v>0</v>
      </c>
      <c r="L1758" s="102" t="b">
        <v>0</v>
      </c>
    </row>
    <row r="1759" spans="1:12" ht="15">
      <c r="A1759" s="104" t="s">
        <v>2363</v>
      </c>
      <c r="B1759" s="102" t="s">
        <v>2352</v>
      </c>
      <c r="C1759" s="102">
        <v>4</v>
      </c>
      <c r="D1759" s="106">
        <v>0.003462217837166704</v>
      </c>
      <c r="E1759" s="106">
        <v>1.113031287956422</v>
      </c>
      <c r="F1759" s="102" t="s">
        <v>2326</v>
      </c>
      <c r="G1759" s="102" t="b">
        <v>0</v>
      </c>
      <c r="H1759" s="102" t="b">
        <v>0</v>
      </c>
      <c r="I1759" s="102" t="b">
        <v>0</v>
      </c>
      <c r="J1759" s="102" t="b">
        <v>0</v>
      </c>
      <c r="K1759" s="102" t="b">
        <v>0</v>
      </c>
      <c r="L1759" s="102" t="b">
        <v>0</v>
      </c>
    </row>
    <row r="1760" spans="1:12" ht="15">
      <c r="A1760" s="104" t="s">
        <v>2595</v>
      </c>
      <c r="B1760" s="102" t="s">
        <v>2507</v>
      </c>
      <c r="C1760" s="102">
        <v>4</v>
      </c>
      <c r="D1760" s="106">
        <v>0.0042847041641174725</v>
      </c>
      <c r="E1760" s="106">
        <v>2.1032714506672656</v>
      </c>
      <c r="F1760" s="102" t="s">
        <v>2326</v>
      </c>
      <c r="G1760" s="102" t="b">
        <v>0</v>
      </c>
      <c r="H1760" s="102" t="b">
        <v>0</v>
      </c>
      <c r="I1760" s="102" t="b">
        <v>0</v>
      </c>
      <c r="J1760" s="102" t="b">
        <v>0</v>
      </c>
      <c r="K1760" s="102" t="b">
        <v>0</v>
      </c>
      <c r="L1760" s="102" t="b">
        <v>0</v>
      </c>
    </row>
    <row r="1761" spans="1:12" ht="15">
      <c r="A1761" s="104" t="s">
        <v>2366</v>
      </c>
      <c r="B1761" s="102" t="s">
        <v>2554</v>
      </c>
      <c r="C1761" s="102">
        <v>4</v>
      </c>
      <c r="D1761" s="106">
        <v>0.0042847041641174725</v>
      </c>
      <c r="E1761" s="106">
        <v>1.5689632436061463</v>
      </c>
      <c r="F1761" s="102" t="s">
        <v>2326</v>
      </c>
      <c r="G1761" s="102" t="b">
        <v>0</v>
      </c>
      <c r="H1761" s="102" t="b">
        <v>0</v>
      </c>
      <c r="I1761" s="102" t="b">
        <v>0</v>
      </c>
      <c r="J1761" s="102" t="b">
        <v>0</v>
      </c>
      <c r="K1761" s="102" t="b">
        <v>0</v>
      </c>
      <c r="L1761" s="102" t="b">
        <v>0</v>
      </c>
    </row>
    <row r="1762" spans="1:12" ht="15">
      <c r="A1762" s="104" t="s">
        <v>2355</v>
      </c>
      <c r="B1762" s="102" t="s">
        <v>2505</v>
      </c>
      <c r="C1762" s="102">
        <v>4</v>
      </c>
      <c r="D1762" s="106">
        <v>0.0042847041641174725</v>
      </c>
      <c r="E1762" s="106">
        <v>1.5234878540504555</v>
      </c>
      <c r="F1762" s="102" t="s">
        <v>2326</v>
      </c>
      <c r="G1762" s="102" t="b">
        <v>0</v>
      </c>
      <c r="H1762" s="102" t="b">
        <v>0</v>
      </c>
      <c r="I1762" s="102" t="b">
        <v>0</v>
      </c>
      <c r="J1762" s="102" t="b">
        <v>0</v>
      </c>
      <c r="K1762" s="102" t="b">
        <v>0</v>
      </c>
      <c r="L1762" s="102" t="b">
        <v>0</v>
      </c>
    </row>
    <row r="1763" spans="1:12" ht="15">
      <c r="A1763" s="104" t="s">
        <v>2437</v>
      </c>
      <c r="B1763" s="102" t="s">
        <v>2350</v>
      </c>
      <c r="C1763" s="102">
        <v>4</v>
      </c>
      <c r="D1763" s="106">
        <v>0.0042847041641174725</v>
      </c>
      <c r="E1763" s="106">
        <v>1.2111768479767853</v>
      </c>
      <c r="F1763" s="102" t="s">
        <v>2326</v>
      </c>
      <c r="G1763" s="102" t="b">
        <v>0</v>
      </c>
      <c r="H1763" s="102" t="b">
        <v>0</v>
      </c>
      <c r="I1763" s="102" t="b">
        <v>0</v>
      </c>
      <c r="J1763" s="102" t="b">
        <v>0</v>
      </c>
      <c r="K1763" s="102" t="b">
        <v>0</v>
      </c>
      <c r="L1763" s="102" t="b">
        <v>0</v>
      </c>
    </row>
    <row r="1764" spans="1:12" ht="15">
      <c r="A1764" s="104" t="s">
        <v>2368</v>
      </c>
      <c r="B1764" s="102" t="s">
        <v>2426</v>
      </c>
      <c r="C1764" s="102">
        <v>4</v>
      </c>
      <c r="D1764" s="106">
        <v>0.0042847041641174725</v>
      </c>
      <c r="E1764" s="106">
        <v>1.258173410653009</v>
      </c>
      <c r="F1764" s="102" t="s">
        <v>2326</v>
      </c>
      <c r="G1764" s="102" t="b">
        <v>0</v>
      </c>
      <c r="H1764" s="102" t="b">
        <v>0</v>
      </c>
      <c r="I1764" s="102" t="b">
        <v>0</v>
      </c>
      <c r="J1764" s="102" t="b">
        <v>0</v>
      </c>
      <c r="K1764" s="102" t="b">
        <v>0</v>
      </c>
      <c r="L1764" s="102" t="b">
        <v>0</v>
      </c>
    </row>
    <row r="1765" spans="1:12" ht="15">
      <c r="A1765" s="104" t="s">
        <v>2441</v>
      </c>
      <c r="B1765" s="102" t="s">
        <v>2559</v>
      </c>
      <c r="C1765" s="102">
        <v>3</v>
      </c>
      <c r="D1765" s="106">
        <v>0.002596663377875028</v>
      </c>
      <c r="E1765" s="106">
        <v>2.30932593310039</v>
      </c>
      <c r="F1765" s="102" t="s">
        <v>2326</v>
      </c>
      <c r="G1765" s="102" t="b">
        <v>0</v>
      </c>
      <c r="H1765" s="102" t="b">
        <v>1</v>
      </c>
      <c r="I1765" s="102" t="b">
        <v>0</v>
      </c>
      <c r="J1765" s="102" t="b">
        <v>0</v>
      </c>
      <c r="K1765" s="102" t="b">
        <v>0</v>
      </c>
      <c r="L1765" s="102" t="b">
        <v>0</v>
      </c>
    </row>
    <row r="1766" spans="1:12" ht="15">
      <c r="A1766" s="104" t="s">
        <v>2466</v>
      </c>
      <c r="B1766" s="102" t="s">
        <v>2350</v>
      </c>
      <c r="C1766" s="102">
        <v>3</v>
      </c>
      <c r="D1766" s="106">
        <v>0.0022358206339084686</v>
      </c>
      <c r="E1766" s="106">
        <v>1.5981214723473598</v>
      </c>
      <c r="F1766" s="102" t="s">
        <v>2326</v>
      </c>
      <c r="G1766" s="102" t="b">
        <v>0</v>
      </c>
      <c r="H1766" s="102" t="b">
        <v>0</v>
      </c>
      <c r="I1766" s="102" t="b">
        <v>0</v>
      </c>
      <c r="J1766" s="102" t="b">
        <v>0</v>
      </c>
      <c r="K1766" s="102" t="b">
        <v>0</v>
      </c>
      <c r="L1766" s="102" t="b">
        <v>0</v>
      </c>
    </row>
    <row r="1767" spans="1:12" ht="15">
      <c r="A1767" s="104" t="s">
        <v>2351</v>
      </c>
      <c r="B1767" s="102" t="s">
        <v>2409</v>
      </c>
      <c r="C1767" s="102">
        <v>3</v>
      </c>
      <c r="D1767" s="106">
        <v>0.0032135281230881046</v>
      </c>
      <c r="E1767" s="106">
        <v>1.5981214723473598</v>
      </c>
      <c r="F1767" s="102" t="s">
        <v>2326</v>
      </c>
      <c r="G1767" s="102" t="b">
        <v>0</v>
      </c>
      <c r="H1767" s="102" t="b">
        <v>0</v>
      </c>
      <c r="I1767" s="102" t="b">
        <v>0</v>
      </c>
      <c r="J1767" s="102" t="b">
        <v>0</v>
      </c>
      <c r="K1767" s="102" t="b">
        <v>0</v>
      </c>
      <c r="L1767" s="102" t="b">
        <v>0</v>
      </c>
    </row>
    <row r="1768" spans="1:12" ht="15">
      <c r="A1768" s="104" t="s">
        <v>2381</v>
      </c>
      <c r="B1768" s="102" t="s">
        <v>2367</v>
      </c>
      <c r="C1768" s="102">
        <v>3</v>
      </c>
      <c r="D1768" s="106">
        <v>0.002596663377875028</v>
      </c>
      <c r="E1768" s="106">
        <v>1.6870625556841408</v>
      </c>
      <c r="F1768" s="102" t="s">
        <v>2326</v>
      </c>
      <c r="G1768" s="102" t="b">
        <v>0</v>
      </c>
      <c r="H1768" s="102" t="b">
        <v>0</v>
      </c>
      <c r="I1768" s="102" t="b">
        <v>0</v>
      </c>
      <c r="J1768" s="102" t="b">
        <v>0</v>
      </c>
      <c r="K1768" s="102" t="b">
        <v>0</v>
      </c>
      <c r="L1768" s="102" t="b">
        <v>0</v>
      </c>
    </row>
    <row r="1769" spans="1:12" ht="15">
      <c r="A1769" s="104" t="s">
        <v>2348</v>
      </c>
      <c r="B1769" s="102" t="s">
        <v>2349</v>
      </c>
      <c r="C1769" s="102">
        <v>3</v>
      </c>
      <c r="D1769" s="106">
        <v>0.002596663377875028</v>
      </c>
      <c r="E1769" s="106">
        <v>1.1052059504444653</v>
      </c>
      <c r="F1769" s="102" t="s">
        <v>2326</v>
      </c>
      <c r="G1769" s="102" t="b">
        <v>0</v>
      </c>
      <c r="H1769" s="102" t="b">
        <v>0</v>
      </c>
      <c r="I1769" s="102" t="b">
        <v>0</v>
      </c>
      <c r="J1769" s="102" t="b">
        <v>0</v>
      </c>
      <c r="K1769" s="102" t="b">
        <v>0</v>
      </c>
      <c r="L1769" s="102" t="b">
        <v>0</v>
      </c>
    </row>
    <row r="1770" spans="1:12" ht="15">
      <c r="A1770" s="104" t="s">
        <v>2379</v>
      </c>
      <c r="B1770" s="102" t="s">
        <v>2349</v>
      </c>
      <c r="C1770" s="102">
        <v>3</v>
      </c>
      <c r="D1770" s="106">
        <v>0.002596663377875028</v>
      </c>
      <c r="E1770" s="106">
        <v>1.7072659417724276</v>
      </c>
      <c r="F1770" s="102" t="s">
        <v>2326</v>
      </c>
      <c r="G1770" s="102" t="b">
        <v>0</v>
      </c>
      <c r="H1770" s="102" t="b">
        <v>0</v>
      </c>
      <c r="I1770" s="102" t="b">
        <v>0</v>
      </c>
      <c r="J1770" s="102" t="b">
        <v>0</v>
      </c>
      <c r="K1770" s="102" t="b">
        <v>0</v>
      </c>
      <c r="L1770" s="102" t="b">
        <v>0</v>
      </c>
    </row>
    <row r="1771" spans="1:12" ht="15">
      <c r="A1771" s="104" t="s">
        <v>2422</v>
      </c>
      <c r="B1771" s="102" t="s">
        <v>2488</v>
      </c>
      <c r="C1771" s="102">
        <v>3</v>
      </c>
      <c r="D1771" s="106">
        <v>0.0032135281230881046</v>
      </c>
      <c r="E1771" s="106">
        <v>1.6773027183949845</v>
      </c>
      <c r="F1771" s="102" t="s">
        <v>2326</v>
      </c>
      <c r="G1771" s="102" t="b">
        <v>0</v>
      </c>
      <c r="H1771" s="102" t="b">
        <v>0</v>
      </c>
      <c r="I1771" s="102" t="b">
        <v>0</v>
      </c>
      <c r="J1771" s="102" t="b">
        <v>0</v>
      </c>
      <c r="K1771" s="102" t="b">
        <v>0</v>
      </c>
      <c r="L1771" s="102" t="b">
        <v>0</v>
      </c>
    </row>
    <row r="1772" spans="1:12" ht="15">
      <c r="A1772" s="104" t="s">
        <v>2488</v>
      </c>
      <c r="B1772" s="102" t="s">
        <v>2488</v>
      </c>
      <c r="C1772" s="102">
        <v>3</v>
      </c>
      <c r="D1772" s="106">
        <v>0.0032135281230881046</v>
      </c>
      <c r="E1772" s="106">
        <v>1.6315452278343094</v>
      </c>
      <c r="F1772" s="102" t="s">
        <v>2326</v>
      </c>
      <c r="G1772" s="102" t="b">
        <v>0</v>
      </c>
      <c r="H1772" s="102" t="b">
        <v>0</v>
      </c>
      <c r="I1772" s="102" t="b">
        <v>0</v>
      </c>
      <c r="J1772" s="102" t="b">
        <v>0</v>
      </c>
      <c r="K1772" s="102" t="b">
        <v>0</v>
      </c>
      <c r="L1772" s="102" t="b">
        <v>0</v>
      </c>
    </row>
    <row r="1773" spans="1:12" ht="15">
      <c r="A1773" s="104" t="s">
        <v>2391</v>
      </c>
      <c r="B1773" s="102" t="s">
        <v>2395</v>
      </c>
      <c r="C1773" s="102">
        <v>3</v>
      </c>
      <c r="D1773" s="106">
        <v>0.0022358206339084686</v>
      </c>
      <c r="E1773" s="106">
        <v>1.9325752234982907</v>
      </c>
      <c r="F1773" s="102" t="s">
        <v>2326</v>
      </c>
      <c r="G1773" s="102" t="b">
        <v>0</v>
      </c>
      <c r="H1773" s="102" t="b">
        <v>0</v>
      </c>
      <c r="I1773" s="102" t="b">
        <v>0</v>
      </c>
      <c r="J1773" s="102" t="b">
        <v>0</v>
      </c>
      <c r="K1773" s="102" t="b">
        <v>0</v>
      </c>
      <c r="L1773" s="102" t="b">
        <v>0</v>
      </c>
    </row>
    <row r="1774" spans="1:12" ht="15">
      <c r="A1774" s="104" t="s">
        <v>2817</v>
      </c>
      <c r="B1774" s="102" t="s">
        <v>2595</v>
      </c>
      <c r="C1774" s="102">
        <v>3</v>
      </c>
      <c r="D1774" s="106">
        <v>0.0032135281230881046</v>
      </c>
      <c r="E1774" s="106">
        <v>2.4554539687786283</v>
      </c>
      <c r="F1774" s="102" t="s">
        <v>2326</v>
      </c>
      <c r="G1774" s="102" t="b">
        <v>0</v>
      </c>
      <c r="H1774" s="102" t="b">
        <v>0</v>
      </c>
      <c r="I1774" s="102" t="b">
        <v>0</v>
      </c>
      <c r="J1774" s="102" t="b">
        <v>0</v>
      </c>
      <c r="K1774" s="102" t="b">
        <v>0</v>
      </c>
      <c r="L1774" s="102" t="b">
        <v>0</v>
      </c>
    </row>
    <row r="1775" spans="1:12" ht="15">
      <c r="A1775" s="104" t="s">
        <v>2709</v>
      </c>
      <c r="B1775" s="102" t="s">
        <v>2483</v>
      </c>
      <c r="C1775" s="102">
        <v>3</v>
      </c>
      <c r="D1775" s="106">
        <v>0.0032135281230881046</v>
      </c>
      <c r="E1775" s="106">
        <v>2.075242727067022</v>
      </c>
      <c r="F1775" s="102" t="s">
        <v>2326</v>
      </c>
      <c r="G1775" s="102" t="b">
        <v>0</v>
      </c>
      <c r="H1775" s="102" t="b">
        <v>0</v>
      </c>
      <c r="I1775" s="102" t="b">
        <v>0</v>
      </c>
      <c r="J1775" s="102" t="b">
        <v>0</v>
      </c>
      <c r="K1775" s="102" t="b">
        <v>0</v>
      </c>
      <c r="L1775" s="102" t="b">
        <v>0</v>
      </c>
    </row>
    <row r="1776" spans="1:12" ht="15">
      <c r="A1776" s="104" t="s">
        <v>2589</v>
      </c>
      <c r="B1776" s="102" t="s">
        <v>2484</v>
      </c>
      <c r="C1776" s="102">
        <v>3</v>
      </c>
      <c r="D1776" s="106">
        <v>0.0032135281230881046</v>
      </c>
      <c r="E1776" s="106">
        <v>2.2513339861227033</v>
      </c>
      <c r="F1776" s="102" t="s">
        <v>2326</v>
      </c>
      <c r="G1776" s="102" t="b">
        <v>0</v>
      </c>
      <c r="H1776" s="102" t="b">
        <v>0</v>
      </c>
      <c r="I1776" s="102" t="b">
        <v>0</v>
      </c>
      <c r="J1776" s="102" t="b">
        <v>0</v>
      </c>
      <c r="K1776" s="102" t="b">
        <v>0</v>
      </c>
      <c r="L1776" s="102" t="b">
        <v>0</v>
      </c>
    </row>
    <row r="1777" spans="1:12" ht="15">
      <c r="A1777" s="104" t="s">
        <v>2636</v>
      </c>
      <c r="B1777" s="102" t="s">
        <v>2437</v>
      </c>
      <c r="C1777" s="102">
        <v>3</v>
      </c>
      <c r="D1777" s="106">
        <v>0.0032135281230881046</v>
      </c>
      <c r="E1777" s="106">
        <v>1.7864471878200525</v>
      </c>
      <c r="F1777" s="102" t="s">
        <v>2326</v>
      </c>
      <c r="G1777" s="102" t="b">
        <v>0</v>
      </c>
      <c r="H1777" s="102" t="b">
        <v>0</v>
      </c>
      <c r="I1777" s="102" t="b">
        <v>0</v>
      </c>
      <c r="J1777" s="102" t="b">
        <v>0</v>
      </c>
      <c r="K1777" s="102" t="b">
        <v>0</v>
      </c>
      <c r="L1777" s="102" t="b">
        <v>0</v>
      </c>
    </row>
    <row r="1778" spans="1:12" ht="15">
      <c r="A1778" s="104" t="s">
        <v>2350</v>
      </c>
      <c r="B1778" s="102" t="s">
        <v>2453</v>
      </c>
      <c r="C1778" s="102">
        <v>3</v>
      </c>
      <c r="D1778" s="106">
        <v>0.0032135281230881046</v>
      </c>
      <c r="E1778" s="106">
        <v>1.5176018755274727</v>
      </c>
      <c r="F1778" s="102" t="s">
        <v>2326</v>
      </c>
      <c r="G1778" s="102" t="b">
        <v>0</v>
      </c>
      <c r="H1778" s="102" t="b">
        <v>0</v>
      </c>
      <c r="I1778" s="102" t="b">
        <v>0</v>
      </c>
      <c r="J1778" s="102" t="b">
        <v>0</v>
      </c>
      <c r="K1778" s="102" t="b">
        <v>0</v>
      </c>
      <c r="L1778" s="102" t="b">
        <v>0</v>
      </c>
    </row>
    <row r="1779" spans="1:12" ht="15">
      <c r="A1779" s="104" t="s">
        <v>2453</v>
      </c>
      <c r="B1779" s="102" t="s">
        <v>2437</v>
      </c>
      <c r="C1779" s="102">
        <v>3</v>
      </c>
      <c r="D1779" s="106">
        <v>0.0032135281230881046</v>
      </c>
      <c r="E1779" s="106">
        <v>1.7864471878200525</v>
      </c>
      <c r="F1779" s="102" t="s">
        <v>2326</v>
      </c>
      <c r="G1779" s="102" t="b">
        <v>0</v>
      </c>
      <c r="H1779" s="102" t="b">
        <v>0</v>
      </c>
      <c r="I1779" s="102" t="b">
        <v>0</v>
      </c>
      <c r="J1779" s="102" t="b">
        <v>0</v>
      </c>
      <c r="K1779" s="102" t="b">
        <v>0</v>
      </c>
      <c r="L1779" s="102" t="b">
        <v>0</v>
      </c>
    </row>
    <row r="1780" spans="1:12" ht="15">
      <c r="A1780" s="104" t="s">
        <v>2801</v>
      </c>
      <c r="B1780" s="102" t="s">
        <v>2802</v>
      </c>
      <c r="C1780" s="102">
        <v>3</v>
      </c>
      <c r="D1780" s="106">
        <v>0.0032135281230881046</v>
      </c>
      <c r="E1780" s="106">
        <v>2.6773027183949845</v>
      </c>
      <c r="F1780" s="102" t="s">
        <v>2326</v>
      </c>
      <c r="G1780" s="102" t="b">
        <v>0</v>
      </c>
      <c r="H1780" s="102" t="b">
        <v>0</v>
      </c>
      <c r="I1780" s="102" t="b">
        <v>0</v>
      </c>
      <c r="J1780" s="102" t="b">
        <v>0</v>
      </c>
      <c r="K1780" s="102" t="b">
        <v>0</v>
      </c>
      <c r="L1780" s="102" t="b">
        <v>0</v>
      </c>
    </row>
    <row r="1781" spans="1:12" ht="15">
      <c r="A1781" s="104" t="s">
        <v>2802</v>
      </c>
      <c r="B1781" s="102" t="s">
        <v>2803</v>
      </c>
      <c r="C1781" s="102">
        <v>3</v>
      </c>
      <c r="D1781" s="106">
        <v>0.0032135281230881046</v>
      </c>
      <c r="E1781" s="106">
        <v>2.6773027183949845</v>
      </c>
      <c r="F1781" s="102" t="s">
        <v>2326</v>
      </c>
      <c r="G1781" s="102" t="b">
        <v>0</v>
      </c>
      <c r="H1781" s="102" t="b">
        <v>0</v>
      </c>
      <c r="I1781" s="102" t="b">
        <v>0</v>
      </c>
      <c r="J1781" s="102" t="b">
        <v>0</v>
      </c>
      <c r="K1781" s="102" t="b">
        <v>0</v>
      </c>
      <c r="L1781" s="102" t="b">
        <v>0</v>
      </c>
    </row>
    <row r="1782" spans="1:12" ht="15">
      <c r="A1782" s="104" t="s">
        <v>2434</v>
      </c>
      <c r="B1782" s="102" t="s">
        <v>2350</v>
      </c>
      <c r="C1782" s="102">
        <v>2</v>
      </c>
      <c r="D1782" s="106">
        <v>0.001731108918583352</v>
      </c>
      <c r="E1782" s="106">
        <v>1.5469689498999784</v>
      </c>
      <c r="F1782" s="102" t="s">
        <v>2326</v>
      </c>
      <c r="G1782" s="102" t="b">
        <v>0</v>
      </c>
      <c r="H1782" s="102" t="b">
        <v>0</v>
      </c>
      <c r="I1782" s="102" t="b">
        <v>0</v>
      </c>
      <c r="J1782" s="102" t="b">
        <v>0</v>
      </c>
      <c r="K1782" s="102" t="b">
        <v>0</v>
      </c>
      <c r="L1782" s="102" t="b">
        <v>0</v>
      </c>
    </row>
    <row r="1783" spans="1:12" ht="15">
      <c r="A1783" s="104" t="s">
        <v>2348</v>
      </c>
      <c r="B1783" s="102" t="s">
        <v>2348</v>
      </c>
      <c r="C1783" s="102">
        <v>2</v>
      </c>
      <c r="D1783" s="106">
        <v>0.001731108918583352</v>
      </c>
      <c r="E1783" s="106">
        <v>0.7742127314030409</v>
      </c>
      <c r="F1783" s="102" t="s">
        <v>2326</v>
      </c>
      <c r="G1783" s="102" t="b">
        <v>0</v>
      </c>
      <c r="H1783" s="102" t="b">
        <v>0</v>
      </c>
      <c r="I1783" s="102" t="b">
        <v>0</v>
      </c>
      <c r="J1783" s="102" t="b">
        <v>0</v>
      </c>
      <c r="K1783" s="102" t="b">
        <v>0</v>
      </c>
      <c r="L1783" s="102" t="b">
        <v>0</v>
      </c>
    </row>
    <row r="1784" spans="1:12" ht="15">
      <c r="A1784" s="104" t="s">
        <v>2420</v>
      </c>
      <c r="B1784" s="102" t="s">
        <v>2351</v>
      </c>
      <c r="C1784" s="102">
        <v>2</v>
      </c>
      <c r="D1784" s="106">
        <v>0.001731108918583352</v>
      </c>
      <c r="E1784" s="106">
        <v>1.7072659417724276</v>
      </c>
      <c r="F1784" s="102" t="s">
        <v>2326</v>
      </c>
      <c r="G1784" s="102" t="b">
        <v>0</v>
      </c>
      <c r="H1784" s="102" t="b">
        <v>0</v>
      </c>
      <c r="I1784" s="102" t="b">
        <v>0</v>
      </c>
      <c r="J1784" s="102" t="b">
        <v>0</v>
      </c>
      <c r="K1784" s="102" t="b">
        <v>0</v>
      </c>
      <c r="L1784" s="102" t="b">
        <v>0</v>
      </c>
    </row>
    <row r="1785" spans="1:12" ht="15">
      <c r="A1785" s="104" t="s">
        <v>2461</v>
      </c>
      <c r="B1785" s="102" t="s">
        <v>2414</v>
      </c>
      <c r="C1785" s="102">
        <v>2</v>
      </c>
      <c r="D1785" s="106">
        <v>0.001731108918583352</v>
      </c>
      <c r="E1785" s="106">
        <v>2.154423973114647</v>
      </c>
      <c r="F1785" s="102" t="s">
        <v>2326</v>
      </c>
      <c r="G1785" s="102" t="b">
        <v>0</v>
      </c>
      <c r="H1785" s="102" t="b">
        <v>0</v>
      </c>
      <c r="I1785" s="102" t="b">
        <v>0</v>
      </c>
      <c r="J1785" s="102" t="b">
        <v>0</v>
      </c>
      <c r="K1785" s="102" t="b">
        <v>0</v>
      </c>
      <c r="L1785" s="102" t="b">
        <v>0</v>
      </c>
    </row>
    <row r="1786" spans="1:12" ht="15">
      <c r="A1786" s="104" t="s">
        <v>2362</v>
      </c>
      <c r="B1786" s="102" t="s">
        <v>2350</v>
      </c>
      <c r="C1786" s="102">
        <v>2</v>
      </c>
      <c r="D1786" s="106">
        <v>0.0021423520820587363</v>
      </c>
      <c r="E1786" s="106">
        <v>1.069847695180316</v>
      </c>
      <c r="F1786" s="102" t="s">
        <v>2326</v>
      </c>
      <c r="G1786" s="102" t="b">
        <v>0</v>
      </c>
      <c r="H1786" s="102" t="b">
        <v>0</v>
      </c>
      <c r="I1786" s="102" t="b">
        <v>0</v>
      </c>
      <c r="J1786" s="102" t="b">
        <v>0</v>
      </c>
      <c r="K1786" s="102" t="b">
        <v>0</v>
      </c>
      <c r="L1786" s="102" t="b">
        <v>0</v>
      </c>
    </row>
    <row r="1787" spans="1:12" ht="15">
      <c r="A1787" s="104" t="s">
        <v>2409</v>
      </c>
      <c r="B1787" s="102" t="s">
        <v>2351</v>
      </c>
      <c r="C1787" s="102">
        <v>2</v>
      </c>
      <c r="D1787" s="106">
        <v>0.0021423520820587363</v>
      </c>
      <c r="E1787" s="106">
        <v>1.3093259331003901</v>
      </c>
      <c r="F1787" s="102" t="s">
        <v>2326</v>
      </c>
      <c r="G1787" s="102" t="b">
        <v>0</v>
      </c>
      <c r="H1787" s="102" t="b">
        <v>0</v>
      </c>
      <c r="I1787" s="102" t="b">
        <v>0</v>
      </c>
      <c r="J1787" s="102" t="b">
        <v>0</v>
      </c>
      <c r="K1787" s="102" t="b">
        <v>0</v>
      </c>
      <c r="L1787" s="102" t="b">
        <v>0</v>
      </c>
    </row>
    <row r="1788" spans="1:12" ht="15">
      <c r="A1788" s="104" t="s">
        <v>2369</v>
      </c>
      <c r="B1788" s="102" t="s">
        <v>2492</v>
      </c>
      <c r="C1788" s="102">
        <v>2</v>
      </c>
      <c r="D1788" s="106">
        <v>0.001731108918583352</v>
      </c>
      <c r="E1788" s="106">
        <v>1.6773027183949845</v>
      </c>
      <c r="F1788" s="102" t="s">
        <v>2326</v>
      </c>
      <c r="G1788" s="102" t="b">
        <v>0</v>
      </c>
      <c r="H1788" s="102" t="b">
        <v>0</v>
      </c>
      <c r="I1788" s="102" t="b">
        <v>0</v>
      </c>
      <c r="J1788" s="102" t="b">
        <v>0</v>
      </c>
      <c r="K1788" s="102" t="b">
        <v>0</v>
      </c>
      <c r="L1788" s="102" t="b">
        <v>0</v>
      </c>
    </row>
    <row r="1789" spans="1:12" ht="15">
      <c r="A1789" s="104" t="s">
        <v>2492</v>
      </c>
      <c r="B1789" s="102" t="s">
        <v>2398</v>
      </c>
      <c r="C1789" s="102">
        <v>2</v>
      </c>
      <c r="D1789" s="106">
        <v>0.001731108918583352</v>
      </c>
      <c r="E1789" s="106">
        <v>1.8991514680113408</v>
      </c>
      <c r="F1789" s="102" t="s">
        <v>2326</v>
      </c>
      <c r="G1789" s="102" t="b">
        <v>0</v>
      </c>
      <c r="H1789" s="102" t="b">
        <v>0</v>
      </c>
      <c r="I1789" s="102" t="b">
        <v>0</v>
      </c>
      <c r="J1789" s="102" t="b">
        <v>0</v>
      </c>
      <c r="K1789" s="102" t="b">
        <v>0</v>
      </c>
      <c r="L1789" s="102" t="b">
        <v>0</v>
      </c>
    </row>
    <row r="1790" spans="1:12" ht="15">
      <c r="A1790" s="104" t="s">
        <v>2398</v>
      </c>
      <c r="B1790" s="102" t="s">
        <v>2348</v>
      </c>
      <c r="C1790" s="102">
        <v>2</v>
      </c>
      <c r="D1790" s="106">
        <v>0.001731108918583352</v>
      </c>
      <c r="E1790" s="106">
        <v>1.455453968778628</v>
      </c>
      <c r="F1790" s="102" t="s">
        <v>2326</v>
      </c>
      <c r="G1790" s="102" t="b">
        <v>0</v>
      </c>
      <c r="H1790" s="102" t="b">
        <v>0</v>
      </c>
      <c r="I1790" s="102" t="b">
        <v>0</v>
      </c>
      <c r="J1790" s="102" t="b">
        <v>0</v>
      </c>
      <c r="K1790" s="102" t="b">
        <v>0</v>
      </c>
      <c r="L1790" s="102" t="b">
        <v>0</v>
      </c>
    </row>
    <row r="1791" spans="1:12" ht="15">
      <c r="A1791" s="104" t="s">
        <v>2348</v>
      </c>
      <c r="B1791" s="102" t="s">
        <v>3154</v>
      </c>
      <c r="C1791" s="102">
        <v>2</v>
      </c>
      <c r="D1791" s="106">
        <v>0.0021423520820587363</v>
      </c>
      <c r="E1791" s="106">
        <v>1.774212731403041</v>
      </c>
      <c r="F1791" s="102" t="s">
        <v>2326</v>
      </c>
      <c r="G1791" s="102" t="b">
        <v>0</v>
      </c>
      <c r="H1791" s="102" t="b">
        <v>0</v>
      </c>
      <c r="I1791" s="102" t="b">
        <v>0</v>
      </c>
      <c r="J1791" s="102" t="b">
        <v>0</v>
      </c>
      <c r="K1791" s="102" t="b">
        <v>0</v>
      </c>
      <c r="L1791" s="102" t="b">
        <v>0</v>
      </c>
    </row>
    <row r="1792" spans="1:12" ht="15">
      <c r="A1792" s="104" t="s">
        <v>2869</v>
      </c>
      <c r="B1792" s="102" t="s">
        <v>2492</v>
      </c>
      <c r="C1792" s="102">
        <v>2</v>
      </c>
      <c r="D1792" s="106">
        <v>0.001731108918583352</v>
      </c>
      <c r="E1792" s="106">
        <v>2.376272722731003</v>
      </c>
      <c r="F1792" s="102" t="s">
        <v>2326</v>
      </c>
      <c r="G1792" s="102" t="b">
        <v>0</v>
      </c>
      <c r="H1792" s="102" t="b">
        <v>0</v>
      </c>
      <c r="I1792" s="102" t="b">
        <v>0</v>
      </c>
      <c r="J1792" s="102" t="b">
        <v>0</v>
      </c>
      <c r="K1792" s="102" t="b">
        <v>0</v>
      </c>
      <c r="L1792" s="102" t="b">
        <v>0</v>
      </c>
    </row>
    <row r="1793" spans="1:12" ht="15">
      <c r="A1793" s="104" t="s">
        <v>2492</v>
      </c>
      <c r="B1793" s="102" t="s">
        <v>2381</v>
      </c>
      <c r="C1793" s="102">
        <v>2</v>
      </c>
      <c r="D1793" s="106">
        <v>0.001731108918583352</v>
      </c>
      <c r="E1793" s="106">
        <v>1.5981214723473596</v>
      </c>
      <c r="F1793" s="102" t="s">
        <v>2326</v>
      </c>
      <c r="G1793" s="102" t="b">
        <v>0</v>
      </c>
      <c r="H1793" s="102" t="b">
        <v>0</v>
      </c>
      <c r="I1793" s="102" t="b">
        <v>0</v>
      </c>
      <c r="J1793" s="102" t="b">
        <v>0</v>
      </c>
      <c r="K1793" s="102" t="b">
        <v>0</v>
      </c>
      <c r="L1793" s="102" t="b">
        <v>0</v>
      </c>
    </row>
    <row r="1794" spans="1:12" ht="15">
      <c r="A1794" s="104" t="s">
        <v>2492</v>
      </c>
      <c r="B1794" s="102" t="s">
        <v>2367</v>
      </c>
      <c r="C1794" s="102">
        <v>2</v>
      </c>
      <c r="D1794" s="106">
        <v>0.001731108918583352</v>
      </c>
      <c r="E1794" s="106">
        <v>1.774212731403041</v>
      </c>
      <c r="F1794" s="102" t="s">
        <v>2326</v>
      </c>
      <c r="G1794" s="102" t="b">
        <v>0</v>
      </c>
      <c r="H1794" s="102" t="b">
        <v>0</v>
      </c>
      <c r="I1794" s="102" t="b">
        <v>0</v>
      </c>
      <c r="J1794" s="102" t="b">
        <v>0</v>
      </c>
      <c r="K1794" s="102" t="b">
        <v>0</v>
      </c>
      <c r="L1794" s="102" t="b">
        <v>0</v>
      </c>
    </row>
    <row r="1795" spans="1:12" ht="15">
      <c r="A1795" s="104" t="s">
        <v>2870</v>
      </c>
      <c r="B1795" s="102" t="s">
        <v>2381</v>
      </c>
      <c r="C1795" s="102">
        <v>2</v>
      </c>
      <c r="D1795" s="106">
        <v>0.001731108918583352</v>
      </c>
      <c r="E1795" s="106">
        <v>2.075242727067022</v>
      </c>
      <c r="F1795" s="102" t="s">
        <v>2326</v>
      </c>
      <c r="G1795" s="102" t="b">
        <v>0</v>
      </c>
      <c r="H1795" s="102" t="b">
        <v>0</v>
      </c>
      <c r="I1795" s="102" t="b">
        <v>0</v>
      </c>
      <c r="J1795" s="102" t="b">
        <v>0</v>
      </c>
      <c r="K1795" s="102" t="b">
        <v>0</v>
      </c>
      <c r="L1795" s="102" t="b">
        <v>0</v>
      </c>
    </row>
    <row r="1796" spans="1:12" ht="15">
      <c r="A1796" s="104" t="s">
        <v>2369</v>
      </c>
      <c r="B1796" s="102" t="s">
        <v>2398</v>
      </c>
      <c r="C1796" s="102">
        <v>2</v>
      </c>
      <c r="D1796" s="106">
        <v>0.001731108918583352</v>
      </c>
      <c r="E1796" s="106">
        <v>1.6773027183949845</v>
      </c>
      <c r="F1796" s="102" t="s">
        <v>2326</v>
      </c>
      <c r="G1796" s="102" t="b">
        <v>0</v>
      </c>
      <c r="H1796" s="102" t="b">
        <v>0</v>
      </c>
      <c r="I1796" s="102" t="b">
        <v>0</v>
      </c>
      <c r="J1796" s="102" t="b">
        <v>0</v>
      </c>
      <c r="K1796" s="102" t="b">
        <v>0</v>
      </c>
      <c r="L1796" s="102" t="b">
        <v>0</v>
      </c>
    </row>
    <row r="1797" spans="1:12" ht="15">
      <c r="A1797" s="104" t="s">
        <v>2725</v>
      </c>
      <c r="B1797" s="102" t="s">
        <v>2350</v>
      </c>
      <c r="C1797" s="102">
        <v>2</v>
      </c>
      <c r="D1797" s="106">
        <v>0.001731108918583352</v>
      </c>
      <c r="E1797" s="106">
        <v>1.7230602089556597</v>
      </c>
      <c r="F1797" s="102" t="s">
        <v>2326</v>
      </c>
      <c r="G1797" s="102" t="b">
        <v>0</v>
      </c>
      <c r="H1797" s="102" t="b">
        <v>0</v>
      </c>
      <c r="I1797" s="102" t="b">
        <v>0</v>
      </c>
      <c r="J1797" s="102" t="b">
        <v>0</v>
      </c>
      <c r="K1797" s="102" t="b">
        <v>0</v>
      </c>
      <c r="L1797" s="102" t="b">
        <v>0</v>
      </c>
    </row>
    <row r="1798" spans="1:12" ht="15">
      <c r="A1798" s="104" t="s">
        <v>2356</v>
      </c>
      <c r="B1798" s="102" t="s">
        <v>2711</v>
      </c>
      <c r="C1798" s="102">
        <v>2</v>
      </c>
      <c r="D1798" s="106">
        <v>0.001731108918583352</v>
      </c>
      <c r="E1798" s="106">
        <v>1.923975051736373</v>
      </c>
      <c r="F1798" s="102" t="s">
        <v>2326</v>
      </c>
      <c r="G1798" s="102" t="b">
        <v>0</v>
      </c>
      <c r="H1798" s="102" t="b">
        <v>0</v>
      </c>
      <c r="I1798" s="102" t="b">
        <v>0</v>
      </c>
      <c r="J1798" s="102" t="b">
        <v>0</v>
      </c>
      <c r="K1798" s="102" t="b">
        <v>0</v>
      </c>
      <c r="L1798" s="102" t="b">
        <v>0</v>
      </c>
    </row>
    <row r="1799" spans="1:12" ht="15">
      <c r="A1799" s="104" t="s">
        <v>2711</v>
      </c>
      <c r="B1799" s="102" t="s">
        <v>2352</v>
      </c>
      <c r="C1799" s="102">
        <v>2</v>
      </c>
      <c r="D1799" s="106">
        <v>0.001731108918583352</v>
      </c>
      <c r="E1799" s="106">
        <v>1.8120012922924407</v>
      </c>
      <c r="F1799" s="102" t="s">
        <v>2326</v>
      </c>
      <c r="G1799" s="102" t="b">
        <v>0</v>
      </c>
      <c r="H1799" s="102" t="b">
        <v>0</v>
      </c>
      <c r="I1799" s="102" t="b">
        <v>0</v>
      </c>
      <c r="J1799" s="102" t="b">
        <v>0</v>
      </c>
      <c r="K1799" s="102" t="b">
        <v>0</v>
      </c>
      <c r="L1799" s="102" t="b">
        <v>0</v>
      </c>
    </row>
    <row r="1800" spans="1:12" ht="15">
      <c r="A1800" s="104" t="s">
        <v>2352</v>
      </c>
      <c r="B1800" s="102" t="s">
        <v>2381</v>
      </c>
      <c r="C1800" s="102">
        <v>2</v>
      </c>
      <c r="D1800" s="106">
        <v>0.001731108918583352</v>
      </c>
      <c r="E1800" s="106">
        <v>1.033850041908797</v>
      </c>
      <c r="F1800" s="102" t="s">
        <v>2326</v>
      </c>
      <c r="G1800" s="102" t="b">
        <v>0</v>
      </c>
      <c r="H1800" s="102" t="b">
        <v>0</v>
      </c>
      <c r="I1800" s="102" t="b">
        <v>0</v>
      </c>
      <c r="J1800" s="102" t="b">
        <v>0</v>
      </c>
      <c r="K1800" s="102" t="b">
        <v>0</v>
      </c>
      <c r="L1800" s="102" t="b">
        <v>0</v>
      </c>
    </row>
    <row r="1801" spans="1:12" ht="15">
      <c r="A1801" s="104" t="s">
        <v>2381</v>
      </c>
      <c r="B1801" s="102" t="s">
        <v>2356</v>
      </c>
      <c r="C1801" s="102">
        <v>2</v>
      </c>
      <c r="D1801" s="106">
        <v>0.001731108918583352</v>
      </c>
      <c r="E1801" s="106">
        <v>1.2379700245647218</v>
      </c>
      <c r="F1801" s="102" t="s">
        <v>2326</v>
      </c>
      <c r="G1801" s="102" t="b">
        <v>0</v>
      </c>
      <c r="H1801" s="102" t="b">
        <v>0</v>
      </c>
      <c r="I1801" s="102" t="b">
        <v>0</v>
      </c>
      <c r="J1801" s="102" t="b">
        <v>0</v>
      </c>
      <c r="K1801" s="102" t="b">
        <v>0</v>
      </c>
      <c r="L1801" s="102" t="b">
        <v>0</v>
      </c>
    </row>
    <row r="1802" spans="1:12" ht="15">
      <c r="A1802" s="104" t="s">
        <v>2356</v>
      </c>
      <c r="B1802" s="102" t="s">
        <v>2381</v>
      </c>
      <c r="C1802" s="102">
        <v>2</v>
      </c>
      <c r="D1802" s="106">
        <v>0.001731108918583352</v>
      </c>
      <c r="E1802" s="106">
        <v>1.1458238013527293</v>
      </c>
      <c r="F1802" s="102" t="s">
        <v>2326</v>
      </c>
      <c r="G1802" s="102" t="b">
        <v>0</v>
      </c>
      <c r="H1802" s="102" t="b">
        <v>0</v>
      </c>
      <c r="I1802" s="102" t="b">
        <v>0</v>
      </c>
      <c r="J1802" s="102" t="b">
        <v>0</v>
      </c>
      <c r="K1802" s="102" t="b">
        <v>0</v>
      </c>
      <c r="L1802" s="102" t="b">
        <v>0</v>
      </c>
    </row>
    <row r="1803" spans="1:12" ht="15">
      <c r="A1803" s="104" t="s">
        <v>2381</v>
      </c>
      <c r="B1803" s="102" t="s">
        <v>2592</v>
      </c>
      <c r="C1803" s="102">
        <v>2</v>
      </c>
      <c r="D1803" s="106">
        <v>0.001731108918583352</v>
      </c>
      <c r="E1803" s="106">
        <v>2.1130312879564217</v>
      </c>
      <c r="F1803" s="102" t="s">
        <v>2326</v>
      </c>
      <c r="G1803" s="102" t="b">
        <v>0</v>
      </c>
      <c r="H1803" s="102" t="b">
        <v>0</v>
      </c>
      <c r="I1803" s="102" t="b">
        <v>0</v>
      </c>
      <c r="J1803" s="102" t="b">
        <v>0</v>
      </c>
      <c r="K1803" s="102" t="b">
        <v>0</v>
      </c>
      <c r="L1803" s="102" t="b">
        <v>0</v>
      </c>
    </row>
    <row r="1804" spans="1:12" ht="15">
      <c r="A1804" s="104" t="s">
        <v>2592</v>
      </c>
      <c r="B1804" s="102" t="s">
        <v>2364</v>
      </c>
      <c r="C1804" s="102">
        <v>2</v>
      </c>
      <c r="D1804" s="106">
        <v>0.001731108918583352</v>
      </c>
      <c r="E1804" s="106">
        <v>2.5523639817866846</v>
      </c>
      <c r="F1804" s="102" t="s">
        <v>2326</v>
      </c>
      <c r="G1804" s="102" t="b">
        <v>0</v>
      </c>
      <c r="H1804" s="102" t="b">
        <v>0</v>
      </c>
      <c r="I1804" s="102" t="b">
        <v>0</v>
      </c>
      <c r="J1804" s="102" t="b">
        <v>0</v>
      </c>
      <c r="K1804" s="102" t="b">
        <v>0</v>
      </c>
      <c r="L1804" s="102" t="b">
        <v>0</v>
      </c>
    </row>
    <row r="1805" spans="1:12" ht="15">
      <c r="A1805" s="104" t="s">
        <v>2364</v>
      </c>
      <c r="B1805" s="102" t="s">
        <v>2643</v>
      </c>
      <c r="C1805" s="102">
        <v>2</v>
      </c>
      <c r="D1805" s="106">
        <v>0.001731108918583352</v>
      </c>
      <c r="E1805" s="106">
        <v>2.5523639817866846</v>
      </c>
      <c r="F1805" s="102" t="s">
        <v>2326</v>
      </c>
      <c r="G1805" s="102" t="b">
        <v>0</v>
      </c>
      <c r="H1805" s="102" t="b">
        <v>0</v>
      </c>
      <c r="I1805" s="102" t="b">
        <v>0</v>
      </c>
      <c r="J1805" s="102" t="b">
        <v>0</v>
      </c>
      <c r="K1805" s="102" t="b">
        <v>0</v>
      </c>
      <c r="L1805" s="102" t="b">
        <v>0</v>
      </c>
    </row>
    <row r="1806" spans="1:12" ht="15">
      <c r="A1806" s="104" t="s">
        <v>2643</v>
      </c>
      <c r="B1806" s="102" t="s">
        <v>2358</v>
      </c>
      <c r="C1806" s="102">
        <v>2</v>
      </c>
      <c r="D1806" s="106">
        <v>0.001731108918583352</v>
      </c>
      <c r="E1806" s="106">
        <v>1.8533939774506658</v>
      </c>
      <c r="F1806" s="102" t="s">
        <v>2326</v>
      </c>
      <c r="G1806" s="102" t="b">
        <v>0</v>
      </c>
      <c r="H1806" s="102" t="b">
        <v>0</v>
      </c>
      <c r="I1806" s="102" t="b">
        <v>0</v>
      </c>
      <c r="J1806" s="102" t="b">
        <v>0</v>
      </c>
      <c r="K1806" s="102" t="b">
        <v>0</v>
      </c>
      <c r="L1806" s="102" t="b">
        <v>0</v>
      </c>
    </row>
    <row r="1807" spans="1:12" ht="15">
      <c r="A1807" s="104" t="s">
        <v>2485</v>
      </c>
      <c r="B1807" s="102" t="s">
        <v>2380</v>
      </c>
      <c r="C1807" s="102">
        <v>2</v>
      </c>
      <c r="D1807" s="106">
        <v>0.001731108918583352</v>
      </c>
      <c r="E1807" s="106">
        <v>1.8120012922924407</v>
      </c>
      <c r="F1807" s="102" t="s">
        <v>2326</v>
      </c>
      <c r="G1807" s="102" t="b">
        <v>0</v>
      </c>
      <c r="H1807" s="102" t="b">
        <v>0</v>
      </c>
      <c r="I1807" s="102" t="b">
        <v>0</v>
      </c>
      <c r="J1807" s="102" t="b">
        <v>0</v>
      </c>
      <c r="K1807" s="102" t="b">
        <v>0</v>
      </c>
      <c r="L1807" s="102" t="b">
        <v>0</v>
      </c>
    </row>
    <row r="1808" spans="1:12" ht="15">
      <c r="A1808" s="104" t="s">
        <v>2366</v>
      </c>
      <c r="B1808" s="102" t="s">
        <v>2371</v>
      </c>
      <c r="C1808" s="102">
        <v>2</v>
      </c>
      <c r="D1808" s="106">
        <v>0.001731108918583352</v>
      </c>
      <c r="E1808" s="106">
        <v>0.9089113053004971</v>
      </c>
      <c r="F1808" s="102" t="s">
        <v>2326</v>
      </c>
      <c r="G1808" s="102" t="b">
        <v>0</v>
      </c>
      <c r="H1808" s="102" t="b">
        <v>0</v>
      </c>
      <c r="I1808" s="102" t="b">
        <v>0</v>
      </c>
      <c r="J1808" s="102" t="b">
        <v>0</v>
      </c>
      <c r="K1808" s="102" t="b">
        <v>0</v>
      </c>
      <c r="L1808" s="102" t="b">
        <v>0</v>
      </c>
    </row>
    <row r="1809" spans="1:12" ht="15">
      <c r="A1809" s="104" t="s">
        <v>2371</v>
      </c>
      <c r="B1809" s="102" t="s">
        <v>2394</v>
      </c>
      <c r="C1809" s="102">
        <v>2</v>
      </c>
      <c r="D1809" s="106">
        <v>0.001731108918583352</v>
      </c>
      <c r="E1809" s="106">
        <v>1.4731827357390597</v>
      </c>
      <c r="F1809" s="102" t="s">
        <v>2326</v>
      </c>
      <c r="G1809" s="102" t="b">
        <v>0</v>
      </c>
      <c r="H1809" s="102" t="b">
        <v>0</v>
      </c>
      <c r="I1809" s="102" t="b">
        <v>0</v>
      </c>
      <c r="J1809" s="102" t="b">
        <v>0</v>
      </c>
      <c r="K1809" s="102" t="b">
        <v>0</v>
      </c>
      <c r="L1809" s="102" t="b">
        <v>0</v>
      </c>
    </row>
    <row r="1810" spans="1:12" ht="15">
      <c r="A1810" s="104" t="s">
        <v>2485</v>
      </c>
      <c r="B1810" s="102" t="s">
        <v>2358</v>
      </c>
      <c r="C1810" s="102">
        <v>2</v>
      </c>
      <c r="D1810" s="106">
        <v>0.001731108918583352</v>
      </c>
      <c r="E1810" s="106">
        <v>1.5523639817866846</v>
      </c>
      <c r="F1810" s="102" t="s">
        <v>2326</v>
      </c>
      <c r="G1810" s="102" t="b">
        <v>0</v>
      </c>
      <c r="H1810" s="102" t="b">
        <v>0</v>
      </c>
      <c r="I1810" s="102" t="b">
        <v>0</v>
      </c>
      <c r="J1810" s="102" t="b">
        <v>0</v>
      </c>
      <c r="K1810" s="102" t="b">
        <v>0</v>
      </c>
      <c r="L1810" s="102" t="b">
        <v>0</v>
      </c>
    </row>
    <row r="1811" spans="1:12" ht="15">
      <c r="A1811" s="104" t="s">
        <v>2363</v>
      </c>
      <c r="B1811" s="102" t="s">
        <v>2555</v>
      </c>
      <c r="C1811" s="102">
        <v>2</v>
      </c>
      <c r="D1811" s="106">
        <v>0.001731108918583352</v>
      </c>
      <c r="E1811" s="106">
        <v>1.8533939774506658</v>
      </c>
      <c r="F1811" s="102" t="s">
        <v>2326</v>
      </c>
      <c r="G1811" s="102" t="b">
        <v>0</v>
      </c>
      <c r="H1811" s="102" t="b">
        <v>0</v>
      </c>
      <c r="I1811" s="102" t="b">
        <v>0</v>
      </c>
      <c r="J1811" s="102" t="b">
        <v>0</v>
      </c>
      <c r="K1811" s="102" t="b">
        <v>0</v>
      </c>
      <c r="L1811" s="102" t="b">
        <v>0</v>
      </c>
    </row>
    <row r="1812" spans="1:12" ht="15">
      <c r="A1812" s="104" t="s">
        <v>2555</v>
      </c>
      <c r="B1812" s="102" t="s">
        <v>2371</v>
      </c>
      <c r="C1812" s="102">
        <v>2</v>
      </c>
      <c r="D1812" s="106">
        <v>0.001731108918583352</v>
      </c>
      <c r="E1812" s="106">
        <v>1.9503039904587223</v>
      </c>
      <c r="F1812" s="102" t="s">
        <v>2326</v>
      </c>
      <c r="G1812" s="102" t="b">
        <v>0</v>
      </c>
      <c r="H1812" s="102" t="b">
        <v>0</v>
      </c>
      <c r="I1812" s="102" t="b">
        <v>0</v>
      </c>
      <c r="J1812" s="102" t="b">
        <v>0</v>
      </c>
      <c r="K1812" s="102" t="b">
        <v>0</v>
      </c>
      <c r="L1812" s="102" t="b">
        <v>0</v>
      </c>
    </row>
    <row r="1813" spans="1:12" ht="15">
      <c r="A1813" s="104" t="s">
        <v>2363</v>
      </c>
      <c r="B1813" s="102" t="s">
        <v>2366</v>
      </c>
      <c r="C1813" s="102">
        <v>2</v>
      </c>
      <c r="D1813" s="106">
        <v>0.001731108918583352</v>
      </c>
      <c r="E1813" s="106">
        <v>0.8322046783807276</v>
      </c>
      <c r="F1813" s="102" t="s">
        <v>2326</v>
      </c>
      <c r="G1813" s="102" t="b">
        <v>0</v>
      </c>
      <c r="H1813" s="102" t="b">
        <v>0</v>
      </c>
      <c r="I1813" s="102" t="b">
        <v>0</v>
      </c>
      <c r="J1813" s="102" t="b">
        <v>0</v>
      </c>
      <c r="K1813" s="102" t="b">
        <v>0</v>
      </c>
      <c r="L1813" s="102" t="b">
        <v>0</v>
      </c>
    </row>
    <row r="1814" spans="1:12" ht="15">
      <c r="A1814" s="104" t="s">
        <v>2366</v>
      </c>
      <c r="B1814" s="102" t="s">
        <v>2712</v>
      </c>
      <c r="C1814" s="102">
        <v>2</v>
      </c>
      <c r="D1814" s="106">
        <v>0.001731108918583352</v>
      </c>
      <c r="E1814" s="106">
        <v>1.8120012922924407</v>
      </c>
      <c r="F1814" s="102" t="s">
        <v>2326</v>
      </c>
      <c r="G1814" s="102" t="b">
        <v>0</v>
      </c>
      <c r="H1814" s="102" t="b">
        <v>0</v>
      </c>
      <c r="I1814" s="102" t="b">
        <v>0</v>
      </c>
      <c r="J1814" s="102" t="b">
        <v>0</v>
      </c>
      <c r="K1814" s="102" t="b">
        <v>0</v>
      </c>
      <c r="L1814" s="102" t="b">
        <v>0</v>
      </c>
    </row>
    <row r="1815" spans="1:12" ht="15">
      <c r="A1815" s="104" t="s">
        <v>2712</v>
      </c>
      <c r="B1815" s="102" t="s">
        <v>2371</v>
      </c>
      <c r="C1815" s="102">
        <v>2</v>
      </c>
      <c r="D1815" s="106">
        <v>0.001731108918583352</v>
      </c>
      <c r="E1815" s="106">
        <v>1.9503039904587223</v>
      </c>
      <c r="F1815" s="102" t="s">
        <v>2326</v>
      </c>
      <c r="G1815" s="102" t="b">
        <v>0</v>
      </c>
      <c r="H1815" s="102" t="b">
        <v>0</v>
      </c>
      <c r="I1815" s="102" t="b">
        <v>0</v>
      </c>
      <c r="J1815" s="102" t="b">
        <v>0</v>
      </c>
      <c r="K1815" s="102" t="b">
        <v>0</v>
      </c>
      <c r="L1815" s="102" t="b">
        <v>0</v>
      </c>
    </row>
    <row r="1816" spans="1:12" ht="15">
      <c r="A1816" s="104" t="s">
        <v>2363</v>
      </c>
      <c r="B1816" s="102" t="s">
        <v>2593</v>
      </c>
      <c r="C1816" s="102">
        <v>2</v>
      </c>
      <c r="D1816" s="106">
        <v>0.001731108918583352</v>
      </c>
      <c r="E1816" s="106">
        <v>1.8533939774506658</v>
      </c>
      <c r="F1816" s="102" t="s">
        <v>2326</v>
      </c>
      <c r="G1816" s="102" t="b">
        <v>0</v>
      </c>
      <c r="H1816" s="102" t="b">
        <v>0</v>
      </c>
      <c r="I1816" s="102" t="b">
        <v>0</v>
      </c>
      <c r="J1816" s="102" t="b">
        <v>0</v>
      </c>
      <c r="K1816" s="102" t="b">
        <v>0</v>
      </c>
      <c r="L1816" s="102" t="b">
        <v>0</v>
      </c>
    </row>
    <row r="1817" spans="1:12" ht="15">
      <c r="A1817" s="104" t="s">
        <v>2593</v>
      </c>
      <c r="B1817" s="102" t="s">
        <v>2371</v>
      </c>
      <c r="C1817" s="102">
        <v>2</v>
      </c>
      <c r="D1817" s="106">
        <v>0.001731108918583352</v>
      </c>
      <c r="E1817" s="106">
        <v>1.9503039904587223</v>
      </c>
      <c r="F1817" s="102" t="s">
        <v>2326</v>
      </c>
      <c r="G1817" s="102" t="b">
        <v>0</v>
      </c>
      <c r="H1817" s="102" t="b">
        <v>0</v>
      </c>
      <c r="I1817" s="102" t="b">
        <v>0</v>
      </c>
      <c r="J1817" s="102" t="b">
        <v>0</v>
      </c>
      <c r="K1817" s="102" t="b">
        <v>0</v>
      </c>
      <c r="L1817" s="102" t="b">
        <v>0</v>
      </c>
    </row>
    <row r="1818" spans="1:12" ht="15">
      <c r="A1818" s="104" t="s">
        <v>2389</v>
      </c>
      <c r="B1818" s="102" t="s">
        <v>2644</v>
      </c>
      <c r="C1818" s="102">
        <v>2</v>
      </c>
      <c r="D1818" s="106">
        <v>0.001731108918583352</v>
      </c>
      <c r="E1818" s="106">
        <v>2.376272722731003</v>
      </c>
      <c r="F1818" s="102" t="s">
        <v>2326</v>
      </c>
      <c r="G1818" s="102" t="b">
        <v>0</v>
      </c>
      <c r="H1818" s="102" t="b">
        <v>0</v>
      </c>
      <c r="I1818" s="102" t="b">
        <v>0</v>
      </c>
      <c r="J1818" s="102" t="b">
        <v>0</v>
      </c>
      <c r="K1818" s="102" t="b">
        <v>0</v>
      </c>
      <c r="L1818" s="102" t="b">
        <v>0</v>
      </c>
    </row>
    <row r="1819" spans="1:12" ht="15">
      <c r="A1819" s="104" t="s">
        <v>2644</v>
      </c>
      <c r="B1819" s="102" t="s">
        <v>2645</v>
      </c>
      <c r="C1819" s="102">
        <v>2</v>
      </c>
      <c r="D1819" s="106">
        <v>0.001731108918583352</v>
      </c>
      <c r="E1819" s="106">
        <v>2.853393977450666</v>
      </c>
      <c r="F1819" s="102" t="s">
        <v>2326</v>
      </c>
      <c r="G1819" s="102" t="b">
        <v>0</v>
      </c>
      <c r="H1819" s="102" t="b">
        <v>0</v>
      </c>
      <c r="I1819" s="102" t="b">
        <v>0</v>
      </c>
      <c r="J1819" s="102" t="b">
        <v>0</v>
      </c>
      <c r="K1819" s="102" t="b">
        <v>0</v>
      </c>
      <c r="L1819" s="102" t="b">
        <v>0</v>
      </c>
    </row>
    <row r="1820" spans="1:12" ht="15">
      <c r="A1820" s="104" t="s">
        <v>2645</v>
      </c>
      <c r="B1820" s="102" t="s">
        <v>2371</v>
      </c>
      <c r="C1820" s="102">
        <v>2</v>
      </c>
      <c r="D1820" s="106">
        <v>0.001731108918583352</v>
      </c>
      <c r="E1820" s="106">
        <v>1.9503039904587223</v>
      </c>
      <c r="F1820" s="102" t="s">
        <v>2326</v>
      </c>
      <c r="G1820" s="102" t="b">
        <v>0</v>
      </c>
      <c r="H1820" s="102" t="b">
        <v>0</v>
      </c>
      <c r="I1820" s="102" t="b">
        <v>0</v>
      </c>
      <c r="J1820" s="102" t="b">
        <v>0</v>
      </c>
      <c r="K1820" s="102" t="b">
        <v>0</v>
      </c>
      <c r="L1820" s="102" t="b">
        <v>0</v>
      </c>
    </row>
    <row r="1821" spans="1:12" ht="15">
      <c r="A1821" s="104" t="s">
        <v>2371</v>
      </c>
      <c r="B1821" s="102" t="s">
        <v>2646</v>
      </c>
      <c r="C1821" s="102">
        <v>2</v>
      </c>
      <c r="D1821" s="106">
        <v>0.001731108918583352</v>
      </c>
      <c r="E1821" s="106">
        <v>1.9503039904587223</v>
      </c>
      <c r="F1821" s="102" t="s">
        <v>2326</v>
      </c>
      <c r="G1821" s="102" t="b">
        <v>0</v>
      </c>
      <c r="H1821" s="102" t="b">
        <v>0</v>
      </c>
      <c r="I1821" s="102" t="b">
        <v>0</v>
      </c>
      <c r="J1821" s="102" t="b">
        <v>0</v>
      </c>
      <c r="K1821" s="102" t="b">
        <v>0</v>
      </c>
      <c r="L1821" s="102" t="b">
        <v>0</v>
      </c>
    </row>
    <row r="1822" spans="1:12" ht="15">
      <c r="A1822" s="104" t="s">
        <v>2646</v>
      </c>
      <c r="B1822" s="102" t="s">
        <v>2363</v>
      </c>
      <c r="C1822" s="102">
        <v>2</v>
      </c>
      <c r="D1822" s="106">
        <v>0.001731108918583352</v>
      </c>
      <c r="E1822" s="106">
        <v>1.8120012922924407</v>
      </c>
      <c r="F1822" s="102" t="s">
        <v>2326</v>
      </c>
      <c r="G1822" s="102" t="b">
        <v>0</v>
      </c>
      <c r="H1822" s="102" t="b">
        <v>0</v>
      </c>
      <c r="I1822" s="102" t="b">
        <v>0</v>
      </c>
      <c r="J1822" s="102" t="b">
        <v>0</v>
      </c>
      <c r="K1822" s="102" t="b">
        <v>0</v>
      </c>
      <c r="L1822" s="102" t="b">
        <v>0</v>
      </c>
    </row>
    <row r="1823" spans="1:12" ht="15">
      <c r="A1823" s="104" t="s">
        <v>2389</v>
      </c>
      <c r="B1823" s="102" t="s">
        <v>2371</v>
      </c>
      <c r="C1823" s="102">
        <v>2</v>
      </c>
      <c r="D1823" s="106">
        <v>0.001731108918583352</v>
      </c>
      <c r="E1823" s="106">
        <v>1.4731827357390597</v>
      </c>
      <c r="F1823" s="102" t="s">
        <v>2326</v>
      </c>
      <c r="G1823" s="102" t="b">
        <v>0</v>
      </c>
      <c r="H1823" s="102" t="b">
        <v>0</v>
      </c>
      <c r="I1823" s="102" t="b">
        <v>0</v>
      </c>
      <c r="J1823" s="102" t="b">
        <v>0</v>
      </c>
      <c r="K1823" s="102" t="b">
        <v>0</v>
      </c>
      <c r="L1823" s="102" t="b">
        <v>0</v>
      </c>
    </row>
    <row r="1824" spans="1:12" ht="15">
      <c r="A1824" s="104" t="s">
        <v>2363</v>
      </c>
      <c r="B1824" s="102" t="s">
        <v>2713</v>
      </c>
      <c r="C1824" s="102">
        <v>2</v>
      </c>
      <c r="D1824" s="106">
        <v>0.001731108918583352</v>
      </c>
      <c r="E1824" s="106">
        <v>1.8533939774506658</v>
      </c>
      <c r="F1824" s="102" t="s">
        <v>2326</v>
      </c>
      <c r="G1824" s="102" t="b">
        <v>0</v>
      </c>
      <c r="H1824" s="102" t="b">
        <v>0</v>
      </c>
      <c r="I1824" s="102" t="b">
        <v>0</v>
      </c>
      <c r="J1824" s="102" t="b">
        <v>0</v>
      </c>
      <c r="K1824" s="102" t="b">
        <v>0</v>
      </c>
      <c r="L1824" s="102" t="b">
        <v>0</v>
      </c>
    </row>
    <row r="1825" spans="1:12" ht="15">
      <c r="A1825" s="104" t="s">
        <v>2713</v>
      </c>
      <c r="B1825" s="102" t="s">
        <v>2371</v>
      </c>
      <c r="C1825" s="102">
        <v>2</v>
      </c>
      <c r="D1825" s="106">
        <v>0.001731108918583352</v>
      </c>
      <c r="E1825" s="106">
        <v>1.9503039904587223</v>
      </c>
      <c r="F1825" s="102" t="s">
        <v>2326</v>
      </c>
      <c r="G1825" s="102" t="b">
        <v>0</v>
      </c>
      <c r="H1825" s="102" t="b">
        <v>0</v>
      </c>
      <c r="I1825" s="102" t="b">
        <v>0</v>
      </c>
      <c r="J1825" s="102" t="b">
        <v>0</v>
      </c>
      <c r="K1825" s="102" t="b">
        <v>0</v>
      </c>
      <c r="L1825" s="102" t="b">
        <v>0</v>
      </c>
    </row>
    <row r="1826" spans="1:12" ht="15">
      <c r="A1826" s="104" t="s">
        <v>2363</v>
      </c>
      <c r="B1826" s="102" t="s">
        <v>2435</v>
      </c>
      <c r="C1826" s="102">
        <v>2</v>
      </c>
      <c r="D1826" s="106">
        <v>0.001731108918583352</v>
      </c>
      <c r="E1826" s="106">
        <v>1.3762727227310032</v>
      </c>
      <c r="F1826" s="102" t="s">
        <v>2326</v>
      </c>
      <c r="G1826" s="102" t="b">
        <v>0</v>
      </c>
      <c r="H1826" s="102" t="b">
        <v>0</v>
      </c>
      <c r="I1826" s="102" t="b">
        <v>0</v>
      </c>
      <c r="J1826" s="102" t="b">
        <v>0</v>
      </c>
      <c r="K1826" s="102" t="b">
        <v>0</v>
      </c>
      <c r="L1826" s="102" t="b">
        <v>0</v>
      </c>
    </row>
    <row r="1827" spans="1:12" ht="15">
      <c r="A1827" s="104" t="s">
        <v>2435</v>
      </c>
      <c r="B1827" s="102" t="s">
        <v>2394</v>
      </c>
      <c r="C1827" s="102">
        <v>2</v>
      </c>
      <c r="D1827" s="106">
        <v>0.001731108918583352</v>
      </c>
      <c r="E1827" s="106">
        <v>1.8991514680113408</v>
      </c>
      <c r="F1827" s="102" t="s">
        <v>2326</v>
      </c>
      <c r="G1827" s="102" t="b">
        <v>0</v>
      </c>
      <c r="H1827" s="102" t="b">
        <v>0</v>
      </c>
      <c r="I1827" s="102" t="b">
        <v>0</v>
      </c>
      <c r="J1827" s="102" t="b">
        <v>0</v>
      </c>
      <c r="K1827" s="102" t="b">
        <v>0</v>
      </c>
      <c r="L1827" s="102" t="b">
        <v>0</v>
      </c>
    </row>
    <row r="1828" spans="1:12" ht="15">
      <c r="A1828" s="104" t="s">
        <v>2363</v>
      </c>
      <c r="B1828" s="102" t="s">
        <v>2376</v>
      </c>
      <c r="C1828" s="102">
        <v>2</v>
      </c>
      <c r="D1828" s="106">
        <v>0.001731108918583352</v>
      </c>
      <c r="E1828" s="106">
        <v>1.3762727227310032</v>
      </c>
      <c r="F1828" s="102" t="s">
        <v>2326</v>
      </c>
      <c r="G1828" s="102" t="b">
        <v>0</v>
      </c>
      <c r="H1828" s="102" t="b">
        <v>0</v>
      </c>
      <c r="I1828" s="102" t="b">
        <v>0</v>
      </c>
      <c r="J1828" s="102" t="b">
        <v>0</v>
      </c>
      <c r="K1828" s="102" t="b">
        <v>0</v>
      </c>
      <c r="L1828" s="102" t="b">
        <v>0</v>
      </c>
    </row>
    <row r="1829" spans="1:12" ht="15">
      <c r="A1829" s="104" t="s">
        <v>2376</v>
      </c>
      <c r="B1829" s="102" t="s">
        <v>2371</v>
      </c>
      <c r="C1829" s="102">
        <v>2</v>
      </c>
      <c r="D1829" s="106">
        <v>0.001731108918583352</v>
      </c>
      <c r="E1829" s="106">
        <v>1.4731827357390597</v>
      </c>
      <c r="F1829" s="102" t="s">
        <v>2326</v>
      </c>
      <c r="G1829" s="102" t="b">
        <v>0</v>
      </c>
      <c r="H1829" s="102" t="b">
        <v>0</v>
      </c>
      <c r="I1829" s="102" t="b">
        <v>0</v>
      </c>
      <c r="J1829" s="102" t="b">
        <v>0</v>
      </c>
      <c r="K1829" s="102" t="b">
        <v>0</v>
      </c>
      <c r="L1829" s="102" t="b">
        <v>0</v>
      </c>
    </row>
    <row r="1830" spans="1:12" ht="15">
      <c r="A1830" s="104" t="s">
        <v>2653</v>
      </c>
      <c r="B1830" s="102" t="s">
        <v>2653</v>
      </c>
      <c r="C1830" s="102">
        <v>2</v>
      </c>
      <c r="D1830" s="106">
        <v>0.0021423520820587363</v>
      </c>
      <c r="E1830" s="106">
        <v>2.0575139601065904</v>
      </c>
      <c r="F1830" s="102" t="s">
        <v>2326</v>
      </c>
      <c r="G1830" s="102" t="b">
        <v>0</v>
      </c>
      <c r="H1830" s="102" t="b">
        <v>0</v>
      </c>
      <c r="I1830" s="102" t="b">
        <v>0</v>
      </c>
      <c r="J1830" s="102" t="b">
        <v>0</v>
      </c>
      <c r="K1830" s="102" t="b">
        <v>0</v>
      </c>
      <c r="L1830" s="102" t="b">
        <v>0</v>
      </c>
    </row>
    <row r="1831" spans="1:12" ht="15">
      <c r="A1831" s="104" t="s">
        <v>2831</v>
      </c>
      <c r="B1831" s="102" t="s">
        <v>2488</v>
      </c>
      <c r="C1831" s="102">
        <v>2</v>
      </c>
      <c r="D1831" s="106">
        <v>0.0021423520820587363</v>
      </c>
      <c r="E1831" s="106">
        <v>1.9783327140589657</v>
      </c>
      <c r="F1831" s="102" t="s">
        <v>2326</v>
      </c>
      <c r="G1831" s="102" t="b">
        <v>1</v>
      </c>
      <c r="H1831" s="102" t="b">
        <v>0</v>
      </c>
      <c r="I1831" s="102" t="b">
        <v>0</v>
      </c>
      <c r="J1831" s="102" t="b">
        <v>0</v>
      </c>
      <c r="K1831" s="102" t="b">
        <v>0</v>
      </c>
      <c r="L1831" s="102" t="b">
        <v>0</v>
      </c>
    </row>
    <row r="1832" spans="1:12" ht="15">
      <c r="A1832" s="104" t="s">
        <v>2523</v>
      </c>
      <c r="B1832" s="102" t="s">
        <v>2350</v>
      </c>
      <c r="C1832" s="102">
        <v>2</v>
      </c>
      <c r="D1832" s="106">
        <v>0.001731108918583352</v>
      </c>
      <c r="E1832" s="106">
        <v>1.178992164605384</v>
      </c>
      <c r="F1832" s="102" t="s">
        <v>2326</v>
      </c>
      <c r="G1832" s="102" t="b">
        <v>0</v>
      </c>
      <c r="H1832" s="102" t="b">
        <v>0</v>
      </c>
      <c r="I1832" s="102" t="b">
        <v>0</v>
      </c>
      <c r="J1832" s="102" t="b">
        <v>0</v>
      </c>
      <c r="K1832" s="102" t="b">
        <v>0</v>
      </c>
      <c r="L1832" s="102" t="b">
        <v>0</v>
      </c>
    </row>
    <row r="1833" spans="1:12" ht="15">
      <c r="A1833" s="104" t="s">
        <v>2647</v>
      </c>
      <c r="B1833" s="102" t="s">
        <v>2824</v>
      </c>
      <c r="C1833" s="102">
        <v>2</v>
      </c>
      <c r="D1833" s="106">
        <v>0.001731108918583352</v>
      </c>
      <c r="E1833" s="106">
        <v>2.4554539687786283</v>
      </c>
      <c r="F1833" s="102" t="s">
        <v>2326</v>
      </c>
      <c r="G1833" s="102" t="b">
        <v>0</v>
      </c>
      <c r="H1833" s="102" t="b">
        <v>0</v>
      </c>
      <c r="I1833" s="102" t="b">
        <v>0</v>
      </c>
      <c r="J1833" s="102" t="b">
        <v>0</v>
      </c>
      <c r="K1833" s="102" t="b">
        <v>0</v>
      </c>
      <c r="L1833" s="102" t="b">
        <v>0</v>
      </c>
    </row>
    <row r="1834" spans="1:12" ht="15">
      <c r="A1834" s="104" t="s">
        <v>2462</v>
      </c>
      <c r="B1834" s="102" t="s">
        <v>2718</v>
      </c>
      <c r="C1834" s="102">
        <v>2</v>
      </c>
      <c r="D1834" s="106">
        <v>0.001731108918583352</v>
      </c>
      <c r="E1834" s="106">
        <v>1.8991514680113408</v>
      </c>
      <c r="F1834" s="102" t="s">
        <v>2326</v>
      </c>
      <c r="G1834" s="102" t="b">
        <v>0</v>
      </c>
      <c r="H1834" s="102" t="b">
        <v>0</v>
      </c>
      <c r="I1834" s="102" t="b">
        <v>0</v>
      </c>
      <c r="J1834" s="102" t="b">
        <v>1</v>
      </c>
      <c r="K1834" s="102" t="b">
        <v>0</v>
      </c>
      <c r="L1834" s="102" t="b">
        <v>0</v>
      </c>
    </row>
    <row r="1835" spans="1:12" ht="15">
      <c r="A1835" s="104" t="s">
        <v>2395</v>
      </c>
      <c r="B1835" s="102" t="s">
        <v>2557</v>
      </c>
      <c r="C1835" s="102">
        <v>2</v>
      </c>
      <c r="D1835" s="106">
        <v>0.001731108918583352</v>
      </c>
      <c r="E1835" s="106">
        <v>1.9783327140589657</v>
      </c>
      <c r="F1835" s="102" t="s">
        <v>2326</v>
      </c>
      <c r="G1835" s="102" t="b">
        <v>0</v>
      </c>
      <c r="H1835" s="102" t="b">
        <v>0</v>
      </c>
      <c r="I1835" s="102" t="b">
        <v>0</v>
      </c>
      <c r="J1835" s="102" t="b">
        <v>0</v>
      </c>
      <c r="K1835" s="102" t="b">
        <v>0</v>
      </c>
      <c r="L1835" s="102" t="b">
        <v>0</v>
      </c>
    </row>
    <row r="1836" spans="1:12" ht="15">
      <c r="A1836" s="104" t="s">
        <v>2727</v>
      </c>
      <c r="B1836" s="102" t="s">
        <v>3021</v>
      </c>
      <c r="C1836" s="102">
        <v>2</v>
      </c>
      <c r="D1836" s="106">
        <v>0.0021423520820587363</v>
      </c>
      <c r="E1836" s="106">
        <v>2.853393977450666</v>
      </c>
      <c r="F1836" s="102" t="s">
        <v>2326</v>
      </c>
      <c r="G1836" s="102" t="b">
        <v>0</v>
      </c>
      <c r="H1836" s="102" t="b">
        <v>0</v>
      </c>
      <c r="I1836" s="102" t="b">
        <v>0</v>
      </c>
      <c r="J1836" s="102" t="b">
        <v>0</v>
      </c>
      <c r="K1836" s="102" t="b">
        <v>0</v>
      </c>
      <c r="L1836" s="102" t="b">
        <v>0</v>
      </c>
    </row>
    <row r="1837" spans="1:12" ht="15">
      <c r="A1837" s="104" t="s">
        <v>2369</v>
      </c>
      <c r="B1837" s="102" t="s">
        <v>2552</v>
      </c>
      <c r="C1837" s="102">
        <v>2</v>
      </c>
      <c r="D1837" s="106">
        <v>0.001731108918583352</v>
      </c>
      <c r="E1837" s="106">
        <v>1.6773027183949845</v>
      </c>
      <c r="F1837" s="102" t="s">
        <v>2326</v>
      </c>
      <c r="G1837" s="102" t="b">
        <v>0</v>
      </c>
      <c r="H1837" s="102" t="b">
        <v>0</v>
      </c>
      <c r="I1837" s="102" t="b">
        <v>0</v>
      </c>
      <c r="J1837" s="102" t="b">
        <v>0</v>
      </c>
      <c r="K1837" s="102" t="b">
        <v>0</v>
      </c>
      <c r="L1837" s="102" t="b">
        <v>0</v>
      </c>
    </row>
    <row r="1838" spans="1:12" ht="15">
      <c r="A1838" s="104" t="s">
        <v>2395</v>
      </c>
      <c r="B1838" s="102" t="s">
        <v>2391</v>
      </c>
      <c r="C1838" s="102">
        <v>2</v>
      </c>
      <c r="D1838" s="106">
        <v>0.001731108918583352</v>
      </c>
      <c r="E1838" s="106">
        <v>1.7564839644426093</v>
      </c>
      <c r="F1838" s="102" t="s">
        <v>2326</v>
      </c>
      <c r="G1838" s="102" t="b">
        <v>0</v>
      </c>
      <c r="H1838" s="102" t="b">
        <v>0</v>
      </c>
      <c r="I1838" s="102" t="b">
        <v>0</v>
      </c>
      <c r="J1838" s="102" t="b">
        <v>0</v>
      </c>
      <c r="K1838" s="102" t="b">
        <v>0</v>
      </c>
      <c r="L1838" s="102" t="b">
        <v>0</v>
      </c>
    </row>
    <row r="1839" spans="1:12" ht="15">
      <c r="A1839" s="104" t="s">
        <v>2991</v>
      </c>
      <c r="B1839" s="102" t="s">
        <v>2992</v>
      </c>
      <c r="C1839" s="102">
        <v>2</v>
      </c>
      <c r="D1839" s="106">
        <v>0.001731108918583352</v>
      </c>
      <c r="E1839" s="106">
        <v>2.853393977450666</v>
      </c>
      <c r="F1839" s="102" t="s">
        <v>2326</v>
      </c>
      <c r="G1839" s="102" t="b">
        <v>0</v>
      </c>
      <c r="H1839" s="102" t="b">
        <v>0</v>
      </c>
      <c r="I1839" s="102" t="b">
        <v>0</v>
      </c>
      <c r="J1839" s="102" t="b">
        <v>0</v>
      </c>
      <c r="K1839" s="102" t="b">
        <v>0</v>
      </c>
      <c r="L1839" s="102" t="b">
        <v>0</v>
      </c>
    </row>
    <row r="1840" spans="1:12" ht="15">
      <c r="A1840" s="104" t="s">
        <v>3004</v>
      </c>
      <c r="B1840" s="102" t="s">
        <v>3005</v>
      </c>
      <c r="C1840" s="102">
        <v>2</v>
      </c>
      <c r="D1840" s="106">
        <v>0.0021423520820587363</v>
      </c>
      <c r="E1840" s="106">
        <v>2.853393977450666</v>
      </c>
      <c r="F1840" s="102" t="s">
        <v>2326</v>
      </c>
      <c r="G1840" s="102" t="b">
        <v>0</v>
      </c>
      <c r="H1840" s="102" t="b">
        <v>0</v>
      </c>
      <c r="I1840" s="102" t="b">
        <v>0</v>
      </c>
      <c r="J1840" s="102" t="b">
        <v>0</v>
      </c>
      <c r="K1840" s="102" t="b">
        <v>0</v>
      </c>
      <c r="L1840" s="102" t="b">
        <v>0</v>
      </c>
    </row>
    <row r="1841" spans="1:12" ht="15">
      <c r="A1841" s="104" t="s">
        <v>2996</v>
      </c>
      <c r="B1841" s="102" t="s">
        <v>2997</v>
      </c>
      <c r="C1841" s="102">
        <v>2</v>
      </c>
      <c r="D1841" s="106">
        <v>0.0021423520820587363</v>
      </c>
      <c r="E1841" s="106">
        <v>2.853393977450666</v>
      </c>
      <c r="F1841" s="102" t="s">
        <v>2326</v>
      </c>
      <c r="G1841" s="102" t="b">
        <v>0</v>
      </c>
      <c r="H1841" s="102" t="b">
        <v>0</v>
      </c>
      <c r="I1841" s="102" t="b">
        <v>0</v>
      </c>
      <c r="J1841" s="102" t="b">
        <v>0</v>
      </c>
      <c r="K1841" s="102" t="b">
        <v>0</v>
      </c>
      <c r="L1841" s="102" t="b">
        <v>0</v>
      </c>
    </row>
    <row r="1842" spans="1:12" ht="15">
      <c r="A1842" s="104" t="s">
        <v>2462</v>
      </c>
      <c r="B1842" s="102" t="s">
        <v>2989</v>
      </c>
      <c r="C1842" s="102">
        <v>2</v>
      </c>
      <c r="D1842" s="106">
        <v>0.0021423520820587363</v>
      </c>
      <c r="E1842" s="106">
        <v>2.200181463675322</v>
      </c>
      <c r="F1842" s="102" t="s">
        <v>2326</v>
      </c>
      <c r="G1842" s="102" t="b">
        <v>0</v>
      </c>
      <c r="H1842" s="102" t="b">
        <v>0</v>
      </c>
      <c r="I1842" s="102" t="b">
        <v>0</v>
      </c>
      <c r="J1842" s="102" t="b">
        <v>0</v>
      </c>
      <c r="K1842" s="102" t="b">
        <v>0</v>
      </c>
      <c r="L1842" s="102" t="b">
        <v>0</v>
      </c>
    </row>
    <row r="1843" spans="1:12" ht="15">
      <c r="A1843" s="104" t="s">
        <v>2525</v>
      </c>
      <c r="B1843" s="102" t="s">
        <v>2556</v>
      </c>
      <c r="C1843" s="102">
        <v>2</v>
      </c>
      <c r="D1843" s="106">
        <v>0.0021423520820587363</v>
      </c>
      <c r="E1843" s="106">
        <v>1.8322046783807278</v>
      </c>
      <c r="F1843" s="102" t="s">
        <v>2326</v>
      </c>
      <c r="G1843" s="102" t="b">
        <v>0</v>
      </c>
      <c r="H1843" s="102" t="b">
        <v>0</v>
      </c>
      <c r="I1843" s="102" t="b">
        <v>0</v>
      </c>
      <c r="J1843" s="102" t="b">
        <v>0</v>
      </c>
      <c r="K1843" s="102" t="b">
        <v>0</v>
      </c>
      <c r="L1843" s="102" t="b">
        <v>0</v>
      </c>
    </row>
    <row r="1844" spans="1:12" ht="15">
      <c r="A1844" s="104" t="s">
        <v>2507</v>
      </c>
      <c r="B1844" s="102" t="s">
        <v>2525</v>
      </c>
      <c r="C1844" s="102">
        <v>2</v>
      </c>
      <c r="D1844" s="106">
        <v>0.0021423520820587363</v>
      </c>
      <c r="E1844" s="106">
        <v>1.5981214723473596</v>
      </c>
      <c r="F1844" s="102" t="s">
        <v>2326</v>
      </c>
      <c r="G1844" s="102" t="b">
        <v>0</v>
      </c>
      <c r="H1844" s="102" t="b">
        <v>0</v>
      </c>
      <c r="I1844" s="102" t="b">
        <v>0</v>
      </c>
      <c r="J1844" s="102" t="b">
        <v>0</v>
      </c>
      <c r="K1844" s="102" t="b">
        <v>0</v>
      </c>
      <c r="L1844" s="102" t="b">
        <v>0</v>
      </c>
    </row>
    <row r="1845" spans="1:12" ht="15">
      <c r="A1845" s="104" t="s">
        <v>2360</v>
      </c>
      <c r="B1845" s="102" t="s">
        <v>2360</v>
      </c>
      <c r="C1845" s="102">
        <v>2</v>
      </c>
      <c r="D1845" s="106">
        <v>0.0021423520820587363</v>
      </c>
      <c r="E1845" s="106">
        <v>1.163197897422152</v>
      </c>
      <c r="F1845" s="102" t="s">
        <v>2326</v>
      </c>
      <c r="G1845" s="102" t="b">
        <v>0</v>
      </c>
      <c r="H1845" s="102" t="b">
        <v>1</v>
      </c>
      <c r="I1845" s="102" t="b">
        <v>0</v>
      </c>
      <c r="J1845" s="102" t="b">
        <v>0</v>
      </c>
      <c r="K1845" s="102" t="b">
        <v>1</v>
      </c>
      <c r="L1845" s="102" t="b">
        <v>0</v>
      </c>
    </row>
    <row r="1846" spans="1:12" ht="15">
      <c r="A1846" s="104" t="s">
        <v>2360</v>
      </c>
      <c r="B1846" s="102" t="s">
        <v>2452</v>
      </c>
      <c r="C1846" s="102">
        <v>2</v>
      </c>
      <c r="D1846" s="106">
        <v>0.0021423520820587363</v>
      </c>
      <c r="E1846" s="106">
        <v>1.7072659417724276</v>
      </c>
      <c r="F1846" s="102" t="s">
        <v>2326</v>
      </c>
      <c r="G1846" s="102" t="b">
        <v>0</v>
      </c>
      <c r="H1846" s="102" t="b">
        <v>1</v>
      </c>
      <c r="I1846" s="102" t="b">
        <v>0</v>
      </c>
      <c r="J1846" s="102" t="b">
        <v>0</v>
      </c>
      <c r="K1846" s="102" t="b">
        <v>0</v>
      </c>
      <c r="L1846" s="102" t="b">
        <v>0</v>
      </c>
    </row>
    <row r="1847" spans="1:12" ht="15">
      <c r="A1847" s="104" t="s">
        <v>2365</v>
      </c>
      <c r="B1847" s="102" t="s">
        <v>2506</v>
      </c>
      <c r="C1847" s="102">
        <v>2</v>
      </c>
      <c r="D1847" s="106">
        <v>0.0021423520820587363</v>
      </c>
      <c r="E1847" s="106">
        <v>2.6773027183949845</v>
      </c>
      <c r="F1847" s="102" t="s">
        <v>2326</v>
      </c>
      <c r="G1847" s="102" t="b">
        <v>0</v>
      </c>
      <c r="H1847" s="102" t="b">
        <v>0</v>
      </c>
      <c r="I1847" s="102" t="b">
        <v>0</v>
      </c>
      <c r="J1847" s="102" t="b">
        <v>0</v>
      </c>
      <c r="K1847" s="102" t="b">
        <v>0</v>
      </c>
      <c r="L1847" s="102" t="b">
        <v>0</v>
      </c>
    </row>
    <row r="1848" spans="1:12" ht="15">
      <c r="A1848" s="104" t="s">
        <v>2366</v>
      </c>
      <c r="B1848" s="102" t="s">
        <v>2380</v>
      </c>
      <c r="C1848" s="102">
        <v>2</v>
      </c>
      <c r="D1848" s="106">
        <v>0.0021423520820587363</v>
      </c>
      <c r="E1848" s="106">
        <v>1.0716386027981968</v>
      </c>
      <c r="F1848" s="102" t="s">
        <v>2326</v>
      </c>
      <c r="G1848" s="102" t="b">
        <v>0</v>
      </c>
      <c r="H1848" s="102" t="b">
        <v>0</v>
      </c>
      <c r="I1848" s="102" t="b">
        <v>0</v>
      </c>
      <c r="J1848" s="102" t="b">
        <v>0</v>
      </c>
      <c r="K1848" s="102" t="b">
        <v>0</v>
      </c>
      <c r="L1848" s="102" t="b">
        <v>0</v>
      </c>
    </row>
    <row r="1849" spans="1:12" ht="15">
      <c r="A1849" s="104" t="s">
        <v>2472</v>
      </c>
      <c r="B1849" s="102" t="s">
        <v>2366</v>
      </c>
      <c r="C1849" s="102">
        <v>2</v>
      </c>
      <c r="D1849" s="106">
        <v>0.0021423520820587363</v>
      </c>
      <c r="E1849" s="106">
        <v>1.6561134193250464</v>
      </c>
      <c r="F1849" s="102" t="s">
        <v>2326</v>
      </c>
      <c r="G1849" s="102" t="b">
        <v>0</v>
      </c>
      <c r="H1849" s="102" t="b">
        <v>0</v>
      </c>
      <c r="I1849" s="102" t="b">
        <v>0</v>
      </c>
      <c r="J1849" s="102" t="b">
        <v>0</v>
      </c>
      <c r="K1849" s="102" t="b">
        <v>0</v>
      </c>
      <c r="L1849" s="102" t="b">
        <v>0</v>
      </c>
    </row>
    <row r="1850" spans="1:12" ht="15">
      <c r="A1850" s="104" t="s">
        <v>2366</v>
      </c>
      <c r="B1850" s="102" t="s">
        <v>2472</v>
      </c>
      <c r="C1850" s="102">
        <v>2</v>
      </c>
      <c r="D1850" s="106">
        <v>0.0021423520820587363</v>
      </c>
      <c r="E1850" s="106">
        <v>1.6359100332367593</v>
      </c>
      <c r="F1850" s="102" t="s">
        <v>2326</v>
      </c>
      <c r="G1850" s="102" t="b">
        <v>0</v>
      </c>
      <c r="H1850" s="102" t="b">
        <v>0</v>
      </c>
      <c r="I1850" s="102" t="b">
        <v>0</v>
      </c>
      <c r="J1850" s="102" t="b">
        <v>0</v>
      </c>
      <c r="K1850" s="102" t="b">
        <v>0</v>
      </c>
      <c r="L1850" s="102" t="b">
        <v>0</v>
      </c>
    </row>
    <row r="1851" spans="1:12" ht="15">
      <c r="A1851" s="104" t="s">
        <v>2357</v>
      </c>
      <c r="B1851" s="102" t="s">
        <v>2380</v>
      </c>
      <c r="C1851" s="102">
        <v>2</v>
      </c>
      <c r="D1851" s="106">
        <v>0.0021423520820587363</v>
      </c>
      <c r="E1851" s="106">
        <v>1.5689632436061463</v>
      </c>
      <c r="F1851" s="102" t="s">
        <v>2326</v>
      </c>
      <c r="G1851" s="102" t="b">
        <v>0</v>
      </c>
      <c r="H1851" s="102" t="b">
        <v>0</v>
      </c>
      <c r="I1851" s="102" t="b">
        <v>0</v>
      </c>
      <c r="J1851" s="102" t="b">
        <v>0</v>
      </c>
      <c r="K1851" s="102" t="b">
        <v>0</v>
      </c>
      <c r="L1851" s="102" t="b">
        <v>0</v>
      </c>
    </row>
    <row r="1852" spans="1:12" ht="15">
      <c r="A1852" s="104" t="s">
        <v>2642</v>
      </c>
      <c r="B1852" s="102" t="s">
        <v>2366</v>
      </c>
      <c r="C1852" s="102">
        <v>2</v>
      </c>
      <c r="D1852" s="106">
        <v>0.0021423520820587363</v>
      </c>
      <c r="E1852" s="106">
        <v>1.43426466970869</v>
      </c>
      <c r="F1852" s="102" t="s">
        <v>2326</v>
      </c>
      <c r="G1852" s="102" t="b">
        <v>0</v>
      </c>
      <c r="H1852" s="102" t="b">
        <v>0</v>
      </c>
      <c r="I1852" s="102" t="b">
        <v>0</v>
      </c>
      <c r="J1852" s="102" t="b">
        <v>0</v>
      </c>
      <c r="K1852" s="102" t="b">
        <v>0</v>
      </c>
      <c r="L1852" s="102" t="b">
        <v>0</v>
      </c>
    </row>
    <row r="1853" spans="1:12" ht="15">
      <c r="A1853" s="104" t="s">
        <v>2814</v>
      </c>
      <c r="B1853" s="102" t="s">
        <v>2980</v>
      </c>
      <c r="C1853" s="102">
        <v>2</v>
      </c>
      <c r="D1853" s="106">
        <v>0.0021423520820587363</v>
      </c>
      <c r="E1853" s="106">
        <v>2.6773027183949845</v>
      </c>
      <c r="F1853" s="102" t="s">
        <v>2326</v>
      </c>
      <c r="G1853" s="102" t="b">
        <v>0</v>
      </c>
      <c r="H1853" s="102" t="b">
        <v>0</v>
      </c>
      <c r="I1853" s="102" t="b">
        <v>0</v>
      </c>
      <c r="J1853" s="102" t="b">
        <v>0</v>
      </c>
      <c r="K1853" s="102" t="b">
        <v>0</v>
      </c>
      <c r="L1853" s="102" t="b">
        <v>0</v>
      </c>
    </row>
    <row r="1854" spans="1:12" ht="15">
      <c r="A1854" s="104" t="s">
        <v>2641</v>
      </c>
      <c r="B1854" s="102" t="s">
        <v>2439</v>
      </c>
      <c r="C1854" s="102">
        <v>2</v>
      </c>
      <c r="D1854" s="106">
        <v>0.0021423520820587363</v>
      </c>
      <c r="E1854" s="106">
        <v>1.6773027183949845</v>
      </c>
      <c r="F1854" s="102" t="s">
        <v>2326</v>
      </c>
      <c r="G1854" s="102" t="b">
        <v>0</v>
      </c>
      <c r="H1854" s="102" t="b">
        <v>0</v>
      </c>
      <c r="I1854" s="102" t="b">
        <v>0</v>
      </c>
      <c r="J1854" s="102" t="b">
        <v>0</v>
      </c>
      <c r="K1854" s="102" t="b">
        <v>0</v>
      </c>
      <c r="L1854" s="102" t="b">
        <v>0</v>
      </c>
    </row>
    <row r="1855" spans="1:12" ht="15">
      <c r="A1855" s="104" t="s">
        <v>2439</v>
      </c>
      <c r="B1855" s="102" t="s">
        <v>2505</v>
      </c>
      <c r="C1855" s="102">
        <v>2</v>
      </c>
      <c r="D1855" s="106">
        <v>0.0021423520820587363</v>
      </c>
      <c r="E1855" s="106">
        <v>1.4220302132916784</v>
      </c>
      <c r="F1855" s="102" t="s">
        <v>2326</v>
      </c>
      <c r="G1855" s="102" t="b">
        <v>0</v>
      </c>
      <c r="H1855" s="102" t="b">
        <v>0</v>
      </c>
      <c r="I1855" s="102" t="b">
        <v>0</v>
      </c>
      <c r="J1855" s="102" t="b">
        <v>0</v>
      </c>
      <c r="K1855" s="102" t="b">
        <v>0</v>
      </c>
      <c r="L1855" s="102" t="b">
        <v>0</v>
      </c>
    </row>
    <row r="1856" spans="1:12" ht="15">
      <c r="A1856" s="104" t="s">
        <v>2439</v>
      </c>
      <c r="B1856" s="102" t="s">
        <v>2428</v>
      </c>
      <c r="C1856" s="102">
        <v>2</v>
      </c>
      <c r="D1856" s="106">
        <v>0.0021423520820587363</v>
      </c>
      <c r="E1856" s="106">
        <v>1.8991514680113408</v>
      </c>
      <c r="F1856" s="102" t="s">
        <v>2326</v>
      </c>
      <c r="G1856" s="102" t="b">
        <v>0</v>
      </c>
      <c r="H1856" s="102" t="b">
        <v>0</v>
      </c>
      <c r="I1856" s="102" t="b">
        <v>0</v>
      </c>
      <c r="J1856" s="102" t="b">
        <v>0</v>
      </c>
      <c r="K1856" s="102" t="b">
        <v>0</v>
      </c>
      <c r="L1856" s="102" t="b">
        <v>0</v>
      </c>
    </row>
    <row r="1857" spans="1:12" ht="15">
      <c r="A1857" s="104" t="s">
        <v>2710</v>
      </c>
      <c r="B1857" s="102" t="s">
        <v>2505</v>
      </c>
      <c r="C1857" s="102">
        <v>2</v>
      </c>
      <c r="D1857" s="106">
        <v>0.0021423520820587363</v>
      </c>
      <c r="E1857" s="106">
        <v>2.024090204619641</v>
      </c>
      <c r="F1857" s="102" t="s">
        <v>2326</v>
      </c>
      <c r="G1857" s="102" t="b">
        <v>0</v>
      </c>
      <c r="H1857" s="102" t="b">
        <v>0</v>
      </c>
      <c r="I1857" s="102" t="b">
        <v>0</v>
      </c>
      <c r="J1857" s="102" t="b">
        <v>0</v>
      </c>
      <c r="K1857" s="102" t="b">
        <v>0</v>
      </c>
      <c r="L1857" s="102" t="b">
        <v>0</v>
      </c>
    </row>
    <row r="1858" spans="1:12" ht="15">
      <c r="A1858" s="104" t="s">
        <v>2439</v>
      </c>
      <c r="B1858" s="102" t="s">
        <v>2710</v>
      </c>
      <c r="C1858" s="102">
        <v>2</v>
      </c>
      <c r="D1858" s="106">
        <v>0.0021423520820587363</v>
      </c>
      <c r="E1858" s="106">
        <v>1.8991514680113408</v>
      </c>
      <c r="F1858" s="102" t="s">
        <v>2326</v>
      </c>
      <c r="G1858" s="102" t="b">
        <v>0</v>
      </c>
      <c r="H1858" s="102" t="b">
        <v>0</v>
      </c>
      <c r="I1858" s="102" t="b">
        <v>0</v>
      </c>
      <c r="J1858" s="102" t="b">
        <v>0</v>
      </c>
      <c r="K1858" s="102" t="b">
        <v>0</v>
      </c>
      <c r="L1858" s="102" t="b">
        <v>0</v>
      </c>
    </row>
    <row r="1859" spans="1:12" ht="15">
      <c r="A1859" s="104" t="s">
        <v>2427</v>
      </c>
      <c r="B1859" s="102" t="s">
        <v>2483</v>
      </c>
      <c r="C1859" s="102">
        <v>2</v>
      </c>
      <c r="D1859" s="106">
        <v>0.0021423520820587363</v>
      </c>
      <c r="E1859" s="106">
        <v>1.6561134193250464</v>
      </c>
      <c r="F1859" s="102" t="s">
        <v>2326</v>
      </c>
      <c r="G1859" s="102" t="b">
        <v>0</v>
      </c>
      <c r="H1859" s="102" t="b">
        <v>0</v>
      </c>
      <c r="I1859" s="102" t="b">
        <v>0</v>
      </c>
      <c r="J1859" s="102" t="b">
        <v>0</v>
      </c>
      <c r="K1859" s="102" t="b">
        <v>0</v>
      </c>
      <c r="L1859" s="102" t="b">
        <v>0</v>
      </c>
    </row>
    <row r="1860" spans="1:12" ht="15">
      <c r="A1860" s="104" t="s">
        <v>2504</v>
      </c>
      <c r="B1860" s="102" t="s">
        <v>2483</v>
      </c>
      <c r="C1860" s="102">
        <v>2</v>
      </c>
      <c r="D1860" s="106">
        <v>0.0021423520820587363</v>
      </c>
      <c r="E1860" s="106">
        <v>1.5469689498999784</v>
      </c>
      <c r="F1860" s="102" t="s">
        <v>2326</v>
      </c>
      <c r="G1860" s="102" t="b">
        <v>0</v>
      </c>
      <c r="H1860" s="102" t="b">
        <v>0</v>
      </c>
      <c r="I1860" s="102" t="b">
        <v>0</v>
      </c>
      <c r="J1860" s="102" t="b">
        <v>0</v>
      </c>
      <c r="K1860" s="102" t="b">
        <v>0</v>
      </c>
      <c r="L1860" s="102" t="b">
        <v>0</v>
      </c>
    </row>
    <row r="1861" spans="1:12" ht="15">
      <c r="A1861" s="104" t="s">
        <v>2504</v>
      </c>
      <c r="B1861" s="102" t="s">
        <v>2975</v>
      </c>
      <c r="C1861" s="102">
        <v>2</v>
      </c>
      <c r="D1861" s="106">
        <v>0.0021423520820587363</v>
      </c>
      <c r="E1861" s="106">
        <v>2.200181463675322</v>
      </c>
      <c r="F1861" s="102" t="s">
        <v>2326</v>
      </c>
      <c r="G1861" s="102" t="b">
        <v>0</v>
      </c>
      <c r="H1861" s="102" t="b">
        <v>0</v>
      </c>
      <c r="I1861" s="102" t="b">
        <v>0</v>
      </c>
      <c r="J1861" s="102" t="b">
        <v>0</v>
      </c>
      <c r="K1861" s="102" t="b">
        <v>0</v>
      </c>
      <c r="L1861" s="102" t="b">
        <v>0</v>
      </c>
    </row>
    <row r="1862" spans="1:12" ht="15">
      <c r="A1862" s="104" t="s">
        <v>2504</v>
      </c>
      <c r="B1862" s="102" t="s">
        <v>2427</v>
      </c>
      <c r="C1862" s="102">
        <v>2</v>
      </c>
      <c r="D1862" s="106">
        <v>0.0021423520820587363</v>
      </c>
      <c r="E1862" s="106">
        <v>1.6561134193250464</v>
      </c>
      <c r="F1862" s="102" t="s">
        <v>2326</v>
      </c>
      <c r="G1862" s="102" t="b">
        <v>0</v>
      </c>
      <c r="H1862" s="102" t="b">
        <v>0</v>
      </c>
      <c r="I1862" s="102" t="b">
        <v>0</v>
      </c>
      <c r="J1862" s="102" t="b">
        <v>0</v>
      </c>
      <c r="K1862" s="102" t="b">
        <v>0</v>
      </c>
      <c r="L1862" s="102" t="b">
        <v>0</v>
      </c>
    </row>
    <row r="1863" spans="1:12" ht="15">
      <c r="A1863" s="104" t="s">
        <v>2708</v>
      </c>
      <c r="B1863" s="102" t="s">
        <v>2482</v>
      </c>
      <c r="C1863" s="102">
        <v>2</v>
      </c>
      <c r="D1863" s="106">
        <v>0.0021423520820587363</v>
      </c>
      <c r="E1863" s="106">
        <v>2.024090204619641</v>
      </c>
      <c r="F1863" s="102" t="s">
        <v>2326</v>
      </c>
      <c r="G1863" s="102" t="b">
        <v>0</v>
      </c>
      <c r="H1863" s="102" t="b">
        <v>0</v>
      </c>
      <c r="I1863" s="102" t="b">
        <v>0</v>
      </c>
      <c r="J1863" s="102" t="b">
        <v>0</v>
      </c>
      <c r="K1863" s="102" t="b">
        <v>1</v>
      </c>
      <c r="L1863" s="102" t="b">
        <v>0</v>
      </c>
    </row>
    <row r="1864" spans="1:12" ht="15">
      <c r="A1864" s="104" t="s">
        <v>2961</v>
      </c>
      <c r="B1864" s="102" t="s">
        <v>2406</v>
      </c>
      <c r="C1864" s="102">
        <v>2</v>
      </c>
      <c r="D1864" s="106">
        <v>0.001731108918583352</v>
      </c>
      <c r="E1864" s="106">
        <v>2.5523639817866846</v>
      </c>
      <c r="F1864" s="102" t="s">
        <v>2326</v>
      </c>
      <c r="G1864" s="102" t="b">
        <v>0</v>
      </c>
      <c r="H1864" s="102" t="b">
        <v>0</v>
      </c>
      <c r="I1864" s="102" t="b">
        <v>0</v>
      </c>
      <c r="J1864" s="102" t="b">
        <v>0</v>
      </c>
      <c r="K1864" s="102" t="b">
        <v>1</v>
      </c>
      <c r="L1864" s="102" t="b">
        <v>0</v>
      </c>
    </row>
    <row r="1865" spans="1:12" ht="15">
      <c r="A1865" s="104" t="s">
        <v>2437</v>
      </c>
      <c r="B1865" s="102" t="s">
        <v>2436</v>
      </c>
      <c r="C1865" s="102">
        <v>2</v>
      </c>
      <c r="D1865" s="106">
        <v>0.0021423520820587363</v>
      </c>
      <c r="E1865" s="106">
        <v>1.6425406121357726</v>
      </c>
      <c r="F1865" s="102" t="s">
        <v>2326</v>
      </c>
      <c r="G1865" s="102" t="b">
        <v>0</v>
      </c>
      <c r="H1865" s="102" t="b">
        <v>0</v>
      </c>
      <c r="I1865" s="102" t="b">
        <v>0</v>
      </c>
      <c r="J1865" s="102" t="b">
        <v>0</v>
      </c>
      <c r="K1865" s="102" t="b">
        <v>0</v>
      </c>
      <c r="L1865" s="102" t="b">
        <v>0</v>
      </c>
    </row>
    <row r="1866" spans="1:12" ht="15">
      <c r="A1866" s="104" t="s">
        <v>2419</v>
      </c>
      <c r="B1866" s="102" t="s">
        <v>2966</v>
      </c>
      <c r="C1866" s="102">
        <v>2</v>
      </c>
      <c r="D1866" s="106">
        <v>0.0021423520820587363</v>
      </c>
      <c r="E1866" s="106">
        <v>2.200181463675322</v>
      </c>
      <c r="F1866" s="102" t="s">
        <v>2326</v>
      </c>
      <c r="G1866" s="102" t="b">
        <v>0</v>
      </c>
      <c r="H1866" s="102" t="b">
        <v>0</v>
      </c>
      <c r="I1866" s="102" t="b">
        <v>0</v>
      </c>
      <c r="J1866" s="102" t="b">
        <v>0</v>
      </c>
      <c r="K1866" s="102" t="b">
        <v>0</v>
      </c>
      <c r="L1866" s="102" t="b">
        <v>0</v>
      </c>
    </row>
    <row r="1867" spans="1:12" ht="15">
      <c r="A1867" s="104" t="s">
        <v>2437</v>
      </c>
      <c r="B1867" s="102" t="s">
        <v>2552</v>
      </c>
      <c r="C1867" s="102">
        <v>2</v>
      </c>
      <c r="D1867" s="106">
        <v>0.0021423520820587363</v>
      </c>
      <c r="E1867" s="106">
        <v>1.5633593660881475</v>
      </c>
      <c r="F1867" s="102" t="s">
        <v>2326</v>
      </c>
      <c r="G1867" s="102" t="b">
        <v>0</v>
      </c>
      <c r="H1867" s="102" t="b">
        <v>0</v>
      </c>
      <c r="I1867" s="102" t="b">
        <v>0</v>
      </c>
      <c r="J1867" s="102" t="b">
        <v>0</v>
      </c>
      <c r="K1867" s="102" t="b">
        <v>0</v>
      </c>
      <c r="L1867" s="102" t="b">
        <v>0</v>
      </c>
    </row>
    <row r="1868" spans="1:12" ht="15">
      <c r="A1868" s="104" t="s">
        <v>2552</v>
      </c>
      <c r="B1868" s="102" t="s">
        <v>2552</v>
      </c>
      <c r="C1868" s="102">
        <v>2</v>
      </c>
      <c r="D1868" s="106">
        <v>0.0021423520820587363</v>
      </c>
      <c r="E1868" s="106">
        <v>1.8991514680113408</v>
      </c>
      <c r="F1868" s="102" t="s">
        <v>2326</v>
      </c>
      <c r="G1868" s="102" t="b">
        <v>0</v>
      </c>
      <c r="H1868" s="102" t="b">
        <v>0</v>
      </c>
      <c r="I1868" s="102" t="b">
        <v>0</v>
      </c>
      <c r="J1868" s="102" t="b">
        <v>0</v>
      </c>
      <c r="K1868" s="102" t="b">
        <v>0</v>
      </c>
      <c r="L1868" s="102" t="b">
        <v>0</v>
      </c>
    </row>
    <row r="1869" spans="1:12" ht="15">
      <c r="A1869" s="104" t="s">
        <v>2437</v>
      </c>
      <c r="B1869" s="102" t="s">
        <v>2379</v>
      </c>
      <c r="C1869" s="102">
        <v>2</v>
      </c>
      <c r="D1869" s="106">
        <v>0.0021423520820587363</v>
      </c>
      <c r="E1869" s="106">
        <v>1.5633593660881475</v>
      </c>
      <c r="F1869" s="102" t="s">
        <v>2326</v>
      </c>
      <c r="G1869" s="102" t="b">
        <v>0</v>
      </c>
      <c r="H1869" s="102" t="b">
        <v>0</v>
      </c>
      <c r="I1869" s="102" t="b">
        <v>0</v>
      </c>
      <c r="J1869" s="102" t="b">
        <v>0</v>
      </c>
      <c r="K1869" s="102" t="b">
        <v>0</v>
      </c>
      <c r="L1869" s="102" t="b">
        <v>0</v>
      </c>
    </row>
    <row r="1870" spans="1:12" ht="15">
      <c r="A1870" s="104" t="s">
        <v>2379</v>
      </c>
      <c r="B1870" s="102" t="s">
        <v>2408</v>
      </c>
      <c r="C1870" s="102">
        <v>2</v>
      </c>
      <c r="D1870" s="106">
        <v>0.0021423520820587363</v>
      </c>
      <c r="E1870" s="106">
        <v>2.376272722731003</v>
      </c>
      <c r="F1870" s="102" t="s">
        <v>2326</v>
      </c>
      <c r="G1870" s="102" t="b">
        <v>0</v>
      </c>
      <c r="H1870" s="102" t="b">
        <v>0</v>
      </c>
      <c r="I1870" s="102" t="b">
        <v>0</v>
      </c>
      <c r="J1870" s="102" t="b">
        <v>0</v>
      </c>
      <c r="K1870" s="102" t="b">
        <v>1</v>
      </c>
      <c r="L1870" s="102" t="b">
        <v>0</v>
      </c>
    </row>
    <row r="1871" spans="1:12" ht="15">
      <c r="A1871" s="104" t="s">
        <v>2408</v>
      </c>
      <c r="B1871" s="102" t="s">
        <v>2437</v>
      </c>
      <c r="C1871" s="102">
        <v>2</v>
      </c>
      <c r="D1871" s="106">
        <v>0.0021423520820587363</v>
      </c>
      <c r="E1871" s="106">
        <v>2.008295937436409</v>
      </c>
      <c r="F1871" s="102" t="s">
        <v>2326</v>
      </c>
      <c r="G1871" s="102" t="b">
        <v>0</v>
      </c>
      <c r="H1871" s="102" t="b">
        <v>1</v>
      </c>
      <c r="I1871" s="102" t="b">
        <v>0</v>
      </c>
      <c r="J1871" s="102" t="b">
        <v>0</v>
      </c>
      <c r="K1871" s="102" t="b">
        <v>0</v>
      </c>
      <c r="L1871" s="102" t="b">
        <v>0</v>
      </c>
    </row>
    <row r="1872" spans="1:12" ht="15">
      <c r="A1872" s="104" t="s">
        <v>2349</v>
      </c>
      <c r="B1872" s="102" t="s">
        <v>2437</v>
      </c>
      <c r="C1872" s="102">
        <v>2</v>
      </c>
      <c r="D1872" s="106">
        <v>0.0021423520820587363</v>
      </c>
      <c r="E1872" s="106">
        <v>1.163197897422152</v>
      </c>
      <c r="F1872" s="102" t="s">
        <v>2326</v>
      </c>
      <c r="G1872" s="102" t="b">
        <v>0</v>
      </c>
      <c r="H1872" s="102" t="b">
        <v>0</v>
      </c>
      <c r="I1872" s="102" t="b">
        <v>0</v>
      </c>
      <c r="J1872" s="102" t="b">
        <v>0</v>
      </c>
      <c r="K1872" s="102" t="b">
        <v>0</v>
      </c>
      <c r="L1872" s="102" t="b">
        <v>0</v>
      </c>
    </row>
    <row r="1873" spans="1:12" ht="15">
      <c r="A1873" s="104" t="s">
        <v>2350</v>
      </c>
      <c r="B1873" s="102" t="s">
        <v>2368</v>
      </c>
      <c r="C1873" s="102">
        <v>2</v>
      </c>
      <c r="D1873" s="106">
        <v>0.0021423520820587363</v>
      </c>
      <c r="E1873" s="106">
        <v>0.7182613260738908</v>
      </c>
      <c r="F1873" s="102" t="s">
        <v>2326</v>
      </c>
      <c r="G1873" s="102" t="b">
        <v>0</v>
      </c>
      <c r="H1873" s="102" t="b">
        <v>0</v>
      </c>
      <c r="I1873" s="102" t="b">
        <v>0</v>
      </c>
      <c r="J1873" s="102" t="b">
        <v>0</v>
      </c>
      <c r="K1873" s="102" t="b">
        <v>0</v>
      </c>
      <c r="L1873" s="102" t="b">
        <v>0</v>
      </c>
    </row>
    <row r="1874" spans="1:12" ht="15">
      <c r="A1874" s="104" t="s">
        <v>2962</v>
      </c>
      <c r="B1874" s="102" t="s">
        <v>2419</v>
      </c>
      <c r="C1874" s="102">
        <v>2</v>
      </c>
      <c r="D1874" s="106">
        <v>0.0021423520820587363</v>
      </c>
      <c r="E1874" s="106">
        <v>2.2513339861227033</v>
      </c>
      <c r="F1874" s="102" t="s">
        <v>2326</v>
      </c>
      <c r="G1874" s="102" t="b">
        <v>0</v>
      </c>
      <c r="H1874" s="102" t="b">
        <v>0</v>
      </c>
      <c r="I1874" s="102" t="b">
        <v>0</v>
      </c>
      <c r="J1874" s="102" t="b">
        <v>0</v>
      </c>
      <c r="K1874" s="102" t="b">
        <v>0</v>
      </c>
      <c r="L1874" s="102" t="b">
        <v>0</v>
      </c>
    </row>
    <row r="1875" spans="1:12" ht="15">
      <c r="A1875" s="104" t="s">
        <v>2803</v>
      </c>
      <c r="B1875" s="102" t="s">
        <v>2702</v>
      </c>
      <c r="C1875" s="102">
        <v>2</v>
      </c>
      <c r="D1875" s="106">
        <v>0.0021423520820587363</v>
      </c>
      <c r="E1875" s="106">
        <v>2.501211459339303</v>
      </c>
      <c r="F1875" s="102" t="s">
        <v>2326</v>
      </c>
      <c r="G1875" s="102" t="b">
        <v>0</v>
      </c>
      <c r="H1875" s="102" t="b">
        <v>0</v>
      </c>
      <c r="I1875" s="102" t="b">
        <v>0</v>
      </c>
      <c r="J1875" s="102" t="b">
        <v>0</v>
      </c>
      <c r="K1875" s="102" t="b">
        <v>0</v>
      </c>
      <c r="L1875" s="102" t="b">
        <v>0</v>
      </c>
    </row>
    <row r="1876" spans="1:12" ht="15">
      <c r="A1876" s="104" t="s">
        <v>2702</v>
      </c>
      <c r="B1876" s="102" t="s">
        <v>2963</v>
      </c>
      <c r="C1876" s="102">
        <v>2</v>
      </c>
      <c r="D1876" s="106">
        <v>0.0021423520820587363</v>
      </c>
      <c r="E1876" s="106">
        <v>2.6773027183949845</v>
      </c>
      <c r="F1876" s="102" t="s">
        <v>2326</v>
      </c>
      <c r="G1876" s="102" t="b">
        <v>0</v>
      </c>
      <c r="H1876" s="102" t="b">
        <v>0</v>
      </c>
      <c r="I1876" s="102" t="b">
        <v>0</v>
      </c>
      <c r="J1876" s="102" t="b">
        <v>0</v>
      </c>
      <c r="K1876" s="102" t="b">
        <v>0</v>
      </c>
      <c r="L1876" s="102" t="b">
        <v>0</v>
      </c>
    </row>
    <row r="1877" spans="1:12" ht="15">
      <c r="A1877" s="104" t="s">
        <v>2963</v>
      </c>
      <c r="B1877" s="102" t="s">
        <v>2964</v>
      </c>
      <c r="C1877" s="102">
        <v>2</v>
      </c>
      <c r="D1877" s="106">
        <v>0.0021423520820587363</v>
      </c>
      <c r="E1877" s="106">
        <v>2.853393977450666</v>
      </c>
      <c r="F1877" s="102" t="s">
        <v>2326</v>
      </c>
      <c r="G1877" s="102" t="b">
        <v>0</v>
      </c>
      <c r="H1877" s="102" t="b">
        <v>0</v>
      </c>
      <c r="I1877" s="102" t="b">
        <v>0</v>
      </c>
      <c r="J1877" s="102" t="b">
        <v>0</v>
      </c>
      <c r="K1877" s="102" t="b">
        <v>0</v>
      </c>
      <c r="L1877" s="102" t="b">
        <v>0</v>
      </c>
    </row>
    <row r="1878" spans="1:12" ht="15">
      <c r="A1878" s="104" t="s">
        <v>2368</v>
      </c>
      <c r="B1878" s="102" t="s">
        <v>2368</v>
      </c>
      <c r="C1878" s="102">
        <v>2</v>
      </c>
      <c r="D1878" s="106">
        <v>0.0021423520820587363</v>
      </c>
      <c r="E1878" s="106">
        <v>0.8110153793107896</v>
      </c>
      <c r="F1878" s="102" t="s">
        <v>2326</v>
      </c>
      <c r="G1878" s="102" t="b">
        <v>0</v>
      </c>
      <c r="H1878" s="102" t="b">
        <v>0</v>
      </c>
      <c r="I1878" s="102" t="b">
        <v>0</v>
      </c>
      <c r="J1878" s="102" t="b">
        <v>0</v>
      </c>
      <c r="K1878" s="102" t="b">
        <v>0</v>
      </c>
      <c r="L1878" s="102" t="b">
        <v>0</v>
      </c>
    </row>
    <row r="1879" spans="1:12" ht="15">
      <c r="A1879" s="104" t="s">
        <v>2636</v>
      </c>
      <c r="B1879" s="102" t="s">
        <v>2436</v>
      </c>
      <c r="C1879" s="102">
        <v>2</v>
      </c>
      <c r="D1879" s="106">
        <v>0.0021423520820587363</v>
      </c>
      <c r="E1879" s="106">
        <v>2.0575139601065904</v>
      </c>
      <c r="F1879" s="102" t="s">
        <v>2326</v>
      </c>
      <c r="G1879" s="102" t="b">
        <v>0</v>
      </c>
      <c r="H1879" s="102" t="b">
        <v>0</v>
      </c>
      <c r="I1879" s="102" t="b">
        <v>0</v>
      </c>
      <c r="J1879" s="102" t="b">
        <v>0</v>
      </c>
      <c r="K1879" s="102" t="b">
        <v>0</v>
      </c>
      <c r="L1879" s="102" t="b">
        <v>0</v>
      </c>
    </row>
    <row r="1880" spans="1:12" ht="15">
      <c r="A1880" s="104" t="s">
        <v>2805</v>
      </c>
      <c r="B1880" s="102" t="s">
        <v>2426</v>
      </c>
      <c r="C1880" s="102">
        <v>2</v>
      </c>
      <c r="D1880" s="106">
        <v>0.0021423520820587363</v>
      </c>
      <c r="E1880" s="106">
        <v>1.8022414550032844</v>
      </c>
      <c r="F1880" s="102" t="s">
        <v>2326</v>
      </c>
      <c r="G1880" s="102" t="b">
        <v>0</v>
      </c>
      <c r="H1880" s="102" t="b">
        <v>0</v>
      </c>
      <c r="I1880" s="102" t="b">
        <v>0</v>
      </c>
      <c r="J1880" s="102" t="b">
        <v>0</v>
      </c>
      <c r="K1880" s="102" t="b">
        <v>0</v>
      </c>
      <c r="L1880" s="102" t="b">
        <v>0</v>
      </c>
    </row>
    <row r="1881" spans="1:12" ht="15">
      <c r="A1881" s="104" t="s">
        <v>2426</v>
      </c>
      <c r="B1881" s="102" t="s">
        <v>2806</v>
      </c>
      <c r="C1881" s="102">
        <v>2</v>
      </c>
      <c r="D1881" s="106">
        <v>0.0021423520820587363</v>
      </c>
      <c r="E1881" s="106">
        <v>2.008295937436409</v>
      </c>
      <c r="F1881" s="102" t="s">
        <v>2326</v>
      </c>
      <c r="G1881" s="102" t="b">
        <v>0</v>
      </c>
      <c r="H1881" s="102" t="b">
        <v>0</v>
      </c>
      <c r="I1881" s="102" t="b">
        <v>0</v>
      </c>
      <c r="J1881" s="102" t="b">
        <v>0</v>
      </c>
      <c r="K1881" s="102" t="b">
        <v>0</v>
      </c>
      <c r="L1881" s="102" t="b">
        <v>0</v>
      </c>
    </row>
    <row r="1882" spans="1:12" ht="15">
      <c r="A1882" s="104" t="s">
        <v>2367</v>
      </c>
      <c r="B1882" s="102" t="s">
        <v>2350</v>
      </c>
      <c r="C1882" s="102">
        <v>2</v>
      </c>
      <c r="D1882" s="106">
        <v>0.0021423520820587363</v>
      </c>
      <c r="E1882" s="106">
        <v>1.1210002176276972</v>
      </c>
      <c r="F1882" s="102" t="s">
        <v>2326</v>
      </c>
      <c r="G1882" s="102" t="b">
        <v>0</v>
      </c>
      <c r="H1882" s="102" t="b">
        <v>0</v>
      </c>
      <c r="I1882" s="102" t="b">
        <v>0</v>
      </c>
      <c r="J1882" s="102" t="b">
        <v>0</v>
      </c>
      <c r="K1882" s="102" t="b">
        <v>0</v>
      </c>
      <c r="L1882" s="102" t="b">
        <v>0</v>
      </c>
    </row>
    <row r="1883" spans="1:12" ht="15">
      <c r="A1883" s="104" t="s">
        <v>2794</v>
      </c>
      <c r="B1883" s="102" t="s">
        <v>2417</v>
      </c>
      <c r="C1883" s="102">
        <v>3</v>
      </c>
      <c r="D1883" s="106">
        <v>0.017245346556132378</v>
      </c>
      <c r="E1883" s="106">
        <v>1.3010299956639813</v>
      </c>
      <c r="F1883" s="102" t="s">
        <v>2327</v>
      </c>
      <c r="G1883" s="102" t="b">
        <v>0</v>
      </c>
      <c r="H1883" s="102" t="b">
        <v>0</v>
      </c>
      <c r="I1883" s="102" t="b">
        <v>0</v>
      </c>
      <c r="J1883" s="102" t="b">
        <v>0</v>
      </c>
      <c r="K1883" s="102" t="b">
        <v>0</v>
      </c>
      <c r="L1883" s="102" t="b">
        <v>0</v>
      </c>
    </row>
    <row r="1884" spans="1:12" ht="15">
      <c r="A1884" s="104" t="s">
        <v>2958</v>
      </c>
      <c r="B1884" s="102" t="s">
        <v>3358</v>
      </c>
      <c r="C1884" s="102">
        <v>2</v>
      </c>
      <c r="D1884" s="106">
        <v>0.004243162868811596</v>
      </c>
      <c r="E1884" s="106">
        <v>1.4259687322722812</v>
      </c>
      <c r="F1884" s="102" t="s">
        <v>2327</v>
      </c>
      <c r="G1884" s="102" t="b">
        <v>0</v>
      </c>
      <c r="H1884" s="102" t="b">
        <v>0</v>
      </c>
      <c r="I1884" s="102" t="b">
        <v>0</v>
      </c>
      <c r="J1884" s="102" t="b">
        <v>0</v>
      </c>
      <c r="K1884" s="102" t="b">
        <v>0</v>
      </c>
      <c r="L1884"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5CD0EA0-9FBB-4771-A099-5291154311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2021-07-09T16:10:51Z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